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4" firstSheet="43" activeTab="54"/>
  </bookViews>
  <sheets>
    <sheet name="Пл. 1 Мая 1" sheetId="1" r:id="rId1"/>
    <sheet name="Пл. 1 Мая 2" sheetId="2" r:id="rId2"/>
    <sheet name="Гидростроительная 10а " sheetId="3" r:id="rId3"/>
    <sheet name="Гидростроительная 12" sheetId="4" r:id="rId4"/>
    <sheet name="Гидростроительная 14" sheetId="5" r:id="rId5"/>
    <sheet name="Гидростроительная 16" sheetId="6" r:id="rId6"/>
    <sheet name="Гидростроительная 18" sheetId="7" r:id="rId7"/>
    <sheet name="Гидростроительная 20" sheetId="8" r:id="rId8"/>
    <sheet name="Гидростроительная 24" sheetId="9" r:id="rId9"/>
    <sheet name="Гидростроительная 26" sheetId="10" r:id="rId10"/>
    <sheet name="Школьная 1" sheetId="11" r:id="rId11"/>
    <sheet name="Гостиная 2" sheetId="12" r:id="rId12"/>
    <sheet name="Гостиная 9" sheetId="13" r:id="rId13"/>
    <sheet name="Гостиная 11" sheetId="14" r:id="rId14"/>
    <sheet name="Гостиная 13" sheetId="15" r:id="rId15"/>
    <sheet name="Гостиная 15" sheetId="16" r:id="rId16"/>
    <sheet name="Гостиная 18" sheetId="17" r:id="rId17"/>
    <sheet name="Лист1" sheetId="18" r:id="rId18"/>
    <sheet name="Дамбовая 4" sheetId="19" r:id="rId19"/>
    <sheet name="Клубная 1а" sheetId="20" r:id="rId20"/>
    <sheet name="Кржижановского 2" sheetId="21" r:id="rId21"/>
    <sheet name="Кржижановского 3" sheetId="22" r:id="rId22"/>
    <sheet name="Овражная 2" sheetId="23" r:id="rId23"/>
    <sheet name="Овражная 4" sheetId="24" r:id="rId24"/>
    <sheet name="Овражная 5" sheetId="25" r:id="rId25"/>
    <sheet name="Овражная 9" sheetId="26" r:id="rId26"/>
    <sheet name="пер. Энергетиков 1" sheetId="27" r:id="rId27"/>
    <sheet name="пер. Энергетиков 2" sheetId="28" r:id="rId28"/>
    <sheet name="пер. Энергетиков 3" sheetId="29" r:id="rId29"/>
    <sheet name="пер. Энергетиков 5" sheetId="30" r:id="rId30"/>
    <sheet name="Первомайская 4" sheetId="31" r:id="rId31"/>
    <sheet name="Первомайская 6" sheetId="32" r:id="rId32"/>
    <sheet name="Первомайская 7" sheetId="33" r:id="rId33"/>
    <sheet name="Первомайская 10" sheetId="34" r:id="rId34"/>
    <sheet name="Первомайская 11" sheetId="35" r:id="rId35"/>
    <sheet name="Первомайская 14" sheetId="36" r:id="rId36"/>
    <sheet name="Первомайская 16" sheetId="37" r:id="rId37"/>
    <sheet name="Плотничная 3" sheetId="38" r:id="rId38"/>
    <sheet name="Плотничная 4" sheetId="39" r:id="rId39"/>
    <sheet name="Рабочая 2" sheetId="40" r:id="rId40"/>
    <sheet name="Рабочая 12" sheetId="41" r:id="rId41"/>
    <sheet name="Рабочая 14" sheetId="42" r:id="rId42"/>
    <sheet name="Рабочая 16" sheetId="43" r:id="rId43"/>
    <sheet name="Рабочая 20" sheetId="44" r:id="rId44"/>
    <sheet name="С.Ковалевской 3" sheetId="45" r:id="rId45"/>
    <sheet name="С.Ковалевской 6" sheetId="46" r:id="rId46"/>
    <sheet name="Северная 2" sheetId="47" r:id="rId47"/>
    <sheet name="Северная 3" sheetId="48" r:id="rId48"/>
    <sheet name="Северная 5" sheetId="49" r:id="rId49"/>
    <sheet name="Северная 9" sheetId="50" r:id="rId50"/>
    <sheet name="Семашко 5" sheetId="51" r:id="rId51"/>
    <sheet name="Семашко 20" sheetId="52" r:id="rId52"/>
    <sheet name="Семашко 23" sheetId="53" r:id="rId53"/>
    <sheet name="Сеченова 3" sheetId="54" r:id="rId54"/>
    <sheet name="Учительская 28" sheetId="55" r:id="rId55"/>
    <sheet name="Лист14" sheetId="56" r:id="rId56"/>
    <sheet name="Лист16" sheetId="57" r:id="rId57"/>
    <sheet name="Лист17" sheetId="58" r:id="rId58"/>
    <sheet name="Лист2" sheetId="59" r:id="rId59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<sst xmlns="http://schemas.openxmlformats.org/spreadsheetml/2006/main" count="8286" uniqueCount="346">
  <si>
    <t xml:space="preserve"> ОТЧЕТ    </t>
  </si>
  <si>
    <t>ДОГОВОРА УПРАВЛЕНИЯ МНОГОКВАРТИРНЫМ ДОМОМ</t>
  </si>
  <si>
    <t>Ф2.8 согласно приказа №882/пр. от 22.12.2014г. Министерства строительства и жилищно-коммунального хозяйства РФ</t>
  </si>
  <si>
    <t>Наименование параметра</t>
  </si>
  <si>
    <t>ед. изм.</t>
  </si>
  <si>
    <t>значение</t>
  </si>
  <si>
    <t xml:space="preserve"> Дата заполнения/внесения изменений</t>
  </si>
  <si>
    <t xml:space="preserve"> Начало отчетного периода</t>
  </si>
  <si>
    <t>Дата конца отчетного периода.</t>
  </si>
  <si>
    <t>1.'Общая информация о выполняемых работах (оказываемых услугах) по содержанию и текущему ремонту общего имущества</t>
  </si>
  <si>
    <t xml:space="preserve">Переходящие остатки денежных средств (на начало периода) по содержанию и  текущему ремонту </t>
  </si>
  <si>
    <t>руб.</t>
  </si>
  <si>
    <t>переплата потребителями</t>
  </si>
  <si>
    <t>задолженность потребителей</t>
  </si>
  <si>
    <t xml:space="preserve">.'Начислено за работы (услуги) по содержанию и текущему ремонту,в том числе:      </t>
  </si>
  <si>
    <t>за содержание дома</t>
  </si>
  <si>
    <t>за текущий ремонт</t>
  </si>
  <si>
    <t>за услуги управления</t>
  </si>
  <si>
    <t xml:space="preserve"> Получено денежных средств, в т.ч.:    </t>
  </si>
  <si>
    <t>х</t>
  </si>
  <si>
    <t xml:space="preserve"> денежных средств от потребителей</t>
  </si>
  <si>
    <t>целевых взносов от потребителей</t>
  </si>
  <si>
    <t>.</t>
  </si>
  <si>
    <t>субсидий</t>
  </si>
  <si>
    <t>денежных средств от использования общего имущества</t>
  </si>
  <si>
    <t>Всего денежных средств средств с учетом остатков</t>
  </si>
  <si>
    <t xml:space="preserve"> </t>
  </si>
  <si>
    <t>2.'Выполненные работы (оказанные услуги) по содержанию общего имущества и текущему ремонту в отчетном периоде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</si>
  <si>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</si>
  <si>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</si>
  <si>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>Исполнитель услуги</t>
  </si>
  <si>
    <t>Расходы по содержанию жилья за год (руб)</t>
  </si>
  <si>
    <t xml:space="preserve">Обслуживание общестроит.конструкций </t>
  </si>
  <si>
    <t>2 раза в год</t>
  </si>
  <si>
    <t>ООО "ВДС-Сервис"</t>
  </si>
  <si>
    <t>ежедневно</t>
  </si>
  <si>
    <t xml:space="preserve">Проверка дымоходов и вентканалов </t>
  </si>
  <si>
    <t>ООО "Патриот"</t>
  </si>
  <si>
    <t xml:space="preserve">Управление многоквартирным домом </t>
  </si>
  <si>
    <t>ООО "ДУК"</t>
  </si>
  <si>
    <t>Текущий ремонт</t>
  </si>
  <si>
    <t>Согласно плана и по мере необходимости</t>
  </si>
  <si>
    <t>ИТОГО:</t>
  </si>
  <si>
    <t>Переходящие остатки денежных средств (на конец периода) :</t>
  </si>
  <si>
    <t>3. 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</si>
  <si>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</si>
  <si>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</si>
  <si>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</si>
  <si>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</si>
  <si>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</si>
  <si>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4.Общая информация по предоставленным коммунальным услугам</t>
  </si>
  <si>
    <t>Пеоеходящие остатки денежных средств (на начало периода), втом числе:</t>
  </si>
  <si>
    <t>Переходящие остатки денежных средств (на конец,периода)в том числе:</t>
  </si>
  <si>
    <t>5,Информация о предоставленных коммунальных услугах</t>
  </si>
  <si>
    <t>Вид коммунальной услуги, ед.изм., общий объем потребления</t>
  </si>
  <si>
    <t>Начислено потребителям (руб.)</t>
  </si>
  <si>
    <t>Оплачено потребителями (руб.)</t>
  </si>
  <si>
    <t>Задолженность потребителей            (руб.)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</si>
  <si>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</si>
  <si>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</si>
  <si>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</si>
  <si>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</si>
  <si>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>Вид коммунальной услуги</t>
  </si>
  <si>
    <t>Начислено поставщиком коммунального ресурса (руб.)</t>
  </si>
  <si>
    <t>Оплачено поставщику коммунального ресурса (руб.)</t>
  </si>
  <si>
    <t>Задолженность перед поставщиком коммунального ресурса (руб.)</t>
  </si>
  <si>
    <t>Сумма пени и штрафов, уплаченные поставщику коммунального ресурса</t>
  </si>
  <si>
    <t>6. Информация о наличии претензий по качеству предоставленных коммунальных услуг</t>
  </si>
  <si>
    <t>7. 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</si>
  <si>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</si>
  <si>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</si>
  <si>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</si>
  <si>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Руководитель управляющей организации /____________________________________/_____________________________________________</t>
  </si>
  <si>
    <t>М.П.</t>
  </si>
  <si>
    <t>ПО АДРЕСУ г. Заволжье, ул. Гидростроительная д.10а</t>
  </si>
  <si>
    <t xml:space="preserve">Содержание придомовой территории </t>
  </si>
  <si>
    <t>5 раз в неделю</t>
  </si>
  <si>
    <t>ООО "Жилищные услуги"</t>
  </si>
  <si>
    <t>4 раза в год</t>
  </si>
  <si>
    <t>Обслуживание систем электроснабжения</t>
  </si>
  <si>
    <t>Обслуживание внутридомовых систем  (ХВС, ВО, отопления)</t>
  </si>
  <si>
    <t xml:space="preserve">Аварийно-диспетчерское обслуживание  </t>
  </si>
  <si>
    <t>круглосуточно</t>
  </si>
  <si>
    <t>ё</t>
  </si>
  <si>
    <t>ПО АДРЕСУ г. Заволжье, ул. Гидростроительная д.12</t>
  </si>
  <si>
    <t xml:space="preserve">Обслуживание газового оборудования </t>
  </si>
  <si>
    <t>ПО АДРЕСУ г. Заволжье, ул. Гидростроительная д.14</t>
  </si>
  <si>
    <t>ПО АДРЕСУ г. Заволжье, ул. Гидростроительная д.16</t>
  </si>
  <si>
    <t>ПО АДРЕСУ г. Заволжье, ул. Гидростроительная д.18</t>
  </si>
  <si>
    <t>ООО "ВДС-Сервис"; ООО "ЦентрСервис"</t>
  </si>
  <si>
    <t>ПО АДРЕСУ г. Заволжье, ул. Гидростроительная д.20</t>
  </si>
  <si>
    <t>Обслуживание внутридомовых систем  (ХВС, ВО, )</t>
  </si>
  <si>
    <t>ПО АДРЕСУ г. Заволжье, ул. Гидростроительная д.24</t>
  </si>
  <si>
    <t>Обслуживание внутридомовых систем  (ХВС, ВО,)</t>
  </si>
  <si>
    <t>ПО АДРЕСУ г. Заволжье, ул. Гидростроительная д.26</t>
  </si>
  <si>
    <t>ПО АДРЕСУ г. Заволжье, ул. Школьная 1</t>
  </si>
  <si>
    <t>ПО АДРЕСУ г. Заволжье, ул. Гостиная 2</t>
  </si>
  <si>
    <t xml:space="preserve">прочие поступления </t>
  </si>
  <si>
    <t>Обслуживание внутридомовых систем  (ХВС, отопления)</t>
  </si>
  <si>
    <t>ПО АДРЕСУ г. Заволжье, ул. Гостиная 9</t>
  </si>
  <si>
    <t>Обслуживание внутридомовых систем  (ХВС)</t>
  </si>
  <si>
    <t>ПО АДРЕСУ г. Заволжье, ул. Гостиная 11</t>
  </si>
  <si>
    <t>ПО АДРЕСУ г. Заволжье, ул. Гостиная 13</t>
  </si>
  <si>
    <t>ПО АДРЕСУ г. Заволжье, ул. Гостиная 15</t>
  </si>
  <si>
    <t>ПО АДРЕСУ г. Заволжье, ул. Гостиная 18</t>
  </si>
  <si>
    <t>ПО АДРЕСУ г. Заволжье, ул. Дамбовая 4</t>
  </si>
  <si>
    <t>ПО АДРЕСУ г. Заволжье, ул. Клубная 1а</t>
  </si>
  <si>
    <t>Обслуживание внутридомовых систем  (ХВС,  отопления)</t>
  </si>
  <si>
    <t>ПО АДРЕСУ г. Заволжье, ул. Кржижановского 2</t>
  </si>
  <si>
    <t>ПО АДРЕСУ г. Заволжье, ул. Кржижановского 3</t>
  </si>
  <si>
    <t>ПО АДРЕСУ г. Заволжье, ул. Овражная 2</t>
  </si>
  <si>
    <t>ПО АДРЕСУ г. Заволжье, ул. Овражная 4</t>
  </si>
  <si>
    <t>ПО АДРЕСУ г. Заволжье, ул. Овражная 5</t>
  </si>
  <si>
    <t>ПО АДРЕСУ г. Заволжье, ул. Овражная 9</t>
  </si>
  <si>
    <t>ПО АДРЕСУ г. Заволжье, пер. Энергетиков, 1</t>
  </si>
  <si>
    <t>ПО АДРЕСУ г. Заволжье, пер. Энергетиков, 2</t>
  </si>
  <si>
    <t>ПО АДРЕСУ г. Заволжье, пер. Энергетиков, 3</t>
  </si>
  <si>
    <t>ПО АДРЕСУ г. Заволжье, пер. Энергетиков, 5</t>
  </si>
  <si>
    <t>ПО АДРЕСУ г. Заволжье, пер. Первомайская 4</t>
  </si>
  <si>
    <t>ПО АДРЕСУ г. Заволжье, пер. Первомайская 6</t>
  </si>
  <si>
    <t>ПО АДРЕСУ г. Заволжье, пер. Первомайская 7</t>
  </si>
  <si>
    <t>ПО АДРЕСУ г. Заволжье, пер. Первомайская 10</t>
  </si>
  <si>
    <t>ПО АДРЕСУ г. Заволжье, пер. Первомайская 11</t>
  </si>
  <si>
    <t>ПО АДРЕСУ г. Заволжье, пер. Первомайская 14</t>
  </si>
  <si>
    <t>ПО АДРЕСУ г. Заволжье, пер. Первомайская 16</t>
  </si>
  <si>
    <t>ПО АДРЕСУ г. Заволжье, Пл. 1 Мая 1</t>
  </si>
  <si>
    <t>ПО АДРЕСУ г. Заволжье, Пл. 1 Мая 2</t>
  </si>
  <si>
    <t xml:space="preserve">ПО АДРЕСУ г. Заволжье, Плотничная 3 </t>
  </si>
  <si>
    <t>ПО АДРЕСУ г. Заволжье, Плотничная 4</t>
  </si>
  <si>
    <t>ПО АДРЕСУ г. Заволжье, Рабочая 2</t>
  </si>
  <si>
    <t>ПО АДРЕСУ г. Заволжье, Рабочая 12</t>
  </si>
  <si>
    <t>ПО АДРЕСУ г. Заволжье, Рабочая 14</t>
  </si>
  <si>
    <t>ПО АДРЕСУ г. Заволжье, Рабочая 16</t>
  </si>
  <si>
    <t>ПО АДРЕСУ г. Заволжье, Рабочая 20</t>
  </si>
  <si>
    <t>ПО АДРЕСУ г. Заволжье, С.Ковалевской 3</t>
  </si>
  <si>
    <t>ПО АДРЕСУ г. Заволжье, С.Ковалевской 6</t>
  </si>
  <si>
    <t>ПО АДРЕСУ г. Заволжье, Северная 2</t>
  </si>
  <si>
    <t>ПО АДРЕСУ г. Заволжье, Северная 3</t>
  </si>
  <si>
    <t>ПО АДРЕСУ г. Заволжье, Северная 5</t>
  </si>
  <si>
    <t>ПО АДРЕСУ г. Заволжье, Северная 9</t>
  </si>
  <si>
    <t>ПО АДРЕСУ г. Заволжье, Семашко 5</t>
  </si>
  <si>
    <t>ПО АДРЕСУ г. Заволжье, Семашко 20</t>
  </si>
  <si>
    <t>ООО "ВДС-Сервис" ООО "Электроник"</t>
  </si>
  <si>
    <t>ПО АДРЕСУ г. Заволжье, Семашко 23</t>
  </si>
  <si>
    <t>ПО АДРЕСУ г. Заволжье, Сеченова 3</t>
  </si>
  <si>
    <t>ПО АДРЕСУ г. Заволжье, Учительская 28</t>
  </si>
  <si>
    <t>Кузьмичев Е.М./</t>
  </si>
  <si>
    <t>Sдома (279,7м2)</t>
  </si>
  <si>
    <t>Sдома=466,9м2</t>
  </si>
  <si>
    <t>май</t>
  </si>
  <si>
    <t>декабрь</t>
  </si>
  <si>
    <t>август</t>
  </si>
  <si>
    <t>ремонт кровли</t>
  </si>
  <si>
    <t>сентябрь</t>
  </si>
  <si>
    <t>ноябрь</t>
  </si>
  <si>
    <t>S=611,10м2</t>
  </si>
  <si>
    <t>июнь</t>
  </si>
  <si>
    <t>июль</t>
  </si>
  <si>
    <t>Sдома =387,05м2</t>
  </si>
  <si>
    <t>апрель</t>
  </si>
  <si>
    <t>Sдома=383,89м2</t>
  </si>
  <si>
    <t>Sдома=1335,3м2</t>
  </si>
  <si>
    <t>Sдома=102,25м2</t>
  </si>
  <si>
    <t>Sдома=1663,70м2</t>
  </si>
  <si>
    <t>S=1670,70м2</t>
  </si>
  <si>
    <t>март</t>
  </si>
  <si>
    <t>Sдома=1934,30м2</t>
  </si>
  <si>
    <t>октябрь</t>
  </si>
  <si>
    <t>Sдома=123,2м2</t>
  </si>
  <si>
    <t>Sдома=103,1м2</t>
  </si>
  <si>
    <t>Sдома=107,3м2</t>
  </si>
  <si>
    <t>Sдома=377м2</t>
  </si>
  <si>
    <t>Sдома=134,5м2</t>
  </si>
  <si>
    <t>Sдома=1265,10м2</t>
  </si>
  <si>
    <t>Обслуживание внутридомовых систем  (ХВС,  отопления,водоотведения)</t>
  </si>
  <si>
    <t>Sдома=99,70м2</t>
  </si>
  <si>
    <t>Sдома=111,10м2</t>
  </si>
  <si>
    <t>Sдома=111м2</t>
  </si>
  <si>
    <t>Sдома=47,1м2</t>
  </si>
  <si>
    <t>Обслуживание внутридомовых систем  (ХВС,)</t>
  </si>
  <si>
    <t>Sдома=162,6м2</t>
  </si>
  <si>
    <t xml:space="preserve">Обслуживание внутридомовых систем  </t>
  </si>
  <si>
    <t>Sдома=163,50м2</t>
  </si>
  <si>
    <t>Sдома=87,6м2</t>
  </si>
  <si>
    <t>Обслуживание внутридомовых систем  (ХВС, )</t>
  </si>
  <si>
    <t>Sдома=105м2</t>
  </si>
  <si>
    <t>Обслуживание внутридомовых систем  (ХВС,  )</t>
  </si>
  <si>
    <t>Sдома=57,7м2</t>
  </si>
  <si>
    <t>Sдома=96м2</t>
  </si>
  <si>
    <t>Sдома=105,4м2</t>
  </si>
  <si>
    <t>S=127,1м2</t>
  </si>
  <si>
    <t>Sдома=54,9м2</t>
  </si>
  <si>
    <t>Sдома=84,8м2</t>
  </si>
  <si>
    <t>Sдома=78,8м2</t>
  </si>
  <si>
    <t>Sдома=120,8м2</t>
  </si>
  <si>
    <t>Sдома=129,7м2</t>
  </si>
  <si>
    <t>Sдома=102,3м2</t>
  </si>
  <si>
    <t>Sдома=94,7м2</t>
  </si>
  <si>
    <t>Sдома=195,9м2</t>
  </si>
  <si>
    <t>Sдома=171,2м2</t>
  </si>
  <si>
    <t>Sдома=53,40м2</t>
  </si>
  <si>
    <t>Sдома=79,8м2</t>
  </si>
  <si>
    <t>Sдома=90,7м2</t>
  </si>
  <si>
    <t>Sдома=96,8м2</t>
  </si>
  <si>
    <t>Sдома=135,3м2</t>
  </si>
  <si>
    <t>Кузьмичев Е.М.</t>
  </si>
  <si>
    <t>Руководитель управляющей организации /____________________________________/_Кузьмичев Е.М.________________</t>
  </si>
  <si>
    <t>Руководитель управляющей организации /____________________________________/Кузьмичев Е.М.________________</t>
  </si>
  <si>
    <t>Руководитель управляющей организации /____________________________________/Кузьмичев Е.М.__________________</t>
  </si>
  <si>
    <t>переплата потребителей</t>
  </si>
  <si>
    <t>Руководитель управляющей организации /____________________________________/     Кузьмичев Е.М./</t>
  </si>
  <si>
    <t>Текущий ремонт и подготовка к сезонной эксплуатации, в том числе</t>
  </si>
  <si>
    <t>Текущий ремонт и подготовка к сезонной эксплуатации , в том числе</t>
  </si>
  <si>
    <t xml:space="preserve">Текущий ремонт и подготовка к сезонной эксплуатации, в том числе </t>
  </si>
  <si>
    <t>Текущий ремонт и подготовка к сезонной эксплуатации ,в том числе</t>
  </si>
  <si>
    <t>Текущий ремонт и подготовка к сезонной эксплуатации</t>
  </si>
  <si>
    <t>Текущий ремонт и подготовка к сезонной эксплуатации в том числе:</t>
  </si>
  <si>
    <t>Текущий ремонт и подготовка к сезонной эксплуатации, в том числе:</t>
  </si>
  <si>
    <t>Текущий ремонт и подготовка к сезонной эксплуатации,в том числе</t>
  </si>
  <si>
    <t>Использование энергоресурсов в целях содержания общего имущества, в том числе:</t>
  </si>
  <si>
    <t>МУП "Тепловодоканал"</t>
  </si>
  <si>
    <t>Электроэнергии</t>
  </si>
  <si>
    <t>ПАО "ТНС-Энерго"</t>
  </si>
  <si>
    <t>ХВ</t>
  </si>
  <si>
    <t>01.01.2018г.</t>
  </si>
  <si>
    <t>31.12.2018г.</t>
  </si>
  <si>
    <t>Использование энергоресурсов в целях содержания общего имущества:</t>
  </si>
  <si>
    <t>Текущий ремонт в том числе</t>
  </si>
  <si>
    <t>Текущий ремонт,в том числе</t>
  </si>
  <si>
    <t xml:space="preserve">Текущий ремонт </t>
  </si>
  <si>
    <t>текущий ремонт</t>
  </si>
  <si>
    <t>Текущий ремонт (в том числе)</t>
  </si>
  <si>
    <t>ЗА 2018 ГОД</t>
  </si>
  <si>
    <t>1 квартал 2019г.</t>
  </si>
  <si>
    <t>ООО "Иваныч"</t>
  </si>
  <si>
    <t>январь</t>
  </si>
  <si>
    <t>УПРАВЛЯЮЩЕЙ ОРГАНИЗАЦИИ ООО «Прибрежье» О ВЫПОЛНЕНИИ</t>
  </si>
  <si>
    <t>ООО "Прибрежье"</t>
  </si>
  <si>
    <t>1 раз в год</t>
  </si>
  <si>
    <t>Sдома=140,2м2</t>
  </si>
  <si>
    <t>УПРАВЛЯЮЩЕЙ ОРГАНИЗАЦИИ ООО «Проибрежье» О ВЫПОЛНЕНИИ</t>
  </si>
  <si>
    <t>ЗА 2019 ГОД</t>
  </si>
  <si>
    <t>1 квартал 2020г.</t>
  </si>
  <si>
    <t>01.01.2019г.</t>
  </si>
  <si>
    <t>31.12.2019г.</t>
  </si>
  <si>
    <t>устранение  течи кровли</t>
  </si>
  <si>
    <t>февраль</t>
  </si>
  <si>
    <t>ремонт септика</t>
  </si>
  <si>
    <t>ремонт полов в под-де</t>
  </si>
  <si>
    <t>ИП Гусева Т.С.</t>
  </si>
  <si>
    <t>смена кранов на радиаторы отопления в кв.3</t>
  </si>
  <si>
    <t>ИП Галкова О.А.</t>
  </si>
  <si>
    <t>смена светильника на 2м эт. 1го подъезда</t>
  </si>
  <si>
    <t>изготовление информационных досок</t>
  </si>
  <si>
    <t>смена  участка отопления в кв.13, смена задвижек в подвале ,смена крана на батарее в кв.10, ремонт участка розлива ХВС в подвале</t>
  </si>
  <si>
    <t>ТО ВДГО</t>
  </si>
  <si>
    <t>ООО "Антисептикстрой"</t>
  </si>
  <si>
    <t>смена вводного автомата</t>
  </si>
  <si>
    <t>изоляция трубы ХВС в 1м под-де</t>
  </si>
  <si>
    <t>смена крана ХВС во 2м под-де</t>
  </si>
  <si>
    <t>ремонт фасада</t>
  </si>
  <si>
    <t>смена крана в кв.3</t>
  </si>
  <si>
    <t>смена светильника во 2*м подъезде,1эт.,2эт.,улица</t>
  </si>
  <si>
    <t>январь,март,сентябрь</t>
  </si>
  <si>
    <t>ремонт лавочки</t>
  </si>
  <si>
    <t>ИП  Гусева Т.С.</t>
  </si>
  <si>
    <t>Изготовление информационных досок</t>
  </si>
  <si>
    <t>установка телевизионной антенны</t>
  </si>
  <si>
    <t>ООО "Электроник"</t>
  </si>
  <si>
    <t>заделка окна в подвале 2го подъезда</t>
  </si>
  <si>
    <t>установка  окна ПВХ на чердаке</t>
  </si>
  <si>
    <t>ОкнаВека"</t>
  </si>
  <si>
    <t>ремонт отмостки</t>
  </si>
  <si>
    <t>ИП Тупова А.Г.</t>
  </si>
  <si>
    <t>установка скамейки</t>
  </si>
  <si>
    <t>ремонт лавочек</t>
  </si>
  <si>
    <t>изготовление инфомационных досок</t>
  </si>
  <si>
    <t>смена трансформатора в электрощитовой</t>
  </si>
  <si>
    <t>смена выключателя во 2м подъезде</t>
  </si>
  <si>
    <t>стоимость материалов для ремонта подъезда</t>
  </si>
  <si>
    <t>смена замка в подвале</t>
  </si>
  <si>
    <t>монтаж флюгарка на крыше</t>
  </si>
  <si>
    <t>смена стеклопакета в 3м подъезде</t>
  </si>
  <si>
    <t>ООО "ОкнаВека"</t>
  </si>
  <si>
    <t>смена светильников на светодиодные</t>
  </si>
  <si>
    <t>ремонт крылец</t>
  </si>
  <si>
    <t>смена замков в подвале и на почтовых ящиках</t>
  </si>
  <si>
    <t>октябрь,декабрь</t>
  </si>
  <si>
    <t>смена участка канализации в подвале</t>
  </si>
  <si>
    <t>смена трансформаторов</t>
  </si>
  <si>
    <t>смена крана в кв.11</t>
  </si>
  <si>
    <t>установка урн</t>
  </si>
  <si>
    <t>ремонт козырьков 2,3 подъездов</t>
  </si>
  <si>
    <t>ремонт крылец во 2,3 подъездах</t>
  </si>
  <si>
    <t>смена светильника в  4подъезде на 1эт.</t>
  </si>
  <si>
    <t>ремонт перекрытия в кв.1 (возврат материалов)</t>
  </si>
  <si>
    <t>ремонт перекрытия в кв.4 (возврат материалов)</t>
  </si>
  <si>
    <t>Итого</t>
  </si>
  <si>
    <t>ремонт завалинки кв.1-2</t>
  </si>
  <si>
    <t>смена участка отопления в кв.6</t>
  </si>
  <si>
    <t>смена участка ХВС в кв.2</t>
  </si>
  <si>
    <t>монтаж флюгарка</t>
  </si>
  <si>
    <t>ЗА 2019ГОД</t>
  </si>
  <si>
    <t>ООО"Антисептикстрой"</t>
  </si>
  <si>
    <t>ремонт участка ХВС в кв.1</t>
  </si>
  <si>
    <t>ремонт кровли (возврат материалов)</t>
  </si>
  <si>
    <t>ремонт шиферной кровли</t>
  </si>
  <si>
    <t>установка распределительной коробки</t>
  </si>
  <si>
    <t>ремонт крыльца 1го под-да</t>
  </si>
  <si>
    <t>март, сентябрь</t>
  </si>
  <si>
    <t>ремонт участка кровли</t>
  </si>
  <si>
    <t>смена выключателя в подвале 2го этажа</t>
  </si>
  <si>
    <t>установка водосточного лотка</t>
  </si>
  <si>
    <t>смена электросчетчика</t>
  </si>
  <si>
    <t>смена участка канализации в кв.21</t>
  </si>
  <si>
    <t>Обслуживание газового оборудования</t>
  </si>
  <si>
    <t>Текущий ремонт и подготовка к  сезонной эксплуатации,  в том числе:</t>
  </si>
  <si>
    <t>Переходящие остатки денежных средств (на начало периода), втом числе:</t>
  </si>
  <si>
    <t>обращение с ТКО</t>
  </si>
  <si>
    <t>Дератизация и дезинсекция</t>
  </si>
  <si>
    <t>4 раза вгод</t>
  </si>
  <si>
    <t>ООО "ЦентрСервис"</t>
  </si>
  <si>
    <t>S=443,48м2</t>
  </si>
  <si>
    <t>Дезинсекция и дератизация</t>
  </si>
  <si>
    <t xml:space="preserve">ООО "ВДС-Сервис"; </t>
  </si>
  <si>
    <t>ООО "ЦентСервис"</t>
  </si>
  <si>
    <t>смена счетчика и участка ХВС в подвале</t>
  </si>
  <si>
    <t>ООО "ЦентроСервис"</t>
  </si>
  <si>
    <t>Ремонт подъезда</t>
  </si>
  <si>
    <t>возврат мат-в</t>
  </si>
  <si>
    <t>Sдома=1121,96м2</t>
  </si>
  <si>
    <t>(ВОЗВРАТ МАТЕРИАЛОВ)</t>
  </si>
  <si>
    <t>Sдома=144,4м2</t>
  </si>
  <si>
    <t>(возврат мат-в)</t>
  </si>
  <si>
    <t>Sдома=157,4м2</t>
  </si>
  <si>
    <t>Sдома=83,1м2</t>
  </si>
  <si>
    <t xml:space="preserve">Обслуживание внутридомовых систем </t>
  </si>
  <si>
    <t>Sдома=145,8м2</t>
  </si>
  <si>
    <t>смена отсечного крана ХВС в кв.4</t>
  </si>
  <si>
    <t>Sдома=968,7 м2</t>
  </si>
  <si>
    <t>ремонт завалинки</t>
  </si>
  <si>
    <t>Sдома=119,5м2</t>
  </si>
  <si>
    <t>Sдома=104,2м2</t>
  </si>
  <si>
    <t>*(возврат материалов)</t>
  </si>
  <si>
    <t>Sдома=194,6,2м2</t>
  </si>
  <si>
    <t>субсидий (возврат ден. средств от администрации г. Заволжья)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</si>
</sst>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;\-#,##0.00"/>
    <numFmt numFmtId="166" formatCode="#,###.00"/>
    <numFmt numFmtId="167" formatCode="0.000"/>
    <numFmt numFmtId="168" formatCode="0.0000"/>
    <numFmt numFmtId="169" formatCode="0.00000"/>
    <numFmt numFmtId="170" formatCode="#,##0.0"/>
    <numFmt numFmtId="171" formatCode="0.000000"/>
    <numFmt numFmtId="172" formatCode="#,###.0"/>
    <numFmt numFmtId="173" formatCode="#,###"/>
    <numFmt numFmtId="174" formatCode="#,###.000"/>
    <numFmt numFmtId="175" formatCode="0.0"/>
    <numFmt numFmtId="176" formatCode="#,##0.0;\-#,##0.0"/>
    <numFmt numFmtId="177" formatCode="#,##0;\-#,##0"/>
  </numFmts>
  <fonts count="65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6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top"/>
    </xf>
    <xf numFmtId="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8" xfId="0" applyFont="1" applyBorder="1" applyAlignment="1">
      <alignment vertical="top"/>
    </xf>
    <xf numFmtId="0" fontId="4" fillId="0" borderId="19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" fontId="0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26" xfId="0" applyFont="1" applyFill="1" applyBorder="1" applyAlignment="1">
      <alignment wrapText="1"/>
    </xf>
    <xf numFmtId="0" fontId="4" fillId="33" borderId="27" xfId="0" applyFont="1" applyFill="1" applyBorder="1" applyAlignment="1">
      <alignment horizontal="center" vertical="center" wrapText="1"/>
    </xf>
    <xf numFmtId="165" fontId="3" fillId="33" borderId="27" xfId="0" applyNumberFormat="1" applyFont="1" applyFill="1" applyBorder="1" applyAlignment="1">
      <alignment horizontal="center" vertical="center" wrapText="1"/>
    </xf>
    <xf numFmtId="165" fontId="3" fillId="33" borderId="28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0" fontId="0" fillId="33" borderId="29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left"/>
    </xf>
    <xf numFmtId="2" fontId="8" fillId="33" borderId="22" xfId="0" applyNumberFormat="1" applyFont="1" applyFill="1" applyBorder="1" applyAlignment="1">
      <alignment horizontal="center"/>
    </xf>
    <xf numFmtId="165" fontId="8" fillId="33" borderId="22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0" fillId="33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166" fontId="3" fillId="33" borderId="3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/>
    </xf>
    <xf numFmtId="0" fontId="0" fillId="33" borderId="25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wrapText="1"/>
    </xf>
    <xf numFmtId="2" fontId="6" fillId="0" borderId="31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0" fillId="0" borderId="32" xfId="0" applyFont="1" applyFill="1" applyBorder="1" applyAlignment="1">
      <alignment horizontal="left" vertical="top"/>
    </xf>
    <xf numFmtId="4" fontId="6" fillId="0" borderId="23" xfId="0" applyNumberFormat="1" applyFont="1" applyFill="1" applyBorder="1" applyAlignment="1">
      <alignment vertical="top" wrapText="1"/>
    </xf>
    <xf numFmtId="2" fontId="6" fillId="0" borderId="33" xfId="0" applyNumberFormat="1" applyFont="1" applyBorder="1" applyAlignment="1">
      <alignment vertical="top"/>
    </xf>
    <xf numFmtId="2" fontId="3" fillId="0" borderId="3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center"/>
    </xf>
    <xf numFmtId="4" fontId="8" fillId="33" borderId="35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vertical="top" wrapText="1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165" fontId="59" fillId="0" borderId="0" xfId="0" applyNumberFormat="1" applyFont="1" applyFill="1" applyAlignment="1">
      <alignment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0" xfId="0" applyFont="1" applyBorder="1" applyAlignment="1">
      <alignment/>
    </xf>
    <xf numFmtId="164" fontId="59" fillId="0" borderId="0" xfId="0" applyNumberFormat="1" applyFont="1" applyFill="1" applyAlignment="1">
      <alignment/>
    </xf>
    <xf numFmtId="2" fontId="59" fillId="0" borderId="0" xfId="0" applyNumberFormat="1" applyFont="1" applyBorder="1" applyAlignment="1">
      <alignment/>
    </xf>
    <xf numFmtId="166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 wrapText="1"/>
    </xf>
    <xf numFmtId="0" fontId="0" fillId="33" borderId="36" xfId="0" applyFont="1" applyFill="1" applyBorder="1" applyAlignment="1">
      <alignment/>
    </xf>
    <xf numFmtId="4" fontId="6" fillId="33" borderId="37" xfId="0" applyNumberFormat="1" applyFont="1" applyFill="1" applyBorder="1" applyAlignment="1">
      <alignment/>
    </xf>
    <xf numFmtId="4" fontId="8" fillId="33" borderId="23" xfId="0" applyNumberFormat="1" applyFont="1" applyFill="1" applyBorder="1" applyAlignment="1">
      <alignment horizontal="center"/>
    </xf>
    <xf numFmtId="4" fontId="8" fillId="33" borderId="38" xfId="0" applyNumberFormat="1" applyFont="1" applyFill="1" applyBorder="1" applyAlignment="1">
      <alignment horizontal="right"/>
    </xf>
    <xf numFmtId="0" fontId="4" fillId="33" borderId="39" xfId="0" applyFont="1" applyFill="1" applyBorder="1" applyAlignment="1">
      <alignment horizontal="center" vertical="center"/>
    </xf>
    <xf numFmtId="4" fontId="4" fillId="33" borderId="40" xfId="0" applyNumberFormat="1" applyFont="1" applyFill="1" applyBorder="1" applyAlignment="1">
      <alignment horizontal="center" vertical="center" wrapText="1"/>
    </xf>
    <xf numFmtId="4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/>
    </xf>
    <xf numFmtId="4" fontId="8" fillId="33" borderId="43" xfId="0" applyNumberFormat="1" applyFont="1" applyFill="1" applyBorder="1" applyAlignment="1">
      <alignment horizontal="right"/>
    </xf>
    <xf numFmtId="0" fontId="0" fillId="33" borderId="44" xfId="0" applyFont="1" applyFill="1" applyBorder="1" applyAlignment="1">
      <alignment horizontal="left"/>
    </xf>
    <xf numFmtId="4" fontId="0" fillId="33" borderId="45" xfId="0" applyNumberFormat="1" applyFont="1" applyFill="1" applyBorder="1" applyAlignment="1">
      <alignment/>
    </xf>
    <xf numFmtId="4" fontId="8" fillId="33" borderId="46" xfId="0" applyNumberFormat="1" applyFont="1" applyFill="1" applyBorder="1" applyAlignment="1">
      <alignment horizontal="center"/>
    </xf>
    <xf numFmtId="4" fontId="8" fillId="33" borderId="47" xfId="0" applyNumberFormat="1" applyFont="1" applyFill="1" applyBorder="1" applyAlignment="1">
      <alignment horizontal="right"/>
    </xf>
    <xf numFmtId="4" fontId="9" fillId="33" borderId="46" xfId="0" applyNumberFormat="1" applyFont="1" applyFill="1" applyBorder="1" applyAlignment="1">
      <alignment horizontal="center"/>
    </xf>
    <xf numFmtId="4" fontId="8" fillId="33" borderId="48" xfId="0" applyNumberFormat="1" applyFont="1" applyFill="1" applyBorder="1" applyAlignment="1">
      <alignment horizontal="right"/>
    </xf>
    <xf numFmtId="0" fontId="4" fillId="33" borderId="40" xfId="0" applyFont="1" applyFill="1" applyBorder="1" applyAlignment="1">
      <alignment horizontal="center" vertical="center" wrapText="1"/>
    </xf>
    <xf numFmtId="165" fontId="3" fillId="33" borderId="40" xfId="0" applyNumberFormat="1" applyFont="1" applyFill="1" applyBorder="1" applyAlignment="1">
      <alignment horizontal="center" vertical="center" wrapText="1"/>
    </xf>
    <xf numFmtId="165" fontId="3" fillId="33" borderId="4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33" xfId="0" applyFont="1" applyBorder="1" applyAlignment="1">
      <alignment vertical="top"/>
    </xf>
    <xf numFmtId="0" fontId="0" fillId="0" borderId="17" xfId="0" applyFont="1" applyFill="1" applyBorder="1" applyAlignment="1" quotePrefix="1">
      <alignment horizontal="left" vertical="top"/>
    </xf>
    <xf numFmtId="0" fontId="0" fillId="0" borderId="32" xfId="0" applyFont="1" applyFill="1" applyBorder="1" applyAlignment="1" quotePrefix="1">
      <alignment horizontal="left" vertical="top"/>
    </xf>
    <xf numFmtId="0" fontId="0" fillId="0" borderId="0" xfId="0" applyNumberFormat="1" applyFont="1" applyAlignment="1">
      <alignment/>
    </xf>
    <xf numFmtId="0" fontId="4" fillId="34" borderId="39" xfId="0" applyFont="1" applyFill="1" applyBorder="1" applyAlignment="1">
      <alignment horizontal="center" vertical="center"/>
    </xf>
    <xf numFmtId="4" fontId="4" fillId="34" borderId="40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4" fontId="60" fillId="0" borderId="0" xfId="0" applyNumberFormat="1" applyFont="1" applyAlignment="1">
      <alignment/>
    </xf>
    <xf numFmtId="0" fontId="60" fillId="0" borderId="0" xfId="0" applyFont="1" applyAlignment="1">
      <alignment/>
    </xf>
    <xf numFmtId="2" fontId="6" fillId="0" borderId="18" xfId="0" applyNumberFormat="1" applyFont="1" applyBorder="1" applyAlignment="1">
      <alignment vertical="top"/>
    </xf>
    <xf numFmtId="0" fontId="4" fillId="0" borderId="21" xfId="0" applyFont="1" applyFill="1" applyBorder="1" applyAlignment="1">
      <alignment horizontal="left" wrapText="1"/>
    </xf>
    <xf numFmtId="165" fontId="4" fillId="33" borderId="27" xfId="0" applyNumberFormat="1" applyFont="1" applyFill="1" applyBorder="1" applyAlignment="1">
      <alignment horizontal="center" vertical="center" wrapText="1"/>
    </xf>
    <xf numFmtId="165" fontId="4" fillId="33" borderId="28" xfId="0" applyNumberFormat="1" applyFont="1" applyFill="1" applyBorder="1" applyAlignment="1">
      <alignment horizontal="center" vertical="center" wrapText="1"/>
    </xf>
    <xf numFmtId="4" fontId="4" fillId="34" borderId="41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 wrapText="1"/>
    </xf>
    <xf numFmtId="165" fontId="4" fillId="33" borderId="40" xfId="0" applyNumberFormat="1" applyFont="1" applyFill="1" applyBorder="1" applyAlignment="1">
      <alignment horizontal="center" vertical="center" wrapText="1"/>
    </xf>
    <xf numFmtId="165" fontId="4" fillId="33" borderId="41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4" fontId="4" fillId="33" borderId="50" xfId="0" applyNumberFormat="1" applyFont="1" applyFill="1" applyBorder="1" applyAlignment="1">
      <alignment horizontal="center" vertical="center" wrapText="1"/>
    </xf>
    <xf numFmtId="4" fontId="3" fillId="33" borderId="50" xfId="0" applyNumberFormat="1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wrapText="1"/>
    </xf>
    <xf numFmtId="0" fontId="4" fillId="33" borderId="52" xfId="0" applyFont="1" applyFill="1" applyBorder="1" applyAlignment="1">
      <alignment horizontal="center" vertical="center" wrapText="1"/>
    </xf>
    <xf numFmtId="165" fontId="3" fillId="33" borderId="52" xfId="0" applyNumberFormat="1" applyFont="1" applyFill="1" applyBorder="1" applyAlignment="1">
      <alignment horizontal="center" vertical="center" wrapText="1"/>
    </xf>
    <xf numFmtId="165" fontId="3" fillId="33" borderId="53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164" fontId="59" fillId="0" borderId="0" xfId="0" applyNumberFormat="1" applyFont="1" applyBorder="1" applyAlignment="1">
      <alignment/>
    </xf>
    <xf numFmtId="2" fontId="3" fillId="0" borderId="33" xfId="0" applyNumberFormat="1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3" fontId="3" fillId="33" borderId="3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7" fontId="6" fillId="33" borderId="1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4" fillId="0" borderId="25" xfId="0" applyNumberFormat="1" applyFont="1" applyBorder="1" applyAlignment="1">
      <alignment horizontal="right"/>
    </xf>
    <xf numFmtId="2" fontId="59" fillId="35" borderId="0" xfId="0" applyNumberFormat="1" applyFont="1" applyFill="1" applyAlignment="1">
      <alignment/>
    </xf>
    <xf numFmtId="0" fontId="4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2" fontId="3" fillId="0" borderId="31" xfId="0" applyNumberFormat="1" applyFont="1" applyBorder="1" applyAlignment="1">
      <alignment/>
    </xf>
    <xf numFmtId="0" fontId="4" fillId="0" borderId="17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4" fontId="3" fillId="0" borderId="23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wrapText="1"/>
    </xf>
    <xf numFmtId="0" fontId="4" fillId="0" borderId="32" xfId="0" applyFont="1" applyFill="1" applyBorder="1" applyAlignment="1" quotePrefix="1">
      <alignment horizontal="left" vertical="top"/>
    </xf>
    <xf numFmtId="0" fontId="4" fillId="0" borderId="32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wrapText="1"/>
    </xf>
    <xf numFmtId="4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22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4" fillId="0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2" xfId="0" applyFont="1" applyBorder="1" applyAlignment="1" quotePrefix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right" vertical="center" wrapText="1"/>
    </xf>
    <xf numFmtId="0" fontId="4" fillId="33" borderId="29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12" fillId="33" borderId="10" xfId="0" applyNumberFormat="1" applyFont="1" applyFill="1" applyBorder="1" applyAlignment="1">
      <alignment horizontal="center"/>
    </xf>
    <xf numFmtId="4" fontId="12" fillId="33" borderId="35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 horizontal="center"/>
    </xf>
    <xf numFmtId="0" fontId="4" fillId="33" borderId="54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2" fontId="12" fillId="33" borderId="22" xfId="0" applyNumberFormat="1" applyFont="1" applyFill="1" applyBorder="1" applyAlignment="1">
      <alignment horizontal="center"/>
    </xf>
    <xf numFmtId="165" fontId="12" fillId="33" borderId="22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horizontal="center"/>
    </xf>
    <xf numFmtId="165" fontId="12" fillId="33" borderId="11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33" borderId="25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3" fillId="0" borderId="21" xfId="0" applyFont="1" applyFill="1" applyBorder="1" applyAlignment="1">
      <alignment horizontal="left"/>
    </xf>
    <xf numFmtId="0" fontId="4" fillId="0" borderId="17" xfId="0" applyFont="1" applyFill="1" applyBorder="1" applyAlignment="1" quotePrefix="1">
      <alignment horizontal="left" vertical="top" wrapText="1"/>
    </xf>
    <xf numFmtId="0" fontId="4" fillId="33" borderId="36" xfId="0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12" fillId="33" borderId="23" xfId="0" applyNumberFormat="1" applyFont="1" applyFill="1" applyBorder="1" applyAlignment="1">
      <alignment horizontal="center"/>
    </xf>
    <xf numFmtId="4" fontId="12" fillId="33" borderId="38" xfId="0" applyNumberFormat="1" applyFont="1" applyFill="1" applyBorder="1" applyAlignment="1">
      <alignment horizontal="right"/>
    </xf>
    <xf numFmtId="0" fontId="4" fillId="33" borderId="42" xfId="0" applyFont="1" applyFill="1" applyBorder="1" applyAlignment="1">
      <alignment/>
    </xf>
    <xf numFmtId="4" fontId="12" fillId="33" borderId="43" xfId="0" applyNumberFormat="1" applyFont="1" applyFill="1" applyBorder="1" applyAlignment="1">
      <alignment horizontal="right"/>
    </xf>
    <xf numFmtId="0" fontId="4" fillId="33" borderId="44" xfId="0" applyFont="1" applyFill="1" applyBorder="1" applyAlignment="1">
      <alignment horizontal="left"/>
    </xf>
    <xf numFmtId="4" fontId="4" fillId="33" borderId="45" xfId="0" applyNumberFormat="1" applyFont="1" applyFill="1" applyBorder="1" applyAlignment="1">
      <alignment/>
    </xf>
    <xf numFmtId="4" fontId="12" fillId="33" borderId="46" xfId="0" applyNumberFormat="1" applyFont="1" applyFill="1" applyBorder="1" applyAlignment="1">
      <alignment horizontal="center"/>
    </xf>
    <xf numFmtId="4" fontId="12" fillId="33" borderId="47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3" fillId="0" borderId="31" xfId="0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165" fontId="12" fillId="33" borderId="10" xfId="0" applyNumberFormat="1" applyFont="1" applyFill="1" applyBorder="1" applyAlignment="1">
      <alignment horizontal="center"/>
    </xf>
    <xf numFmtId="165" fontId="12" fillId="33" borderId="35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0" fontId="3" fillId="33" borderId="55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13" fillId="33" borderId="11" xfId="0" applyNumberFormat="1" applyFont="1" applyFill="1" applyBorder="1" applyAlignment="1">
      <alignment horizontal="center"/>
    </xf>
    <xf numFmtId="167" fontId="3" fillId="0" borderId="18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33" borderId="37" xfId="0" applyFont="1" applyFill="1" applyBorder="1" applyAlignment="1">
      <alignment/>
    </xf>
    <xf numFmtId="165" fontId="12" fillId="33" borderId="38" xfId="0" applyNumberFormat="1" applyFont="1" applyFill="1" applyBorder="1" applyAlignment="1">
      <alignment horizontal="right"/>
    </xf>
    <xf numFmtId="165" fontId="12" fillId="33" borderId="43" xfId="0" applyNumberFormat="1" applyFont="1" applyFill="1" applyBorder="1" applyAlignment="1">
      <alignment horizontal="right"/>
    </xf>
    <xf numFmtId="165" fontId="12" fillId="33" borderId="47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 quotePrefix="1">
      <alignment horizontal="left"/>
    </xf>
    <xf numFmtId="0" fontId="4" fillId="0" borderId="17" xfId="0" applyFont="1" applyFill="1" applyBorder="1" applyAlignment="1" quotePrefix="1">
      <alignment horizontal="left" vertical="top"/>
    </xf>
    <xf numFmtId="4" fontId="3" fillId="0" borderId="23" xfId="0" applyNumberFormat="1" applyFont="1" applyFill="1" applyBorder="1" applyAlignment="1" quotePrefix="1">
      <alignment horizontal="left" vertical="top" wrapText="1"/>
    </xf>
    <xf numFmtId="0" fontId="4" fillId="34" borderId="42" xfId="0" applyFont="1" applyFill="1" applyBorder="1" applyAlignment="1">
      <alignment/>
    </xf>
    <xf numFmtId="4" fontId="4" fillId="34" borderId="21" xfId="0" applyNumberFormat="1" applyFont="1" applyFill="1" applyBorder="1" applyAlignment="1">
      <alignment/>
    </xf>
    <xf numFmtId="4" fontId="13" fillId="34" borderId="46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left"/>
    </xf>
    <xf numFmtId="4" fontId="3" fillId="33" borderId="2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46" xfId="0" applyNumberFormat="1" applyFont="1" applyFill="1" applyBorder="1" applyAlignment="1">
      <alignment/>
    </xf>
    <xf numFmtId="4" fontId="12" fillId="33" borderId="22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 wrapText="1"/>
    </xf>
    <xf numFmtId="4" fontId="3" fillId="33" borderId="22" xfId="0" applyNumberFormat="1" applyFont="1" applyFill="1" applyBorder="1" applyAlignment="1">
      <alignment/>
    </xf>
    <xf numFmtId="0" fontId="3" fillId="33" borderId="56" xfId="0" applyFont="1" applyFill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2" fontId="3" fillId="0" borderId="33" xfId="0" applyNumberFormat="1" applyFont="1" applyBorder="1" applyAlignment="1">
      <alignment/>
    </xf>
    <xf numFmtId="0" fontId="4" fillId="33" borderId="57" xfId="0" applyFont="1" applyFill="1" applyBorder="1" applyAlignment="1">
      <alignment/>
    </xf>
    <xf numFmtId="0" fontId="4" fillId="33" borderId="58" xfId="0" applyFont="1" applyFill="1" applyBorder="1" applyAlignment="1">
      <alignment/>
    </xf>
    <xf numFmtId="4" fontId="3" fillId="33" borderId="59" xfId="0" applyNumberFormat="1" applyFont="1" applyFill="1" applyBorder="1" applyAlignment="1">
      <alignment/>
    </xf>
    <xf numFmtId="0" fontId="4" fillId="33" borderId="50" xfId="0" applyFont="1" applyFill="1" applyBorder="1" applyAlignment="1">
      <alignment/>
    </xf>
    <xf numFmtId="4" fontId="4" fillId="33" borderId="50" xfId="0" applyNumberFormat="1" applyFont="1" applyFill="1" applyBorder="1" applyAlignment="1">
      <alignment/>
    </xf>
    <xf numFmtId="0" fontId="4" fillId="33" borderId="5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wrapText="1"/>
    </xf>
    <xf numFmtId="0" fontId="4" fillId="0" borderId="17" xfId="0" applyFont="1" applyFill="1" applyBorder="1" applyAlignment="1" quotePrefix="1">
      <alignment horizontal="left" wrapText="1"/>
    </xf>
    <xf numFmtId="0" fontId="3" fillId="0" borderId="16" xfId="0" applyFont="1" applyFill="1" applyBorder="1" applyAlignment="1">
      <alignment vertical="top" wrapText="1"/>
    </xf>
    <xf numFmtId="0" fontId="3" fillId="0" borderId="21" xfId="0" applyFont="1" applyFill="1" applyBorder="1" applyAlignment="1" quotePrefix="1">
      <alignment horizontal="left" vertical="top" wrapText="1"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/>
    </xf>
    <xf numFmtId="0" fontId="59" fillId="35" borderId="0" xfId="0" applyFont="1" applyFill="1" applyAlignment="1">
      <alignment/>
    </xf>
    <xf numFmtId="4" fontId="59" fillId="35" borderId="0" xfId="0" applyNumberFormat="1" applyFont="1" applyFill="1" applyAlignment="1">
      <alignment/>
    </xf>
    <xf numFmtId="0" fontId="59" fillId="35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 horizontal="left" wrapText="1"/>
    </xf>
    <xf numFmtId="4" fontId="6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6" fillId="0" borderId="1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wrapText="1"/>
    </xf>
    <xf numFmtId="0" fontId="3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3" fillId="33" borderId="39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/>
    </xf>
    <xf numFmtId="0" fontId="6" fillId="33" borderId="22" xfId="0" applyFont="1" applyFill="1" applyBorder="1" applyAlignment="1">
      <alignment horizontal="left"/>
    </xf>
    <xf numFmtId="0" fontId="6" fillId="33" borderId="2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25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/>
    </xf>
    <xf numFmtId="0" fontId="4" fillId="0" borderId="17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wrapText="1"/>
    </xf>
    <xf numFmtId="4" fontId="12" fillId="33" borderId="35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167" fontId="3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0" fontId="62" fillId="0" borderId="18" xfId="0" applyFont="1" applyBorder="1" applyAlignment="1">
      <alignment vertical="top"/>
    </xf>
    <xf numFmtId="164" fontId="3" fillId="0" borderId="24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4" fontId="6" fillId="0" borderId="25" xfId="0" applyNumberFormat="1" applyFont="1" applyBorder="1" applyAlignment="1">
      <alignment horizontal="right"/>
    </xf>
    <xf numFmtId="0" fontId="59" fillId="0" borderId="0" xfId="0" applyFont="1" applyAlignment="1" quotePrefix="1">
      <alignment horizontal="left"/>
    </xf>
    <xf numFmtId="2" fontId="63" fillId="0" borderId="33" xfId="0" applyNumberFormat="1" applyFont="1" applyBorder="1" applyAlignment="1">
      <alignment vertical="top"/>
    </xf>
    <xf numFmtId="0" fontId="63" fillId="0" borderId="18" xfId="0" applyFont="1" applyBorder="1" applyAlignment="1">
      <alignment vertical="top"/>
    </xf>
    <xf numFmtId="0" fontId="63" fillId="0" borderId="33" xfId="0" applyFont="1" applyBorder="1" applyAlignment="1">
      <alignment vertical="top"/>
    </xf>
    <xf numFmtId="0" fontId="64" fillId="0" borderId="33" xfId="0" applyFont="1" applyBorder="1" applyAlignment="1">
      <alignment vertical="top"/>
    </xf>
    <xf numFmtId="2" fontId="63" fillId="0" borderId="18" xfId="0" applyNumberFormat="1" applyFont="1" applyBorder="1" applyAlignment="1">
      <alignment vertical="top"/>
    </xf>
    <xf numFmtId="0" fontId="4" fillId="35" borderId="50" xfId="0" applyFont="1" applyFill="1" applyBorder="1" applyAlignment="1" quotePrefix="1">
      <alignment horizontal="left" wrapText="1"/>
    </xf>
    <xf numFmtId="0" fontId="3" fillId="0" borderId="60" xfId="0" applyFont="1" applyFill="1" applyBorder="1" applyAlignment="1" quotePrefix="1">
      <alignment horizontal="right" wrapText="1"/>
    </xf>
    <xf numFmtId="0" fontId="3" fillId="0" borderId="60" xfId="0" applyFont="1" applyFill="1" applyBorder="1" applyAlignment="1">
      <alignment horizontal="right"/>
    </xf>
    <xf numFmtId="0" fontId="6" fillId="0" borderId="3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 quotePrefix="1">
      <alignment horizontal="left" wrapText="1"/>
    </xf>
    <xf numFmtId="4" fontId="4" fillId="33" borderId="25" xfId="0" applyNumberFormat="1" applyFont="1" applyFill="1" applyBorder="1" applyAlignment="1">
      <alignment horizontal="right"/>
    </xf>
    <xf numFmtId="4" fontId="4" fillId="33" borderId="25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3" fillId="0" borderId="16" xfId="0" applyFont="1" applyFill="1" applyBorder="1" applyAlignment="1" quotePrefix="1">
      <alignment horizontal="left" wrapText="1"/>
    </xf>
    <xf numFmtId="2" fontId="3" fillId="0" borderId="18" xfId="0" applyNumberFormat="1" applyFont="1" applyBorder="1" applyAlignment="1" quotePrefix="1">
      <alignment horizontal="right"/>
    </xf>
    <xf numFmtId="0" fontId="4" fillId="33" borderId="22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4" fontId="3" fillId="33" borderId="45" xfId="0" applyNumberFormat="1" applyFont="1" applyFill="1" applyBorder="1" applyAlignment="1">
      <alignment/>
    </xf>
    <xf numFmtId="4" fontId="12" fillId="33" borderId="63" xfId="0" applyNumberFormat="1" applyFont="1" applyFill="1" applyBorder="1" applyAlignment="1">
      <alignment horizontal="center"/>
    </xf>
    <xf numFmtId="0" fontId="4" fillId="33" borderId="64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/>
    </xf>
    <xf numFmtId="4" fontId="4" fillId="33" borderId="37" xfId="0" applyNumberFormat="1" applyFont="1" applyFill="1" applyBorder="1" applyAlignment="1">
      <alignment/>
    </xf>
    <xf numFmtId="0" fontId="3" fillId="0" borderId="18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4" fillId="33" borderId="22" xfId="0" applyFont="1" applyFill="1" applyBorder="1" applyAlignment="1">
      <alignment wrapText="1"/>
    </xf>
    <xf numFmtId="0" fontId="13" fillId="33" borderId="22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left"/>
    </xf>
    <xf numFmtId="0" fontId="4" fillId="33" borderId="66" xfId="0" applyFont="1" applyFill="1" applyBorder="1" applyAlignment="1">
      <alignment/>
    </xf>
    <xf numFmtId="2" fontId="12" fillId="33" borderId="66" xfId="0" applyNumberFormat="1" applyFont="1" applyFill="1" applyBorder="1" applyAlignment="1">
      <alignment horizontal="center"/>
    </xf>
    <xf numFmtId="165" fontId="12" fillId="33" borderId="67" xfId="0" applyNumberFormat="1" applyFont="1" applyFill="1" applyBorder="1" applyAlignment="1">
      <alignment horizontal="right"/>
    </xf>
    <xf numFmtId="4" fontId="12" fillId="33" borderId="38" xfId="0" applyNumberFormat="1" applyFont="1" applyFill="1" applyBorder="1" applyAlignment="1">
      <alignment horizontal="center"/>
    </xf>
    <xf numFmtId="4" fontId="13" fillId="33" borderId="43" xfId="0" applyNumberFormat="1" applyFont="1" applyFill="1" applyBorder="1" applyAlignment="1">
      <alignment horizontal="center"/>
    </xf>
    <xf numFmtId="4" fontId="12" fillId="33" borderId="47" xfId="0" applyNumberFormat="1" applyFont="1" applyFill="1" applyBorder="1" applyAlignment="1">
      <alignment horizontal="center"/>
    </xf>
    <xf numFmtId="4" fontId="4" fillId="33" borderId="21" xfId="0" applyNumberFormat="1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left" vertical="center"/>
    </xf>
    <xf numFmtId="4" fontId="4" fillId="33" borderId="21" xfId="0" applyNumberFormat="1" applyFont="1" applyFill="1" applyBorder="1" applyAlignment="1">
      <alignment horizontal="right" vertical="center" wrapText="1"/>
    </xf>
    <xf numFmtId="4" fontId="4" fillId="34" borderId="69" xfId="0" applyNumberFormat="1" applyFont="1" applyFill="1" applyBorder="1" applyAlignment="1">
      <alignment horizontal="right" vertical="center" wrapText="1"/>
    </xf>
    <xf numFmtId="0" fontId="4" fillId="33" borderId="70" xfId="0" applyFont="1" applyFill="1" applyBorder="1" applyAlignment="1">
      <alignment horizontal="left"/>
    </xf>
    <xf numFmtId="0" fontId="4" fillId="33" borderId="71" xfId="0" applyFont="1" applyFill="1" applyBorder="1" applyAlignment="1">
      <alignment wrapText="1"/>
    </xf>
    <xf numFmtId="165" fontId="3" fillId="33" borderId="21" xfId="0" applyNumberFormat="1" applyFont="1" applyFill="1" applyBorder="1" applyAlignment="1">
      <alignment horizontal="center" vertical="center" wrapText="1"/>
    </xf>
    <xf numFmtId="165" fontId="3" fillId="33" borderId="48" xfId="0" applyNumberFormat="1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right" vertical="center" wrapText="1"/>
    </xf>
    <xf numFmtId="0" fontId="4" fillId="33" borderId="70" xfId="0" applyFont="1" applyFill="1" applyBorder="1" applyAlignment="1">
      <alignment/>
    </xf>
    <xf numFmtId="4" fontId="12" fillId="33" borderId="72" xfId="0" applyNumberFormat="1" applyFont="1" applyFill="1" applyBorder="1" applyAlignment="1">
      <alignment horizontal="right"/>
    </xf>
    <xf numFmtId="0" fontId="4" fillId="33" borderId="73" xfId="0" applyFont="1" applyFill="1" applyBorder="1" applyAlignment="1">
      <alignment horizontal="left"/>
    </xf>
    <xf numFmtId="0" fontId="4" fillId="33" borderId="45" xfId="0" applyFont="1" applyFill="1" applyBorder="1" applyAlignment="1">
      <alignment/>
    </xf>
    <xf numFmtId="2" fontId="12" fillId="33" borderId="56" xfId="0" applyNumberFormat="1" applyFont="1" applyFill="1" applyBorder="1" applyAlignment="1">
      <alignment horizontal="center"/>
    </xf>
    <xf numFmtId="165" fontId="12" fillId="33" borderId="74" xfId="0" applyNumberFormat="1" applyFont="1" applyFill="1" applyBorder="1" applyAlignment="1">
      <alignment horizontal="right"/>
    </xf>
    <xf numFmtId="4" fontId="15" fillId="33" borderId="45" xfId="0" applyNumberFormat="1" applyFont="1" applyFill="1" applyBorder="1" applyAlignment="1">
      <alignment/>
    </xf>
    <xf numFmtId="4" fontId="15" fillId="33" borderId="37" xfId="0" applyNumberFormat="1" applyFont="1" applyFill="1" applyBorder="1" applyAlignment="1">
      <alignment/>
    </xf>
    <xf numFmtId="4" fontId="14" fillId="33" borderId="63" xfId="0" applyNumberFormat="1" applyFont="1" applyFill="1" applyBorder="1" applyAlignment="1">
      <alignment horizontal="center"/>
    </xf>
    <xf numFmtId="4" fontId="14" fillId="33" borderId="47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center"/>
    </xf>
    <xf numFmtId="4" fontId="3" fillId="33" borderId="35" xfId="0" applyNumberFormat="1" applyFont="1" applyFill="1" applyBorder="1" applyAlignment="1">
      <alignment horizontal="right"/>
    </xf>
    <xf numFmtId="4" fontId="3" fillId="33" borderId="38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center"/>
    </xf>
    <xf numFmtId="4" fontId="3" fillId="33" borderId="43" xfId="0" applyNumberFormat="1" applyFont="1" applyFill="1" applyBorder="1" applyAlignment="1">
      <alignment horizontal="right"/>
    </xf>
    <xf numFmtId="4" fontId="3" fillId="34" borderId="46" xfId="0" applyNumberFormat="1" applyFont="1" applyFill="1" applyBorder="1" applyAlignment="1">
      <alignment horizontal="center"/>
    </xf>
    <xf numFmtId="4" fontId="3" fillId="33" borderId="47" xfId="0" applyNumberFormat="1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 horizontal="center"/>
    </xf>
    <xf numFmtId="165" fontId="3" fillId="33" borderId="22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right"/>
    </xf>
    <xf numFmtId="0" fontId="4" fillId="0" borderId="10" xfId="0" applyFont="1" applyBorder="1" applyAlignment="1" quotePrefix="1">
      <alignment horizontal="left" wrapText="1"/>
    </xf>
    <xf numFmtId="4" fontId="59" fillId="0" borderId="0" xfId="0" applyNumberFormat="1" applyFont="1" applyAlignment="1">
      <alignment horizontal="left"/>
    </xf>
    <xf numFmtId="2" fontId="59" fillId="0" borderId="0" xfId="0" applyNumberFormat="1" applyFont="1" applyAlignment="1">
      <alignment horizontal="left"/>
    </xf>
    <xf numFmtId="165" fontId="3" fillId="33" borderId="10" xfId="0" applyNumberFormat="1" applyFont="1" applyFill="1" applyBorder="1" applyAlignment="1">
      <alignment horizontal="center"/>
    </xf>
    <xf numFmtId="165" fontId="3" fillId="33" borderId="35" xfId="0" applyNumberFormat="1" applyFont="1" applyFill="1" applyBorder="1" applyAlignment="1">
      <alignment horizontal="right"/>
    </xf>
    <xf numFmtId="165" fontId="3" fillId="33" borderId="75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center"/>
    </xf>
    <xf numFmtId="177" fontId="3" fillId="33" borderId="11" xfId="0" applyNumberFormat="1" applyFont="1" applyFill="1" applyBorder="1" applyAlignment="1">
      <alignment horizontal="right"/>
    </xf>
    <xf numFmtId="165" fontId="12" fillId="33" borderId="23" xfId="0" applyNumberFormat="1" applyFont="1" applyFill="1" applyBorder="1" applyAlignment="1">
      <alignment horizontal="center"/>
    </xf>
    <xf numFmtId="2" fontId="12" fillId="33" borderId="46" xfId="0" applyNumberFormat="1" applyFont="1" applyFill="1" applyBorder="1" applyAlignment="1">
      <alignment horizontal="center"/>
    </xf>
    <xf numFmtId="165" fontId="3" fillId="33" borderId="38" xfId="0" applyNumberFormat="1" applyFont="1" applyFill="1" applyBorder="1" applyAlignment="1">
      <alignment horizontal="right"/>
    </xf>
    <xf numFmtId="165" fontId="3" fillId="33" borderId="43" xfId="0" applyNumberFormat="1" applyFont="1" applyFill="1" applyBorder="1" applyAlignment="1">
      <alignment horizontal="right"/>
    </xf>
    <xf numFmtId="2" fontId="3" fillId="33" borderId="76" xfId="0" applyNumberFormat="1" applyFont="1" applyFill="1" applyBorder="1" applyAlignment="1">
      <alignment horizontal="center"/>
    </xf>
    <xf numFmtId="165" fontId="3" fillId="33" borderId="77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center"/>
    </xf>
    <xf numFmtId="4" fontId="4" fillId="33" borderId="43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center"/>
    </xf>
    <xf numFmtId="4" fontId="4" fillId="33" borderId="72" xfId="0" applyNumberFormat="1" applyFont="1" applyFill="1" applyBorder="1" applyAlignment="1">
      <alignment horizontal="right"/>
    </xf>
    <xf numFmtId="4" fontId="3" fillId="33" borderId="60" xfId="0" applyNumberFormat="1" applyFont="1" applyFill="1" applyBorder="1" applyAlignment="1">
      <alignment horizontal="right"/>
    </xf>
    <xf numFmtId="4" fontId="3" fillId="33" borderId="78" xfId="0" applyNumberFormat="1" applyFont="1" applyFill="1" applyBorder="1" applyAlignment="1">
      <alignment horizontal="right"/>
    </xf>
    <xf numFmtId="4" fontId="3" fillId="33" borderId="50" xfId="0" applyNumberFormat="1" applyFont="1" applyFill="1" applyBorder="1" applyAlignment="1">
      <alignment horizontal="right"/>
    </xf>
    <xf numFmtId="165" fontId="3" fillId="33" borderId="72" xfId="0" applyNumberFormat="1" applyFont="1" applyFill="1" applyBorder="1" applyAlignment="1">
      <alignment horizontal="right"/>
    </xf>
    <xf numFmtId="165" fontId="3" fillId="33" borderId="47" xfId="0" applyNumberFormat="1" applyFont="1" applyFill="1" applyBorder="1" applyAlignment="1">
      <alignment horizontal="right"/>
    </xf>
    <xf numFmtId="165" fontId="3" fillId="33" borderId="63" xfId="0" applyNumberFormat="1" applyFont="1" applyFill="1" applyBorder="1" applyAlignment="1">
      <alignment horizontal="center"/>
    </xf>
    <xf numFmtId="4" fontId="3" fillId="33" borderId="63" xfId="0" applyNumberFormat="1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right"/>
    </xf>
    <xf numFmtId="4" fontId="3" fillId="34" borderId="47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 wrapText="1"/>
    </xf>
    <xf numFmtId="0" fontId="4" fillId="33" borderId="64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4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33" borderId="6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89" zoomScaleNormal="89" zoomScalePageLayoutView="0" workbookViewId="0" topLeftCell="A22">
      <selection activeCell="A82" sqref="A82"/>
    </sheetView>
  </sheetViews>
  <sheetFormatPr defaultColWidth="11.57421875" defaultRowHeight="12.75"/>
  <cols>
    <col min="1" max="1" width="55.7109375" style="0" customWidth="1"/>
    <col min="2" max="2" width="13.8515625" style="0" customWidth="1"/>
    <col min="3" max="3" width="25.140625" style="0" customWidth="1"/>
    <col min="4" max="4" width="18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125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33.75" customHeight="1">
      <c r="A7" s="488" t="s">
        <v>2</v>
      </c>
      <c r="B7" s="488"/>
      <c r="C7" s="488"/>
      <c r="D7" s="488"/>
    </row>
    <row r="8" spans="1:4" ht="12.75">
      <c r="A8" s="185" t="s">
        <v>147</v>
      </c>
      <c r="B8" s="180"/>
      <c r="C8" s="186"/>
      <c r="D8" s="180"/>
    </row>
    <row r="9" spans="1:8" ht="12.75">
      <c r="A9" s="187" t="s">
        <v>3</v>
      </c>
      <c r="B9" s="187" t="s">
        <v>4</v>
      </c>
      <c r="C9" s="187" t="s">
        <v>5</v>
      </c>
      <c r="D9" s="188"/>
      <c r="E9" s="110"/>
      <c r="F9" s="110"/>
      <c r="G9" s="110"/>
      <c r="H9" s="110"/>
    </row>
    <row r="10" spans="1:8" ht="12.75">
      <c r="A10" s="189">
        <v>1</v>
      </c>
      <c r="B10" s="189">
        <v>2</v>
      </c>
      <c r="C10" s="189">
        <v>3</v>
      </c>
      <c r="D10" s="190">
        <v>4</v>
      </c>
      <c r="E10" s="110"/>
      <c r="F10" s="110"/>
      <c r="G10" s="110"/>
      <c r="H10" s="110"/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10" ht="26.25">
      <c r="A15" s="17" t="s">
        <v>10</v>
      </c>
      <c r="B15" s="194" t="s">
        <v>11</v>
      </c>
      <c r="C15" s="197">
        <v>-32756.6</v>
      </c>
      <c r="D15" s="196"/>
      <c r="E15" s="110"/>
      <c r="F15" s="110"/>
      <c r="G15" s="110"/>
      <c r="H15" s="110"/>
      <c r="I15" s="110"/>
      <c r="J15" s="110"/>
    </row>
    <row r="16" spans="1:10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  <c r="I16" s="110"/>
      <c r="J16" s="110"/>
    </row>
    <row r="17" spans="1:10" ht="15.75">
      <c r="A17" s="20" t="s">
        <v>13</v>
      </c>
      <c r="B17" s="194" t="s">
        <v>11</v>
      </c>
      <c r="C17" s="197">
        <v>44960.67</v>
      </c>
      <c r="D17" s="198"/>
      <c r="E17" s="110" t="e">
        <f>B17/12/1022.6</f>
        <v>#VALUE!</v>
      </c>
      <c r="F17" s="110"/>
      <c r="G17" s="110"/>
      <c r="H17" s="110"/>
      <c r="I17" s="110"/>
      <c r="J17" s="110"/>
    </row>
    <row r="18" spans="1:10" ht="31.5" customHeight="1">
      <c r="A18" s="17" t="s">
        <v>14</v>
      </c>
      <c r="B18" s="194" t="s">
        <v>11</v>
      </c>
      <c r="C18" s="197">
        <f>44690.52+3926.94</f>
        <v>48617.46</v>
      </c>
      <c r="D18" s="198"/>
      <c r="E18" s="111">
        <f>C18-C20</f>
        <v>42743.76</v>
      </c>
      <c r="F18" s="110"/>
      <c r="G18" s="110"/>
      <c r="H18" s="110"/>
      <c r="I18" s="110"/>
      <c r="J18" s="110"/>
    </row>
    <row r="19" spans="1:10" ht="15.75">
      <c r="A19" s="20" t="s">
        <v>15</v>
      </c>
      <c r="B19" s="194" t="s">
        <v>11</v>
      </c>
      <c r="C19" s="197">
        <f>C18-C20-C21</f>
        <v>28680.444000000003</v>
      </c>
      <c r="D19" s="198"/>
      <c r="E19" s="111">
        <f>E18-E47</f>
        <v>3926.94200000001</v>
      </c>
      <c r="F19" s="110"/>
      <c r="G19" s="110"/>
      <c r="H19" s="110"/>
      <c r="I19" s="110"/>
      <c r="J19" s="110"/>
    </row>
    <row r="20" spans="1:10" ht="15.75">
      <c r="A20" s="20" t="s">
        <v>16</v>
      </c>
      <c r="B20" s="194" t="s">
        <v>11</v>
      </c>
      <c r="C20" s="197">
        <f>(2.01+1.49)*6*279.7</f>
        <v>5873.7</v>
      </c>
      <c r="D20" s="198"/>
      <c r="E20" s="112"/>
      <c r="F20" s="110"/>
      <c r="G20" s="110"/>
      <c r="H20" s="110"/>
      <c r="I20" s="110"/>
      <c r="J20" s="110"/>
    </row>
    <row r="21" spans="1:10" ht="15.75">
      <c r="A21" s="20" t="s">
        <v>17</v>
      </c>
      <c r="B21" s="194" t="s">
        <v>11</v>
      </c>
      <c r="C21" s="199">
        <f>279.7*4.19*12</f>
        <v>14063.315999999999</v>
      </c>
      <c r="D21" s="198"/>
      <c r="E21" s="110"/>
      <c r="F21" s="110"/>
      <c r="G21" s="110"/>
      <c r="H21" s="110"/>
      <c r="I21" s="110"/>
      <c r="J21" s="110"/>
    </row>
    <row r="22" spans="1:10" ht="15.75">
      <c r="A22" s="20" t="s">
        <v>18</v>
      </c>
      <c r="B22" s="194" t="s">
        <v>11</v>
      </c>
      <c r="C22" s="197">
        <f>C23+C24+C25+C26+C27</f>
        <v>40360.714347999994</v>
      </c>
      <c r="D22" s="198" t="s">
        <v>19</v>
      </c>
      <c r="E22" s="111"/>
      <c r="F22" s="110"/>
      <c r="G22" s="110"/>
      <c r="H22" s="110"/>
      <c r="I22" s="110"/>
      <c r="J22" s="110"/>
    </row>
    <row r="23" spans="1:10" ht="15.75">
      <c r="A23" s="20" t="s">
        <v>20</v>
      </c>
      <c r="B23" s="194" t="s">
        <v>11</v>
      </c>
      <c r="C23" s="197">
        <f>C18*0.8038</f>
        <v>39078.714347999994</v>
      </c>
      <c r="D23" s="198"/>
      <c r="E23" s="110"/>
      <c r="F23" s="110"/>
      <c r="G23" s="110"/>
      <c r="H23" s="110"/>
      <c r="I23" s="110"/>
      <c r="J23" s="110"/>
    </row>
    <row r="24" spans="1:10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  <c r="I24" s="110"/>
      <c r="J24" s="110"/>
    </row>
    <row r="25" spans="1:10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  <c r="I25" s="110"/>
      <c r="J25" s="110"/>
    </row>
    <row r="26" spans="1:10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  <c r="I26" s="110"/>
      <c r="J26" s="110"/>
    </row>
    <row r="27" spans="1:10" ht="16.5" customHeight="1">
      <c r="A27" s="201" t="s">
        <v>97</v>
      </c>
      <c r="B27" s="194" t="s">
        <v>11</v>
      </c>
      <c r="C27" s="197">
        <v>1282</v>
      </c>
      <c r="D27" s="200">
        <v>139.18</v>
      </c>
      <c r="E27" s="112" t="e">
        <f>B27/#REF!*1</f>
        <v>#VALUE!</v>
      </c>
      <c r="F27" s="110"/>
      <c r="G27" s="110"/>
      <c r="H27" s="110"/>
      <c r="I27" s="110"/>
      <c r="J27" s="110"/>
    </row>
    <row r="28" spans="1:10" ht="15.75">
      <c r="A28" s="20" t="s">
        <v>25</v>
      </c>
      <c r="B28" s="194" t="s">
        <v>11</v>
      </c>
      <c r="C28" s="197">
        <f>C15+C22</f>
        <v>7604.1143479999955</v>
      </c>
      <c r="D28" s="198" t="s">
        <v>26</v>
      </c>
      <c r="E28" s="112" t="e">
        <f>B28/#REF!*1</f>
        <v>#VALUE!</v>
      </c>
      <c r="F28" s="110"/>
      <c r="G28" s="110"/>
      <c r="H28" s="110"/>
      <c r="I28" s="110"/>
      <c r="J28" s="110"/>
    </row>
    <row r="29" spans="1:10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  <c r="J29" s="110"/>
    </row>
    <row r="30" spans="1:10" ht="51">
      <c r="A30" s="202" t="s">
        <v>28</v>
      </c>
      <c r="B30" s="203" t="s">
        <v>29</v>
      </c>
      <c r="C30" s="204" t="s">
        <v>30</v>
      </c>
      <c r="D30" s="205" t="s">
        <v>31</v>
      </c>
      <c r="E30" s="110"/>
      <c r="F30" s="110"/>
      <c r="G30" s="110"/>
      <c r="H30" s="110"/>
      <c r="I30" s="110"/>
      <c r="J30" s="110"/>
    </row>
    <row r="31" spans="1:10" ht="15.75">
      <c r="A31" s="206" t="s">
        <v>32</v>
      </c>
      <c r="B31" s="207" t="s">
        <v>33</v>
      </c>
      <c r="C31" s="208" t="s">
        <v>34</v>
      </c>
      <c r="D31" s="209">
        <f>(0.7+0.4)*6*279.7</f>
        <v>1846.02</v>
      </c>
      <c r="E31" s="110"/>
      <c r="F31" s="110"/>
      <c r="G31" s="110"/>
      <c r="H31" s="110"/>
      <c r="I31" s="110"/>
      <c r="J31" s="110"/>
    </row>
    <row r="32" spans="1:10" ht="15.75">
      <c r="A32" s="210" t="s">
        <v>75</v>
      </c>
      <c r="B32" s="211" t="s">
        <v>76</v>
      </c>
      <c r="C32" s="212" t="s">
        <v>34</v>
      </c>
      <c r="D32" s="213">
        <f>2.4*12*279.7</f>
        <v>8055.359999999999</v>
      </c>
      <c r="E32" s="110"/>
      <c r="F32" s="110"/>
      <c r="G32" s="110"/>
      <c r="H32" s="110"/>
      <c r="I32" s="110"/>
      <c r="J32" s="110"/>
    </row>
    <row r="33" spans="1:10" ht="15.75">
      <c r="A33" s="210" t="s">
        <v>36</v>
      </c>
      <c r="B33" s="211" t="s">
        <v>33</v>
      </c>
      <c r="C33" s="212" t="s">
        <v>37</v>
      </c>
      <c r="D33" s="213">
        <f>0.24*12*279.7</f>
        <v>805.536</v>
      </c>
      <c r="E33" s="110"/>
      <c r="F33" s="110"/>
      <c r="G33" s="110"/>
      <c r="H33" s="110"/>
      <c r="I33" s="110"/>
      <c r="J33" s="110"/>
    </row>
    <row r="34" spans="1:10" ht="15.75">
      <c r="A34" s="210" t="s">
        <v>79</v>
      </c>
      <c r="B34" s="369" t="s">
        <v>33</v>
      </c>
      <c r="C34" s="212" t="s">
        <v>34</v>
      </c>
      <c r="D34" s="213">
        <f>(0.87+0.99)*6*279.7</f>
        <v>3121.4519999999998</v>
      </c>
      <c r="E34" s="110"/>
      <c r="F34" s="110"/>
      <c r="G34" s="110"/>
      <c r="H34" s="110"/>
      <c r="I34" s="110"/>
      <c r="J34" s="110"/>
    </row>
    <row r="35" spans="1:10" ht="15.75">
      <c r="A35" s="210" t="s">
        <v>107</v>
      </c>
      <c r="B35" s="211" t="s">
        <v>33</v>
      </c>
      <c r="C35" s="212" t="s">
        <v>34</v>
      </c>
      <c r="D35" s="213">
        <f>1.38*12*279.7</f>
        <v>4631.831999999999</v>
      </c>
      <c r="E35" s="110"/>
      <c r="F35" s="110"/>
      <c r="G35" s="110"/>
      <c r="H35" s="110"/>
      <c r="I35" s="110"/>
      <c r="J35" s="110"/>
    </row>
    <row r="36" spans="1:10" ht="31.5">
      <c r="A36" s="210" t="s">
        <v>81</v>
      </c>
      <c r="B36" s="216" t="s">
        <v>82</v>
      </c>
      <c r="C36" s="212" t="s">
        <v>34</v>
      </c>
      <c r="D36" s="213">
        <f>1.33*12*279.7</f>
        <v>4464.012</v>
      </c>
      <c r="E36" s="110"/>
      <c r="F36" s="110"/>
      <c r="G36" s="110"/>
      <c r="H36" s="110"/>
      <c r="I36" s="110"/>
      <c r="J36" s="110"/>
    </row>
    <row r="37" spans="1:10" ht="15.75">
      <c r="A37" s="210" t="s">
        <v>38</v>
      </c>
      <c r="B37" s="211" t="s">
        <v>35</v>
      </c>
      <c r="C37" s="368" t="s">
        <v>237</v>
      </c>
      <c r="D37" s="213">
        <f>4.19*279.7*12</f>
        <v>14063.315999999999</v>
      </c>
      <c r="E37" s="110"/>
      <c r="F37" s="110"/>
      <c r="G37" s="110"/>
      <c r="H37" s="110"/>
      <c r="I37" s="110"/>
      <c r="J37" s="110"/>
    </row>
    <row r="38" spans="1:14" s="1" customFormat="1" ht="15.75">
      <c r="A38" s="219" t="s">
        <v>219</v>
      </c>
      <c r="B38" s="220"/>
      <c r="C38" s="221"/>
      <c r="D38" s="178"/>
      <c r="E38" s="110"/>
      <c r="F38" s="110"/>
      <c r="G38" s="110"/>
      <c r="H38" s="110"/>
      <c r="I38" s="110"/>
      <c r="J38" s="110"/>
      <c r="K38"/>
      <c r="L38"/>
      <c r="M38"/>
      <c r="N38"/>
    </row>
    <row r="39" spans="1:14" s="1" customFormat="1" ht="31.5">
      <c r="A39" s="222" t="s">
        <v>223</v>
      </c>
      <c r="B39" s="220" t="s">
        <v>35</v>
      </c>
      <c r="C39" s="221" t="s">
        <v>220</v>
      </c>
      <c r="D39" s="178">
        <v>392.68</v>
      </c>
      <c r="E39" s="110"/>
      <c r="F39" s="110"/>
      <c r="G39" s="110"/>
      <c r="H39" s="110"/>
      <c r="I39" s="110"/>
      <c r="J39" s="110"/>
      <c r="K39"/>
      <c r="L39"/>
      <c r="M39"/>
      <c r="N39"/>
    </row>
    <row r="40" spans="1:14" s="1" customFormat="1" ht="31.5">
      <c r="A40" s="219" t="s">
        <v>221</v>
      </c>
      <c r="B40" s="220" t="s">
        <v>35</v>
      </c>
      <c r="C40" s="221" t="s">
        <v>222</v>
      </c>
      <c r="D40" s="178">
        <v>3692.1</v>
      </c>
      <c r="E40" s="110"/>
      <c r="F40" s="110"/>
      <c r="G40" s="110"/>
      <c r="H40" s="110"/>
      <c r="I40" s="110"/>
      <c r="J40" s="110"/>
      <c r="K40"/>
      <c r="L40"/>
      <c r="M40"/>
      <c r="N40"/>
    </row>
    <row r="41" spans="1:14" s="1" customFormat="1" ht="15.75">
      <c r="A41" s="222" t="s">
        <v>315</v>
      </c>
      <c r="B41" s="220" t="s">
        <v>238</v>
      </c>
      <c r="C41" s="212" t="s">
        <v>37</v>
      </c>
      <c r="D41" s="176">
        <v>1829.29</v>
      </c>
      <c r="E41" s="110"/>
      <c r="F41" s="110"/>
      <c r="G41" s="110"/>
      <c r="H41" s="110"/>
      <c r="I41" s="110"/>
      <c r="J41" s="110"/>
      <c r="K41"/>
      <c r="L41"/>
      <c r="M41"/>
      <c r="N41"/>
    </row>
    <row r="42" spans="1:14" s="1" customFormat="1" ht="78.75">
      <c r="A42" s="223" t="s">
        <v>316</v>
      </c>
      <c r="B42" s="220" t="s">
        <v>41</v>
      </c>
      <c r="C42" s="208"/>
      <c r="D42" s="386">
        <f>D43+D44+D45+D46</f>
        <v>8422</v>
      </c>
      <c r="E42" s="110"/>
      <c r="F42" s="110"/>
      <c r="G42" s="110"/>
      <c r="H42" s="110"/>
      <c r="I42" s="110"/>
      <c r="J42" s="110"/>
      <c r="K42"/>
      <c r="L42"/>
      <c r="M42"/>
      <c r="N42"/>
    </row>
    <row r="43" spans="1:14" s="1" customFormat="1" ht="18.75" customHeight="1">
      <c r="A43" s="223" t="s">
        <v>245</v>
      </c>
      <c r="B43" s="220" t="s">
        <v>246</v>
      </c>
      <c r="C43" s="212" t="s">
        <v>34</v>
      </c>
      <c r="D43" s="178">
        <v>2731</v>
      </c>
      <c r="E43" s="110"/>
      <c r="F43" s="110"/>
      <c r="G43" s="110"/>
      <c r="H43" s="110"/>
      <c r="I43" s="110"/>
      <c r="J43" s="110"/>
      <c r="K43"/>
      <c r="L43"/>
      <c r="M43"/>
      <c r="N43"/>
    </row>
    <row r="44" spans="1:14" s="1" customFormat="1" ht="18.75" customHeight="1">
      <c r="A44" s="223" t="s">
        <v>247</v>
      </c>
      <c r="B44" s="220" t="s">
        <v>159</v>
      </c>
      <c r="C44" s="212" t="s">
        <v>34</v>
      </c>
      <c r="D44" s="178">
        <v>2127</v>
      </c>
      <c r="E44" s="110"/>
      <c r="F44" s="110"/>
      <c r="G44" s="110"/>
      <c r="H44" s="110"/>
      <c r="I44" s="110"/>
      <c r="J44" s="110"/>
      <c r="K44"/>
      <c r="L44"/>
      <c r="M44"/>
      <c r="N44"/>
    </row>
    <row r="45" spans="1:14" s="1" customFormat="1" ht="18.75" customHeight="1">
      <c r="A45" s="223" t="s">
        <v>248</v>
      </c>
      <c r="B45" s="220" t="s">
        <v>149</v>
      </c>
      <c r="C45" s="212" t="s">
        <v>249</v>
      </c>
      <c r="D45" s="178">
        <v>840</v>
      </c>
      <c r="E45" s="110"/>
      <c r="F45" s="110"/>
      <c r="G45" s="110"/>
      <c r="H45" s="110"/>
      <c r="I45" s="110"/>
      <c r="J45" s="110"/>
      <c r="K45"/>
      <c r="L45"/>
      <c r="M45"/>
      <c r="N45"/>
    </row>
    <row r="46" spans="1:14" s="1" customFormat="1" ht="17.25" customHeight="1">
      <c r="A46" s="223" t="s">
        <v>250</v>
      </c>
      <c r="B46" s="220" t="s">
        <v>153</v>
      </c>
      <c r="C46" s="212" t="s">
        <v>34</v>
      </c>
      <c r="D46" s="178">
        <v>2724</v>
      </c>
      <c r="E46" s="110"/>
      <c r="F46" s="110"/>
      <c r="G46" s="110"/>
      <c r="H46" s="110"/>
      <c r="I46" s="110"/>
      <c r="J46" s="110"/>
      <c r="K46"/>
      <c r="L46"/>
      <c r="M46"/>
      <c r="N46"/>
    </row>
    <row r="47" spans="1:14" s="1" customFormat="1" ht="15.75">
      <c r="A47" s="37" t="s">
        <v>42</v>
      </c>
      <c r="B47" s="225"/>
      <c r="C47" s="226"/>
      <c r="D47" s="98">
        <f>D31+D32+D33+D34+D35+D36+D37+D39+D40+D41+D42</f>
        <v>51323.59799999999</v>
      </c>
      <c r="E47" s="184">
        <f>D47-D39-D40-D42</f>
        <v>38816.81799999999</v>
      </c>
      <c r="F47" s="110"/>
      <c r="G47" s="110"/>
      <c r="H47" s="110"/>
      <c r="I47" s="110"/>
      <c r="J47" s="110"/>
      <c r="K47"/>
      <c r="L47"/>
      <c r="M47"/>
      <c r="N47"/>
    </row>
    <row r="48" spans="1:14" s="1" customFormat="1" ht="26.25">
      <c r="A48" s="158" t="s">
        <v>43</v>
      </c>
      <c r="B48" s="227" t="s">
        <v>11</v>
      </c>
      <c r="C48" s="228"/>
      <c r="D48" s="229">
        <f>C28-D47</f>
        <v>-43719.483651999995</v>
      </c>
      <c r="E48" s="113"/>
      <c r="F48" s="110"/>
      <c r="G48" s="110"/>
      <c r="H48" s="110"/>
      <c r="I48" s="110"/>
      <c r="J48" s="110"/>
      <c r="K48"/>
      <c r="L48"/>
      <c r="M48"/>
      <c r="N48"/>
    </row>
    <row r="49" spans="1:14" s="1" customFormat="1" ht="15.75">
      <c r="A49" s="230" t="s">
        <v>12</v>
      </c>
      <c r="B49" s="231" t="s">
        <v>11</v>
      </c>
      <c r="C49" s="212"/>
      <c r="D49" s="196">
        <v>0</v>
      </c>
      <c r="E49" s="110"/>
      <c r="F49" s="110"/>
      <c r="G49" s="110"/>
      <c r="H49" s="110"/>
      <c r="I49" s="110"/>
      <c r="J49" s="110"/>
      <c r="K49"/>
      <c r="L49"/>
      <c r="M49"/>
      <c r="N49"/>
    </row>
    <row r="50" spans="1:14" s="1" customFormat="1" ht="15.75">
      <c r="A50" s="230" t="s">
        <v>13</v>
      </c>
      <c r="B50" s="231" t="s">
        <v>11</v>
      </c>
      <c r="C50" s="212"/>
      <c r="D50" s="198">
        <f>C17+C18-C23</f>
        <v>54499.41565200001</v>
      </c>
      <c r="E50" s="110"/>
      <c r="F50" s="110"/>
      <c r="G50" s="110"/>
      <c r="H50" s="110"/>
      <c r="I50" s="110"/>
      <c r="J50" s="110"/>
      <c r="K50"/>
      <c r="L50"/>
      <c r="M50"/>
      <c r="N50"/>
    </row>
    <row r="51" spans="1:14" s="1" customFormat="1" ht="24" customHeight="1">
      <c r="A51" s="492" t="s">
        <v>44</v>
      </c>
      <c r="B51" s="492"/>
      <c r="C51" s="492"/>
      <c r="D51" s="492"/>
      <c r="E51" s="110"/>
      <c r="F51" s="110"/>
      <c r="G51" s="110"/>
      <c r="H51" s="110"/>
      <c r="I51" s="110"/>
      <c r="J51" s="110"/>
      <c r="K51"/>
      <c r="L51"/>
      <c r="M51"/>
      <c r="N51"/>
    </row>
    <row r="52" spans="1:14" s="1" customFormat="1" ht="15.75">
      <c r="A52" s="230" t="s">
        <v>45</v>
      </c>
      <c r="B52" s="211" t="s">
        <v>46</v>
      </c>
      <c r="C52" s="212">
        <v>0</v>
      </c>
      <c r="D52" s="196">
        <v>0</v>
      </c>
      <c r="E52" s="110"/>
      <c r="F52" s="110"/>
      <c r="G52" s="110"/>
      <c r="H52" s="110"/>
      <c r="I52" s="110"/>
      <c r="J52" s="110"/>
      <c r="K52"/>
      <c r="L52"/>
      <c r="M52"/>
      <c r="N52"/>
    </row>
    <row r="53" spans="1:14" s="1" customFormat="1" ht="15.75">
      <c r="A53" s="230" t="s">
        <v>47</v>
      </c>
      <c r="B53" s="211" t="s">
        <v>46</v>
      </c>
      <c r="C53" s="212">
        <v>0</v>
      </c>
      <c r="D53" s="196">
        <v>0</v>
      </c>
      <c r="E53" s="110"/>
      <c r="F53" s="110"/>
      <c r="G53" s="110"/>
      <c r="H53" s="110"/>
      <c r="I53" s="110"/>
      <c r="J53" s="110"/>
      <c r="K53"/>
      <c r="L53"/>
      <c r="M53"/>
      <c r="N53"/>
    </row>
    <row r="54" spans="1:14" s="1" customFormat="1" ht="26.25">
      <c r="A54" s="232" t="s">
        <v>48</v>
      </c>
      <c r="B54" s="211" t="s">
        <v>46</v>
      </c>
      <c r="C54" s="212">
        <v>0</v>
      </c>
      <c r="D54" s="196">
        <v>0</v>
      </c>
      <c r="E54" s="110"/>
      <c r="F54" s="110"/>
      <c r="G54" s="110"/>
      <c r="H54" s="110"/>
      <c r="I54" s="110"/>
      <c r="J54" s="110"/>
      <c r="K54"/>
      <c r="L54"/>
      <c r="M54"/>
      <c r="N54"/>
    </row>
    <row r="55" spans="1:14" s="1" customFormat="1" ht="15.75">
      <c r="A55" s="230" t="s">
        <v>49</v>
      </c>
      <c r="B55" s="211" t="s">
        <v>11</v>
      </c>
      <c r="C55" s="212">
        <v>0</v>
      </c>
      <c r="D55" s="196">
        <v>0</v>
      </c>
      <c r="E55" s="110"/>
      <c r="F55" s="110"/>
      <c r="G55" s="110"/>
      <c r="H55" s="110"/>
      <c r="I55" s="110"/>
      <c r="J55" s="110"/>
      <c r="K55"/>
      <c r="L55"/>
      <c r="M55"/>
      <c r="N55"/>
    </row>
    <row r="56" spans="1:10" ht="20.25" customHeight="1">
      <c r="A56" s="493" t="s">
        <v>50</v>
      </c>
      <c r="B56" s="493"/>
      <c r="C56" s="493"/>
      <c r="D56" s="493"/>
      <c r="E56" s="110"/>
      <c r="F56" s="110"/>
      <c r="G56" s="110"/>
      <c r="H56" s="110"/>
      <c r="I56" s="110"/>
      <c r="J56" s="110"/>
    </row>
    <row r="57" spans="1:10" ht="26.25">
      <c r="A57" s="396" t="s">
        <v>317</v>
      </c>
      <c r="B57" s="211" t="s">
        <v>11</v>
      </c>
      <c r="C57" s="212"/>
      <c r="D57" s="196">
        <v>0</v>
      </c>
      <c r="E57" s="110"/>
      <c r="F57" s="110"/>
      <c r="G57" s="110"/>
      <c r="H57" s="110"/>
      <c r="I57" s="110"/>
      <c r="J57" s="110"/>
    </row>
    <row r="58" spans="1:10" ht="15.75">
      <c r="A58" s="230" t="s">
        <v>12</v>
      </c>
      <c r="B58" s="211" t="s">
        <v>11</v>
      </c>
      <c r="C58" s="212"/>
      <c r="D58" s="196">
        <v>0</v>
      </c>
      <c r="E58" s="110"/>
      <c r="F58" s="110"/>
      <c r="G58" s="110"/>
      <c r="H58" s="110"/>
      <c r="I58" s="110"/>
      <c r="J58" s="110"/>
    </row>
    <row r="59" spans="1:10" ht="15.75">
      <c r="A59" s="230" t="s">
        <v>13</v>
      </c>
      <c r="B59" s="211" t="s">
        <v>11</v>
      </c>
      <c r="C59" s="212"/>
      <c r="D59" s="233">
        <f>D62-D65-D66-D67</f>
        <v>145755.462662</v>
      </c>
      <c r="E59" s="110"/>
      <c r="F59" s="110"/>
      <c r="G59" s="110"/>
      <c r="H59" s="114"/>
      <c r="I59" s="110"/>
      <c r="J59" s="110"/>
    </row>
    <row r="60" spans="1:10" ht="26.25">
      <c r="A60" s="234" t="s">
        <v>52</v>
      </c>
      <c r="B60" s="211" t="s">
        <v>11</v>
      </c>
      <c r="C60" s="235"/>
      <c r="D60" s="236">
        <v>0</v>
      </c>
      <c r="E60" s="110"/>
      <c r="F60" s="110"/>
      <c r="G60" s="110"/>
      <c r="H60" s="110"/>
      <c r="I60" s="110"/>
      <c r="J60" s="110"/>
    </row>
    <row r="61" spans="1:10" ht="17.25" customHeight="1">
      <c r="A61" s="237" t="s">
        <v>209</v>
      </c>
      <c r="B61" s="211" t="s">
        <v>11</v>
      </c>
      <c r="C61" s="235"/>
      <c r="D61" s="236">
        <v>0</v>
      </c>
      <c r="E61" s="110"/>
      <c r="F61" s="110"/>
      <c r="G61" s="110"/>
      <c r="H61" s="110"/>
      <c r="I61" s="114"/>
      <c r="J61" s="114"/>
    </row>
    <row r="62" spans="1:14" ht="15.75">
      <c r="A62" s="238" t="s">
        <v>13</v>
      </c>
      <c r="B62" s="211" t="s">
        <v>11</v>
      </c>
      <c r="C62" s="239"/>
      <c r="D62" s="240">
        <v>181086.47</v>
      </c>
      <c r="E62" s="110"/>
      <c r="F62" s="110"/>
      <c r="G62" s="110"/>
      <c r="H62" s="110" t="s">
        <v>26</v>
      </c>
      <c r="I62" s="125"/>
      <c r="J62" s="125"/>
      <c r="K62" s="61"/>
      <c r="L62" s="61"/>
      <c r="M62" s="61"/>
      <c r="N62" s="61"/>
    </row>
    <row r="63" spans="1:14" ht="18" customHeight="1">
      <c r="A63" s="494" t="s">
        <v>53</v>
      </c>
      <c r="B63" s="494"/>
      <c r="C63" s="494"/>
      <c r="D63" s="494"/>
      <c r="E63" s="115"/>
      <c r="F63" s="116"/>
      <c r="G63" s="117"/>
      <c r="H63" s="110"/>
      <c r="I63" s="121"/>
      <c r="J63" s="121"/>
      <c r="K63" s="66"/>
      <c r="L63" s="66"/>
      <c r="M63" s="66"/>
      <c r="N63" s="66"/>
    </row>
    <row r="64" spans="1:14" ht="38.25">
      <c r="A64" s="67" t="s">
        <v>54</v>
      </c>
      <c r="B64" s="68" t="s">
        <v>55</v>
      </c>
      <c r="C64" s="159" t="s">
        <v>56</v>
      </c>
      <c r="D64" s="160" t="s">
        <v>57</v>
      </c>
      <c r="E64" s="115"/>
      <c r="F64" s="116"/>
      <c r="G64" s="117"/>
      <c r="H64" s="110"/>
      <c r="I64" s="121"/>
      <c r="J64" s="175"/>
      <c r="K64" s="66"/>
      <c r="L64" s="66"/>
      <c r="M64" s="66"/>
      <c r="N64" s="66"/>
    </row>
    <row r="65" spans="1:14" ht="15.75">
      <c r="A65" s="241" t="s">
        <v>58</v>
      </c>
      <c r="B65" s="242">
        <v>22736.68</v>
      </c>
      <c r="C65" s="440">
        <f>B65*0.8038</f>
        <v>18275.743383999998</v>
      </c>
      <c r="D65" s="441">
        <f>B65-C65</f>
        <v>4460.936616000003</v>
      </c>
      <c r="E65" s="118"/>
      <c r="F65" s="116"/>
      <c r="G65" s="117"/>
      <c r="H65" s="110"/>
      <c r="I65" s="121"/>
      <c r="J65" s="121"/>
      <c r="K65" s="66"/>
      <c r="L65" s="66"/>
      <c r="M65" s="66"/>
      <c r="N65" s="66"/>
    </row>
    <row r="66" spans="1:14" ht="15.75">
      <c r="A66" s="241" t="s">
        <v>59</v>
      </c>
      <c r="B66" s="242">
        <v>26019.67</v>
      </c>
      <c r="C66" s="440">
        <f>B66*0.8038</f>
        <v>20914.610746</v>
      </c>
      <c r="D66" s="441">
        <f>B66-C66</f>
        <v>5105.059254</v>
      </c>
      <c r="E66" s="115"/>
      <c r="F66" s="116"/>
      <c r="G66" s="117"/>
      <c r="H66" s="110"/>
      <c r="I66" s="121"/>
      <c r="J66" s="121"/>
      <c r="K66" s="66"/>
      <c r="L66" s="66"/>
      <c r="M66" s="66"/>
      <c r="N66" s="66"/>
    </row>
    <row r="67" spans="1:14" ht="16.5" thickBot="1">
      <c r="A67" s="241" t="s">
        <v>60</v>
      </c>
      <c r="B67" s="245">
        <v>131320.14</v>
      </c>
      <c r="C67" s="440">
        <f>B67*0.8038</f>
        <v>105555.128532</v>
      </c>
      <c r="D67" s="441">
        <f>B67-C67</f>
        <v>25765.01146800001</v>
      </c>
      <c r="E67" s="115">
        <f>(2.07+1.8)*6*2301.2-0.37*2301.2*6</f>
        <v>48325.2</v>
      </c>
      <c r="F67" s="119"/>
      <c r="G67" s="120"/>
      <c r="H67" s="115"/>
      <c r="I67" s="65"/>
      <c r="J67" s="65"/>
      <c r="K67" s="66"/>
      <c r="L67" s="66"/>
      <c r="M67" s="66"/>
      <c r="N67" s="66"/>
    </row>
    <row r="68" spans="1:14" ht="82.5" customHeight="1">
      <c r="A68" s="76" t="s">
        <v>62</v>
      </c>
      <c r="B68" s="104" t="s">
        <v>63</v>
      </c>
      <c r="C68" s="104" t="s">
        <v>64</v>
      </c>
      <c r="D68" s="172" t="s">
        <v>65</v>
      </c>
      <c r="E68" s="115"/>
      <c r="F68" s="119"/>
      <c r="G68" s="110"/>
      <c r="H68" s="121"/>
      <c r="I68" s="65"/>
      <c r="J68" s="65"/>
      <c r="K68" s="66"/>
      <c r="L68" s="66"/>
      <c r="M68" s="66"/>
      <c r="N68" s="66"/>
    </row>
    <row r="69" spans="1:14" ht="15.75">
      <c r="A69" s="241" t="s">
        <v>58</v>
      </c>
      <c r="B69" s="247">
        <f aca="true" t="shared" si="0" ref="B69:C71">B65</f>
        <v>22736.68</v>
      </c>
      <c r="C69" s="443">
        <f t="shared" si="0"/>
        <v>18275.743383999998</v>
      </c>
      <c r="D69" s="441">
        <f>B69-C69</f>
        <v>4460.936616000003</v>
      </c>
      <c r="E69" s="115"/>
      <c r="F69" s="119"/>
      <c r="G69" s="110"/>
      <c r="H69" s="121"/>
      <c r="I69" s="65"/>
      <c r="J69" s="65" t="s">
        <v>26</v>
      </c>
      <c r="K69" s="66"/>
      <c r="L69" s="66"/>
      <c r="M69" s="66"/>
      <c r="N69" s="66"/>
    </row>
    <row r="70" spans="1:14" ht="15.75">
      <c r="A70" s="241" t="s">
        <v>59</v>
      </c>
      <c r="B70" s="247">
        <f t="shared" si="0"/>
        <v>26019.67</v>
      </c>
      <c r="C70" s="443">
        <f t="shared" si="0"/>
        <v>20914.610746</v>
      </c>
      <c r="D70" s="441">
        <f>B70-C70</f>
        <v>5105.059254</v>
      </c>
      <c r="E70" s="115"/>
      <c r="F70" s="119"/>
      <c r="G70" s="110"/>
      <c r="H70" s="121"/>
      <c r="I70" s="65"/>
      <c r="J70" s="65"/>
      <c r="K70" s="66"/>
      <c r="L70" s="66"/>
      <c r="M70" s="66"/>
      <c r="N70" s="66"/>
    </row>
    <row r="71" spans="1:14" ht="15.75">
      <c r="A71" s="241" t="s">
        <v>60</v>
      </c>
      <c r="B71" s="247">
        <f t="shared" si="0"/>
        <v>131320.14</v>
      </c>
      <c r="C71" s="443">
        <f t="shared" si="0"/>
        <v>105555.128532</v>
      </c>
      <c r="D71" s="441">
        <f>B71-C71</f>
        <v>25765.01146800001</v>
      </c>
      <c r="E71" s="115"/>
      <c r="F71" s="119"/>
      <c r="G71" s="110"/>
      <c r="H71" s="121"/>
      <c r="I71" s="65"/>
      <c r="J71" s="65"/>
      <c r="K71" s="66"/>
      <c r="L71" s="66"/>
      <c r="M71" s="66"/>
      <c r="N71" s="66"/>
    </row>
    <row r="72" spans="1:14" ht="15.75">
      <c r="A72" s="250"/>
      <c r="B72" s="251"/>
      <c r="C72" s="447"/>
      <c r="D72" s="448"/>
      <c r="E72" s="115"/>
      <c r="F72" s="119"/>
      <c r="G72" s="110"/>
      <c r="H72" s="121"/>
      <c r="I72" s="65"/>
      <c r="J72" s="65"/>
      <c r="K72" s="66"/>
      <c r="L72" s="66"/>
      <c r="M72" s="66"/>
      <c r="N72" s="66"/>
    </row>
    <row r="73" spans="1:14" ht="26.25">
      <c r="A73" s="254" t="s">
        <v>66</v>
      </c>
      <c r="B73" s="251" t="s">
        <v>11</v>
      </c>
      <c r="C73" s="449"/>
      <c r="D73" s="450">
        <v>38233.66</v>
      </c>
      <c r="E73" s="115"/>
      <c r="F73" s="119"/>
      <c r="G73" s="110"/>
      <c r="H73" s="121"/>
      <c r="I73" s="65"/>
      <c r="J73" s="65" t="s">
        <v>26</v>
      </c>
      <c r="K73" s="66"/>
      <c r="L73" s="66"/>
      <c r="M73" s="66"/>
      <c r="N73" s="66"/>
    </row>
    <row r="74" spans="1:14" ht="17.25" customHeight="1">
      <c r="A74" s="495" t="s">
        <v>67</v>
      </c>
      <c r="B74" s="495"/>
      <c r="C74" s="495"/>
      <c r="D74" s="495"/>
      <c r="E74" s="122" t="e">
        <f>D74+B19</f>
        <v>#VALUE!</v>
      </c>
      <c r="F74" s="121"/>
      <c r="G74" s="110"/>
      <c r="H74" s="123" t="e">
        <f>E74-B18</f>
        <v>#VALUE!</v>
      </c>
      <c r="I74" s="65"/>
      <c r="J74" s="65"/>
      <c r="K74" s="66"/>
      <c r="L74" s="66"/>
      <c r="M74" s="66"/>
      <c r="N74" s="66"/>
    </row>
    <row r="75" spans="1:8" ht="21" customHeight="1">
      <c r="A75" s="87" t="s">
        <v>45</v>
      </c>
      <c r="B75" s="87" t="s">
        <v>46</v>
      </c>
      <c r="C75" s="87">
        <v>0</v>
      </c>
      <c r="D75" s="179">
        <v>0</v>
      </c>
      <c r="E75" s="124"/>
      <c r="F75" s="110"/>
      <c r="G75" s="110"/>
      <c r="H75" s="110"/>
    </row>
    <row r="76" spans="1:8" ht="21" customHeight="1">
      <c r="A76" s="87" t="s">
        <v>47</v>
      </c>
      <c r="B76" s="87" t="s">
        <v>46</v>
      </c>
      <c r="C76" s="87">
        <v>0</v>
      </c>
      <c r="D76" s="179">
        <v>0</v>
      </c>
      <c r="E76" s="124"/>
      <c r="F76" s="110"/>
      <c r="G76" s="110"/>
      <c r="H76" s="110"/>
    </row>
    <row r="77" spans="1:8" ht="18" customHeight="1">
      <c r="A77" s="87" t="s">
        <v>48</v>
      </c>
      <c r="B77" s="87" t="s">
        <v>46</v>
      </c>
      <c r="C77" s="87">
        <v>0</v>
      </c>
      <c r="D77" s="179">
        <v>0</v>
      </c>
      <c r="E77" s="124"/>
      <c r="F77" s="110"/>
      <c r="G77" s="110"/>
      <c r="H77" s="110"/>
    </row>
    <row r="78" spans="1:8" ht="16.5" customHeight="1">
      <c r="A78" s="87" t="s">
        <v>49</v>
      </c>
      <c r="B78" s="87" t="s">
        <v>11</v>
      </c>
      <c r="C78" s="87">
        <v>0</v>
      </c>
      <c r="D78" s="179">
        <v>0</v>
      </c>
      <c r="E78" s="124"/>
      <c r="F78" s="110"/>
      <c r="G78" s="110"/>
      <c r="H78" s="110"/>
    </row>
    <row r="79" spans="1:8" ht="15.75" customHeight="1">
      <c r="A79" s="489" t="s">
        <v>68</v>
      </c>
      <c r="B79" s="489"/>
      <c r="C79" s="489"/>
      <c r="D79" s="489"/>
      <c r="E79" s="124"/>
      <c r="F79" s="110"/>
      <c r="G79" s="110"/>
      <c r="H79" s="110"/>
    </row>
    <row r="80" spans="1:8" ht="18.75" customHeight="1">
      <c r="A80" s="87" t="s">
        <v>69</v>
      </c>
      <c r="B80" s="87" t="s">
        <v>46</v>
      </c>
      <c r="C80" s="87"/>
      <c r="D80" s="179">
        <v>0</v>
      </c>
      <c r="E80" s="124"/>
      <c r="F80" s="110"/>
      <c r="G80" s="110"/>
      <c r="H80" s="110"/>
    </row>
    <row r="81" spans="1:8" ht="21.75" customHeight="1">
      <c r="A81" s="87" t="s">
        <v>70</v>
      </c>
      <c r="B81" s="257" t="s">
        <v>46</v>
      </c>
      <c r="C81" s="257"/>
      <c r="D81" s="179">
        <v>0</v>
      </c>
      <c r="E81" s="124"/>
      <c r="F81" s="110"/>
      <c r="G81" s="110"/>
      <c r="H81" s="110"/>
    </row>
    <row r="82" spans="1:8" ht="36" customHeight="1">
      <c r="A82" s="258" t="s">
        <v>71</v>
      </c>
      <c r="B82" s="87" t="s">
        <v>11</v>
      </c>
      <c r="C82" s="87"/>
      <c r="D82" s="179">
        <v>0</v>
      </c>
      <c r="E82" s="124"/>
      <c r="F82" s="110"/>
      <c r="G82" s="110"/>
      <c r="H82" s="110"/>
    </row>
    <row r="83" spans="1:8" ht="15.75">
      <c r="A83" s="259"/>
      <c r="B83" s="259"/>
      <c r="C83" s="259"/>
      <c r="D83" s="260"/>
      <c r="E83" s="110"/>
      <c r="F83" s="110"/>
      <c r="G83" s="110"/>
      <c r="H83" s="110"/>
    </row>
    <row r="84" spans="1:14" s="1" customFormat="1" ht="12.75">
      <c r="A84" s="180"/>
      <c r="B84" s="180"/>
      <c r="C84" s="180"/>
      <c r="D84" s="180"/>
      <c r="E84" s="110"/>
      <c r="F84" s="110"/>
      <c r="G84" s="110"/>
      <c r="H84" s="110" t="s">
        <v>26</v>
      </c>
      <c r="K84"/>
      <c r="L84"/>
      <c r="M84"/>
      <c r="N84"/>
    </row>
    <row r="85" spans="1:14" s="1" customFormat="1" ht="12.75">
      <c r="A85" s="180" t="s">
        <v>72</v>
      </c>
      <c r="B85" s="180"/>
      <c r="C85" s="180" t="s">
        <v>146</v>
      </c>
      <c r="D85" s="180"/>
      <c r="E85" s="110"/>
      <c r="F85" s="110"/>
      <c r="G85" s="110"/>
      <c r="H85" s="110"/>
      <c r="K85"/>
      <c r="L85"/>
      <c r="M85"/>
      <c r="N85"/>
    </row>
    <row r="86" spans="1:14" s="1" customFormat="1" ht="12.75">
      <c r="A86" s="180"/>
      <c r="B86" s="180"/>
      <c r="C86" s="180"/>
      <c r="D86" s="180"/>
      <c r="E86" s="110"/>
      <c r="F86" s="110"/>
      <c r="G86" s="110"/>
      <c r="H86" s="110" t="s">
        <v>26</v>
      </c>
      <c r="K86"/>
      <c r="L86"/>
      <c r="M86"/>
      <c r="N86"/>
    </row>
    <row r="87" spans="1:14" s="1" customFormat="1" ht="12.75">
      <c r="A87" s="180" t="s">
        <v>73</v>
      </c>
      <c r="B87" s="180"/>
      <c r="C87" s="180"/>
      <c r="D87" s="180"/>
      <c r="E87" s="110"/>
      <c r="F87" s="110"/>
      <c r="G87" s="110"/>
      <c r="H87" s="110"/>
      <c r="K87"/>
      <c r="L87"/>
      <c r="M87"/>
      <c r="N87"/>
    </row>
    <row r="88" spans="1:8" ht="12.75">
      <c r="A88" s="180"/>
      <c r="B88" s="180"/>
      <c r="C88" s="180"/>
      <c r="D88" s="180"/>
      <c r="E88" s="110"/>
      <c r="F88" s="110"/>
      <c r="G88" s="110"/>
      <c r="H88" s="110"/>
    </row>
    <row r="89" spans="5:8" ht="12.75">
      <c r="E89" s="110"/>
      <c r="F89" s="110"/>
      <c r="G89" s="110"/>
      <c r="H89" s="110"/>
    </row>
    <row r="91" spans="1:14" s="1" customFormat="1" ht="12.75">
      <c r="A91"/>
      <c r="B91"/>
      <c r="C91"/>
      <c r="D91"/>
      <c r="E91" s="1" t="s">
        <v>26</v>
      </c>
      <c r="K91"/>
      <c r="L91"/>
      <c r="M91"/>
      <c r="N91"/>
    </row>
  </sheetData>
  <sheetProtection selectLockedCells="1" selectUnlockedCells="1"/>
  <mergeCells count="13">
    <mergeCell ref="A79:D79"/>
    <mergeCell ref="A14:D14"/>
    <mergeCell ref="A29:D29"/>
    <mergeCell ref="A51:D51"/>
    <mergeCell ref="A56:D56"/>
    <mergeCell ref="A63:D63"/>
    <mergeCell ref="A74:D74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106" zoomScaleNormal="106" zoomScalePageLayoutView="0" workbookViewId="0" topLeftCell="A8">
      <selection activeCell="C76" sqref="C76"/>
    </sheetView>
  </sheetViews>
  <sheetFormatPr defaultColWidth="11.57421875" defaultRowHeight="12.75"/>
  <cols>
    <col min="1" max="1" width="54.00390625" style="0" customWidth="1"/>
    <col min="2" max="2" width="15.140625" style="0" customWidth="1"/>
    <col min="3" max="3" width="23.00390625" style="0" customWidth="1"/>
    <col min="4" max="4" width="21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94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36.75" customHeight="1">
      <c r="A7" s="488" t="s">
        <v>2</v>
      </c>
      <c r="B7" s="488"/>
      <c r="C7" s="488"/>
      <c r="D7" s="488"/>
    </row>
    <row r="8" spans="1:4" ht="12.75">
      <c r="A8" s="261" t="s">
        <v>166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8" ht="12.75">
      <c r="A10" s="189">
        <v>1</v>
      </c>
      <c r="B10" s="189">
        <v>2</v>
      </c>
      <c r="C10" s="189">
        <v>3</v>
      </c>
      <c r="D10" s="190">
        <v>4</v>
      </c>
      <c r="E10" s="110"/>
      <c r="F10" s="110"/>
      <c r="G10" s="110"/>
      <c r="H10" s="110"/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50344.43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174581.65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293629.23+28202.27</f>
        <v>321831.5</v>
      </c>
      <c r="D18" s="198"/>
      <c r="E18" s="111">
        <f>C18-C20</f>
        <v>287826.506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190569.902</v>
      </c>
      <c r="D19" s="198"/>
      <c r="E19" s="111">
        <f>E18-E51</f>
        <v>28202.26999999993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(1.3+1.63)*6*1934.3</f>
        <v>34004.994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1934.3*4.19*12</f>
        <v>97256.604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</f>
        <v>275359.03140000004</v>
      </c>
      <c r="D22" s="198" t="s">
        <v>19</v>
      </c>
      <c r="E22" s="111" t="e">
        <f>B24+B25+B26+#REF!+B27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C18*0.8556</f>
        <v>275359.03140000004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5.75">
      <c r="A27" s="20" t="s">
        <v>25</v>
      </c>
      <c r="B27" s="194" t="s">
        <v>11</v>
      </c>
      <c r="C27" s="197">
        <f>C15+C22</f>
        <v>325703.46140000003</v>
      </c>
      <c r="D27" s="198" t="s">
        <v>26</v>
      </c>
      <c r="E27" s="112" t="e">
        <f>B27/#REF!*1</f>
        <v>#VALUE!</v>
      </c>
      <c r="F27" s="110"/>
      <c r="G27" s="110"/>
      <c r="H27" s="110"/>
    </row>
    <row r="28" spans="1:8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</row>
    <row r="29" spans="1:8" ht="63">
      <c r="A29" s="274" t="s">
        <v>28</v>
      </c>
      <c r="B29" s="310" t="s">
        <v>29</v>
      </c>
      <c r="C29" s="289" t="s">
        <v>30</v>
      </c>
      <c r="D29" s="311" t="s">
        <v>31</v>
      </c>
      <c r="E29" s="110"/>
      <c r="F29" s="110"/>
      <c r="G29" s="110"/>
      <c r="H29" s="110"/>
    </row>
    <row r="30" spans="1:10" ht="47.25">
      <c r="A30" s="206" t="s">
        <v>32</v>
      </c>
      <c r="B30" s="207" t="s">
        <v>33</v>
      </c>
      <c r="C30" s="208" t="s">
        <v>89</v>
      </c>
      <c r="D30" s="209">
        <f>(0.32+0.66)*6*1934.3</f>
        <v>11373.684</v>
      </c>
      <c r="E30" s="110"/>
      <c r="F30" s="110"/>
      <c r="G30" s="110"/>
      <c r="H30" s="110"/>
      <c r="I30" s="110"/>
      <c r="J30" s="110"/>
    </row>
    <row r="31" spans="1:10" ht="15.75">
      <c r="A31" s="210" t="s">
        <v>75</v>
      </c>
      <c r="B31" s="211" t="s">
        <v>76</v>
      </c>
      <c r="C31" s="212" t="s">
        <v>34</v>
      </c>
      <c r="D31" s="213">
        <f>2.4*12*1934.3</f>
        <v>55707.84</v>
      </c>
      <c r="E31" s="110"/>
      <c r="F31" s="110"/>
      <c r="G31" s="110"/>
      <c r="H31" s="110"/>
      <c r="I31" s="110"/>
      <c r="J31" s="110"/>
    </row>
    <row r="32" spans="1:10" ht="15.75">
      <c r="A32" s="210" t="s">
        <v>319</v>
      </c>
      <c r="B32" s="211" t="s">
        <v>78</v>
      </c>
      <c r="C32" s="368" t="s">
        <v>321</v>
      </c>
      <c r="D32" s="214">
        <f>1934.3*0.15*12</f>
        <v>3481.74</v>
      </c>
      <c r="E32" s="110"/>
      <c r="F32" s="110"/>
      <c r="G32" s="110"/>
      <c r="H32" s="110"/>
      <c r="I32" s="110"/>
      <c r="J32" s="110"/>
    </row>
    <row r="33" spans="1:10" ht="15.75">
      <c r="A33" s="210" t="s">
        <v>36</v>
      </c>
      <c r="B33" s="211" t="s">
        <v>78</v>
      </c>
      <c r="C33" s="212" t="s">
        <v>37</v>
      </c>
      <c r="D33" s="213">
        <f>0.48*12*1934.3</f>
        <v>11141.568</v>
      </c>
      <c r="E33" s="110"/>
      <c r="F33" s="110"/>
      <c r="G33" s="110"/>
      <c r="H33" s="110"/>
      <c r="I33" s="110"/>
      <c r="J33" s="110"/>
    </row>
    <row r="34" spans="1:10" ht="15.75">
      <c r="A34" s="210" t="s">
        <v>79</v>
      </c>
      <c r="B34" s="369" t="s">
        <v>33</v>
      </c>
      <c r="C34" s="212" t="s">
        <v>34</v>
      </c>
      <c r="D34" s="213">
        <f>(1.41+1.04)*6*1934.3</f>
        <v>28434.210000000003</v>
      </c>
      <c r="E34" s="110"/>
      <c r="F34" s="110"/>
      <c r="G34" s="110"/>
      <c r="H34" s="110"/>
      <c r="I34" s="110"/>
      <c r="J34" s="110"/>
    </row>
    <row r="35" spans="1:10" ht="15.75">
      <c r="A35" s="210" t="s">
        <v>91</v>
      </c>
      <c r="B35" s="211" t="s">
        <v>33</v>
      </c>
      <c r="C35" s="212" t="s">
        <v>34</v>
      </c>
      <c r="D35" s="214">
        <f>(0.46+0.44)*6*1934.3</f>
        <v>10445.220000000001</v>
      </c>
      <c r="E35" s="110"/>
      <c r="F35" s="110"/>
      <c r="G35" s="110"/>
      <c r="H35" s="110"/>
      <c r="I35" s="110"/>
      <c r="J35" s="110"/>
    </row>
    <row r="36" spans="1:10" ht="31.5">
      <c r="A36" s="210" t="s">
        <v>81</v>
      </c>
      <c r="B36" s="216" t="s">
        <v>82</v>
      </c>
      <c r="C36" s="212" t="s">
        <v>34</v>
      </c>
      <c r="D36" s="213">
        <f>1.33*12*1934.3</f>
        <v>30871.428</v>
      </c>
      <c r="E36" s="110"/>
      <c r="F36" s="110"/>
      <c r="G36" s="110"/>
      <c r="H36" s="110"/>
      <c r="I36" s="110"/>
      <c r="J36" s="110"/>
    </row>
    <row r="37" spans="1:10" ht="15.75">
      <c r="A37" s="210" t="s">
        <v>38</v>
      </c>
      <c r="B37" s="211" t="s">
        <v>35</v>
      </c>
      <c r="C37" s="368" t="s">
        <v>237</v>
      </c>
      <c r="D37" s="213">
        <f>4.19*1934.3*12</f>
        <v>97256.604</v>
      </c>
      <c r="E37" s="110"/>
      <c r="F37" s="110"/>
      <c r="G37" s="110"/>
      <c r="H37" s="110"/>
      <c r="I37" s="110"/>
      <c r="J37" s="110"/>
    </row>
    <row r="38" spans="1:10" ht="15.75">
      <c r="A38" s="210" t="s">
        <v>85</v>
      </c>
      <c r="B38" s="211" t="s">
        <v>238</v>
      </c>
      <c r="C38" s="212" t="s">
        <v>37</v>
      </c>
      <c r="D38" s="312">
        <f>1934.3*(0.46+0.48)*6+2.49</f>
        <v>10911.942</v>
      </c>
      <c r="E38" s="110"/>
      <c r="F38" s="110"/>
      <c r="G38" s="110"/>
      <c r="H38" s="110"/>
      <c r="I38" s="110"/>
      <c r="J38" s="110"/>
    </row>
    <row r="39" spans="1:10" ht="15.75">
      <c r="A39" s="210" t="s">
        <v>226</v>
      </c>
      <c r="B39" s="211"/>
      <c r="C39" s="217"/>
      <c r="D39" s="312"/>
      <c r="E39" s="110"/>
      <c r="F39" s="110"/>
      <c r="G39" s="110"/>
      <c r="H39" s="110"/>
      <c r="I39" s="110"/>
      <c r="J39" s="110"/>
    </row>
    <row r="40" spans="1:10" ht="47.25">
      <c r="A40" s="210" t="s">
        <v>223</v>
      </c>
      <c r="B40" s="211" t="s">
        <v>35</v>
      </c>
      <c r="C40" s="278" t="s">
        <v>220</v>
      </c>
      <c r="D40" s="312">
        <v>12321.18</v>
      </c>
      <c r="E40" s="110"/>
      <c r="F40" s="110"/>
      <c r="G40" s="110"/>
      <c r="H40" s="110"/>
      <c r="I40" s="110"/>
      <c r="J40" s="110"/>
    </row>
    <row r="41" spans="1:10" ht="15.75">
      <c r="A41" s="210" t="s">
        <v>221</v>
      </c>
      <c r="B41" s="211" t="s">
        <v>35</v>
      </c>
      <c r="C41" s="217" t="s">
        <v>222</v>
      </c>
      <c r="D41" s="312">
        <v>25881.09</v>
      </c>
      <c r="E41" s="110"/>
      <c r="F41" s="110"/>
      <c r="G41" s="110"/>
      <c r="H41" s="110"/>
      <c r="I41" s="110"/>
      <c r="J41" s="110"/>
    </row>
    <row r="42" spans="1:14" s="1" customFormat="1" ht="78.75">
      <c r="A42" s="263" t="s">
        <v>217</v>
      </c>
      <c r="B42" s="218" t="s">
        <v>41</v>
      </c>
      <c r="C42" s="307"/>
      <c r="D42" s="388">
        <f>D43+D44+D45+D46+D47+D48+D49+D50</f>
        <v>87501</v>
      </c>
      <c r="E42" s="110"/>
      <c r="F42" s="110"/>
      <c r="G42" s="110"/>
      <c r="H42" s="110"/>
      <c r="I42" s="110"/>
      <c r="J42" s="110"/>
      <c r="K42"/>
      <c r="L42"/>
      <c r="M42"/>
      <c r="N42"/>
    </row>
    <row r="43" spans="1:14" s="1" customFormat="1" ht="15.75">
      <c r="A43" s="223" t="s">
        <v>282</v>
      </c>
      <c r="B43" s="220" t="s">
        <v>235</v>
      </c>
      <c r="C43" s="307" t="s">
        <v>283</v>
      </c>
      <c r="D43" s="392">
        <v>2950</v>
      </c>
      <c r="E43" s="110"/>
      <c r="F43" s="110"/>
      <c r="G43" s="110"/>
      <c r="H43" s="110"/>
      <c r="I43" s="110"/>
      <c r="J43" s="110"/>
      <c r="K43"/>
      <c r="L43"/>
      <c r="M43"/>
      <c r="N43"/>
    </row>
    <row r="44" spans="1:14" s="1" customFormat="1" ht="15.75">
      <c r="A44" s="223" t="s">
        <v>284</v>
      </c>
      <c r="B44" s="220" t="s">
        <v>246</v>
      </c>
      <c r="C44" s="217" t="s">
        <v>34</v>
      </c>
      <c r="D44" s="392">
        <v>40971</v>
      </c>
      <c r="E44" s="110"/>
      <c r="F44" s="110"/>
      <c r="G44" s="110"/>
      <c r="H44" s="110"/>
      <c r="I44" s="110"/>
      <c r="J44" s="110"/>
      <c r="K44"/>
      <c r="L44"/>
      <c r="M44"/>
      <c r="N44"/>
    </row>
    <row r="45" spans="1:14" s="1" customFormat="1" ht="15.75">
      <c r="A45" s="223" t="s">
        <v>275</v>
      </c>
      <c r="B45" s="220" t="s">
        <v>159</v>
      </c>
      <c r="C45" s="307" t="s">
        <v>249</v>
      </c>
      <c r="D45" s="392">
        <v>1952</v>
      </c>
      <c r="E45" s="110"/>
      <c r="F45" s="110"/>
      <c r="G45" s="110"/>
      <c r="H45" s="110"/>
      <c r="I45" s="110"/>
      <c r="J45" s="110"/>
      <c r="K45"/>
      <c r="L45"/>
      <c r="M45"/>
      <c r="N45"/>
    </row>
    <row r="46" spans="1:14" s="1" customFormat="1" ht="31.5">
      <c r="A46" s="223" t="s">
        <v>276</v>
      </c>
      <c r="B46" s="220" t="s">
        <v>149</v>
      </c>
      <c r="C46" s="307" t="s">
        <v>77</v>
      </c>
      <c r="D46" s="392">
        <v>270</v>
      </c>
      <c r="E46" s="110"/>
      <c r="F46" s="110"/>
      <c r="G46" s="110"/>
      <c r="H46" s="110"/>
      <c r="I46" s="110"/>
      <c r="J46" s="110"/>
      <c r="K46"/>
      <c r="L46"/>
      <c r="M46"/>
      <c r="N46"/>
    </row>
    <row r="47" spans="1:14" s="1" customFormat="1" ht="15.75">
      <c r="A47" s="223" t="s">
        <v>285</v>
      </c>
      <c r="B47" s="220" t="s">
        <v>151</v>
      </c>
      <c r="C47" s="307" t="s">
        <v>273</v>
      </c>
      <c r="D47" s="392">
        <v>35492</v>
      </c>
      <c r="E47" s="110"/>
      <c r="F47" s="110"/>
      <c r="G47" s="110"/>
      <c r="H47" s="110"/>
      <c r="I47" s="110"/>
      <c r="J47" s="110"/>
      <c r="K47"/>
      <c r="L47"/>
      <c r="M47"/>
      <c r="N47"/>
    </row>
    <row r="48" spans="1:14" s="1" customFormat="1" ht="31.5">
      <c r="A48" s="223" t="s">
        <v>286</v>
      </c>
      <c r="B48" s="220" t="s">
        <v>287</v>
      </c>
      <c r="C48" s="217" t="s">
        <v>34</v>
      </c>
      <c r="D48" s="392">
        <f>643+687+747</f>
        <v>2077</v>
      </c>
      <c r="E48" s="110"/>
      <c r="F48" s="110"/>
      <c r="G48" s="110"/>
      <c r="H48" s="110"/>
      <c r="I48" s="110"/>
      <c r="J48" s="110"/>
      <c r="K48"/>
      <c r="L48"/>
      <c r="M48"/>
      <c r="N48"/>
    </row>
    <row r="49" spans="1:14" s="1" customFormat="1" ht="15.75">
      <c r="A49" s="223" t="s">
        <v>288</v>
      </c>
      <c r="B49" s="220" t="s">
        <v>154</v>
      </c>
      <c r="C49" s="217" t="s">
        <v>34</v>
      </c>
      <c r="D49" s="393">
        <v>126</v>
      </c>
      <c r="E49" s="110"/>
      <c r="F49" s="110"/>
      <c r="G49" s="110"/>
      <c r="H49" s="110"/>
      <c r="I49" s="110"/>
      <c r="J49" s="110"/>
      <c r="K49"/>
      <c r="L49"/>
      <c r="M49"/>
      <c r="N49"/>
    </row>
    <row r="50" spans="1:14" s="1" customFormat="1" ht="15.75">
      <c r="A50" s="223" t="s">
        <v>289</v>
      </c>
      <c r="B50" s="220" t="s">
        <v>154</v>
      </c>
      <c r="C50" s="217" t="s">
        <v>34</v>
      </c>
      <c r="D50" s="393">
        <v>3663</v>
      </c>
      <c r="E50" s="110"/>
      <c r="F50" s="110"/>
      <c r="G50" s="110"/>
      <c r="H50" s="110"/>
      <c r="I50" s="110"/>
      <c r="J50" s="110"/>
      <c r="K50"/>
      <c r="L50"/>
      <c r="M50"/>
      <c r="N50"/>
    </row>
    <row r="51" spans="1:14" s="1" customFormat="1" ht="15.75">
      <c r="A51" s="37" t="s">
        <v>42</v>
      </c>
      <c r="B51" s="225"/>
      <c r="C51" s="226"/>
      <c r="D51" s="153">
        <f>D30+D31+D32+D33+D34+D35+D36+D37+D38+D40+D41+D42</f>
        <v>385327.50600000005</v>
      </c>
      <c r="E51" s="113">
        <f>D51-D42-D40-D41</f>
        <v>259624.23600000006</v>
      </c>
      <c r="F51" s="110"/>
      <c r="G51" s="110"/>
      <c r="H51" s="110"/>
      <c r="I51" s="110"/>
      <c r="J51" s="110"/>
      <c r="K51"/>
      <c r="L51"/>
      <c r="M51"/>
      <c r="N51"/>
    </row>
    <row r="52" spans="1:14" s="1" customFormat="1" ht="15.75">
      <c r="A52" s="40" t="s">
        <v>43</v>
      </c>
      <c r="B52" s="227" t="s">
        <v>11</v>
      </c>
      <c r="C52" s="228"/>
      <c r="D52" s="229">
        <f>C27-D51</f>
        <v>-59624.04460000002</v>
      </c>
      <c r="E52" s="113"/>
      <c r="F52" s="110"/>
      <c r="G52" s="110"/>
      <c r="H52" s="110"/>
      <c r="I52" s="110"/>
      <c r="J52" s="110"/>
      <c r="K52"/>
      <c r="L52"/>
      <c r="M52"/>
      <c r="N52"/>
    </row>
    <row r="53" spans="1:14" s="1" customFormat="1" ht="15.75">
      <c r="A53" s="230" t="s">
        <v>12</v>
      </c>
      <c r="B53" s="231" t="s">
        <v>11</v>
      </c>
      <c r="C53" s="212"/>
      <c r="D53" s="196">
        <v>0</v>
      </c>
      <c r="E53" s="110"/>
      <c r="F53" s="110"/>
      <c r="G53" s="110"/>
      <c r="H53" s="110"/>
      <c r="I53" s="110"/>
      <c r="J53" s="110"/>
      <c r="K53"/>
      <c r="L53"/>
      <c r="M53"/>
      <c r="N53"/>
    </row>
    <row r="54" spans="1:14" s="1" customFormat="1" ht="15.75">
      <c r="A54" s="230" t="s">
        <v>13</v>
      </c>
      <c r="B54" s="231" t="s">
        <v>11</v>
      </c>
      <c r="C54" s="212"/>
      <c r="D54" s="198">
        <v>221888.8</v>
      </c>
      <c r="E54" s="110"/>
      <c r="F54" s="110"/>
      <c r="G54" s="110"/>
      <c r="H54" s="110"/>
      <c r="I54" s="110"/>
      <c r="J54" s="110"/>
      <c r="K54"/>
      <c r="L54"/>
      <c r="M54"/>
      <c r="N54"/>
    </row>
    <row r="55" spans="1:14" s="1" customFormat="1" ht="24" customHeight="1">
      <c r="A55" s="492" t="s">
        <v>44</v>
      </c>
      <c r="B55" s="492"/>
      <c r="C55" s="492"/>
      <c r="D55" s="492"/>
      <c r="E55" s="110"/>
      <c r="F55" s="110"/>
      <c r="G55" s="110"/>
      <c r="H55" s="110"/>
      <c r="I55" s="110"/>
      <c r="J55" s="110"/>
      <c r="K55"/>
      <c r="L55"/>
      <c r="M55"/>
      <c r="N55"/>
    </row>
    <row r="56" spans="1:14" s="1" customFormat="1" ht="15.75">
      <c r="A56" s="230" t="s">
        <v>45</v>
      </c>
      <c r="B56" s="211" t="s">
        <v>46</v>
      </c>
      <c r="C56" s="212"/>
      <c r="D56" s="196">
        <v>0</v>
      </c>
      <c r="E56" s="110"/>
      <c r="F56" s="110"/>
      <c r="G56" s="110"/>
      <c r="H56" s="110"/>
      <c r="I56" s="110"/>
      <c r="J56" s="110"/>
      <c r="K56"/>
      <c r="L56"/>
      <c r="M56"/>
      <c r="N56"/>
    </row>
    <row r="57" spans="1:14" s="1" customFormat="1" ht="15.75">
      <c r="A57" s="230" t="s">
        <v>47</v>
      </c>
      <c r="B57" s="211" t="s">
        <v>46</v>
      </c>
      <c r="C57" s="212"/>
      <c r="D57" s="196">
        <v>0</v>
      </c>
      <c r="E57" s="110"/>
      <c r="F57" s="110"/>
      <c r="G57" s="110"/>
      <c r="H57" s="110"/>
      <c r="I57" s="110"/>
      <c r="J57" s="110"/>
      <c r="K57"/>
      <c r="L57"/>
      <c r="M57"/>
      <c r="N57"/>
    </row>
    <row r="58" spans="1:14" s="1" customFormat="1" ht="26.25">
      <c r="A58" s="232" t="s">
        <v>48</v>
      </c>
      <c r="B58" s="211" t="s">
        <v>46</v>
      </c>
      <c r="C58" s="212"/>
      <c r="D58" s="196">
        <v>0</v>
      </c>
      <c r="E58" s="110"/>
      <c r="F58" s="110"/>
      <c r="G58" s="110"/>
      <c r="H58" s="110"/>
      <c r="I58" s="110"/>
      <c r="J58" s="110"/>
      <c r="K58"/>
      <c r="L58"/>
      <c r="M58"/>
      <c r="N58"/>
    </row>
    <row r="59" spans="1:14" s="1" customFormat="1" ht="15.75">
      <c r="A59" s="230" t="s">
        <v>49</v>
      </c>
      <c r="B59" s="211" t="s">
        <v>11</v>
      </c>
      <c r="C59" s="212"/>
      <c r="D59" s="196">
        <v>0</v>
      </c>
      <c r="E59" s="110"/>
      <c r="F59" s="110"/>
      <c r="G59" s="110"/>
      <c r="H59" s="110"/>
      <c r="I59" s="110"/>
      <c r="J59" s="110"/>
      <c r="K59"/>
      <c r="L59"/>
      <c r="M59"/>
      <c r="N59"/>
    </row>
    <row r="60" spans="1:10" ht="20.25" customHeight="1">
      <c r="A60" s="493" t="s">
        <v>50</v>
      </c>
      <c r="B60" s="493"/>
      <c r="C60" s="493"/>
      <c r="D60" s="493"/>
      <c r="E60" s="110"/>
      <c r="F60" s="110"/>
      <c r="G60" s="110"/>
      <c r="H60" s="110"/>
      <c r="I60" s="110"/>
      <c r="J60" s="110"/>
    </row>
    <row r="61" spans="1:10" ht="26.25">
      <c r="A61" s="232" t="s">
        <v>51</v>
      </c>
      <c r="B61" s="211" t="s">
        <v>11</v>
      </c>
      <c r="C61" s="212"/>
      <c r="D61" s="196">
        <v>0</v>
      </c>
      <c r="E61" s="110"/>
      <c r="F61" s="110"/>
      <c r="G61" s="110"/>
      <c r="H61" s="110"/>
      <c r="I61" s="110"/>
      <c r="J61" s="110"/>
    </row>
    <row r="62" spans="1:10" ht="15.75">
      <c r="A62" s="230" t="s">
        <v>12</v>
      </c>
      <c r="B62" s="211" t="s">
        <v>11</v>
      </c>
      <c r="C62" s="212"/>
      <c r="D62" s="196">
        <v>0</v>
      </c>
      <c r="E62" s="110"/>
      <c r="F62" s="110"/>
      <c r="G62" s="110"/>
      <c r="H62" s="110"/>
      <c r="I62" s="110"/>
      <c r="J62" s="110"/>
    </row>
    <row r="63" spans="1:10" ht="15.75">
      <c r="A63" s="230" t="s">
        <v>13</v>
      </c>
      <c r="B63" s="211" t="s">
        <v>11</v>
      </c>
      <c r="C63" s="212"/>
      <c r="D63" s="240">
        <f>D66-D69-D70-D71-D72</f>
        <v>365709.21936800005</v>
      </c>
      <c r="E63" s="110"/>
      <c r="F63" s="110"/>
      <c r="G63" s="110"/>
      <c r="H63" s="114"/>
      <c r="I63" s="110"/>
      <c r="J63" s="110"/>
    </row>
    <row r="64" spans="1:10" ht="26.25">
      <c r="A64" s="234" t="s">
        <v>52</v>
      </c>
      <c r="B64" s="211" t="s">
        <v>11</v>
      </c>
      <c r="C64" s="235"/>
      <c r="D64" s="236">
        <v>0</v>
      </c>
      <c r="E64" s="110"/>
      <c r="F64" s="110"/>
      <c r="G64" s="110"/>
      <c r="H64" s="110"/>
      <c r="I64" s="110"/>
      <c r="J64" s="110"/>
    </row>
    <row r="65" spans="1:10" ht="17.25" customHeight="1">
      <c r="A65" s="257" t="s">
        <v>12</v>
      </c>
      <c r="B65" s="211" t="s">
        <v>11</v>
      </c>
      <c r="C65" s="279"/>
      <c r="D65" s="55">
        <v>0</v>
      </c>
      <c r="E65" s="110"/>
      <c r="F65" s="110"/>
      <c r="G65" s="110"/>
      <c r="H65" s="110"/>
      <c r="I65" s="114"/>
      <c r="J65" s="114"/>
    </row>
    <row r="66" spans="1:14" ht="15.75">
      <c r="A66" s="238" t="s">
        <v>13</v>
      </c>
      <c r="B66" s="211" t="s">
        <v>11</v>
      </c>
      <c r="C66" s="239"/>
      <c r="D66" s="240">
        <v>460063.16</v>
      </c>
      <c r="E66" s="110"/>
      <c r="F66" s="110"/>
      <c r="G66" s="110"/>
      <c r="H66" s="110" t="s">
        <v>26</v>
      </c>
      <c r="I66" s="125"/>
      <c r="J66" s="125"/>
      <c r="K66" s="61"/>
      <c r="L66" s="61"/>
      <c r="M66" s="61"/>
      <c r="N66" s="61"/>
    </row>
    <row r="67" spans="1:14" ht="18" customHeight="1">
      <c r="A67" s="494" t="s">
        <v>53</v>
      </c>
      <c r="B67" s="494"/>
      <c r="C67" s="494"/>
      <c r="D67" s="494"/>
      <c r="E67" s="115"/>
      <c r="F67" s="116"/>
      <c r="G67" s="117"/>
      <c r="H67" s="110"/>
      <c r="I67" s="121"/>
      <c r="J67" s="121"/>
      <c r="K67" s="66"/>
      <c r="L67" s="66"/>
      <c r="M67" s="66"/>
      <c r="N67" s="66"/>
    </row>
    <row r="68" spans="1:14" ht="47.25">
      <c r="A68" s="168" t="s">
        <v>54</v>
      </c>
      <c r="B68" s="169" t="s">
        <v>55</v>
      </c>
      <c r="C68" s="170" t="s">
        <v>56</v>
      </c>
      <c r="D68" s="171" t="s">
        <v>57</v>
      </c>
      <c r="E68" s="115"/>
      <c r="F68" s="116"/>
      <c r="G68" s="117"/>
      <c r="H68" s="110"/>
      <c r="I68" s="121"/>
      <c r="J68" s="175"/>
      <c r="K68" s="66"/>
      <c r="L68" s="66"/>
      <c r="M68" s="66"/>
      <c r="N68" s="66"/>
    </row>
    <row r="69" spans="1:14" ht="15.75">
      <c r="A69" s="313" t="s">
        <v>58</v>
      </c>
      <c r="B69" s="242">
        <v>169596.46</v>
      </c>
      <c r="C69" s="440">
        <f>B69*0.8586</f>
        <v>145615.520556</v>
      </c>
      <c r="D69" s="469">
        <f>B69-C69</f>
        <v>23980.93944399999</v>
      </c>
      <c r="E69" s="118"/>
      <c r="F69" s="116"/>
      <c r="G69" s="117"/>
      <c r="H69" s="110"/>
      <c r="I69" s="121"/>
      <c r="J69" s="121"/>
      <c r="K69" s="66"/>
      <c r="L69" s="66"/>
      <c r="M69" s="66"/>
      <c r="N69" s="66"/>
    </row>
    <row r="70" spans="1:14" ht="15.75">
      <c r="A70" s="313" t="s">
        <v>59</v>
      </c>
      <c r="B70" s="242">
        <v>170736.3</v>
      </c>
      <c r="C70" s="440">
        <f>B70*0.8586</f>
        <v>146594.18718</v>
      </c>
      <c r="D70" s="469">
        <f>B70-C70</f>
        <v>24142.11281999998</v>
      </c>
      <c r="E70" s="115"/>
      <c r="F70" s="116"/>
      <c r="G70" s="117"/>
      <c r="H70" s="110"/>
      <c r="I70" s="121"/>
      <c r="J70" s="121"/>
      <c r="K70" s="66"/>
      <c r="L70" s="66"/>
      <c r="M70" s="66"/>
      <c r="N70" s="66"/>
    </row>
    <row r="71" spans="1:14" ht="15.75">
      <c r="A71" s="313" t="s">
        <v>318</v>
      </c>
      <c r="B71" s="245">
        <v>120990.94</v>
      </c>
      <c r="C71" s="440">
        <f>B71*0.8586</f>
        <v>103882.82108400001</v>
      </c>
      <c r="D71" s="469">
        <f>B71-C71</f>
        <v>17108.118915999992</v>
      </c>
      <c r="E71" s="115">
        <f>(2.07+1.8)*6*2301.2-0.37*2301.2*6</f>
        <v>48325.2</v>
      </c>
      <c r="F71" s="119"/>
      <c r="G71" s="120"/>
      <c r="H71" s="115"/>
      <c r="I71" s="121"/>
      <c r="J71" s="121"/>
      <c r="K71" s="66"/>
      <c r="L71" s="66"/>
      <c r="M71" s="66"/>
      <c r="N71" s="66"/>
    </row>
    <row r="72" spans="1:14" ht="15.75">
      <c r="A72" s="314" t="s">
        <v>61</v>
      </c>
      <c r="B72" s="315">
        <v>205960.18</v>
      </c>
      <c r="C72" s="440">
        <f>B72*0.8586</f>
        <v>176837.410548</v>
      </c>
      <c r="D72" s="470">
        <f>B72-C72</f>
        <v>29122.76945199998</v>
      </c>
      <c r="E72" s="115"/>
      <c r="F72" s="119"/>
      <c r="G72" s="120"/>
      <c r="H72" s="110"/>
      <c r="I72" s="121"/>
      <c r="J72" s="121"/>
      <c r="K72" s="66"/>
      <c r="L72" s="66"/>
      <c r="M72" s="66"/>
      <c r="N72" s="66"/>
    </row>
    <row r="73" spans="1:14" ht="78.75">
      <c r="A73" s="165" t="s">
        <v>62</v>
      </c>
      <c r="B73" s="166" t="s">
        <v>63</v>
      </c>
      <c r="C73" s="167" t="s">
        <v>64</v>
      </c>
      <c r="D73" s="167" t="s">
        <v>65</v>
      </c>
      <c r="E73" s="115"/>
      <c r="F73" s="119"/>
      <c r="G73" s="110"/>
      <c r="H73" s="121"/>
      <c r="I73" s="121"/>
      <c r="J73" s="121"/>
      <c r="K73" s="66"/>
      <c r="L73" s="66"/>
      <c r="M73" s="66"/>
      <c r="N73" s="66"/>
    </row>
    <row r="74" spans="1:14" ht="15.75">
      <c r="A74" s="316" t="s">
        <v>58</v>
      </c>
      <c r="B74" s="317">
        <v>165681.5</v>
      </c>
      <c r="C74" s="440">
        <f>C69</f>
        <v>145615.520556</v>
      </c>
      <c r="D74" s="471">
        <f>B74-C74</f>
        <v>20065.979443999997</v>
      </c>
      <c r="E74" s="115"/>
      <c r="F74" s="119"/>
      <c r="G74" s="110"/>
      <c r="H74" s="121"/>
      <c r="I74" s="121"/>
      <c r="J74" s="121" t="s">
        <v>26</v>
      </c>
      <c r="K74" s="66"/>
      <c r="L74" s="66"/>
      <c r="M74" s="66"/>
      <c r="N74" s="66"/>
    </row>
    <row r="75" spans="1:14" ht="15.75">
      <c r="A75" s="316" t="s">
        <v>59</v>
      </c>
      <c r="B75" s="317">
        <v>200709.85</v>
      </c>
      <c r="C75" s="440">
        <f>C70</f>
        <v>146594.18718</v>
      </c>
      <c r="D75" s="471">
        <f>B75-C75</f>
        <v>54115.66282</v>
      </c>
      <c r="E75" s="115"/>
      <c r="F75" s="119"/>
      <c r="G75" s="110"/>
      <c r="H75" s="121"/>
      <c r="I75" s="121"/>
      <c r="J75" s="121"/>
      <c r="K75" s="66"/>
      <c r="L75" s="66"/>
      <c r="M75" s="66"/>
      <c r="N75" s="66"/>
    </row>
    <row r="76" spans="1:14" ht="15.75">
      <c r="A76" s="313" t="s">
        <v>318</v>
      </c>
      <c r="B76" s="317">
        <v>120990.94</v>
      </c>
      <c r="C76" s="440">
        <f>C71</f>
        <v>103882.82108400001</v>
      </c>
      <c r="D76" s="471">
        <f>B76-C76</f>
        <v>17108.118915999992</v>
      </c>
      <c r="E76" s="115"/>
      <c r="F76" s="119"/>
      <c r="G76" s="110"/>
      <c r="H76" s="121"/>
      <c r="I76" s="65"/>
      <c r="J76" s="65"/>
      <c r="K76" s="66"/>
      <c r="L76" s="66"/>
      <c r="M76" s="66"/>
      <c r="N76" s="66"/>
    </row>
    <row r="77" spans="1:14" ht="15.75">
      <c r="A77" s="318" t="s">
        <v>61</v>
      </c>
      <c r="B77" s="317">
        <v>214767.74</v>
      </c>
      <c r="C77" s="440">
        <f>B77</f>
        <v>214767.74</v>
      </c>
      <c r="D77" s="471">
        <f>B77-C77</f>
        <v>0</v>
      </c>
      <c r="E77" s="115"/>
      <c r="F77" s="119"/>
      <c r="G77" s="110"/>
      <c r="H77" s="121" t="s">
        <v>26</v>
      </c>
      <c r="I77" s="65"/>
      <c r="J77" s="65"/>
      <c r="K77" s="66"/>
      <c r="L77" s="66"/>
      <c r="M77" s="66"/>
      <c r="N77" s="66"/>
    </row>
    <row r="78" spans="1:14" ht="15.75">
      <c r="A78" s="250"/>
      <c r="B78" s="251"/>
      <c r="C78" s="447"/>
      <c r="D78" s="448"/>
      <c r="E78" s="115"/>
      <c r="F78" s="119"/>
      <c r="G78" s="110"/>
      <c r="H78" s="121"/>
      <c r="I78" s="65"/>
      <c r="J78" s="65"/>
      <c r="K78" s="66"/>
      <c r="L78" s="66"/>
      <c r="M78" s="66"/>
      <c r="N78" s="66"/>
    </row>
    <row r="79" spans="1:14" ht="26.25">
      <c r="A79" s="254" t="s">
        <v>66</v>
      </c>
      <c r="B79" s="251" t="s">
        <v>11</v>
      </c>
      <c r="C79" s="449"/>
      <c r="D79" s="450">
        <v>118441.32</v>
      </c>
      <c r="E79" s="115"/>
      <c r="F79" s="119"/>
      <c r="G79" s="110"/>
      <c r="H79" s="121"/>
      <c r="I79" s="65"/>
      <c r="J79" s="65" t="s">
        <v>26</v>
      </c>
      <c r="K79" s="66"/>
      <c r="L79" s="66"/>
      <c r="M79" s="66"/>
      <c r="N79" s="66"/>
    </row>
    <row r="80" spans="1:14" ht="17.25" customHeight="1">
      <c r="A80" s="495" t="s">
        <v>67</v>
      </c>
      <c r="B80" s="495"/>
      <c r="C80" s="495"/>
      <c r="D80" s="495"/>
      <c r="E80" s="122" t="e">
        <f>D80+B19</f>
        <v>#VALUE!</v>
      </c>
      <c r="F80" s="121"/>
      <c r="G80" s="110"/>
      <c r="H80" s="123" t="e">
        <f>E80-B18</f>
        <v>#VALUE!</v>
      </c>
      <c r="I80" s="65"/>
      <c r="J80" s="65"/>
      <c r="K80" s="66"/>
      <c r="L80" s="66"/>
      <c r="M80" s="66"/>
      <c r="N80" s="66"/>
    </row>
    <row r="81" spans="1:8" ht="21" customHeight="1">
      <c r="A81" s="87" t="s">
        <v>45</v>
      </c>
      <c r="B81" s="87" t="s">
        <v>46</v>
      </c>
      <c r="C81" s="87"/>
      <c r="D81" s="179">
        <v>0</v>
      </c>
      <c r="E81" s="124"/>
      <c r="F81" s="110"/>
      <c r="G81" s="110"/>
      <c r="H81" s="110"/>
    </row>
    <row r="82" spans="1:8" ht="21" customHeight="1">
      <c r="A82" s="87" t="s">
        <v>47</v>
      </c>
      <c r="B82" s="87" t="s">
        <v>46</v>
      </c>
      <c r="C82" s="87"/>
      <c r="D82" s="179">
        <v>0</v>
      </c>
      <c r="E82" s="124"/>
      <c r="F82" s="110"/>
      <c r="G82" s="110"/>
      <c r="H82" s="110"/>
    </row>
    <row r="83" spans="1:8" ht="18" customHeight="1">
      <c r="A83" s="87" t="s">
        <v>48</v>
      </c>
      <c r="B83" s="87" t="s">
        <v>46</v>
      </c>
      <c r="C83" s="87"/>
      <c r="D83" s="179">
        <v>0</v>
      </c>
      <c r="E83" s="124"/>
      <c r="F83" s="110"/>
      <c r="G83" s="110"/>
      <c r="H83" s="110"/>
    </row>
    <row r="84" spans="1:8" ht="16.5" customHeight="1">
      <c r="A84" s="87" t="s">
        <v>49</v>
      </c>
      <c r="B84" s="87" t="s">
        <v>11</v>
      </c>
      <c r="C84" s="87"/>
      <c r="D84" s="179">
        <v>0</v>
      </c>
      <c r="E84" s="124"/>
      <c r="F84" s="110"/>
      <c r="G84" s="110"/>
      <c r="H84" s="110"/>
    </row>
    <row r="85" spans="1:8" ht="15.75" customHeight="1">
      <c r="A85" s="489" t="s">
        <v>68</v>
      </c>
      <c r="B85" s="489"/>
      <c r="C85" s="489"/>
      <c r="D85" s="489"/>
      <c r="E85" s="124"/>
      <c r="F85" s="110"/>
      <c r="G85" s="110"/>
      <c r="H85" s="110"/>
    </row>
    <row r="86" spans="1:8" ht="18.75" customHeight="1">
      <c r="A86" s="87" t="s">
        <v>69</v>
      </c>
      <c r="B86" s="87" t="s">
        <v>46</v>
      </c>
      <c r="C86" s="87"/>
      <c r="D86" s="179">
        <v>2</v>
      </c>
      <c r="E86" s="124"/>
      <c r="F86" s="110"/>
      <c r="G86" s="110"/>
      <c r="H86" s="110"/>
    </row>
    <row r="87" spans="1:8" ht="21.75" customHeight="1">
      <c r="A87" s="87" t="s">
        <v>70</v>
      </c>
      <c r="B87" s="257" t="s">
        <v>46</v>
      </c>
      <c r="C87" s="257"/>
      <c r="D87" s="179">
        <v>9</v>
      </c>
      <c r="E87" s="124"/>
      <c r="F87" s="110"/>
      <c r="G87" s="110"/>
      <c r="H87" s="110"/>
    </row>
    <row r="88" spans="1:8" ht="36" customHeight="1">
      <c r="A88" s="258" t="s">
        <v>71</v>
      </c>
      <c r="B88" s="87" t="s">
        <v>11</v>
      </c>
      <c r="C88" s="87"/>
      <c r="D88" s="179">
        <v>9210</v>
      </c>
      <c r="E88" s="124"/>
      <c r="F88" s="110"/>
      <c r="G88" s="110"/>
      <c r="H88" s="110"/>
    </row>
    <row r="89" spans="1:8" ht="15.75">
      <c r="A89" s="259"/>
      <c r="B89" s="259"/>
      <c r="C89" s="259"/>
      <c r="D89" s="260"/>
      <c r="E89" s="110"/>
      <c r="F89" s="110"/>
      <c r="G89" s="110"/>
      <c r="H89" s="110"/>
    </row>
    <row r="90" spans="1:14" s="1" customFormat="1" ht="12.75">
      <c r="A90" s="180"/>
      <c r="B90" s="180"/>
      <c r="C90" s="180"/>
      <c r="D90" s="180"/>
      <c r="E90" s="110"/>
      <c r="F90" s="110"/>
      <c r="G90" s="110"/>
      <c r="H90" s="110" t="s">
        <v>26</v>
      </c>
      <c r="K90"/>
      <c r="L90"/>
      <c r="M90"/>
      <c r="N90"/>
    </row>
    <row r="91" spans="1:14" s="1" customFormat="1" ht="12.75">
      <c r="A91" s="185" t="s">
        <v>208</v>
      </c>
      <c r="B91" s="180"/>
      <c r="C91" s="180"/>
      <c r="D91" s="180"/>
      <c r="E91" s="110"/>
      <c r="F91" s="110"/>
      <c r="G91" s="110"/>
      <c r="H91" s="110"/>
      <c r="K91"/>
      <c r="L91"/>
      <c r="M91"/>
      <c r="N91"/>
    </row>
    <row r="92" spans="1:14" s="1" customFormat="1" ht="12.75">
      <c r="A92" s="180"/>
      <c r="B92" s="180"/>
      <c r="C92" s="180"/>
      <c r="D92" s="180"/>
      <c r="H92" s="1" t="s">
        <v>26</v>
      </c>
      <c r="K92"/>
      <c r="L92"/>
      <c r="M92"/>
      <c r="N92"/>
    </row>
    <row r="93" spans="1:14" s="1" customFormat="1" ht="12.75">
      <c r="A93" s="180" t="s">
        <v>73</v>
      </c>
      <c r="B93" s="180"/>
      <c r="C93" s="180"/>
      <c r="D93" s="180"/>
      <c r="K93"/>
      <c r="L93"/>
      <c r="M93"/>
      <c r="N93"/>
    </row>
    <row r="94" spans="1:4" ht="12.75">
      <c r="A94" s="180"/>
      <c r="B94" s="180"/>
      <c r="C94" s="180"/>
      <c r="D94" s="180"/>
    </row>
    <row r="97" spans="1:14" s="1" customFormat="1" ht="12.75">
      <c r="A97"/>
      <c r="B97"/>
      <c r="C97"/>
      <c r="D97"/>
      <c r="E97" s="1" t="s">
        <v>26</v>
      </c>
      <c r="K97"/>
      <c r="L97"/>
      <c r="M97"/>
      <c r="N97"/>
    </row>
  </sheetData>
  <sheetProtection selectLockedCells="1" selectUnlockedCells="1"/>
  <mergeCells count="13">
    <mergeCell ref="A85:D85"/>
    <mergeCell ref="A14:D14"/>
    <mergeCell ref="A28:D28"/>
    <mergeCell ref="A55:D55"/>
    <mergeCell ref="A60:D60"/>
    <mergeCell ref="A67:D67"/>
    <mergeCell ref="A80:D8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="112" zoomScaleNormal="112" zoomScalePageLayoutView="0" workbookViewId="0" topLeftCell="A1">
      <selection activeCell="B20" sqref="B20"/>
    </sheetView>
  </sheetViews>
  <sheetFormatPr defaultColWidth="11.57421875" defaultRowHeight="12.75"/>
  <cols>
    <col min="1" max="1" width="54.421875" style="0" customWidth="1"/>
    <col min="2" max="2" width="14.57421875" style="0" customWidth="1"/>
    <col min="3" max="3" width="25.7109375" style="0" customWidth="1"/>
    <col min="4" max="4" width="18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26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95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35.25" customHeight="1">
      <c r="A7" s="488" t="s">
        <v>2</v>
      </c>
      <c r="B7" s="488"/>
      <c r="C7" s="488"/>
      <c r="D7" s="488"/>
    </row>
    <row r="8" spans="1:4" ht="12.75">
      <c r="A8" s="185" t="s">
        <v>330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33241.35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19525.33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205924.44+26523.06</f>
        <v>232447.5</v>
      </c>
      <c r="D18" s="198"/>
      <c r="E18" s="111">
        <f>C18-C20</f>
        <v>180007.0896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123594.9408</v>
      </c>
      <c r="D19" s="198"/>
      <c r="E19" s="111">
        <f>E18-E53</f>
        <v>26523.061600000015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(3.94+3.85)*6*1121.96</f>
        <v>52440.4104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1121.96*4.19*12</f>
        <v>56412.14880000001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</f>
        <v>216594.58049999998</v>
      </c>
      <c r="D22" s="198" t="s">
        <v>19</v>
      </c>
      <c r="E22" s="111" t="e">
        <f>B24+B25+B26+#REF!+B27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C18*0.9318</f>
        <v>216594.58049999998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5.75">
      <c r="A27" s="20" t="s">
        <v>25</v>
      </c>
      <c r="B27" s="194" t="s">
        <v>11</v>
      </c>
      <c r="C27" s="197">
        <f>C15+C22</f>
        <v>249835.9305</v>
      </c>
      <c r="D27" s="198" t="s">
        <v>26</v>
      </c>
      <c r="E27" s="112" t="e">
        <f>B27/#REF!*1</f>
        <v>#VALUE!</v>
      </c>
      <c r="F27" s="110"/>
      <c r="G27" s="110"/>
      <c r="H27" s="110"/>
    </row>
    <row r="28" spans="1:8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</row>
    <row r="29" spans="1:8" ht="51">
      <c r="A29" s="202" t="s">
        <v>28</v>
      </c>
      <c r="B29" s="203" t="s">
        <v>29</v>
      </c>
      <c r="C29" s="204" t="s">
        <v>30</v>
      </c>
      <c r="D29" s="205" t="s">
        <v>31</v>
      </c>
      <c r="E29" s="110"/>
      <c r="F29" s="110"/>
      <c r="G29" s="110"/>
      <c r="H29" s="110"/>
    </row>
    <row r="30" spans="1:8" ht="15.75">
      <c r="A30" s="206" t="s">
        <v>32</v>
      </c>
      <c r="B30" s="207" t="s">
        <v>33</v>
      </c>
      <c r="C30" s="208" t="s">
        <v>321</v>
      </c>
      <c r="D30" s="209">
        <f>(0.5+0.46)*6*1121.96</f>
        <v>6462.4896</v>
      </c>
      <c r="E30" s="110"/>
      <c r="F30" s="110"/>
      <c r="G30" s="110"/>
      <c r="H30" s="110"/>
    </row>
    <row r="31" spans="1:8" ht="15.75">
      <c r="A31" s="210" t="s">
        <v>75</v>
      </c>
      <c r="B31" s="211" t="s">
        <v>76</v>
      </c>
      <c r="C31" s="212" t="s">
        <v>34</v>
      </c>
      <c r="D31" s="213">
        <f>2.4*12*1121.96</f>
        <v>32312.447999999997</v>
      </c>
      <c r="E31" s="110"/>
      <c r="F31" s="110"/>
      <c r="G31" s="110"/>
      <c r="H31" s="110"/>
    </row>
    <row r="32" spans="1:8" ht="15.75">
      <c r="A32" s="210" t="s">
        <v>319</v>
      </c>
      <c r="B32" s="211" t="s">
        <v>35</v>
      </c>
      <c r="C32" s="368" t="s">
        <v>321</v>
      </c>
      <c r="D32" s="213">
        <f>0.15*12*1121.96</f>
        <v>2019.5279999999998</v>
      </c>
      <c r="E32" s="110"/>
      <c r="F32" s="110"/>
      <c r="G32" s="110"/>
      <c r="H32" s="110"/>
    </row>
    <row r="33" spans="1:8" ht="15.75">
      <c r="A33" s="210" t="s">
        <v>36</v>
      </c>
      <c r="B33" s="211" t="s">
        <v>78</v>
      </c>
      <c r="C33" s="212" t="s">
        <v>37</v>
      </c>
      <c r="D33" s="213">
        <f>0.48*12*1121.96</f>
        <v>6462.4896</v>
      </c>
      <c r="E33" s="110"/>
      <c r="F33" s="110"/>
      <c r="G33" s="110"/>
      <c r="H33" s="110"/>
    </row>
    <row r="34" spans="1:8" ht="15.75">
      <c r="A34" s="210" t="s">
        <v>79</v>
      </c>
      <c r="B34" s="369" t="s">
        <v>33</v>
      </c>
      <c r="C34" s="212" t="s">
        <v>34</v>
      </c>
      <c r="D34" s="213">
        <f>0.79*12*1121.96</f>
        <v>10636.1808</v>
      </c>
      <c r="E34" s="110"/>
      <c r="F34" s="110"/>
      <c r="G34" s="110"/>
      <c r="H34" s="110"/>
    </row>
    <row r="35" spans="1:8" ht="15.75">
      <c r="A35" s="210" t="s">
        <v>80</v>
      </c>
      <c r="B35" s="211" t="s">
        <v>33</v>
      </c>
      <c r="C35" s="212" t="s">
        <v>34</v>
      </c>
      <c r="D35" s="213">
        <f>(0.92+1.24)*6*1121.96</f>
        <v>14540.601600000002</v>
      </c>
      <c r="E35" s="110"/>
      <c r="F35" s="110"/>
      <c r="G35" s="110"/>
      <c r="H35" s="110"/>
    </row>
    <row r="36" spans="1:8" ht="31.5">
      <c r="A36" s="210" t="s">
        <v>81</v>
      </c>
      <c r="B36" s="216" t="s">
        <v>82</v>
      </c>
      <c r="C36" s="212" t="s">
        <v>34</v>
      </c>
      <c r="D36" s="213">
        <f>1.33*12*1121.96</f>
        <v>17906.481600000003</v>
      </c>
      <c r="E36" s="110"/>
      <c r="F36" s="110"/>
      <c r="G36" s="110"/>
      <c r="H36" s="110"/>
    </row>
    <row r="37" spans="1:8" ht="15.75">
      <c r="A37" s="210" t="s">
        <v>38</v>
      </c>
      <c r="B37" s="211" t="s">
        <v>35</v>
      </c>
      <c r="C37" s="368" t="s">
        <v>237</v>
      </c>
      <c r="D37" s="213">
        <f>4.19*1121.96*12</f>
        <v>56412.14880000001</v>
      </c>
      <c r="E37" s="110"/>
      <c r="F37" s="110"/>
      <c r="G37" s="110"/>
      <c r="H37" s="110"/>
    </row>
    <row r="38" spans="1:8" ht="19.5" customHeight="1">
      <c r="A38" s="210" t="s">
        <v>85</v>
      </c>
      <c r="B38" s="211" t="s">
        <v>238</v>
      </c>
      <c r="C38" s="278" t="s">
        <v>37</v>
      </c>
      <c r="D38" s="213">
        <v>6731.66</v>
      </c>
      <c r="E38" s="110"/>
      <c r="F38" s="110"/>
      <c r="G38" s="110"/>
      <c r="H38" s="110"/>
    </row>
    <row r="39" spans="1:8" ht="21.75" customHeight="1">
      <c r="A39" s="210" t="s">
        <v>219</v>
      </c>
      <c r="B39" s="211"/>
      <c r="C39" s="278"/>
      <c r="D39" s="213"/>
      <c r="E39" s="110"/>
      <c r="F39" s="110"/>
      <c r="G39" s="110"/>
      <c r="H39" s="110"/>
    </row>
    <row r="40" spans="1:8" ht="18" customHeight="1">
      <c r="A40" s="210" t="s">
        <v>223</v>
      </c>
      <c r="B40" s="211" t="s">
        <v>35</v>
      </c>
      <c r="C40" s="278" t="s">
        <v>220</v>
      </c>
      <c r="D40" s="213">
        <v>1211.76</v>
      </c>
      <c r="E40" s="110"/>
      <c r="F40" s="110"/>
      <c r="G40" s="110"/>
      <c r="H40" s="110"/>
    </row>
    <row r="41" spans="1:8" ht="17.25" customHeight="1">
      <c r="A41" s="210" t="s">
        <v>221</v>
      </c>
      <c r="B41" s="211" t="s">
        <v>35</v>
      </c>
      <c r="C41" s="278" t="s">
        <v>222</v>
      </c>
      <c r="D41" s="213">
        <v>25311.3</v>
      </c>
      <c r="E41" s="110"/>
      <c r="F41" s="110"/>
      <c r="G41" s="110"/>
      <c r="H41" s="110"/>
    </row>
    <row r="42" spans="1:14" s="1" customFormat="1" ht="78.75">
      <c r="A42" s="263" t="s">
        <v>217</v>
      </c>
      <c r="B42" s="218" t="s">
        <v>41</v>
      </c>
      <c r="C42" s="224"/>
      <c r="D42" s="387">
        <f>D43+D44+D45+D46+D47+D48+D49+D50+D51+D52</f>
        <v>88615</v>
      </c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23" t="s">
        <v>290</v>
      </c>
      <c r="B43" s="220" t="s">
        <v>246</v>
      </c>
      <c r="C43" s="278" t="s">
        <v>34</v>
      </c>
      <c r="D43" s="178">
        <v>749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23" t="s">
        <v>275</v>
      </c>
      <c r="B44" s="220" t="s">
        <v>159</v>
      </c>
      <c r="C44" s="224" t="s">
        <v>265</v>
      </c>
      <c r="D44" s="178">
        <v>1834</v>
      </c>
      <c r="E44" s="110"/>
      <c r="F44" s="110"/>
      <c r="G44" s="110"/>
      <c r="H44" s="110"/>
      <c r="K44"/>
      <c r="L44"/>
      <c r="M44"/>
      <c r="N44"/>
    </row>
    <row r="45" spans="1:14" s="1" customFormat="1" ht="31.5">
      <c r="A45" s="223" t="s">
        <v>266</v>
      </c>
      <c r="B45" s="220" t="s">
        <v>159</v>
      </c>
      <c r="C45" s="224" t="s">
        <v>77</v>
      </c>
      <c r="D45" s="178">
        <v>360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23" t="s">
        <v>291</v>
      </c>
      <c r="B46" s="220" t="s">
        <v>156</v>
      </c>
      <c r="C46" s="278" t="s">
        <v>34</v>
      </c>
      <c r="D46" s="178">
        <v>3865</v>
      </c>
      <c r="E46" s="110"/>
      <c r="F46" s="110"/>
      <c r="G46" s="110"/>
      <c r="H46" s="110"/>
      <c r="K46"/>
      <c r="L46"/>
      <c r="M46"/>
      <c r="N46"/>
    </row>
    <row r="47" spans="1:14" s="1" customFormat="1" ht="15.75">
      <c r="A47" s="223" t="s">
        <v>292</v>
      </c>
      <c r="B47" s="220" t="s">
        <v>153</v>
      </c>
      <c r="C47" s="224" t="s">
        <v>273</v>
      </c>
      <c r="D47" s="178">
        <v>15023</v>
      </c>
      <c r="E47" s="110"/>
      <c r="F47" s="110"/>
      <c r="G47" s="110"/>
      <c r="H47" s="110"/>
      <c r="K47"/>
      <c r="L47"/>
      <c r="M47"/>
      <c r="N47"/>
    </row>
    <row r="48" spans="1:14" s="1" customFormat="1" ht="15.75">
      <c r="A48" s="223" t="s">
        <v>272</v>
      </c>
      <c r="B48" s="220" t="s">
        <v>153</v>
      </c>
      <c r="C48" s="224" t="s">
        <v>273</v>
      </c>
      <c r="D48" s="178">
        <v>42447</v>
      </c>
      <c r="E48" s="110"/>
      <c r="F48" s="110"/>
      <c r="G48" s="110"/>
      <c r="H48" s="110"/>
      <c r="K48"/>
      <c r="L48"/>
      <c r="M48"/>
      <c r="N48"/>
    </row>
    <row r="49" spans="1:14" s="1" customFormat="1" ht="15.75">
      <c r="A49" s="223" t="s">
        <v>280</v>
      </c>
      <c r="B49" s="220" t="s">
        <v>167</v>
      </c>
      <c r="C49" s="278" t="s">
        <v>34</v>
      </c>
      <c r="D49" s="178">
        <v>643</v>
      </c>
      <c r="E49" s="110"/>
      <c r="F49" s="110"/>
      <c r="G49" s="110"/>
      <c r="H49" s="110"/>
      <c r="K49"/>
      <c r="L49"/>
      <c r="M49"/>
      <c r="N49"/>
    </row>
    <row r="50" spans="1:14" s="1" customFormat="1" ht="15.75">
      <c r="A50" s="223" t="s">
        <v>293</v>
      </c>
      <c r="B50" s="220" t="s">
        <v>167</v>
      </c>
      <c r="C50" s="224" t="s">
        <v>273</v>
      </c>
      <c r="D50" s="178">
        <v>17783</v>
      </c>
      <c r="E50" s="110"/>
      <c r="F50" s="110"/>
      <c r="G50" s="110"/>
      <c r="H50" s="110"/>
      <c r="K50"/>
      <c r="L50"/>
      <c r="M50"/>
      <c r="N50"/>
    </row>
    <row r="51" spans="1:14" s="1" customFormat="1" ht="31.5">
      <c r="A51" s="223" t="s">
        <v>255</v>
      </c>
      <c r="B51" s="220" t="s">
        <v>154</v>
      </c>
      <c r="C51" s="224" t="s">
        <v>256</v>
      </c>
      <c r="D51" s="178">
        <v>4800</v>
      </c>
      <c r="E51" s="110"/>
      <c r="F51" s="110"/>
      <c r="G51" s="110"/>
      <c r="H51" s="110"/>
      <c r="K51"/>
      <c r="L51"/>
      <c r="M51"/>
      <c r="N51"/>
    </row>
    <row r="52" spans="1:14" s="1" customFormat="1" ht="15.75">
      <c r="A52" s="222" t="s">
        <v>294</v>
      </c>
      <c r="B52" s="220" t="s">
        <v>150</v>
      </c>
      <c r="C52" s="278" t="s">
        <v>34</v>
      </c>
      <c r="D52" s="178">
        <v>1111</v>
      </c>
      <c r="E52" s="110"/>
      <c r="F52" s="110"/>
      <c r="G52" s="110"/>
      <c r="H52" s="110"/>
      <c r="K52"/>
      <c r="L52"/>
      <c r="M52"/>
      <c r="N52"/>
    </row>
    <row r="53" spans="1:14" s="1" customFormat="1" ht="15.75">
      <c r="A53" s="37" t="s">
        <v>42</v>
      </c>
      <c r="B53" s="225"/>
      <c r="C53" s="226"/>
      <c r="D53" s="98">
        <f>D30+D31+D32+D33+D34+D35+D36+D37+D38+D40+D41+D42</f>
        <v>268622.088</v>
      </c>
      <c r="E53" s="113">
        <f>D53-D40-D41-D42</f>
        <v>153484.028</v>
      </c>
      <c r="F53" s="110"/>
      <c r="G53" s="110"/>
      <c r="H53" s="110"/>
      <c r="K53"/>
      <c r="L53"/>
      <c r="M53"/>
      <c r="N53"/>
    </row>
    <row r="54" spans="1:14" s="1" customFormat="1" ht="15.75">
      <c r="A54" s="40" t="s">
        <v>43</v>
      </c>
      <c r="B54" s="227" t="s">
        <v>11</v>
      </c>
      <c r="C54" s="228"/>
      <c r="D54" s="229">
        <f>C27-D53</f>
        <v>-18786.1575</v>
      </c>
      <c r="E54" s="113"/>
      <c r="F54" s="110"/>
      <c r="G54" s="110"/>
      <c r="H54" s="110"/>
      <c r="K54"/>
      <c r="L54"/>
      <c r="M54"/>
      <c r="N54"/>
    </row>
    <row r="55" spans="1:14" s="1" customFormat="1" ht="15.75">
      <c r="A55" s="230" t="s">
        <v>12</v>
      </c>
      <c r="B55" s="231" t="s">
        <v>11</v>
      </c>
      <c r="C55" s="212"/>
      <c r="D55" s="196">
        <v>0</v>
      </c>
      <c r="E55" s="110"/>
      <c r="F55" s="110"/>
      <c r="G55" s="110"/>
      <c r="H55" s="110"/>
      <c r="K55"/>
      <c r="L55"/>
      <c r="M55"/>
      <c r="N55"/>
    </row>
    <row r="56" spans="1:14" s="1" customFormat="1" ht="15.75">
      <c r="A56" s="230" t="s">
        <v>13</v>
      </c>
      <c r="B56" s="231" t="s">
        <v>11</v>
      </c>
      <c r="C56" s="212"/>
      <c r="D56" s="198">
        <v>48135.5</v>
      </c>
      <c r="E56" s="110"/>
      <c r="F56" s="110"/>
      <c r="G56" s="110"/>
      <c r="H56" s="110"/>
      <c r="K56"/>
      <c r="L56"/>
      <c r="M56"/>
      <c r="N56"/>
    </row>
    <row r="57" spans="1:14" s="1" customFormat="1" ht="24" customHeight="1">
      <c r="A57" s="492" t="s">
        <v>44</v>
      </c>
      <c r="B57" s="492"/>
      <c r="C57" s="492"/>
      <c r="D57" s="492"/>
      <c r="E57" s="110"/>
      <c r="F57" s="110"/>
      <c r="G57" s="110"/>
      <c r="H57" s="110"/>
      <c r="K57"/>
      <c r="L57"/>
      <c r="M57"/>
      <c r="N57"/>
    </row>
    <row r="58" spans="1:14" s="1" customFormat="1" ht="15.75">
      <c r="A58" s="230" t="s">
        <v>45</v>
      </c>
      <c r="B58" s="211" t="s">
        <v>46</v>
      </c>
      <c r="C58" s="212"/>
      <c r="D58" s="196">
        <v>0</v>
      </c>
      <c r="E58" s="110"/>
      <c r="F58" s="110"/>
      <c r="G58" s="110"/>
      <c r="H58" s="110"/>
      <c r="K58"/>
      <c r="L58"/>
      <c r="M58"/>
      <c r="N58"/>
    </row>
    <row r="59" spans="1:14" s="1" customFormat="1" ht="15.75">
      <c r="A59" s="230" t="s">
        <v>47</v>
      </c>
      <c r="B59" s="211" t="s">
        <v>46</v>
      </c>
      <c r="C59" s="212"/>
      <c r="D59" s="196">
        <v>0</v>
      </c>
      <c r="E59" s="110"/>
      <c r="F59" s="110"/>
      <c r="G59" s="110"/>
      <c r="H59" s="110"/>
      <c r="K59"/>
      <c r="L59"/>
      <c r="M59"/>
      <c r="N59"/>
    </row>
    <row r="60" spans="1:14" s="1" customFormat="1" ht="26.25">
      <c r="A60" s="232" t="s">
        <v>48</v>
      </c>
      <c r="B60" s="211" t="s">
        <v>46</v>
      </c>
      <c r="C60" s="212"/>
      <c r="D60" s="196">
        <v>0</v>
      </c>
      <c r="E60" s="110"/>
      <c r="F60" s="110"/>
      <c r="G60" s="110"/>
      <c r="H60" s="110"/>
      <c r="K60"/>
      <c r="L60"/>
      <c r="M60"/>
      <c r="N60"/>
    </row>
    <row r="61" spans="1:14" s="1" customFormat="1" ht="15.75">
      <c r="A61" s="230" t="s">
        <v>49</v>
      </c>
      <c r="B61" s="211" t="s">
        <v>11</v>
      </c>
      <c r="C61" s="212"/>
      <c r="D61" s="196">
        <v>0</v>
      </c>
      <c r="E61" s="110"/>
      <c r="F61" s="110"/>
      <c r="G61" s="110"/>
      <c r="H61" s="110"/>
      <c r="K61"/>
      <c r="L61"/>
      <c r="M61"/>
      <c r="N61"/>
    </row>
    <row r="62" spans="1:8" ht="20.25" customHeight="1">
      <c r="A62" s="493" t="s">
        <v>50</v>
      </c>
      <c r="B62" s="493"/>
      <c r="C62" s="493"/>
      <c r="D62" s="493"/>
      <c r="E62" s="110"/>
      <c r="F62" s="110"/>
      <c r="G62" s="110"/>
      <c r="H62" s="110"/>
    </row>
    <row r="63" spans="1:8" ht="26.25">
      <c r="A63" s="232" t="s">
        <v>51</v>
      </c>
      <c r="B63" s="211" t="s">
        <v>11</v>
      </c>
      <c r="C63" s="212"/>
      <c r="D63" s="196">
        <v>0</v>
      </c>
      <c r="E63" s="110"/>
      <c r="F63" s="110"/>
      <c r="G63" s="110"/>
      <c r="H63" s="110"/>
    </row>
    <row r="64" spans="1:8" ht="15.75">
      <c r="A64" s="230" t="s">
        <v>12</v>
      </c>
      <c r="B64" s="211" t="s">
        <v>11</v>
      </c>
      <c r="C64" s="212"/>
      <c r="D64" s="196">
        <v>0</v>
      </c>
      <c r="E64" s="110"/>
      <c r="F64" s="110"/>
      <c r="G64" s="110"/>
      <c r="H64" s="110"/>
    </row>
    <row r="65" spans="1:8" ht="15.75">
      <c r="A65" s="230" t="s">
        <v>13</v>
      </c>
      <c r="B65" s="211" t="s">
        <v>11</v>
      </c>
      <c r="C65" s="212"/>
      <c r="D65" s="240">
        <f>D68-D71-D72-D73-D74</f>
        <v>86559.52182199997</v>
      </c>
      <c r="E65" s="110"/>
      <c r="F65" s="110"/>
      <c r="G65" s="110"/>
      <c r="H65" s="114"/>
    </row>
    <row r="66" spans="1:8" ht="26.25">
      <c r="A66" s="234" t="s">
        <v>52</v>
      </c>
      <c r="B66" s="211" t="s">
        <v>11</v>
      </c>
      <c r="C66" s="235"/>
      <c r="D66" s="236">
        <v>0</v>
      </c>
      <c r="E66" s="110"/>
      <c r="F66" s="110"/>
      <c r="G66" s="110"/>
      <c r="H66" s="110"/>
    </row>
    <row r="67" spans="1:10" ht="17.25" customHeight="1">
      <c r="A67" s="257" t="s">
        <v>12</v>
      </c>
      <c r="B67" s="211" t="s">
        <v>11</v>
      </c>
      <c r="C67" s="212"/>
      <c r="D67" s="196">
        <v>0</v>
      </c>
      <c r="E67" s="110"/>
      <c r="F67" s="110"/>
      <c r="G67" s="110"/>
      <c r="H67" s="110"/>
      <c r="I67" s="49"/>
      <c r="J67" s="49"/>
    </row>
    <row r="68" spans="1:14" ht="15.75">
      <c r="A68" s="238" t="s">
        <v>13</v>
      </c>
      <c r="B68" s="211" t="s">
        <v>11</v>
      </c>
      <c r="C68" s="239"/>
      <c r="D68" s="240">
        <v>129066.01</v>
      </c>
      <c r="E68" s="110"/>
      <c r="F68" s="110"/>
      <c r="G68" s="110"/>
      <c r="H68" s="110" t="s">
        <v>26</v>
      </c>
      <c r="I68" s="60"/>
      <c r="J68" s="60"/>
      <c r="K68" s="61"/>
      <c r="L68" s="61"/>
      <c r="M68" s="61"/>
      <c r="N68" s="61"/>
    </row>
    <row r="69" spans="1:14" ht="18" customHeight="1">
      <c r="A69" s="494" t="s">
        <v>53</v>
      </c>
      <c r="B69" s="494"/>
      <c r="C69" s="494"/>
      <c r="D69" s="494"/>
      <c r="E69" s="115"/>
      <c r="F69" s="116"/>
      <c r="G69" s="117"/>
      <c r="H69" s="110"/>
      <c r="I69" s="65"/>
      <c r="J69" s="65"/>
      <c r="K69" s="66"/>
      <c r="L69" s="66"/>
      <c r="M69" s="66"/>
      <c r="N69" s="66"/>
    </row>
    <row r="70" spans="1:14" ht="38.25">
      <c r="A70" s="67" t="s">
        <v>54</v>
      </c>
      <c r="B70" s="68" t="s">
        <v>55</v>
      </c>
      <c r="C70" s="159" t="s">
        <v>56</v>
      </c>
      <c r="D70" s="160" t="s">
        <v>57</v>
      </c>
      <c r="E70" s="115"/>
      <c r="F70" s="116"/>
      <c r="G70" s="117"/>
      <c r="H70" s="110"/>
      <c r="I70" s="65"/>
      <c r="J70" s="71"/>
      <c r="K70" s="66"/>
      <c r="L70" s="66"/>
      <c r="M70" s="66"/>
      <c r="N70" s="66"/>
    </row>
    <row r="71" spans="1:14" ht="15.75">
      <c r="A71" s="241" t="s">
        <v>58</v>
      </c>
      <c r="B71" s="242">
        <v>93849</v>
      </c>
      <c r="C71" s="440">
        <f>B71*0.9318</f>
        <v>87448.4982</v>
      </c>
      <c r="D71" s="441">
        <f>B71-C71</f>
        <v>6400.501799999998</v>
      </c>
      <c r="E71" s="118"/>
      <c r="F71" s="116"/>
      <c r="G71" s="117"/>
      <c r="H71" s="110"/>
      <c r="I71" s="65"/>
      <c r="J71" s="65"/>
      <c r="K71" s="66"/>
      <c r="L71" s="66"/>
      <c r="M71" s="66"/>
      <c r="N71" s="66"/>
    </row>
    <row r="72" spans="1:14" ht="15.75">
      <c r="A72" s="241" t="s">
        <v>59</v>
      </c>
      <c r="B72" s="242">
        <v>92493.67</v>
      </c>
      <c r="C72" s="440">
        <f>B72*0.9318</f>
        <v>86185.601706</v>
      </c>
      <c r="D72" s="441">
        <f>B72-C72</f>
        <v>6308.068293999997</v>
      </c>
      <c r="E72" s="115"/>
      <c r="F72" s="116"/>
      <c r="G72" s="117"/>
      <c r="H72" s="110"/>
      <c r="I72" s="65"/>
      <c r="J72" s="65"/>
      <c r="K72" s="66"/>
      <c r="L72" s="66"/>
      <c r="M72" s="66"/>
      <c r="N72" s="66"/>
    </row>
    <row r="73" spans="1:14" ht="15.75">
      <c r="A73" s="241" t="s">
        <v>60</v>
      </c>
      <c r="B73" s="245">
        <v>364595.34</v>
      </c>
      <c r="C73" s="440">
        <f>B73*0.9318</f>
        <v>339729.937812</v>
      </c>
      <c r="D73" s="441">
        <f>B73-C73</f>
        <v>24865.402188000036</v>
      </c>
      <c r="E73" s="115">
        <f>(2.07+1.8)*6*2301.2-0.37*2301.2*6</f>
        <v>48325.2</v>
      </c>
      <c r="F73" s="119"/>
      <c r="G73" s="120"/>
      <c r="H73" s="115"/>
      <c r="I73" s="65"/>
      <c r="J73" s="65"/>
      <c r="K73" s="66"/>
      <c r="L73" s="66"/>
      <c r="M73" s="66"/>
      <c r="N73" s="66"/>
    </row>
    <row r="74" spans="1:14" ht="16.5" thickBot="1">
      <c r="A74" s="264" t="s">
        <v>318</v>
      </c>
      <c r="B74" s="265">
        <v>72324.28</v>
      </c>
      <c r="C74" s="440">
        <f>B74*0.9318</f>
        <v>67391.764104</v>
      </c>
      <c r="D74" s="442">
        <f>B74-C74</f>
        <v>4932.515895999997</v>
      </c>
      <c r="E74" s="115"/>
      <c r="F74" s="119"/>
      <c r="G74" s="120"/>
      <c r="H74" s="110"/>
      <c r="I74" s="65"/>
      <c r="J74" s="65"/>
      <c r="K74" s="66"/>
      <c r="L74" s="66"/>
      <c r="M74" s="66"/>
      <c r="N74" s="66"/>
    </row>
    <row r="75" spans="1:14" ht="63.75">
      <c r="A75" s="130" t="s">
        <v>62</v>
      </c>
      <c r="B75" s="131" t="s">
        <v>63</v>
      </c>
      <c r="C75" s="131" t="s">
        <v>64</v>
      </c>
      <c r="D75" s="161" t="s">
        <v>65</v>
      </c>
      <c r="E75" s="115"/>
      <c r="F75" s="119"/>
      <c r="G75" s="110"/>
      <c r="H75" s="121"/>
      <c r="I75" s="65"/>
      <c r="J75" s="65"/>
      <c r="K75" s="66"/>
      <c r="L75" s="66"/>
      <c r="M75" s="66"/>
      <c r="N75" s="66"/>
    </row>
    <row r="76" spans="1:14" ht="15.75">
      <c r="A76" s="268" t="s">
        <v>58</v>
      </c>
      <c r="B76" s="247">
        <v>85017.15</v>
      </c>
      <c r="C76" s="440">
        <f>C71</f>
        <v>87448.4982</v>
      </c>
      <c r="D76" s="444">
        <f>B76-C76</f>
        <v>-2431.3482000000076</v>
      </c>
      <c r="E76" s="115"/>
      <c r="F76" s="119"/>
      <c r="G76" s="110"/>
      <c r="H76" s="121"/>
      <c r="I76" s="65"/>
      <c r="J76" s="65" t="s">
        <v>26</v>
      </c>
      <c r="K76" s="66"/>
      <c r="L76" s="66"/>
      <c r="M76" s="66"/>
      <c r="N76" s="66"/>
    </row>
    <row r="77" spans="1:14" ht="15.75">
      <c r="A77" s="268" t="s">
        <v>59</v>
      </c>
      <c r="B77" s="247">
        <v>98682.07</v>
      </c>
      <c r="C77" s="440">
        <f>C72</f>
        <v>86185.601706</v>
      </c>
      <c r="D77" s="444">
        <f>B77-C77</f>
        <v>12496.468294000006</v>
      </c>
      <c r="E77" s="115"/>
      <c r="F77" s="119"/>
      <c r="G77" s="110"/>
      <c r="H77" s="121"/>
      <c r="I77" s="65"/>
      <c r="J77" s="65"/>
      <c r="K77" s="66"/>
      <c r="L77" s="66"/>
      <c r="M77" s="66"/>
      <c r="N77" s="66"/>
    </row>
    <row r="78" spans="1:14" ht="15.75">
      <c r="A78" s="268" t="s">
        <v>60</v>
      </c>
      <c r="B78" s="247">
        <v>315598.65</v>
      </c>
      <c r="C78" s="440">
        <f>C73</f>
        <v>339729.937812</v>
      </c>
      <c r="D78" s="444">
        <f>B78-C78</f>
        <v>-24131.287811999966</v>
      </c>
      <c r="E78" s="115"/>
      <c r="F78" s="119"/>
      <c r="G78" s="110"/>
      <c r="H78" s="121"/>
      <c r="I78" s="65"/>
      <c r="J78" s="65"/>
      <c r="K78" s="66"/>
      <c r="L78" s="66"/>
      <c r="M78" s="66"/>
      <c r="N78" s="66"/>
    </row>
    <row r="79" spans="1:14" ht="15.75">
      <c r="A79" s="264" t="s">
        <v>318</v>
      </c>
      <c r="B79" s="409">
        <v>72324.28</v>
      </c>
      <c r="C79" s="440">
        <f>B79</f>
        <v>72324.28</v>
      </c>
      <c r="D79" s="442">
        <f>B79-C79</f>
        <v>0</v>
      </c>
      <c r="E79" s="115"/>
      <c r="F79" s="119"/>
      <c r="G79" s="110"/>
      <c r="H79" s="121"/>
      <c r="I79" s="65"/>
      <c r="J79" s="65"/>
      <c r="K79" s="66"/>
      <c r="L79" s="66"/>
      <c r="M79" s="66"/>
      <c r="N79" s="66"/>
    </row>
    <row r="80" spans="1:14" ht="15.75">
      <c r="A80" s="449"/>
      <c r="B80" s="449"/>
      <c r="C80" s="447"/>
      <c r="D80" s="450"/>
      <c r="E80" s="115"/>
      <c r="F80" s="74"/>
      <c r="H80" s="65"/>
      <c r="I80" s="65"/>
      <c r="J80" s="65"/>
      <c r="K80" s="66"/>
      <c r="L80" s="66"/>
      <c r="M80" s="66"/>
      <c r="N80" s="66"/>
    </row>
    <row r="81" spans="1:14" ht="26.25">
      <c r="A81" s="254" t="s">
        <v>66</v>
      </c>
      <c r="B81" s="251" t="s">
        <v>11</v>
      </c>
      <c r="C81" s="449"/>
      <c r="D81" s="450">
        <v>29920.27</v>
      </c>
      <c r="E81" s="115"/>
      <c r="F81" s="74"/>
      <c r="H81" s="65"/>
      <c r="I81" s="65"/>
      <c r="J81" s="65" t="s">
        <v>26</v>
      </c>
      <c r="K81" s="66"/>
      <c r="L81" s="66"/>
      <c r="M81" s="66"/>
      <c r="N81" s="66"/>
    </row>
    <row r="82" spans="1:14" ht="17.25" customHeight="1">
      <c r="A82" s="495" t="s">
        <v>67</v>
      </c>
      <c r="B82" s="495"/>
      <c r="C82" s="495"/>
      <c r="D82" s="495"/>
      <c r="E82" s="122" t="e">
        <f>D82+B19</f>
        <v>#VALUE!</v>
      </c>
      <c r="F82" s="65"/>
      <c r="H82" s="85" t="e">
        <f>E82-B18</f>
        <v>#VALUE!</v>
      </c>
      <c r="I82" s="65"/>
      <c r="J82" s="65"/>
      <c r="K82" s="66"/>
      <c r="L82" s="66"/>
      <c r="M82" s="66"/>
      <c r="N82" s="66"/>
    </row>
    <row r="83" spans="1:5" ht="21" customHeight="1">
      <c r="A83" s="87" t="s">
        <v>45</v>
      </c>
      <c r="B83" s="87" t="s">
        <v>46</v>
      </c>
      <c r="C83" s="87"/>
      <c r="D83" s="179">
        <v>1</v>
      </c>
      <c r="E83" s="124"/>
    </row>
    <row r="84" spans="1:5" ht="21" customHeight="1">
      <c r="A84" s="87" t="s">
        <v>47</v>
      </c>
      <c r="B84" s="87" t="s">
        <v>46</v>
      </c>
      <c r="C84" s="87"/>
      <c r="D84" s="179">
        <v>1</v>
      </c>
      <c r="E84" s="124"/>
    </row>
    <row r="85" spans="1:5" ht="18" customHeight="1">
      <c r="A85" s="87" t="s">
        <v>48</v>
      </c>
      <c r="B85" s="87" t="s">
        <v>46</v>
      </c>
      <c r="C85" s="87"/>
      <c r="D85" s="179">
        <v>0</v>
      </c>
      <c r="E85" s="124"/>
    </row>
    <row r="86" spans="1:5" ht="16.5" customHeight="1">
      <c r="A86" s="87" t="s">
        <v>49</v>
      </c>
      <c r="B86" s="87" t="s">
        <v>11</v>
      </c>
      <c r="C86" s="87"/>
      <c r="D86" s="179">
        <v>831.44</v>
      </c>
      <c r="E86" s="124"/>
    </row>
    <row r="87" spans="1:5" ht="15.75" customHeight="1">
      <c r="A87" s="489" t="s">
        <v>68</v>
      </c>
      <c r="B87" s="489"/>
      <c r="C87" s="489"/>
      <c r="D87" s="489"/>
      <c r="E87" s="124"/>
    </row>
    <row r="88" spans="1:5" ht="18.75" customHeight="1">
      <c r="A88" s="87" t="s">
        <v>69</v>
      </c>
      <c r="B88" s="87" t="s">
        <v>46</v>
      </c>
      <c r="C88" s="87"/>
      <c r="D88" s="179">
        <v>1</v>
      </c>
      <c r="E88" s="124"/>
    </row>
    <row r="89" spans="1:5" ht="21.75" customHeight="1">
      <c r="A89" s="87" t="s">
        <v>70</v>
      </c>
      <c r="B89" s="257" t="s">
        <v>46</v>
      </c>
      <c r="C89" s="257"/>
      <c r="D89" s="179">
        <v>0</v>
      </c>
      <c r="E89" s="124"/>
    </row>
    <row r="90" spans="1:5" ht="36" customHeight="1">
      <c r="A90" s="258" t="s">
        <v>71</v>
      </c>
      <c r="B90" s="87" t="s">
        <v>11</v>
      </c>
      <c r="C90" s="87"/>
      <c r="D90" s="179">
        <v>0</v>
      </c>
      <c r="E90" s="124"/>
    </row>
    <row r="91" spans="1:5" ht="15.75">
      <c r="A91" s="259"/>
      <c r="B91" s="259"/>
      <c r="C91" s="259"/>
      <c r="D91" s="260"/>
      <c r="E91" s="110"/>
    </row>
    <row r="92" spans="1:14" s="1" customFormat="1" ht="12.75">
      <c r="A92" s="180"/>
      <c r="B92" s="180"/>
      <c r="C92" s="180"/>
      <c r="D92" s="180"/>
      <c r="E92" s="110"/>
      <c r="H92" s="1" t="s">
        <v>26</v>
      </c>
      <c r="K92"/>
      <c r="L92"/>
      <c r="M92"/>
      <c r="N92"/>
    </row>
    <row r="93" spans="1:14" s="1" customFormat="1" ht="12.75">
      <c r="A93" s="185" t="s">
        <v>210</v>
      </c>
      <c r="B93" s="180"/>
      <c r="C93" s="180"/>
      <c r="D93" s="180"/>
      <c r="E93" s="110"/>
      <c r="K93"/>
      <c r="L93"/>
      <c r="M93"/>
      <c r="N93"/>
    </row>
    <row r="94" spans="1:14" s="1" customFormat="1" ht="12.75">
      <c r="A94" s="180"/>
      <c r="B94" s="180"/>
      <c r="C94" s="180"/>
      <c r="D94" s="180"/>
      <c r="H94" s="1" t="s">
        <v>26</v>
      </c>
      <c r="K94"/>
      <c r="L94"/>
      <c r="M94"/>
      <c r="N94"/>
    </row>
    <row r="95" spans="1:14" s="1" customFormat="1" ht="12.75">
      <c r="A95" s="180" t="s">
        <v>73</v>
      </c>
      <c r="B95" s="180"/>
      <c r="C95" s="180"/>
      <c r="D95" s="180"/>
      <c r="K95"/>
      <c r="L95"/>
      <c r="M95"/>
      <c r="N95"/>
    </row>
    <row r="96" spans="1:4" ht="12.75">
      <c r="A96" s="180"/>
      <c r="B96" s="180"/>
      <c r="C96" s="180"/>
      <c r="D96" s="180"/>
    </row>
    <row r="97" spans="1:4" ht="12.75">
      <c r="A97" s="180"/>
      <c r="B97" s="180"/>
      <c r="C97" s="180"/>
      <c r="D97" s="180"/>
    </row>
    <row r="99" spans="1:14" s="1" customFormat="1" ht="12.75">
      <c r="A99"/>
      <c r="B99"/>
      <c r="C99"/>
      <c r="D99"/>
      <c r="E99" s="1" t="s">
        <v>26</v>
      </c>
      <c r="K99"/>
      <c r="L99"/>
      <c r="M99"/>
      <c r="N99"/>
    </row>
  </sheetData>
  <sheetProtection selectLockedCells="1" selectUnlockedCells="1"/>
  <mergeCells count="13">
    <mergeCell ref="A87:D87"/>
    <mergeCell ref="A14:D14"/>
    <mergeCell ref="A28:D28"/>
    <mergeCell ref="A57:D57"/>
    <mergeCell ref="A62:D62"/>
    <mergeCell ref="A69:D69"/>
    <mergeCell ref="A82:D8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">
      <selection activeCell="E16" sqref="E16:J4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96</v>
      </c>
      <c r="B4" s="486"/>
      <c r="C4" s="486"/>
      <c r="D4" s="486"/>
    </row>
    <row r="5" spans="1:4" ht="5.25" customHeight="1">
      <c r="A5" s="487" t="s">
        <v>241</v>
      </c>
      <c r="B5" s="486"/>
      <c r="C5" s="486"/>
      <c r="D5" s="486"/>
    </row>
    <row r="6" spans="1:4" ht="20.25" customHeight="1">
      <c r="A6" s="261" t="s">
        <v>162</v>
      </c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/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9409.32</v>
      </c>
      <c r="D15" s="196"/>
      <c r="E15" s="110"/>
      <c r="F15" s="110"/>
      <c r="G15" s="110"/>
      <c r="H15" s="110"/>
    </row>
    <row r="16" spans="1:10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  <c r="I16" s="110"/>
      <c r="J16" s="110"/>
    </row>
    <row r="17" spans="1:10" ht="15.75">
      <c r="A17" s="20" t="s">
        <v>13</v>
      </c>
      <c r="B17" s="194" t="s">
        <v>11</v>
      </c>
      <c r="C17" s="197">
        <v>25013.93</v>
      </c>
      <c r="D17" s="198"/>
      <c r="E17" s="110"/>
      <c r="F17" s="110"/>
      <c r="G17" s="110"/>
      <c r="H17" s="110"/>
      <c r="I17" s="110"/>
      <c r="J17" s="110"/>
    </row>
    <row r="18" spans="1:10" ht="31.5" customHeight="1">
      <c r="A18" s="17" t="s">
        <v>14</v>
      </c>
      <c r="B18" s="194" t="s">
        <v>11</v>
      </c>
      <c r="C18" s="197">
        <f>3001.6+2204.88</f>
        <v>5206.48</v>
      </c>
      <c r="D18" s="198"/>
      <c r="E18" s="111">
        <f>C18-C20</f>
        <v>2866.6299999999997</v>
      </c>
      <c r="F18" s="110"/>
      <c r="G18" s="110"/>
      <c r="H18" s="110"/>
      <c r="I18" s="110"/>
      <c r="J18" s="110"/>
    </row>
    <row r="19" spans="1:10" ht="15.75">
      <c r="A19" s="20" t="s">
        <v>15</v>
      </c>
      <c r="B19" s="194" t="s">
        <v>11</v>
      </c>
      <c r="C19" s="197">
        <f>C18-C20-C21</f>
        <v>-2274.5000000000014</v>
      </c>
      <c r="D19" s="198"/>
      <c r="E19" s="111">
        <f>E18-E39</f>
        <v>-5342.035000000002</v>
      </c>
      <c r="F19" s="110"/>
      <c r="G19" s="110"/>
      <c r="H19" s="110" t="s">
        <v>331</v>
      </c>
      <c r="I19" s="110"/>
      <c r="J19" s="110"/>
    </row>
    <row r="20" spans="1:10" ht="15.75">
      <c r="A20" s="20" t="s">
        <v>16</v>
      </c>
      <c r="B20" s="194" t="s">
        <v>11</v>
      </c>
      <c r="C20" s="197">
        <f>102.25*0.22*6+2204.88</f>
        <v>2339.85</v>
      </c>
      <c r="D20" s="198"/>
      <c r="E20" s="112"/>
      <c r="F20" s="110"/>
      <c r="G20" s="110"/>
      <c r="H20" s="110"/>
      <c r="I20" s="110"/>
      <c r="J20" s="110"/>
    </row>
    <row r="21" spans="1:10" ht="15.75">
      <c r="A21" s="20" t="s">
        <v>17</v>
      </c>
      <c r="B21" s="194" t="s">
        <v>11</v>
      </c>
      <c r="C21" s="199">
        <f>102.25*4.19*12</f>
        <v>5141.130000000001</v>
      </c>
      <c r="D21" s="198"/>
      <c r="E21" s="110"/>
      <c r="F21" s="110"/>
      <c r="G21" s="110"/>
      <c r="H21" s="110"/>
      <c r="I21" s="110"/>
      <c r="J21" s="110"/>
    </row>
    <row r="22" spans="1:10" ht="15.75">
      <c r="A22" s="20" t="s">
        <v>18</v>
      </c>
      <c r="B22" s="194" t="s">
        <v>11</v>
      </c>
      <c r="C22" s="197">
        <f>C23+C24+C25+C26+C27</f>
        <v>4565.041663999999</v>
      </c>
      <c r="D22" s="198" t="s">
        <v>19</v>
      </c>
      <c r="E22" s="111" t="e">
        <f>B24+B25+B26+B27+B28</f>
        <v>#VALUE!</v>
      </c>
      <c r="F22" s="110"/>
      <c r="G22" s="110"/>
      <c r="H22" s="110"/>
      <c r="I22" s="110"/>
      <c r="J22" s="110"/>
    </row>
    <row r="23" spans="1:10" ht="15.75">
      <c r="A23" s="20" t="s">
        <v>20</v>
      </c>
      <c r="B23" s="194" t="s">
        <v>11</v>
      </c>
      <c r="C23" s="197">
        <f>C18*0.8768</f>
        <v>4565.041663999999</v>
      </c>
      <c r="D23" s="198"/>
      <c r="E23" s="110"/>
      <c r="F23" s="110"/>
      <c r="G23" s="110"/>
      <c r="H23" s="110"/>
      <c r="I23" s="110"/>
      <c r="J23" s="110"/>
    </row>
    <row r="24" spans="1:10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  <c r="I24" s="110"/>
      <c r="J24" s="110"/>
    </row>
    <row r="25" spans="1:10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  <c r="I25" s="110"/>
      <c r="J25" s="110"/>
    </row>
    <row r="26" spans="1:10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  <c r="I26" s="110"/>
      <c r="J26" s="110"/>
    </row>
    <row r="27" spans="1:10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  <c r="I27" s="110"/>
      <c r="J27" s="110"/>
    </row>
    <row r="28" spans="1:10" ht="15.75">
      <c r="A28" s="20" t="s">
        <v>25</v>
      </c>
      <c r="B28" s="194" t="s">
        <v>11</v>
      </c>
      <c r="C28" s="197">
        <f>C15+C22</f>
        <v>13974.361664</v>
      </c>
      <c r="D28" s="198" t="s">
        <v>26</v>
      </c>
      <c r="E28" s="112" t="e">
        <f>B28/#REF!*1</f>
        <v>#VALUE!</v>
      </c>
      <c r="F28" s="110"/>
      <c r="G28" s="110"/>
      <c r="H28" s="110"/>
      <c r="I28" s="110"/>
      <c r="J28" s="110"/>
    </row>
    <row r="29" spans="1:10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  <c r="J29" s="110"/>
    </row>
    <row r="30" spans="1:10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  <c r="I30" s="110"/>
      <c r="J30" s="110"/>
    </row>
    <row r="31" spans="1:10" ht="15.75">
      <c r="A31" s="206" t="s">
        <v>32</v>
      </c>
      <c r="B31" s="207" t="s">
        <v>33</v>
      </c>
      <c r="C31" s="208" t="s">
        <v>34</v>
      </c>
      <c r="D31" s="209">
        <f>(0.5+0.65)*6*102.25</f>
        <v>705.525</v>
      </c>
      <c r="E31" s="110"/>
      <c r="F31" s="110"/>
      <c r="G31" s="110"/>
      <c r="H31" s="110"/>
      <c r="I31" s="110"/>
      <c r="J31" s="110"/>
    </row>
    <row r="32" spans="1:10" ht="15.75">
      <c r="A32" s="210" t="s">
        <v>36</v>
      </c>
      <c r="B32" s="211" t="s">
        <v>33</v>
      </c>
      <c r="C32" s="212" t="s">
        <v>37</v>
      </c>
      <c r="D32" s="213">
        <f>0.24*12*102.25</f>
        <v>294.47999999999996</v>
      </c>
      <c r="E32" s="110"/>
      <c r="F32" s="110"/>
      <c r="G32" s="110"/>
      <c r="H32" s="110"/>
      <c r="I32" s="110"/>
      <c r="J32" s="110"/>
    </row>
    <row r="33" spans="1:10" ht="15.75">
      <c r="A33" s="296" t="s">
        <v>98</v>
      </c>
      <c r="B33" s="211" t="s">
        <v>33</v>
      </c>
      <c r="C33" s="212" t="s">
        <v>34</v>
      </c>
      <c r="D33" s="213">
        <f>(0.8+0.64)*6*102.25</f>
        <v>883.44</v>
      </c>
      <c r="E33" s="110"/>
      <c r="F33" s="110"/>
      <c r="G33" s="110"/>
      <c r="H33" s="110"/>
      <c r="I33" s="110"/>
      <c r="J33" s="110"/>
    </row>
    <row r="34" spans="1:10" ht="15.75">
      <c r="A34" s="210" t="s">
        <v>38</v>
      </c>
      <c r="B34" s="211" t="s">
        <v>35</v>
      </c>
      <c r="C34" s="368" t="s">
        <v>237</v>
      </c>
      <c r="D34" s="213">
        <f>4.19*102.25*12</f>
        <v>5141.130000000001</v>
      </c>
      <c r="E34" s="110"/>
      <c r="F34" s="110"/>
      <c r="G34" s="110"/>
      <c r="H34" s="110"/>
      <c r="I34" s="110"/>
      <c r="J34" s="110"/>
    </row>
    <row r="35" spans="1:10" ht="15.75">
      <c r="A35" s="210" t="s">
        <v>81</v>
      </c>
      <c r="B35" s="211" t="s">
        <v>82</v>
      </c>
      <c r="C35" s="368" t="s">
        <v>34</v>
      </c>
      <c r="D35" s="213">
        <f>102.25*0.24*6</f>
        <v>147.24</v>
      </c>
      <c r="E35" s="110"/>
      <c r="F35" s="110"/>
      <c r="G35" s="110"/>
      <c r="H35" s="110"/>
      <c r="I35" s="110"/>
      <c r="J35" s="110"/>
    </row>
    <row r="36" spans="1:10" ht="15.75">
      <c r="A36" s="210" t="s">
        <v>85</v>
      </c>
      <c r="B36" s="211" t="s">
        <v>238</v>
      </c>
      <c r="C36" s="368" t="s">
        <v>37</v>
      </c>
      <c r="D36" s="213">
        <v>1036.85</v>
      </c>
      <c r="E36" s="110"/>
      <c r="F36" s="110"/>
      <c r="G36" s="110"/>
      <c r="H36" s="110"/>
      <c r="I36" s="110"/>
      <c r="J36" s="110"/>
    </row>
    <row r="37" spans="1:14" s="1" customFormat="1" ht="47.25">
      <c r="A37" s="297" t="s">
        <v>40</v>
      </c>
      <c r="B37" s="218" t="s">
        <v>41</v>
      </c>
      <c r="C37" s="224"/>
      <c r="D37" s="410">
        <f>D38</f>
        <v>5342</v>
      </c>
      <c r="E37" s="110"/>
      <c r="F37" s="110"/>
      <c r="G37" s="110"/>
      <c r="H37" s="110"/>
      <c r="I37" s="110"/>
      <c r="J37" s="110"/>
      <c r="K37"/>
      <c r="L37"/>
      <c r="M37"/>
      <c r="N37"/>
    </row>
    <row r="38" spans="1:14" s="1" customFormat="1" ht="15.75">
      <c r="A38" s="219" t="s">
        <v>295</v>
      </c>
      <c r="B38" s="220" t="s">
        <v>159</v>
      </c>
      <c r="C38" s="372"/>
      <c r="D38" s="411">
        <v>5342</v>
      </c>
      <c r="E38" s="110"/>
      <c r="F38" s="110"/>
      <c r="G38" s="110"/>
      <c r="H38" s="110"/>
      <c r="I38" s="110"/>
      <c r="J38" s="110"/>
      <c r="K38"/>
      <c r="L38"/>
      <c r="M38"/>
      <c r="N38"/>
    </row>
    <row r="39" spans="1:14" s="1" customFormat="1" ht="15.75">
      <c r="A39" s="37" t="s">
        <v>42</v>
      </c>
      <c r="B39" s="225"/>
      <c r="C39" s="226"/>
      <c r="D39" s="98">
        <f>D31+D32+D33+D34+D35+D36+D37</f>
        <v>13550.665</v>
      </c>
      <c r="E39" s="113">
        <f>D39-D38</f>
        <v>8208.665</v>
      </c>
      <c r="F39" s="110"/>
      <c r="G39" s="110"/>
      <c r="H39" s="110"/>
      <c r="I39" s="110"/>
      <c r="J39" s="110"/>
      <c r="K39"/>
      <c r="L39"/>
      <c r="M39"/>
      <c r="N39"/>
    </row>
    <row r="40" spans="1:14" s="1" customFormat="1" ht="15.75">
      <c r="A40" s="40" t="s">
        <v>43</v>
      </c>
      <c r="B40" s="227" t="s">
        <v>11</v>
      </c>
      <c r="C40" s="228"/>
      <c r="D40" s="229">
        <f>C28-D39</f>
        <v>423.69666399999915</v>
      </c>
      <c r="E40" s="113"/>
      <c r="F40" s="110"/>
      <c r="G40" s="110"/>
      <c r="H40" s="110"/>
      <c r="I40" s="110"/>
      <c r="J40" s="110"/>
      <c r="K40"/>
      <c r="L40"/>
      <c r="M40"/>
      <c r="N40"/>
    </row>
    <row r="41" spans="1:14" s="1" customFormat="1" ht="15.75">
      <c r="A41" s="230" t="s">
        <v>12</v>
      </c>
      <c r="B41" s="231" t="s">
        <v>11</v>
      </c>
      <c r="C41" s="212"/>
      <c r="D41" s="196">
        <v>0</v>
      </c>
      <c r="E41" s="110"/>
      <c r="F41" s="110"/>
      <c r="G41" s="110"/>
      <c r="H41" s="110"/>
      <c r="I41" s="110"/>
      <c r="J41" s="110"/>
      <c r="K41"/>
      <c r="L41"/>
      <c r="M41"/>
      <c r="N41"/>
    </row>
    <row r="42" spans="1:14" s="1" customFormat="1" ht="15.75">
      <c r="A42" s="230" t="s">
        <v>13</v>
      </c>
      <c r="B42" s="231" t="s">
        <v>11</v>
      </c>
      <c r="C42" s="212"/>
      <c r="D42" s="198">
        <v>9039</v>
      </c>
      <c r="E42" s="110"/>
      <c r="F42" s="110"/>
      <c r="G42" s="110"/>
      <c r="H42" s="110"/>
      <c r="I42" s="110"/>
      <c r="J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I43" s="110"/>
      <c r="J43" s="110"/>
      <c r="K43"/>
      <c r="L43"/>
      <c r="M43"/>
      <c r="N43"/>
    </row>
    <row r="44" spans="1:14" s="1" customFormat="1" ht="15.75">
      <c r="A44" s="230" t="s">
        <v>45</v>
      </c>
      <c r="B44" s="211" t="s">
        <v>46</v>
      </c>
      <c r="C44" s="212"/>
      <c r="D44" s="196">
        <v>0</v>
      </c>
      <c r="E44" s="110"/>
      <c r="F44" s="110"/>
      <c r="G44" s="110"/>
      <c r="H44" s="110"/>
      <c r="I44" s="110"/>
      <c r="J44" s="110"/>
      <c r="K44"/>
      <c r="L44"/>
      <c r="M44"/>
      <c r="N44"/>
    </row>
    <row r="45" spans="1:14" s="1" customFormat="1" ht="15.75">
      <c r="A45" s="230" t="s">
        <v>47</v>
      </c>
      <c r="B45" s="211" t="s">
        <v>46</v>
      </c>
      <c r="C45" s="212"/>
      <c r="D45" s="196">
        <v>0</v>
      </c>
      <c r="E45" s="110"/>
      <c r="F45" s="110"/>
      <c r="G45" s="110"/>
      <c r="H45" s="110"/>
      <c r="I45" s="110"/>
      <c r="J45" s="110"/>
      <c r="K45"/>
      <c r="L45"/>
      <c r="M45"/>
      <c r="N45"/>
    </row>
    <row r="46" spans="1:14" s="1" customFormat="1" ht="15.75">
      <c r="A46" s="232" t="s">
        <v>48</v>
      </c>
      <c r="B46" s="211" t="s">
        <v>46</v>
      </c>
      <c r="C46" s="212"/>
      <c r="D46" s="196">
        <v>0</v>
      </c>
      <c r="E46" s="110"/>
      <c r="F46" s="110"/>
      <c r="G46" s="110"/>
      <c r="H46" s="110"/>
      <c r="I46" s="110"/>
      <c r="J46" s="110"/>
      <c r="K46"/>
      <c r="L46"/>
      <c r="M46"/>
      <c r="N46"/>
    </row>
    <row r="47" spans="1:14" s="1" customFormat="1" ht="15.75">
      <c r="A47" s="230" t="s">
        <v>49</v>
      </c>
      <c r="B47" s="211" t="s">
        <v>11</v>
      </c>
      <c r="C47" s="212"/>
      <c r="D47" s="196">
        <v>0</v>
      </c>
      <c r="E47" s="110"/>
      <c r="F47" s="110"/>
      <c r="G47" s="110"/>
      <c r="H47" s="110"/>
      <c r="I47" s="110"/>
      <c r="J47" s="110"/>
      <c r="K47"/>
      <c r="L47"/>
      <c r="M47"/>
      <c r="N47"/>
    </row>
    <row r="48" spans="1:10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  <c r="I48" s="110"/>
      <c r="J48" s="110"/>
    </row>
    <row r="49" spans="1:10" ht="26.25">
      <c r="A49" s="232" t="s">
        <v>51</v>
      </c>
      <c r="B49" s="211" t="s">
        <v>11</v>
      </c>
      <c r="C49" s="212"/>
      <c r="D49" s="196">
        <v>0</v>
      </c>
      <c r="E49" s="110"/>
      <c r="F49" s="110"/>
      <c r="G49" s="110"/>
      <c r="H49" s="110"/>
      <c r="I49" s="110"/>
      <c r="J49" s="110"/>
    </row>
    <row r="50" spans="1:8" ht="15.75">
      <c r="A50" s="230" t="s">
        <v>12</v>
      </c>
      <c r="B50" s="211" t="s">
        <v>11</v>
      </c>
      <c r="C50" s="212"/>
      <c r="D50" s="196">
        <v>0</v>
      </c>
      <c r="E50" s="110"/>
      <c r="F50" s="110"/>
      <c r="G50" s="110"/>
      <c r="H50" s="110"/>
    </row>
    <row r="51" spans="1:8" ht="15.75">
      <c r="A51" s="230" t="s">
        <v>13</v>
      </c>
      <c r="B51" s="211" t="s">
        <v>11</v>
      </c>
      <c r="C51" s="212"/>
      <c r="D51" s="240">
        <f>D54-D57-D59-D60</f>
        <v>58632.62678399999</v>
      </c>
      <c r="E51" s="110"/>
      <c r="F51" s="110"/>
      <c r="G51" s="110"/>
      <c r="H51" s="114"/>
    </row>
    <row r="52" spans="1:8" ht="26.25">
      <c r="A52" s="234" t="s">
        <v>52</v>
      </c>
      <c r="B52" s="211" t="s">
        <v>11</v>
      </c>
      <c r="C52" s="235"/>
      <c r="D52" s="236">
        <v>0</v>
      </c>
      <c r="E52" s="110"/>
      <c r="F52" s="110"/>
      <c r="G52" s="110"/>
      <c r="H52" s="110"/>
    </row>
    <row r="53" spans="1:10" ht="17.25" customHeight="1">
      <c r="A53" s="257" t="s">
        <v>12</v>
      </c>
      <c r="B53" s="211" t="s">
        <v>11</v>
      </c>
      <c r="C53" s="279"/>
      <c r="D53" s="55">
        <v>0</v>
      </c>
      <c r="E53" s="110"/>
      <c r="F53" s="110"/>
      <c r="G53" s="110"/>
      <c r="H53" s="110"/>
      <c r="I53" s="49"/>
      <c r="J53" s="49"/>
    </row>
    <row r="54" spans="1:14" ht="15.75">
      <c r="A54" s="238" t="s">
        <v>13</v>
      </c>
      <c r="B54" s="211" t="s">
        <v>11</v>
      </c>
      <c r="C54" s="239"/>
      <c r="D54" s="240">
        <v>63111.24</v>
      </c>
      <c r="E54" s="110"/>
      <c r="F54" s="110"/>
      <c r="G54" s="110"/>
      <c r="H54" s="110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116"/>
      <c r="G55" s="117"/>
      <c r="H55" s="110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116"/>
      <c r="G56" s="117"/>
      <c r="H56" s="110"/>
      <c r="I56" s="65"/>
      <c r="J56" s="71"/>
      <c r="K56" s="66"/>
      <c r="L56" s="66"/>
      <c r="M56" s="66"/>
      <c r="N56" s="66"/>
    </row>
    <row r="57" spans="1:14" ht="15.75">
      <c r="A57" s="241" t="s">
        <v>58</v>
      </c>
      <c r="B57" s="242">
        <v>22978.68</v>
      </c>
      <c r="C57" s="243">
        <f>B57*0.8768</f>
        <v>20147.706624000002</v>
      </c>
      <c r="D57" s="244">
        <f>B57-C57</f>
        <v>2830.973375999998</v>
      </c>
      <c r="E57" s="118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59</v>
      </c>
      <c r="B58" s="242">
        <v>0</v>
      </c>
      <c r="C58" s="243">
        <f>B58*0.8768</f>
        <v>0</v>
      </c>
      <c r="D58" s="244">
        <f>B58-C58</f>
        <v>0</v>
      </c>
      <c r="E58" s="115"/>
      <c r="F58" s="116"/>
      <c r="G58" s="117"/>
      <c r="H58" s="110"/>
      <c r="I58" s="65"/>
      <c r="J58" s="65"/>
      <c r="K58" s="66"/>
      <c r="L58" s="66"/>
      <c r="M58" s="66"/>
      <c r="N58" s="66"/>
    </row>
    <row r="59" spans="1:14" ht="15.75">
      <c r="A59" s="241" t="s">
        <v>60</v>
      </c>
      <c r="B59" s="245">
        <v>6737.4</v>
      </c>
      <c r="C59" s="243">
        <f>B59*0.8768</f>
        <v>5907.35232</v>
      </c>
      <c r="D59" s="244">
        <f>B59-C59</f>
        <v>830.0476799999997</v>
      </c>
      <c r="E59" s="115">
        <f>(2.07+1.8)*6*2301.2-0.37*2301.2*6</f>
        <v>48325.2</v>
      </c>
      <c r="F59" s="119"/>
      <c r="G59" s="120"/>
      <c r="H59" s="115"/>
      <c r="I59" s="65"/>
      <c r="J59" s="65"/>
      <c r="K59" s="66"/>
      <c r="L59" s="66"/>
      <c r="M59" s="66"/>
      <c r="N59" s="66"/>
    </row>
    <row r="60" spans="1:14" ht="16.5" thickBot="1">
      <c r="A60" s="264" t="s">
        <v>318</v>
      </c>
      <c r="B60" s="265">
        <v>6636.3</v>
      </c>
      <c r="C60" s="266">
        <f>B60*0.8768</f>
        <v>5818.70784</v>
      </c>
      <c r="D60" s="267">
        <f>B60-C60</f>
        <v>817.5921600000001</v>
      </c>
      <c r="E60" s="115"/>
      <c r="F60" s="119"/>
      <c r="G60" s="120"/>
      <c r="H60" s="110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115"/>
      <c r="F61" s="119"/>
      <c r="G61" s="110"/>
      <c r="H61" s="121"/>
      <c r="I61" s="65"/>
      <c r="J61" s="65"/>
      <c r="K61" s="66"/>
      <c r="L61" s="66"/>
      <c r="M61" s="66"/>
      <c r="N61" s="66"/>
    </row>
    <row r="62" spans="1:14" ht="15.75">
      <c r="A62" s="268" t="s">
        <v>58</v>
      </c>
      <c r="B62" s="247">
        <f>B57</f>
        <v>22978.68</v>
      </c>
      <c r="C62" s="248">
        <f>C57</f>
        <v>20147.706624000002</v>
      </c>
      <c r="D62" s="269">
        <f>B62-C62</f>
        <v>2830.973375999998</v>
      </c>
      <c r="E62" s="115"/>
      <c r="F62" s="119"/>
      <c r="G62" s="110"/>
      <c r="H62" s="121"/>
      <c r="I62" s="65"/>
      <c r="J62" s="65" t="s">
        <v>26</v>
      </c>
      <c r="K62" s="66"/>
      <c r="L62" s="66"/>
      <c r="M62" s="66"/>
      <c r="N62" s="66"/>
    </row>
    <row r="63" spans="1:14" ht="15.75">
      <c r="A63" s="268" t="s">
        <v>59</v>
      </c>
      <c r="B63" s="247">
        <f>B58</f>
        <v>0</v>
      </c>
      <c r="C63" s="248">
        <f>C58*1.0063</f>
        <v>0</v>
      </c>
      <c r="D63" s="269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.75">
      <c r="A64" s="268" t="s">
        <v>60</v>
      </c>
      <c r="B64" s="247">
        <f>B59</f>
        <v>6737.4</v>
      </c>
      <c r="C64" s="248">
        <f>C59</f>
        <v>5907.35232</v>
      </c>
      <c r="D64" s="269">
        <f>B64-C64</f>
        <v>830.0476799999997</v>
      </c>
      <c r="E64" s="115"/>
      <c r="F64" s="119"/>
      <c r="G64" s="110"/>
      <c r="H64" s="121"/>
      <c r="I64" s="65"/>
      <c r="J64" s="65"/>
      <c r="K64" s="66"/>
      <c r="L64" s="66"/>
      <c r="M64" s="66"/>
      <c r="N64" s="66"/>
    </row>
    <row r="65" spans="1:14" ht="16.5" thickBot="1">
      <c r="A65" s="414" t="s">
        <v>318</v>
      </c>
      <c r="B65" s="415">
        <v>6636.3</v>
      </c>
      <c r="C65" s="416">
        <v>5818.70784</v>
      </c>
      <c r="D65" s="417">
        <v>817.5921600000001</v>
      </c>
      <c r="E65" s="115"/>
      <c r="F65" s="119"/>
      <c r="G65" s="110"/>
      <c r="H65" s="121" t="s">
        <v>26</v>
      </c>
      <c r="I65" s="65"/>
      <c r="J65" s="65"/>
      <c r="K65" s="66"/>
      <c r="L65" s="66"/>
      <c r="M65" s="66"/>
      <c r="N65" s="66"/>
    </row>
    <row r="66" spans="1:14" ht="26.25">
      <c r="A66" s="412" t="s">
        <v>66</v>
      </c>
      <c r="B66" s="251" t="s">
        <v>11</v>
      </c>
      <c r="C66" s="413"/>
      <c r="D66" s="253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15.75">
      <c r="A67" s="495" t="s">
        <v>67</v>
      </c>
      <c r="B67" s="495"/>
      <c r="C67" s="495"/>
      <c r="D67" s="495"/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87" t="s">
        <v>45</v>
      </c>
      <c r="B68" s="87" t="s">
        <v>46</v>
      </c>
      <c r="C68" s="87"/>
      <c r="D68" s="179">
        <v>0</v>
      </c>
      <c r="E68" s="84" t="e">
        <f>D67+B19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7" t="s">
        <v>47</v>
      </c>
      <c r="B69" s="87" t="s">
        <v>46</v>
      </c>
      <c r="C69" s="87"/>
      <c r="D69" s="179">
        <v>0</v>
      </c>
      <c r="E69" s="89"/>
    </row>
    <row r="70" spans="1:5" ht="21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8" customHeight="1">
      <c r="A71" s="87" t="s">
        <v>49</v>
      </c>
      <c r="B71" s="87" t="s">
        <v>11</v>
      </c>
      <c r="C71" s="87"/>
      <c r="D71" s="179">
        <v>0</v>
      </c>
      <c r="E71" s="89"/>
    </row>
    <row r="72" spans="1:5" ht="16.5" customHeight="1">
      <c r="A72" s="489" t="s">
        <v>68</v>
      </c>
      <c r="B72" s="489"/>
      <c r="C72" s="489"/>
      <c r="D72" s="489"/>
      <c r="E72" s="89"/>
    </row>
    <row r="73" spans="1:5" ht="15.75" customHeight="1">
      <c r="A73" s="87" t="s">
        <v>69</v>
      </c>
      <c r="B73" s="87" t="s">
        <v>46</v>
      </c>
      <c r="C73" s="87"/>
      <c r="D73" s="179"/>
      <c r="E73" s="89"/>
    </row>
    <row r="74" spans="1:5" ht="18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21.75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5" ht="36" customHeight="1">
      <c r="A76" s="259"/>
      <c r="B76" s="259"/>
      <c r="C76" s="259"/>
      <c r="D76" s="260"/>
      <c r="E76" s="89"/>
    </row>
    <row r="77" spans="1:4" ht="12.75">
      <c r="A77" s="180"/>
      <c r="B77" s="180"/>
      <c r="C77" s="180"/>
      <c r="D77" s="180"/>
    </row>
    <row r="78" spans="1:14" s="1" customFormat="1" ht="12.75">
      <c r="A78" s="180" t="s">
        <v>72</v>
      </c>
      <c r="B78" s="180"/>
      <c r="C78" s="180"/>
      <c r="D78" s="180"/>
      <c r="H78" s="1" t="s">
        <v>26</v>
      </c>
      <c r="K78"/>
      <c r="L78"/>
      <c r="M78"/>
      <c r="N78"/>
    </row>
    <row r="79" spans="1:14" s="1" customFormat="1" ht="12.75">
      <c r="A79" s="180"/>
      <c r="B79" s="180"/>
      <c r="C79" s="180"/>
      <c r="D79" s="180"/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H80" s="1" t="s">
        <v>26</v>
      </c>
      <c r="K80"/>
      <c r="L80"/>
      <c r="M80"/>
      <c r="N80"/>
    </row>
    <row r="81" spans="1:14" s="1" customFormat="1" ht="12.75">
      <c r="A81" s="180"/>
      <c r="B81" s="180"/>
      <c r="C81" s="180"/>
      <c r="D81" s="180"/>
      <c r="K81"/>
      <c r="L81"/>
      <c r="M81"/>
      <c r="N81"/>
    </row>
    <row r="82" spans="1:4" ht="12.75">
      <c r="A82" s="180"/>
      <c r="B82" s="180"/>
      <c r="C82" s="180"/>
      <c r="D82" s="180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2:D72"/>
    <mergeCell ref="A14:D14"/>
    <mergeCell ref="A29:D29"/>
    <mergeCell ref="A43:D43"/>
    <mergeCell ref="A48:D48"/>
    <mergeCell ref="A55:D55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="80" zoomScaleNormal="80" zoomScalePageLayoutView="0" workbookViewId="0" topLeftCell="A1">
      <selection activeCell="E15" sqref="E15:J5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99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185" t="s">
        <v>332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5" ht="12.75">
      <c r="A13" s="20" t="s">
        <v>8</v>
      </c>
      <c r="B13" s="191"/>
      <c r="C13" s="192" t="s">
        <v>244</v>
      </c>
      <c r="D13" s="193"/>
      <c r="E13" s="110"/>
    </row>
    <row r="14" spans="1:5" ht="31.5" customHeight="1">
      <c r="A14" s="490" t="s">
        <v>9</v>
      </c>
      <c r="B14" s="490"/>
      <c r="C14" s="490"/>
      <c r="D14" s="490"/>
      <c r="E14" s="59"/>
    </row>
    <row r="15" spans="1:10" ht="26.25">
      <c r="A15" s="17" t="s">
        <v>10</v>
      </c>
      <c r="B15" s="194" t="s">
        <v>11</v>
      </c>
      <c r="C15" s="197">
        <v>69387.79</v>
      </c>
      <c r="D15" s="196"/>
      <c r="E15" s="110"/>
      <c r="F15" s="110"/>
      <c r="G15" s="110"/>
      <c r="H15" s="110"/>
      <c r="I15" s="110"/>
      <c r="J15" s="110"/>
    </row>
    <row r="16" spans="1:10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  <c r="I16" s="110"/>
      <c r="J16" s="110"/>
    </row>
    <row r="17" spans="1:10" ht="15.75">
      <c r="A17" s="20" t="s">
        <v>13</v>
      </c>
      <c r="B17" s="194" t="s">
        <v>11</v>
      </c>
      <c r="C17" s="197">
        <v>770.32</v>
      </c>
      <c r="D17" s="198"/>
      <c r="E17" s="110"/>
      <c r="F17" s="110"/>
      <c r="G17" s="110"/>
      <c r="H17" s="110"/>
      <c r="I17" s="110"/>
      <c r="J17" s="110"/>
    </row>
    <row r="18" spans="1:10" ht="31.5" customHeight="1">
      <c r="A18" s="17" t="s">
        <v>14</v>
      </c>
      <c r="B18" s="194" t="s">
        <v>11</v>
      </c>
      <c r="C18" s="197">
        <f>14319.06+3499.2</f>
        <v>17818.26</v>
      </c>
      <c r="D18" s="198"/>
      <c r="E18" s="111">
        <f>C18-C20</f>
        <v>6486.804</v>
      </c>
      <c r="F18" s="110"/>
      <c r="G18" s="110"/>
      <c r="H18" s="110"/>
      <c r="I18" s="110"/>
      <c r="J18" s="110"/>
    </row>
    <row r="19" spans="1:10" ht="15.75">
      <c r="A19" s="20" t="s">
        <v>15</v>
      </c>
      <c r="B19" s="194" t="s">
        <v>11</v>
      </c>
      <c r="C19" s="197">
        <f>C18-C20-C21</f>
        <v>-1289.8140000000003</v>
      </c>
      <c r="D19" s="198"/>
      <c r="E19" s="111">
        <f>E18-E40</f>
        <v>-7234.497999999996</v>
      </c>
      <c r="F19" s="110"/>
      <c r="G19" s="110"/>
      <c r="H19" s="385" t="s">
        <v>333</v>
      </c>
      <c r="I19" s="110"/>
      <c r="J19" s="110"/>
    </row>
    <row r="20" spans="1:10" ht="15.75">
      <c r="A20" s="20" t="s">
        <v>16</v>
      </c>
      <c r="B20" s="194" t="s">
        <v>11</v>
      </c>
      <c r="C20" s="197">
        <f>(4.63+4.41)*6*144.4+3499.2</f>
        <v>11331.455999999998</v>
      </c>
      <c r="D20" s="198"/>
      <c r="E20" s="112"/>
      <c r="F20" s="110"/>
      <c r="G20" s="110"/>
      <c r="H20" s="110"/>
      <c r="I20" s="110"/>
      <c r="J20" s="110"/>
    </row>
    <row r="21" spans="1:10" ht="15.75">
      <c r="A21" s="20" t="s">
        <v>17</v>
      </c>
      <c r="B21" s="194" t="s">
        <v>11</v>
      </c>
      <c r="C21" s="199">
        <f>142.9*(4.88+4.19)*6</f>
        <v>7776.618</v>
      </c>
      <c r="D21" s="198"/>
      <c r="E21" s="110"/>
      <c r="F21" s="110"/>
      <c r="G21" s="110"/>
      <c r="H21" s="110"/>
      <c r="I21" s="110"/>
      <c r="J21" s="110"/>
    </row>
    <row r="22" spans="1:10" ht="15.75">
      <c r="A22" s="20" t="s">
        <v>18</v>
      </c>
      <c r="B22" s="194" t="s">
        <v>11</v>
      </c>
      <c r="C22" s="197">
        <f>C23+C24+C25+C26+C27</f>
        <v>18534.554052</v>
      </c>
      <c r="D22" s="198" t="s">
        <v>19</v>
      </c>
      <c r="E22" s="111"/>
      <c r="F22" s="110"/>
      <c r="G22" s="110"/>
      <c r="H22" s="110"/>
      <c r="I22" s="110"/>
      <c r="J22" s="110"/>
    </row>
    <row r="23" spans="1:10" ht="15.75">
      <c r="A23" s="20" t="s">
        <v>20</v>
      </c>
      <c r="B23" s="194" t="s">
        <v>11</v>
      </c>
      <c r="C23" s="197">
        <f>C18*1.0402</f>
        <v>18534.554052</v>
      </c>
      <c r="D23" s="198"/>
      <c r="E23" s="110"/>
      <c r="F23" s="110"/>
      <c r="G23" s="110"/>
      <c r="H23" s="110"/>
      <c r="I23" s="110"/>
      <c r="J23" s="110"/>
    </row>
    <row r="24" spans="1:10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  <c r="I24" s="110"/>
      <c r="J24" s="110"/>
    </row>
    <row r="25" spans="1:10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  <c r="I25" s="110"/>
      <c r="J25" s="110"/>
    </row>
    <row r="26" spans="1:10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  <c r="I26" s="110"/>
      <c r="J26" s="110"/>
    </row>
    <row r="27" spans="1:10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  <c r="I27" s="110"/>
      <c r="J27" s="110"/>
    </row>
    <row r="28" spans="1:10" ht="15.75">
      <c r="A28" s="20" t="s">
        <v>25</v>
      </c>
      <c r="B28" s="194" t="s">
        <v>11</v>
      </c>
      <c r="C28" s="197">
        <f>C15+C22</f>
        <v>87922.344052</v>
      </c>
      <c r="D28" s="198" t="s">
        <v>26</v>
      </c>
      <c r="E28" s="112" t="e">
        <f>B28/#REF!*1</f>
        <v>#VALUE!</v>
      </c>
      <c r="F28" s="110"/>
      <c r="G28" s="110"/>
      <c r="H28" s="110"/>
      <c r="I28" s="110"/>
      <c r="J28" s="110"/>
    </row>
    <row r="29" spans="1:10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  <c r="J29" s="110"/>
    </row>
    <row r="30" spans="1:10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  <c r="I30" s="110"/>
      <c r="J30" s="110"/>
    </row>
    <row r="31" spans="1:10" ht="15.75">
      <c r="A31" s="206" t="s">
        <v>32</v>
      </c>
      <c r="B31" s="207" t="s">
        <v>33</v>
      </c>
      <c r="C31" s="208" t="s">
        <v>34</v>
      </c>
      <c r="D31" s="209">
        <f>(0.81+0.85)*6*144.4</f>
        <v>1438.2240000000002</v>
      </c>
      <c r="E31" s="110"/>
      <c r="F31" s="110"/>
      <c r="G31" s="110"/>
      <c r="H31" s="110"/>
      <c r="I31" s="110"/>
      <c r="J31" s="110"/>
    </row>
    <row r="32" spans="1:10" ht="15.75">
      <c r="A32" s="210" t="s">
        <v>36</v>
      </c>
      <c r="B32" s="211" t="s">
        <v>33</v>
      </c>
      <c r="C32" s="212" t="s">
        <v>37</v>
      </c>
      <c r="D32" s="213">
        <f>0.24*12*144.4</f>
        <v>415.872</v>
      </c>
      <c r="E32" s="110"/>
      <c r="F32" s="110"/>
      <c r="G32" s="110"/>
      <c r="H32" s="110"/>
      <c r="I32" s="110"/>
      <c r="J32" s="110"/>
    </row>
    <row r="33" spans="1:10" ht="15.75">
      <c r="A33" s="210" t="s">
        <v>100</v>
      </c>
      <c r="B33" s="211" t="s">
        <v>33</v>
      </c>
      <c r="C33" s="212" t="s">
        <v>34</v>
      </c>
      <c r="D33" s="213">
        <v>92.83</v>
      </c>
      <c r="E33" s="110"/>
      <c r="F33" s="110"/>
      <c r="G33" s="110"/>
      <c r="H33" s="110"/>
      <c r="I33" s="110"/>
      <c r="J33" s="110"/>
    </row>
    <row r="34" spans="1:10" ht="15.75">
      <c r="A34" s="210" t="s">
        <v>81</v>
      </c>
      <c r="B34" s="216" t="s">
        <v>82</v>
      </c>
      <c r="C34" s="212" t="s">
        <v>34</v>
      </c>
      <c r="D34" s="213">
        <f>1.33*12*144.4</f>
        <v>2304.6240000000003</v>
      </c>
      <c r="E34" s="110"/>
      <c r="F34" s="110"/>
      <c r="G34" s="110"/>
      <c r="H34" s="110"/>
      <c r="I34" s="110"/>
      <c r="J34" s="110"/>
    </row>
    <row r="35" spans="1:10" ht="15.75">
      <c r="A35" s="210" t="s">
        <v>38</v>
      </c>
      <c r="B35" s="211" t="s">
        <v>35</v>
      </c>
      <c r="C35" s="368" t="s">
        <v>237</v>
      </c>
      <c r="D35" s="213">
        <f>4.19*144.4*12</f>
        <v>7260.432000000001</v>
      </c>
      <c r="E35" s="110"/>
      <c r="F35" s="110"/>
      <c r="G35" s="110"/>
      <c r="H35" s="110"/>
      <c r="I35" s="110"/>
      <c r="J35" s="110"/>
    </row>
    <row r="36" spans="1:10" ht="15.75">
      <c r="A36" s="210" t="s">
        <v>85</v>
      </c>
      <c r="B36" s="211" t="s">
        <v>238</v>
      </c>
      <c r="C36" s="217" t="s">
        <v>37</v>
      </c>
      <c r="D36" s="213">
        <f>144.4*(1.49+1.06)*6</f>
        <v>2209.3199999999997</v>
      </c>
      <c r="E36" s="110"/>
      <c r="F36" s="110"/>
      <c r="G36" s="110"/>
      <c r="H36" s="110"/>
      <c r="I36" s="110"/>
      <c r="J36" s="110"/>
    </row>
    <row r="37" spans="1:14" s="1" customFormat="1" ht="47.25">
      <c r="A37" s="371" t="s">
        <v>40</v>
      </c>
      <c r="B37" s="218" t="s">
        <v>41</v>
      </c>
      <c r="C37" s="224"/>
      <c r="D37" s="177">
        <f>D38+D39</f>
        <v>29407</v>
      </c>
      <c r="E37" s="110"/>
      <c r="F37" s="110"/>
      <c r="G37" s="110"/>
      <c r="H37" s="110"/>
      <c r="I37" s="110"/>
      <c r="J37" s="110"/>
      <c r="K37"/>
      <c r="L37"/>
      <c r="M37"/>
      <c r="N37"/>
    </row>
    <row r="38" spans="1:14" s="1" customFormat="1" ht="15.75">
      <c r="A38" s="219" t="s">
        <v>296</v>
      </c>
      <c r="B38" s="298" t="s">
        <v>159</v>
      </c>
      <c r="C38" s="372"/>
      <c r="D38" s="178">
        <v>7275</v>
      </c>
      <c r="E38" s="110"/>
      <c r="F38" s="110"/>
      <c r="G38" s="110"/>
      <c r="H38" s="110"/>
      <c r="I38" s="110"/>
      <c r="J38" s="110"/>
      <c r="K38"/>
      <c r="L38"/>
      <c r="M38"/>
      <c r="N38"/>
    </row>
    <row r="39" spans="1:14" s="1" customFormat="1" ht="15.75">
      <c r="A39" s="219" t="s">
        <v>298</v>
      </c>
      <c r="B39" s="220" t="s">
        <v>167</v>
      </c>
      <c r="C39" s="372" t="s">
        <v>273</v>
      </c>
      <c r="D39" s="178">
        <v>22132</v>
      </c>
      <c r="E39" s="110"/>
      <c r="F39" s="110"/>
      <c r="G39" s="110"/>
      <c r="H39" s="110"/>
      <c r="I39" s="110"/>
      <c r="J39" s="110"/>
      <c r="K39"/>
      <c r="L39"/>
      <c r="M39"/>
      <c r="N39"/>
    </row>
    <row r="40" spans="1:14" s="1" customFormat="1" ht="15.75">
      <c r="A40" s="37" t="s">
        <v>297</v>
      </c>
      <c r="B40" s="225"/>
      <c r="C40" s="226"/>
      <c r="D40" s="98">
        <f>D31+D32+D33+D34+D35+D36+D37</f>
        <v>43128.301999999996</v>
      </c>
      <c r="E40" s="113">
        <f>D40-D37</f>
        <v>13721.301999999996</v>
      </c>
      <c r="F40" s="110"/>
      <c r="G40" s="110"/>
      <c r="H40" s="110"/>
      <c r="I40" s="110"/>
      <c r="J40" s="110"/>
      <c r="K40"/>
      <c r="L40"/>
      <c r="M40"/>
      <c r="N40"/>
    </row>
    <row r="41" spans="1:14" s="1" customFormat="1" ht="15.75">
      <c r="A41" s="40" t="s">
        <v>43</v>
      </c>
      <c r="B41" s="227" t="s">
        <v>11</v>
      </c>
      <c r="C41" s="228"/>
      <c r="D41" s="229">
        <f>C28-D40</f>
        <v>44794.042052000004</v>
      </c>
      <c r="E41" s="113"/>
      <c r="F41" s="110"/>
      <c r="G41" s="110"/>
      <c r="H41" s="110"/>
      <c r="I41" s="110"/>
      <c r="J41" s="110"/>
      <c r="K41"/>
      <c r="L41"/>
      <c r="M41"/>
      <c r="N41"/>
    </row>
    <row r="42" spans="1:14" s="1" customFormat="1" ht="15.75">
      <c r="A42" s="230" t="s">
        <v>12</v>
      </c>
      <c r="B42" s="231" t="s">
        <v>11</v>
      </c>
      <c r="C42" s="212"/>
      <c r="D42" s="196">
        <v>0</v>
      </c>
      <c r="E42" s="110"/>
      <c r="F42" s="110"/>
      <c r="G42" s="110"/>
      <c r="H42" s="110"/>
      <c r="I42" s="110"/>
      <c r="J42" s="110"/>
      <c r="K42"/>
      <c r="L42"/>
      <c r="M42"/>
      <c r="N42"/>
    </row>
    <row r="43" spans="1:14" s="1" customFormat="1" ht="15.75">
      <c r="A43" s="230" t="s">
        <v>13</v>
      </c>
      <c r="B43" s="231" t="s">
        <v>11</v>
      </c>
      <c r="C43" s="212"/>
      <c r="D43" s="198">
        <v>855.5</v>
      </c>
      <c r="E43" s="110"/>
      <c r="F43" s="110"/>
      <c r="G43" s="110"/>
      <c r="H43" s="110"/>
      <c r="I43" s="110"/>
      <c r="J43" s="110"/>
      <c r="K43"/>
      <c r="L43"/>
      <c r="M43"/>
      <c r="N43"/>
    </row>
    <row r="44" spans="1:14" s="1" customFormat="1" ht="24" customHeight="1">
      <c r="A44" s="492" t="s">
        <v>44</v>
      </c>
      <c r="B44" s="492"/>
      <c r="C44" s="492"/>
      <c r="D44" s="492"/>
      <c r="E44" s="110"/>
      <c r="F44" s="110"/>
      <c r="G44" s="110"/>
      <c r="H44" s="110"/>
      <c r="I44" s="110"/>
      <c r="J44" s="110"/>
      <c r="K44"/>
      <c r="L44"/>
      <c r="M44"/>
      <c r="N44"/>
    </row>
    <row r="45" spans="1:14" s="1" customFormat="1" ht="15.75">
      <c r="A45" s="230" t="s">
        <v>45</v>
      </c>
      <c r="B45" s="211" t="s">
        <v>46</v>
      </c>
      <c r="C45" s="212"/>
      <c r="D45" s="196">
        <v>0</v>
      </c>
      <c r="E45" s="110"/>
      <c r="F45" s="110"/>
      <c r="G45" s="110"/>
      <c r="H45" s="110"/>
      <c r="I45" s="110"/>
      <c r="J45" s="110"/>
      <c r="K45"/>
      <c r="L45"/>
      <c r="M45"/>
      <c r="N45"/>
    </row>
    <row r="46" spans="1:14" s="1" customFormat="1" ht="15.75">
      <c r="A46" s="230" t="s">
        <v>47</v>
      </c>
      <c r="B46" s="211" t="s">
        <v>46</v>
      </c>
      <c r="C46" s="212"/>
      <c r="D46" s="196">
        <v>0</v>
      </c>
      <c r="E46" s="110"/>
      <c r="F46" s="110"/>
      <c r="G46" s="110"/>
      <c r="H46" s="110"/>
      <c r="I46" s="110"/>
      <c r="J46" s="110"/>
      <c r="K46"/>
      <c r="L46"/>
      <c r="M46"/>
      <c r="N46"/>
    </row>
    <row r="47" spans="1:14" s="1" customFormat="1" ht="15.75">
      <c r="A47" s="232" t="s">
        <v>48</v>
      </c>
      <c r="B47" s="211" t="s">
        <v>46</v>
      </c>
      <c r="C47" s="212"/>
      <c r="D47" s="196">
        <v>0</v>
      </c>
      <c r="E47" s="110"/>
      <c r="F47" s="110"/>
      <c r="G47" s="110"/>
      <c r="H47" s="110"/>
      <c r="I47" s="110"/>
      <c r="J47" s="110"/>
      <c r="K47"/>
      <c r="L47"/>
      <c r="M47"/>
      <c r="N47"/>
    </row>
    <row r="48" spans="1:14" s="1" customFormat="1" ht="15.75">
      <c r="A48" s="230" t="s">
        <v>49</v>
      </c>
      <c r="B48" s="211" t="s">
        <v>11</v>
      </c>
      <c r="C48" s="212"/>
      <c r="D48" s="196">
        <v>0</v>
      </c>
      <c r="E48" s="110"/>
      <c r="F48" s="110"/>
      <c r="G48" s="110"/>
      <c r="H48" s="110"/>
      <c r="I48" s="110"/>
      <c r="J48" s="110"/>
      <c r="K48"/>
      <c r="L48"/>
      <c r="M48"/>
      <c r="N48"/>
    </row>
    <row r="49" spans="1:10" ht="20.25" customHeight="1">
      <c r="A49" s="493" t="s">
        <v>50</v>
      </c>
      <c r="B49" s="493"/>
      <c r="C49" s="493"/>
      <c r="D49" s="493"/>
      <c r="E49" s="110"/>
      <c r="F49" s="110"/>
      <c r="G49" s="110"/>
      <c r="H49" s="110"/>
      <c r="I49" s="110"/>
      <c r="J49" s="110"/>
    </row>
    <row r="50" spans="1:10" ht="26.25">
      <c r="A50" s="232" t="s">
        <v>51</v>
      </c>
      <c r="B50" s="211" t="s">
        <v>11</v>
      </c>
      <c r="C50" s="212"/>
      <c r="D50" s="196">
        <v>0</v>
      </c>
      <c r="E50" s="110"/>
      <c r="F50" s="110"/>
      <c r="G50" s="110"/>
      <c r="H50" s="110"/>
      <c r="I50" s="110"/>
      <c r="J50" s="110"/>
    </row>
    <row r="51" spans="1:10" ht="15.75">
      <c r="A51" s="230" t="s">
        <v>12</v>
      </c>
      <c r="B51" s="211" t="s">
        <v>11</v>
      </c>
      <c r="C51" s="212"/>
      <c r="D51" s="196">
        <v>0</v>
      </c>
      <c r="E51" s="110"/>
      <c r="F51" s="110"/>
      <c r="G51" s="110"/>
      <c r="H51" s="110"/>
      <c r="I51" s="110"/>
      <c r="J51" s="110"/>
    </row>
    <row r="52" spans="1:10" ht="15.75">
      <c r="A52" s="230" t="s">
        <v>13</v>
      </c>
      <c r="B52" s="211" t="s">
        <v>11</v>
      </c>
      <c r="C52" s="212"/>
      <c r="D52" s="240">
        <f>D55-D58-D59-D60-D61</f>
        <v>1462.7088120000003</v>
      </c>
      <c r="E52" s="110"/>
      <c r="F52" s="110"/>
      <c r="G52" s="110"/>
      <c r="H52" s="114"/>
      <c r="I52" s="110"/>
      <c r="J52" s="110"/>
    </row>
    <row r="53" spans="1:10" ht="26.25">
      <c r="A53" s="234" t="s">
        <v>52</v>
      </c>
      <c r="B53" s="211" t="s">
        <v>11</v>
      </c>
      <c r="C53" s="235"/>
      <c r="D53" s="236">
        <v>0</v>
      </c>
      <c r="E53" s="110"/>
      <c r="F53" s="110"/>
      <c r="G53" s="110"/>
      <c r="H53" s="110"/>
      <c r="I53" s="110"/>
      <c r="J53" s="110"/>
    </row>
    <row r="54" spans="1:10" ht="17.25" customHeight="1">
      <c r="A54" s="257" t="s">
        <v>12</v>
      </c>
      <c r="B54" s="211" t="s">
        <v>11</v>
      </c>
      <c r="C54" s="279"/>
      <c r="D54" s="55">
        <v>0</v>
      </c>
      <c r="E54" s="110"/>
      <c r="F54" s="110"/>
      <c r="G54" s="110"/>
      <c r="H54" s="110"/>
      <c r="I54" s="114"/>
      <c r="J54" s="114"/>
    </row>
    <row r="55" spans="1:14" ht="15.75">
      <c r="A55" s="238" t="s">
        <v>13</v>
      </c>
      <c r="B55" s="211" t="s">
        <v>11</v>
      </c>
      <c r="C55" s="239"/>
      <c r="D55" s="240">
        <v>796.11</v>
      </c>
      <c r="E55" s="110"/>
      <c r="F55" s="110"/>
      <c r="G55" s="110"/>
      <c r="H55" s="110" t="s">
        <v>26</v>
      </c>
      <c r="I55" s="125"/>
      <c r="J55" s="125"/>
      <c r="K55" s="61"/>
      <c r="L55" s="61"/>
      <c r="M55" s="61"/>
      <c r="N55" s="61"/>
    </row>
    <row r="56" spans="1:14" ht="18" customHeight="1">
      <c r="A56" s="494" t="s">
        <v>53</v>
      </c>
      <c r="B56" s="494"/>
      <c r="C56" s="494"/>
      <c r="D56" s="494"/>
      <c r="E56" s="115"/>
      <c r="F56" s="116"/>
      <c r="G56" s="117"/>
      <c r="H56" s="110"/>
      <c r="I56" s="121"/>
      <c r="J56" s="121"/>
      <c r="K56" s="66"/>
      <c r="L56" s="66"/>
      <c r="M56" s="66"/>
      <c r="N56" s="66"/>
    </row>
    <row r="57" spans="1:14" ht="47.25">
      <c r="A57" s="67" t="s">
        <v>54</v>
      </c>
      <c r="B57" s="68" t="s">
        <v>55</v>
      </c>
      <c r="C57" s="69" t="s">
        <v>56</v>
      </c>
      <c r="D57" s="70" t="s">
        <v>57</v>
      </c>
      <c r="E57" s="115"/>
      <c r="F57" s="63"/>
      <c r="G57" s="64"/>
      <c r="I57" s="65"/>
      <c r="J57" s="71"/>
      <c r="K57" s="66"/>
      <c r="L57" s="66"/>
      <c r="M57" s="66"/>
      <c r="N57" s="66"/>
    </row>
    <row r="58" spans="1:14" ht="15.75">
      <c r="A58" s="241" t="s">
        <v>58</v>
      </c>
      <c r="B58" s="242">
        <v>7210.06</v>
      </c>
      <c r="C58" s="243">
        <f>B58*1.0402</f>
        <v>7499.904412000001</v>
      </c>
      <c r="D58" s="244">
        <f>B58-C58</f>
        <v>-289.8444120000004</v>
      </c>
      <c r="E58" s="118"/>
      <c r="F58" s="63"/>
      <c r="G58" s="64"/>
      <c r="I58" s="65"/>
      <c r="J58" s="65"/>
      <c r="K58" s="66"/>
      <c r="L58" s="66"/>
      <c r="M58" s="66"/>
      <c r="N58" s="66"/>
    </row>
    <row r="59" spans="1:14" ht="15.75">
      <c r="A59" s="241" t="s">
        <v>59</v>
      </c>
      <c r="B59" s="242">
        <v>0</v>
      </c>
      <c r="C59" s="243">
        <f>B59*0.8866</f>
        <v>0</v>
      </c>
      <c r="D59" s="244">
        <f>B59-C59</f>
        <v>0</v>
      </c>
      <c r="E59" s="115"/>
      <c r="F59" s="63"/>
      <c r="G59" s="64"/>
      <c r="I59" s="65"/>
      <c r="J59" s="65"/>
      <c r="K59" s="66"/>
      <c r="L59" s="66"/>
      <c r="M59" s="66"/>
      <c r="N59" s="66"/>
    </row>
    <row r="60" spans="1:14" ht="15.75">
      <c r="A60" s="241" t="s">
        <v>60</v>
      </c>
      <c r="B60" s="245">
        <v>0</v>
      </c>
      <c r="C60" s="243">
        <f>B60*0.8866</f>
        <v>0</v>
      </c>
      <c r="D60" s="244">
        <f>B60-C60</f>
        <v>0</v>
      </c>
      <c r="E60" s="115">
        <f>(2.07+1.8)*6*2301.2-0.37*2301.2*6</f>
        <v>48325.2</v>
      </c>
      <c r="F60" s="74"/>
      <c r="G60" s="75"/>
      <c r="H60" s="62"/>
      <c r="I60" s="65"/>
      <c r="J60" s="65"/>
      <c r="K60" s="66"/>
      <c r="L60" s="66"/>
      <c r="M60" s="66"/>
      <c r="N60" s="66"/>
    </row>
    <row r="61" spans="1:14" ht="16.5" thickBot="1">
      <c r="A61" s="264" t="s">
        <v>318</v>
      </c>
      <c r="B61" s="265">
        <v>9372</v>
      </c>
      <c r="C61" s="266">
        <f>B61*1.0402</f>
        <v>9748.7544</v>
      </c>
      <c r="D61" s="267">
        <f>B61-C61</f>
        <v>-376.7543999999998</v>
      </c>
      <c r="E61" s="115"/>
      <c r="F61" s="74"/>
      <c r="G61" s="75"/>
      <c r="I61" s="65"/>
      <c r="J61" s="65"/>
      <c r="K61" s="66"/>
      <c r="L61" s="66"/>
      <c r="M61" s="66"/>
      <c r="N61" s="66"/>
    </row>
    <row r="62" spans="1:14" ht="63">
      <c r="A62" s="130" t="s">
        <v>62</v>
      </c>
      <c r="B62" s="131" t="s">
        <v>63</v>
      </c>
      <c r="C62" s="132" t="s">
        <v>64</v>
      </c>
      <c r="D62" s="133" t="s">
        <v>65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.75">
      <c r="A63" s="268" t="s">
        <v>58</v>
      </c>
      <c r="B63" s="247">
        <f>B58</f>
        <v>7210.06</v>
      </c>
      <c r="C63" s="248">
        <f>C58</f>
        <v>7499.904412000001</v>
      </c>
      <c r="D63" s="269">
        <f>B63-C63</f>
        <v>-289.8444120000004</v>
      </c>
      <c r="E63" s="115"/>
      <c r="F63" s="74"/>
      <c r="H63" s="65"/>
      <c r="I63" s="65"/>
      <c r="J63" s="65" t="s">
        <v>26</v>
      </c>
      <c r="K63" s="66"/>
      <c r="L63" s="66"/>
      <c r="M63" s="66"/>
      <c r="N63" s="66"/>
    </row>
    <row r="64" spans="1:14" ht="15.75">
      <c r="A64" s="268" t="s">
        <v>59</v>
      </c>
      <c r="B64" s="247">
        <v>0</v>
      </c>
      <c r="C64" s="248">
        <f>C59*1.0063</f>
        <v>0</v>
      </c>
      <c r="D64" s="269">
        <f>B64-C64</f>
        <v>0</v>
      </c>
      <c r="E64" s="62"/>
      <c r="F64" s="74"/>
      <c r="H64" s="65"/>
      <c r="I64" s="65"/>
      <c r="J64" s="65"/>
      <c r="K64" s="66"/>
      <c r="L64" s="66"/>
      <c r="M64" s="66"/>
      <c r="N64" s="66"/>
    </row>
    <row r="65" spans="1:14" ht="15.75">
      <c r="A65" s="268" t="s">
        <v>60</v>
      </c>
      <c r="B65" s="247">
        <v>0</v>
      </c>
      <c r="C65" s="248">
        <f>C60*1.0063</f>
        <v>0</v>
      </c>
      <c r="D65" s="269">
        <f>B65-C65</f>
        <v>0</v>
      </c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15.75">
      <c r="A66" s="268" t="s">
        <v>318</v>
      </c>
      <c r="B66" s="247">
        <v>9372</v>
      </c>
      <c r="C66" s="248">
        <v>9748.7544</v>
      </c>
      <c r="D66" s="269">
        <v>-376.7543999999998</v>
      </c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16.5" thickBot="1">
      <c r="A67" s="270"/>
      <c r="B67" s="271"/>
      <c r="C67" s="301"/>
      <c r="D67" s="273"/>
      <c r="E67" s="62"/>
      <c r="F67" s="74"/>
      <c r="H67" s="65" t="s">
        <v>26</v>
      </c>
      <c r="I67" s="65"/>
      <c r="J67" s="65"/>
      <c r="K67" s="66"/>
      <c r="L67" s="66"/>
      <c r="M67" s="66"/>
      <c r="N67" s="66"/>
    </row>
    <row r="68" spans="1:14" ht="15.75">
      <c r="A68" s="250"/>
      <c r="B68" s="251"/>
      <c r="C68" s="252"/>
      <c r="D68" s="253"/>
      <c r="E68" s="62"/>
      <c r="F68" s="74"/>
      <c r="H68" s="65"/>
      <c r="I68" s="65"/>
      <c r="J68" s="65"/>
      <c r="K68" s="66"/>
      <c r="L68" s="66"/>
      <c r="M68" s="66"/>
      <c r="N68" s="66"/>
    </row>
    <row r="69" spans="1:14" ht="26.25">
      <c r="A69" s="254" t="s">
        <v>66</v>
      </c>
      <c r="B69" s="251" t="s">
        <v>11</v>
      </c>
      <c r="C69" s="255"/>
      <c r="D69" s="256">
        <v>0</v>
      </c>
      <c r="E69" s="62"/>
      <c r="F69" s="74"/>
      <c r="H69" s="65"/>
      <c r="I69" s="65"/>
      <c r="J69" s="65" t="s">
        <v>26</v>
      </c>
      <c r="K69" s="66"/>
      <c r="L69" s="66"/>
      <c r="M69" s="66"/>
      <c r="N69" s="66"/>
    </row>
    <row r="70" spans="1:14" ht="17.25" customHeight="1">
      <c r="A70" s="495" t="s">
        <v>67</v>
      </c>
      <c r="B70" s="495"/>
      <c r="C70" s="495"/>
      <c r="D70" s="495"/>
      <c r="E70" s="84" t="e">
        <f>D70+B19</f>
        <v>#VALUE!</v>
      </c>
      <c r="F70" s="65"/>
      <c r="H70" s="85" t="e">
        <f>E70-B18</f>
        <v>#VALUE!</v>
      </c>
      <c r="I70" s="65"/>
      <c r="J70" s="65"/>
      <c r="K70" s="66"/>
      <c r="L70" s="66"/>
      <c r="M70" s="66"/>
      <c r="N70" s="66"/>
    </row>
    <row r="71" spans="1:5" ht="21" customHeight="1">
      <c r="A71" s="87" t="s">
        <v>45</v>
      </c>
      <c r="B71" s="87" t="s">
        <v>46</v>
      </c>
      <c r="C71" s="87"/>
      <c r="D71" s="179">
        <v>0</v>
      </c>
      <c r="E71" s="89"/>
    </row>
    <row r="72" spans="1:5" ht="21" customHeight="1">
      <c r="A72" s="87" t="s">
        <v>47</v>
      </c>
      <c r="B72" s="87" t="s">
        <v>46</v>
      </c>
      <c r="C72" s="87"/>
      <c r="D72" s="179">
        <v>0</v>
      </c>
      <c r="E72" s="89"/>
    </row>
    <row r="73" spans="1:5" ht="18" customHeight="1">
      <c r="A73" s="87" t="s">
        <v>48</v>
      </c>
      <c r="B73" s="87" t="s">
        <v>46</v>
      </c>
      <c r="C73" s="87"/>
      <c r="D73" s="179">
        <v>0</v>
      </c>
      <c r="E73" s="89"/>
    </row>
    <row r="74" spans="1:5" ht="16.5" customHeight="1">
      <c r="A74" s="87" t="s">
        <v>49</v>
      </c>
      <c r="B74" s="87" t="s">
        <v>11</v>
      </c>
      <c r="C74" s="87"/>
      <c r="D74" s="179">
        <v>0</v>
      </c>
      <c r="E74" s="89"/>
    </row>
    <row r="75" spans="1:5" ht="15.75" customHeight="1">
      <c r="A75" s="489" t="s">
        <v>68</v>
      </c>
      <c r="B75" s="489"/>
      <c r="C75" s="489"/>
      <c r="D75" s="489"/>
      <c r="E75" s="89"/>
    </row>
    <row r="76" spans="1:5" ht="18.75" customHeight="1">
      <c r="A76" s="87" t="s">
        <v>69</v>
      </c>
      <c r="B76" s="87" t="s">
        <v>46</v>
      </c>
      <c r="C76" s="87"/>
      <c r="D76" s="179">
        <v>0</v>
      </c>
      <c r="E76" s="89"/>
    </row>
    <row r="77" spans="1:5" ht="21.75" customHeight="1">
      <c r="A77" s="87" t="s">
        <v>70</v>
      </c>
      <c r="B77" s="257" t="s">
        <v>46</v>
      </c>
      <c r="C77" s="257"/>
      <c r="D77" s="179">
        <v>0</v>
      </c>
      <c r="E77" s="89"/>
    </row>
    <row r="78" spans="1:5" ht="36" customHeight="1">
      <c r="A78" s="258" t="s">
        <v>71</v>
      </c>
      <c r="B78" s="87" t="s">
        <v>11</v>
      </c>
      <c r="C78" s="87"/>
      <c r="D78" s="179">
        <v>0</v>
      </c>
      <c r="E78" s="89"/>
    </row>
    <row r="79" spans="1:4" ht="15.75">
      <c r="A79" s="259"/>
      <c r="B79" s="259"/>
      <c r="C79" s="259"/>
      <c r="D79" s="260"/>
    </row>
    <row r="80" spans="1:14" s="1" customFormat="1" ht="12.75">
      <c r="A80" s="180"/>
      <c r="B80" s="180"/>
      <c r="C80" s="180"/>
      <c r="D80" s="180"/>
      <c r="H80" s="1" t="s">
        <v>26</v>
      </c>
      <c r="K80"/>
      <c r="L80"/>
      <c r="M80"/>
      <c r="N80"/>
    </row>
    <row r="81" spans="1:14" s="1" customFormat="1" ht="12.75">
      <c r="A81" s="180" t="s">
        <v>72</v>
      </c>
      <c r="B81" s="180"/>
      <c r="C81" s="180"/>
      <c r="D81" s="180"/>
      <c r="K81"/>
      <c r="L81"/>
      <c r="M81"/>
      <c r="N81"/>
    </row>
    <row r="82" spans="1:14" s="1" customFormat="1" ht="12.75">
      <c r="A82" s="180"/>
      <c r="B82" s="180"/>
      <c r="C82" s="180"/>
      <c r="D82" s="180"/>
      <c r="H82" s="1" t="s">
        <v>26</v>
      </c>
      <c r="K82"/>
      <c r="L82"/>
      <c r="M82"/>
      <c r="N82"/>
    </row>
    <row r="83" spans="1:14" s="1" customFormat="1" ht="12.75">
      <c r="A83" s="180" t="s">
        <v>73</v>
      </c>
      <c r="B83" s="180"/>
      <c r="C83" s="180"/>
      <c r="D83" s="180"/>
      <c r="K83"/>
      <c r="L83"/>
      <c r="M83"/>
      <c r="N83"/>
    </row>
    <row r="84" spans="1:4" ht="12.75">
      <c r="A84" s="180"/>
      <c r="B84" s="180"/>
      <c r="C84" s="180"/>
      <c r="D84" s="180"/>
    </row>
    <row r="85" spans="1:4" ht="12.75">
      <c r="A85" s="180"/>
      <c r="B85" s="180"/>
      <c r="C85" s="180"/>
      <c r="D85" s="180"/>
    </row>
    <row r="86" spans="1:4" ht="12.75">
      <c r="A86" s="180"/>
      <c r="B86" s="180"/>
      <c r="C86" s="180"/>
      <c r="D86" s="180"/>
    </row>
    <row r="87" spans="1:14" s="1" customFormat="1" ht="12.75">
      <c r="A87"/>
      <c r="B87"/>
      <c r="C87"/>
      <c r="D87"/>
      <c r="E87" s="1" t="s">
        <v>26</v>
      </c>
      <c r="K87"/>
      <c r="L87"/>
      <c r="M87"/>
      <c r="N87"/>
    </row>
  </sheetData>
  <sheetProtection selectLockedCells="1" selectUnlockedCells="1"/>
  <mergeCells count="13">
    <mergeCell ref="A75:D75"/>
    <mergeCell ref="A14:D14"/>
    <mergeCell ref="A29:D29"/>
    <mergeCell ref="A44:D44"/>
    <mergeCell ref="A49:D49"/>
    <mergeCell ref="A56:D56"/>
    <mergeCell ref="A70:D7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3">
      <selection activeCell="E17" sqref="E17:H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101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168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40278.17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51.68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18435.66+2280.95</f>
        <v>20716.61</v>
      </c>
      <c r="D18" s="198"/>
      <c r="E18" s="111">
        <f>C18-C20</f>
        <v>11575.874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5381.377999999999</v>
      </c>
      <c r="D19" s="198"/>
      <c r="E19" s="111">
        <f>E18-E38</f>
        <v>0.0019999999985884642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(4.75+4.53)*6*123.2+2280.96</f>
        <v>9140.736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123.2*4.19*12</f>
        <v>6194.496000000001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20716.61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</f>
        <v>20716.61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60994.78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(0.81+0.85)*6*123.2</f>
        <v>1227.0720000000001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0.24*12*123.2</f>
        <v>354.816</v>
      </c>
      <c r="E32" s="110"/>
      <c r="F32" s="110"/>
      <c r="G32" s="110"/>
      <c r="H32" s="110"/>
    </row>
    <row r="33" spans="1:8" ht="15.75">
      <c r="A33" s="210" t="s">
        <v>100</v>
      </c>
      <c r="B33" s="211" t="s">
        <v>33</v>
      </c>
      <c r="C33" s="212" t="s">
        <v>34</v>
      </c>
      <c r="D33" s="213">
        <f>(0.14+0.16)*6*123.2</f>
        <v>221.76000000000005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1.33*12*123.2</f>
        <v>1966.2720000000002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4.19*123.2*12</f>
        <v>6194.496000000001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17" t="s">
        <v>37</v>
      </c>
      <c r="D36" s="213">
        <f>123.2*6*(0.94+1.24)</f>
        <v>1611.456</v>
      </c>
      <c r="E36" s="110"/>
      <c r="F36" s="110"/>
      <c r="G36" s="110"/>
      <c r="H36" s="110"/>
    </row>
    <row r="37" spans="1:14" s="1" customFormat="1" ht="47.25">
      <c r="A37" s="371" t="s">
        <v>40</v>
      </c>
      <c r="B37" s="218" t="s">
        <v>41</v>
      </c>
      <c r="C37" s="224"/>
      <c r="D37" s="177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D31+D32+D33+D34+D35+D36+D37</f>
        <v>11575.872000000001</v>
      </c>
      <c r="E38" s="113">
        <f>D38-D37</f>
        <v>11575.872000000001</v>
      </c>
      <c r="F38" s="110"/>
      <c r="G38" s="110"/>
      <c r="H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49418.907999999996</v>
      </c>
      <c r="E39" s="113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>
        <v>0</v>
      </c>
      <c r="E40" s="110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1747.9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/>
      <c r="D43" s="196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/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/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/>
      <c r="D46" s="196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13</v>
      </c>
      <c r="B50" s="211" t="s">
        <v>11</v>
      </c>
      <c r="C50" s="212"/>
      <c r="D50" s="240">
        <f>D53-D56-D57-D58-D59</f>
        <v>1085.18</v>
      </c>
      <c r="E50" s="110"/>
      <c r="F50" s="110"/>
      <c r="G50" s="110"/>
      <c r="H50" s="114"/>
    </row>
    <row r="51" spans="1:8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</row>
    <row r="52" spans="1:10" ht="17.25" customHeight="1">
      <c r="A52" s="257" t="s">
        <v>12</v>
      </c>
      <c r="B52" s="211" t="s">
        <v>11</v>
      </c>
      <c r="C52" s="279"/>
      <c r="D52" s="55">
        <v>0</v>
      </c>
      <c r="E52" s="110"/>
      <c r="F52" s="110"/>
      <c r="G52" s="110"/>
      <c r="H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1085.18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4865.96</v>
      </c>
      <c r="C56" s="243">
        <f>B56*1</f>
        <v>4865.96</v>
      </c>
      <c r="D56" s="373">
        <f>B56-C56</f>
        <v>0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B57*0.8866</f>
        <v>0</v>
      </c>
      <c r="D57" s="373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B58*0.8866</f>
        <v>0</v>
      </c>
      <c r="D58" s="373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7995.96</v>
      </c>
      <c r="C59" s="266">
        <f>B59</f>
        <v>7995.96</v>
      </c>
      <c r="D59" s="418">
        <f>B59-C59</f>
        <v>0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42" t="s">
        <v>63</v>
      </c>
      <c r="C60" s="143" t="s">
        <v>64</v>
      </c>
      <c r="D60" s="144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4865.96</v>
      </c>
      <c r="C61" s="248">
        <f>C56</f>
        <v>4865.96</v>
      </c>
      <c r="D61" s="419">
        <f>B61-C61</f>
        <v>0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f>C57*1.0063</f>
        <v>0</v>
      </c>
      <c r="D62" s="419">
        <f>D57*1.0063</f>
        <v>0</v>
      </c>
      <c r="E62" s="62"/>
      <c r="F62" s="74"/>
      <c r="H62" s="65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f>C58*1.0063</f>
        <v>0</v>
      </c>
      <c r="D63" s="419">
        <f>D58*1.0063</f>
        <v>0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6.5" thickBot="1">
      <c r="A64" s="404" t="s">
        <v>318</v>
      </c>
      <c r="B64" s="405">
        <v>7995.96</v>
      </c>
      <c r="C64" s="406">
        <f>B64</f>
        <v>7995.96</v>
      </c>
      <c r="D64" s="420">
        <f>B64-C64</f>
        <v>0</v>
      </c>
      <c r="E64" s="62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7" t="s">
        <v>45</v>
      </c>
      <c r="B68" s="87" t="s">
        <v>46</v>
      </c>
      <c r="C68" s="87"/>
      <c r="D68" s="179">
        <v>0</v>
      </c>
      <c r="E68" s="89"/>
    </row>
    <row r="69" spans="1:5" ht="21" customHeight="1">
      <c r="A69" s="87" t="s">
        <v>47</v>
      </c>
      <c r="B69" s="87" t="s">
        <v>46</v>
      </c>
      <c r="C69" s="87"/>
      <c r="D69" s="179">
        <v>0</v>
      </c>
      <c r="E69" s="89"/>
    </row>
    <row r="70" spans="1:5" ht="18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6.5" customHeight="1">
      <c r="A71" s="87" t="s">
        <v>49</v>
      </c>
      <c r="B71" s="87" t="s">
        <v>11</v>
      </c>
      <c r="C71" s="87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7" t="s">
        <v>69</v>
      </c>
      <c r="B73" s="87" t="s">
        <v>46</v>
      </c>
      <c r="C73" s="87"/>
      <c r="D73" s="179">
        <v>0</v>
      </c>
      <c r="E73" s="89"/>
    </row>
    <row r="74" spans="1:5" ht="21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14" s="1" customFormat="1" ht="12.75">
      <c r="A84" s="180"/>
      <c r="B84" s="180"/>
      <c r="C84" s="180"/>
      <c r="D84" s="180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">
      <selection activeCell="E17" sqref="E17:I7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102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169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-14207.54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9" ht="15.75">
      <c r="A17" s="20" t="s">
        <v>13</v>
      </c>
      <c r="B17" s="194" t="s">
        <v>11</v>
      </c>
      <c r="C17" s="197">
        <v>34746.02</v>
      </c>
      <c r="D17" s="198"/>
      <c r="E17" s="110"/>
      <c r="F17" s="110"/>
      <c r="G17" s="110"/>
      <c r="H17" s="110"/>
      <c r="I17" s="110"/>
    </row>
    <row r="18" spans="1:9" ht="31.5" customHeight="1">
      <c r="A18" s="17" t="s">
        <v>14</v>
      </c>
      <c r="B18" s="194" t="s">
        <v>11</v>
      </c>
      <c r="C18" s="197">
        <v>15774.3</v>
      </c>
      <c r="D18" s="198"/>
      <c r="E18" s="111">
        <f>C18-C20</f>
        <v>9947.088</v>
      </c>
      <c r="F18" s="110"/>
      <c r="G18" s="110"/>
      <c r="H18" s="110"/>
      <c r="I18" s="110"/>
    </row>
    <row r="19" spans="1:9" ht="15.75">
      <c r="A19" s="20" t="s">
        <v>15</v>
      </c>
      <c r="B19" s="194" t="s">
        <v>11</v>
      </c>
      <c r="C19" s="197">
        <f>C18-C20-C21</f>
        <v>4763.219999999999</v>
      </c>
      <c r="D19" s="198"/>
      <c r="E19" s="111">
        <f>E18-E38</f>
        <v>0</v>
      </c>
      <c r="F19" s="110"/>
      <c r="G19" s="110"/>
      <c r="H19" s="110"/>
      <c r="I19" s="110"/>
    </row>
    <row r="20" spans="1:9" ht="15.75">
      <c r="A20" s="20" t="s">
        <v>16</v>
      </c>
      <c r="B20" s="194" t="s">
        <v>11</v>
      </c>
      <c r="C20" s="197">
        <f>(4.57+4.85)*6*103.1</f>
        <v>5827.2119999999995</v>
      </c>
      <c r="D20" s="198"/>
      <c r="E20" s="112"/>
      <c r="F20" s="110"/>
      <c r="G20" s="110"/>
      <c r="H20" s="110"/>
      <c r="I20" s="110"/>
    </row>
    <row r="21" spans="1:9" ht="15.75">
      <c r="A21" s="20" t="s">
        <v>17</v>
      </c>
      <c r="B21" s="194" t="s">
        <v>11</v>
      </c>
      <c r="C21" s="199">
        <f>103.1*4.19*12</f>
        <v>5183.868</v>
      </c>
      <c r="D21" s="198"/>
      <c r="E21" s="110"/>
      <c r="F21" s="110"/>
      <c r="G21" s="110"/>
      <c r="H21" s="110"/>
      <c r="I21" s="110"/>
    </row>
    <row r="22" spans="1:9" ht="15.75">
      <c r="A22" s="20" t="s">
        <v>18</v>
      </c>
      <c r="B22" s="194" t="s">
        <v>11</v>
      </c>
      <c r="C22" s="197">
        <f>C23+C24+C25+C26+C27</f>
        <v>10983.64509</v>
      </c>
      <c r="D22" s="198" t="s">
        <v>19</v>
      </c>
      <c r="E22" s="111"/>
      <c r="F22" s="110"/>
      <c r="G22" s="110"/>
      <c r="H22" s="110"/>
      <c r="I22" s="110"/>
    </row>
    <row r="23" spans="1:9" ht="15.75">
      <c r="A23" s="20" t="s">
        <v>20</v>
      </c>
      <c r="B23" s="194" t="s">
        <v>11</v>
      </c>
      <c r="C23" s="197">
        <f>C18*0.6963</f>
        <v>10983.64509</v>
      </c>
      <c r="D23" s="198"/>
      <c r="E23" s="110"/>
      <c r="F23" s="110"/>
      <c r="G23" s="110"/>
      <c r="H23" s="110"/>
      <c r="I23" s="110"/>
    </row>
    <row r="24" spans="1:9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  <c r="I24" s="110"/>
    </row>
    <row r="25" spans="1:9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  <c r="I25" s="110"/>
    </row>
    <row r="26" spans="1:9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  <c r="I26" s="110"/>
    </row>
    <row r="27" spans="1:9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  <c r="I27" s="110"/>
    </row>
    <row r="28" spans="1:9" ht="15.75">
      <c r="A28" s="20" t="s">
        <v>25</v>
      </c>
      <c r="B28" s="194" t="s">
        <v>11</v>
      </c>
      <c r="C28" s="197">
        <f>C15+C22</f>
        <v>-3223.894910000001</v>
      </c>
      <c r="D28" s="198" t="s">
        <v>26</v>
      </c>
      <c r="E28" s="112" t="e">
        <f>B28/#REF!*1</f>
        <v>#VALUE!</v>
      </c>
      <c r="F28" s="110"/>
      <c r="G28" s="110"/>
      <c r="H28" s="110"/>
      <c r="I28" s="110"/>
    </row>
    <row r="29" spans="1:9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</row>
    <row r="30" spans="1:9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  <c r="I30" s="110"/>
    </row>
    <row r="31" spans="1:9" ht="15.75">
      <c r="A31" s="206" t="s">
        <v>32</v>
      </c>
      <c r="B31" s="207" t="s">
        <v>33</v>
      </c>
      <c r="C31" s="208" t="s">
        <v>34</v>
      </c>
      <c r="D31" s="209">
        <f>(0.85+0.81)*6*103.1</f>
        <v>1026.876</v>
      </c>
      <c r="E31" s="110"/>
      <c r="F31" s="110"/>
      <c r="G31" s="110"/>
      <c r="H31" s="110"/>
      <c r="I31" s="110"/>
    </row>
    <row r="32" spans="1:9" ht="15.75">
      <c r="A32" s="210" t="s">
        <v>36</v>
      </c>
      <c r="B32" s="211" t="s">
        <v>33</v>
      </c>
      <c r="C32" s="212" t="s">
        <v>37</v>
      </c>
      <c r="D32" s="213">
        <f>0.24*12*103.1</f>
        <v>296.928</v>
      </c>
      <c r="E32" s="110"/>
      <c r="F32" s="110"/>
      <c r="G32" s="110"/>
      <c r="H32" s="110"/>
      <c r="I32" s="110"/>
    </row>
    <row r="33" spans="1:9" ht="15.75">
      <c r="A33" s="210" t="s">
        <v>100</v>
      </c>
      <c r="B33" s="211" t="s">
        <v>33</v>
      </c>
      <c r="C33" s="212" t="s">
        <v>34</v>
      </c>
      <c r="D33" s="213">
        <f>(0.14+0.16)*6*103.1</f>
        <v>185.58</v>
      </c>
      <c r="E33" s="110"/>
      <c r="F33" s="110"/>
      <c r="G33" s="110"/>
      <c r="H33" s="110"/>
      <c r="I33" s="110"/>
    </row>
    <row r="34" spans="1:9" ht="15.75">
      <c r="A34" s="210" t="s">
        <v>81</v>
      </c>
      <c r="B34" s="216" t="s">
        <v>82</v>
      </c>
      <c r="C34" s="212" t="s">
        <v>34</v>
      </c>
      <c r="D34" s="213">
        <f>1.33*12*103.1</f>
        <v>1645.4759999999999</v>
      </c>
      <c r="E34" s="110"/>
      <c r="F34" s="110"/>
      <c r="G34" s="110"/>
      <c r="H34" s="110"/>
      <c r="I34" s="110"/>
    </row>
    <row r="35" spans="1:9" ht="15.75">
      <c r="A35" s="210" t="s">
        <v>38</v>
      </c>
      <c r="B35" s="211" t="s">
        <v>35</v>
      </c>
      <c r="C35" s="368" t="s">
        <v>237</v>
      </c>
      <c r="D35" s="213">
        <f>4.19*103.1*12</f>
        <v>5183.868</v>
      </c>
      <c r="E35" s="110"/>
      <c r="F35" s="110"/>
      <c r="G35" s="110"/>
      <c r="H35" s="110"/>
      <c r="I35" s="110"/>
    </row>
    <row r="36" spans="1:9" ht="15.75">
      <c r="A36" s="210" t="s">
        <v>85</v>
      </c>
      <c r="B36" s="211" t="s">
        <v>238</v>
      </c>
      <c r="C36" s="368" t="s">
        <v>37</v>
      </c>
      <c r="D36" s="213">
        <f>103.1*(1.48+1.12)*6</f>
        <v>1608.3600000000001</v>
      </c>
      <c r="E36" s="110"/>
      <c r="F36" s="110"/>
      <c r="G36" s="110"/>
      <c r="H36" s="110"/>
      <c r="I36" s="110"/>
    </row>
    <row r="37" spans="1:14" s="1" customFormat="1" ht="47.25">
      <c r="A37" s="297" t="s">
        <v>227</v>
      </c>
      <c r="B37" s="218" t="s">
        <v>41</v>
      </c>
      <c r="C37" s="224"/>
      <c r="D37" s="177">
        <v>0</v>
      </c>
      <c r="E37" s="110"/>
      <c r="F37" s="110"/>
      <c r="G37" s="110"/>
      <c r="H37" s="110"/>
      <c r="I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SUM(D31:D37)</f>
        <v>9947.088</v>
      </c>
      <c r="E38" s="113">
        <f>D38-D37</f>
        <v>9947.088</v>
      </c>
      <c r="F38" s="110"/>
      <c r="G38" s="110"/>
      <c r="H38" s="110"/>
      <c r="I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-13170.98291</v>
      </c>
      <c r="E39" s="113"/>
      <c r="F39" s="110"/>
      <c r="G39" s="110"/>
      <c r="H39" s="110"/>
      <c r="I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>
        <v>0</v>
      </c>
      <c r="E40" s="110"/>
      <c r="F40" s="110"/>
      <c r="G40" s="110"/>
      <c r="H40" s="110"/>
      <c r="I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24593.2</v>
      </c>
      <c r="E41" s="110"/>
      <c r="F41" s="110"/>
      <c r="G41" s="110"/>
      <c r="H41" s="110"/>
      <c r="I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I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/>
      <c r="D43" s="196">
        <v>0</v>
      </c>
      <c r="E43" s="110"/>
      <c r="F43" s="110"/>
      <c r="G43" s="110"/>
      <c r="H43" s="110"/>
      <c r="I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/>
      <c r="D44" s="196">
        <v>0</v>
      </c>
      <c r="E44" s="110"/>
      <c r="F44" s="110"/>
      <c r="G44" s="110"/>
      <c r="H44" s="110"/>
      <c r="I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/>
      <c r="D45" s="196">
        <v>0</v>
      </c>
      <c r="E45" s="110"/>
      <c r="F45" s="110"/>
      <c r="G45" s="110"/>
      <c r="H45" s="110"/>
      <c r="I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/>
      <c r="D46" s="196">
        <v>0</v>
      </c>
      <c r="E46" s="110"/>
      <c r="F46" s="110"/>
      <c r="G46" s="110"/>
      <c r="H46" s="110"/>
      <c r="I46" s="110"/>
      <c r="K46"/>
      <c r="L46"/>
      <c r="M46"/>
      <c r="N46"/>
    </row>
    <row r="47" spans="1:9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  <c r="I47" s="110"/>
    </row>
    <row r="48" spans="1:9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  <c r="I48" s="110"/>
    </row>
    <row r="49" spans="1:9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  <c r="I49" s="110"/>
    </row>
    <row r="50" spans="1:9" ht="15.75">
      <c r="A50" s="230" t="s">
        <v>13</v>
      </c>
      <c r="B50" s="211" t="s">
        <v>11</v>
      </c>
      <c r="C50" s="212"/>
      <c r="D50" s="240">
        <f>D53-D56-D57-D58-D59</f>
        <v>19086.318977</v>
      </c>
      <c r="E50" s="110"/>
      <c r="F50" s="110"/>
      <c r="G50" s="110"/>
      <c r="H50" s="114"/>
      <c r="I50" s="110"/>
    </row>
    <row r="51" spans="1:9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  <c r="I51" s="110"/>
    </row>
    <row r="52" spans="1:10" ht="17.25" customHeight="1">
      <c r="A52" s="257" t="s">
        <v>12</v>
      </c>
      <c r="B52" s="211" t="s">
        <v>11</v>
      </c>
      <c r="C52" s="279"/>
      <c r="D52" s="55">
        <v>0</v>
      </c>
      <c r="E52" s="110"/>
      <c r="F52" s="110"/>
      <c r="G52" s="110"/>
      <c r="H52" s="110"/>
      <c r="I52" s="114"/>
      <c r="J52" s="49"/>
    </row>
    <row r="53" spans="1:14" ht="15.75">
      <c r="A53" s="238" t="s">
        <v>13</v>
      </c>
      <c r="B53" s="211" t="s">
        <v>11</v>
      </c>
      <c r="C53" s="239"/>
      <c r="D53" s="240">
        <v>23703.71</v>
      </c>
      <c r="E53" s="110"/>
      <c r="F53" s="110"/>
      <c r="G53" s="110"/>
      <c r="H53" s="110" t="s">
        <v>26</v>
      </c>
      <c r="I53" s="125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121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121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8512.29</v>
      </c>
      <c r="C56" s="243">
        <f>B56*0.6963</f>
        <v>5927.107527000001</v>
      </c>
      <c r="D56" s="244">
        <f>B56-C56</f>
        <v>2585.182473</v>
      </c>
      <c r="E56" s="118"/>
      <c r="F56" s="116"/>
      <c r="G56" s="117"/>
      <c r="H56" s="110"/>
      <c r="I56" s="121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B57*0.8866</f>
        <v>0</v>
      </c>
      <c r="D57" s="244">
        <f>B57-C57</f>
        <v>0</v>
      </c>
      <c r="E57" s="115"/>
      <c r="F57" s="116"/>
      <c r="G57" s="117"/>
      <c r="H57" s="110"/>
      <c r="I57" s="121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B58*0.8866</f>
        <v>0</v>
      </c>
      <c r="D58" s="244">
        <f>B58-C58</f>
        <v>0</v>
      </c>
      <c r="E58" s="115">
        <f>(2.07+1.8)*6*2301.2-0.37*2301.2*6</f>
        <v>48325.2</v>
      </c>
      <c r="F58" s="119"/>
      <c r="G58" s="120"/>
      <c r="H58" s="115"/>
      <c r="I58" s="121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6691.5</v>
      </c>
      <c r="C59" s="243">
        <f>B59*0.6963</f>
        <v>4659.291450000001</v>
      </c>
      <c r="D59" s="267">
        <f>B59-C59</f>
        <v>2032.2085499999994</v>
      </c>
      <c r="E59" s="115"/>
      <c r="F59" s="119"/>
      <c r="G59" s="120"/>
      <c r="H59" s="110"/>
      <c r="I59" s="121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121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8512.29</v>
      </c>
      <c r="C61" s="248">
        <f>C56</f>
        <v>5927.107527000001</v>
      </c>
      <c r="D61" s="269">
        <f>B61-C61</f>
        <v>2585.182473</v>
      </c>
      <c r="E61" s="115"/>
      <c r="F61" s="119"/>
      <c r="G61" s="110"/>
      <c r="H61" s="121"/>
      <c r="I61" s="121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f>C57*1.0063</f>
        <v>0</v>
      </c>
      <c r="D62" s="269">
        <f>B62-C62</f>
        <v>0</v>
      </c>
      <c r="E62" s="115"/>
      <c r="F62" s="119"/>
      <c r="G62" s="110"/>
      <c r="H62" s="121"/>
      <c r="I62" s="121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f>C58*1.0063</f>
        <v>0</v>
      </c>
      <c r="D63" s="269">
        <f>B63-C63</f>
        <v>0</v>
      </c>
      <c r="E63" s="115"/>
      <c r="F63" s="119"/>
      <c r="G63" s="110"/>
      <c r="H63" s="121"/>
      <c r="I63" s="121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6691.5</v>
      </c>
      <c r="C64" s="301">
        <v>4659.291450000001</v>
      </c>
      <c r="D64" s="273">
        <v>2032.2085499999994</v>
      </c>
      <c r="E64" s="115"/>
      <c r="F64" s="119"/>
      <c r="G64" s="110"/>
      <c r="H64" s="121" t="s">
        <v>26</v>
      </c>
      <c r="I64" s="121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115"/>
      <c r="F65" s="119"/>
      <c r="G65" s="110"/>
      <c r="H65" s="121"/>
      <c r="I65" s="121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115"/>
      <c r="F66" s="119"/>
      <c r="G66" s="110"/>
      <c r="H66" s="121"/>
      <c r="I66" s="121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121"/>
      <c r="G67" s="110"/>
      <c r="H67" s="123" t="e">
        <f>E67-B18</f>
        <v>#VALUE!</v>
      </c>
      <c r="I67" s="121"/>
      <c r="J67" s="65"/>
      <c r="K67" s="66"/>
      <c r="L67" s="66"/>
      <c r="M67" s="66"/>
      <c r="N67" s="66"/>
    </row>
    <row r="68" spans="1:9" ht="21" customHeight="1">
      <c r="A68" s="87" t="s">
        <v>45</v>
      </c>
      <c r="B68" s="87" t="s">
        <v>46</v>
      </c>
      <c r="C68" s="87"/>
      <c r="D68" s="179">
        <v>0</v>
      </c>
      <c r="E68" s="124"/>
      <c r="F68" s="110"/>
      <c r="G68" s="110"/>
      <c r="H68" s="110"/>
      <c r="I68" s="110"/>
    </row>
    <row r="69" spans="1:9" ht="21" customHeight="1">
      <c r="A69" s="87" t="s">
        <v>47</v>
      </c>
      <c r="B69" s="87" t="s">
        <v>46</v>
      </c>
      <c r="C69" s="87"/>
      <c r="D69" s="179">
        <v>0</v>
      </c>
      <c r="E69" s="124"/>
      <c r="F69" s="110"/>
      <c r="G69" s="110"/>
      <c r="H69" s="110"/>
      <c r="I69" s="110"/>
    </row>
    <row r="70" spans="1:9" ht="18" customHeight="1">
      <c r="A70" s="87" t="s">
        <v>48</v>
      </c>
      <c r="B70" s="87" t="s">
        <v>46</v>
      </c>
      <c r="C70" s="87"/>
      <c r="D70" s="179">
        <v>0</v>
      </c>
      <c r="E70" s="124"/>
      <c r="F70" s="110"/>
      <c r="G70" s="110"/>
      <c r="H70" s="110"/>
      <c r="I70" s="110"/>
    </row>
    <row r="71" spans="1:9" ht="16.5" customHeight="1">
      <c r="A71" s="87" t="s">
        <v>49</v>
      </c>
      <c r="B71" s="87" t="s">
        <v>11</v>
      </c>
      <c r="C71" s="87"/>
      <c r="D71" s="179">
        <v>0</v>
      </c>
      <c r="E71" s="124"/>
      <c r="F71" s="110"/>
      <c r="G71" s="110"/>
      <c r="H71" s="110"/>
      <c r="I71" s="110"/>
    </row>
    <row r="72" spans="1:9" ht="15.75" customHeight="1">
      <c r="A72" s="489" t="s">
        <v>68</v>
      </c>
      <c r="B72" s="489"/>
      <c r="C72" s="489"/>
      <c r="D72" s="489"/>
      <c r="E72" s="124"/>
      <c r="F72" s="110"/>
      <c r="G72" s="110"/>
      <c r="H72" s="110"/>
      <c r="I72" s="110"/>
    </row>
    <row r="73" spans="1:9" ht="18.75" customHeight="1">
      <c r="A73" s="87" t="s">
        <v>69</v>
      </c>
      <c r="B73" s="87" t="s">
        <v>46</v>
      </c>
      <c r="C73" s="87"/>
      <c r="D73" s="179">
        <v>1</v>
      </c>
      <c r="E73" s="124"/>
      <c r="F73" s="110"/>
      <c r="G73" s="110"/>
      <c r="H73" s="110"/>
      <c r="I73" s="110"/>
    </row>
    <row r="74" spans="1:9" ht="21.75" customHeight="1">
      <c r="A74" s="87" t="s">
        <v>70</v>
      </c>
      <c r="B74" s="257" t="s">
        <v>46</v>
      </c>
      <c r="C74" s="257"/>
      <c r="D74" s="179">
        <v>1</v>
      </c>
      <c r="E74" s="124"/>
      <c r="F74" s="110"/>
      <c r="G74" s="110"/>
      <c r="H74" s="110"/>
      <c r="I74" s="110"/>
    </row>
    <row r="75" spans="1:9" ht="36" customHeight="1">
      <c r="A75" s="258" t="s">
        <v>71</v>
      </c>
      <c r="B75" s="87" t="s">
        <v>11</v>
      </c>
      <c r="C75" s="87"/>
      <c r="D75" s="179">
        <v>0</v>
      </c>
      <c r="E75" s="124"/>
      <c r="F75" s="110"/>
      <c r="G75" s="110"/>
      <c r="H75" s="110"/>
      <c r="I75" s="110"/>
    </row>
    <row r="76" spans="1:9" ht="15.75">
      <c r="A76" s="259"/>
      <c r="B76" s="259"/>
      <c r="C76" s="259"/>
      <c r="D76" s="260"/>
      <c r="E76" s="110"/>
      <c r="F76" s="110"/>
      <c r="G76" s="110"/>
      <c r="H76" s="110"/>
      <c r="I76" s="11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14" s="1" customFormat="1" ht="12.75">
      <c r="A84" s="180"/>
      <c r="B84" s="180"/>
      <c r="C84" s="180"/>
      <c r="D84" s="180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">
      <selection activeCell="E15" sqref="E15:H47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103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185" t="s">
        <v>334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4" ht="31.5" customHeight="1">
      <c r="A14" s="490" t="s">
        <v>9</v>
      </c>
      <c r="B14" s="490"/>
      <c r="C14" s="490"/>
      <c r="D14" s="490"/>
    </row>
    <row r="15" spans="1:8" ht="26.25">
      <c r="A15" s="17" t="s">
        <v>10</v>
      </c>
      <c r="B15" s="194" t="s">
        <v>11</v>
      </c>
      <c r="C15" s="197">
        <v>38836.41</v>
      </c>
      <c r="D15" s="196"/>
      <c r="E15" s="325"/>
      <c r="F15" s="325"/>
      <c r="G15" s="325"/>
      <c r="H15" s="325"/>
    </row>
    <row r="16" spans="1:8" ht="15.75">
      <c r="A16" s="20" t="s">
        <v>12</v>
      </c>
      <c r="B16" s="194" t="s">
        <v>11</v>
      </c>
      <c r="C16" s="195">
        <v>0</v>
      </c>
      <c r="D16" s="196"/>
      <c r="E16" s="325"/>
      <c r="F16" s="325"/>
      <c r="G16" s="325"/>
      <c r="H16" s="325"/>
    </row>
    <row r="17" spans="1:8" ht="15.75">
      <c r="A17" s="20" t="s">
        <v>13</v>
      </c>
      <c r="B17" s="194" t="s">
        <v>11</v>
      </c>
      <c r="C17" s="197">
        <v>1100.93</v>
      </c>
      <c r="D17" s="198"/>
      <c r="E17" s="325" t="e">
        <f>B17/12/1022.6</f>
        <v>#VALUE!</v>
      </c>
      <c r="F17" s="325"/>
      <c r="G17" s="325"/>
      <c r="H17" s="325"/>
    </row>
    <row r="18" spans="1:8" ht="31.5" customHeight="1">
      <c r="A18" s="17" t="s">
        <v>14</v>
      </c>
      <c r="B18" s="194" t="s">
        <v>11</v>
      </c>
      <c r="C18" s="197">
        <f>16375.86+5099.76</f>
        <v>21475.620000000003</v>
      </c>
      <c r="D18" s="198"/>
      <c r="E18" s="326">
        <f>C18-C20</f>
        <v>14383.176000000003</v>
      </c>
      <c r="F18" s="325"/>
      <c r="G18" s="325"/>
      <c r="H18" s="325"/>
    </row>
    <row r="19" spans="1:8" ht="15.75">
      <c r="A19" s="20" t="s">
        <v>15</v>
      </c>
      <c r="B19" s="194" t="s">
        <v>11</v>
      </c>
      <c r="C19" s="197">
        <f>C18-C20-C21</f>
        <v>6469.104000000002</v>
      </c>
      <c r="D19" s="198"/>
      <c r="E19" s="326">
        <f>E18-E38</f>
        <v>0.004000000000814907</v>
      </c>
      <c r="F19" s="325"/>
      <c r="G19" s="325"/>
      <c r="H19" s="325"/>
    </row>
    <row r="20" spans="1:8" ht="15.75">
      <c r="A20" s="20" t="s">
        <v>16</v>
      </c>
      <c r="B20" s="194" t="s">
        <v>11</v>
      </c>
      <c r="C20" s="197">
        <f>(1.35+0.76)*6*157.4+5099.76</f>
        <v>7092.444</v>
      </c>
      <c r="D20" s="198"/>
      <c r="E20" s="327"/>
      <c r="F20" s="325"/>
      <c r="G20" s="325"/>
      <c r="H20" s="325"/>
    </row>
    <row r="21" spans="1:8" ht="15.75">
      <c r="A21" s="20" t="s">
        <v>17</v>
      </c>
      <c r="B21" s="194" t="s">
        <v>11</v>
      </c>
      <c r="C21" s="199">
        <f>157.4*4.19*12</f>
        <v>7914.072000000001</v>
      </c>
      <c r="D21" s="198"/>
      <c r="E21" s="325"/>
      <c r="F21" s="325"/>
      <c r="G21" s="325"/>
      <c r="H21" s="325"/>
    </row>
    <row r="22" spans="1:8" ht="15.75">
      <c r="A22" s="20" t="s">
        <v>18</v>
      </c>
      <c r="B22" s="194" t="s">
        <v>11</v>
      </c>
      <c r="C22" s="197">
        <f>C23+C24+C25+C26+C27</f>
        <v>17483.302242</v>
      </c>
      <c r="D22" s="198" t="s">
        <v>19</v>
      </c>
      <c r="E22" s="326" t="e">
        <f>B24+B25+B26+B27+B28</f>
        <v>#VALUE!</v>
      </c>
      <c r="F22" s="325"/>
      <c r="G22" s="325"/>
      <c r="H22" s="325"/>
    </row>
    <row r="23" spans="1:8" ht="15.75">
      <c r="A23" s="20" t="s">
        <v>20</v>
      </c>
      <c r="B23" s="194" t="s">
        <v>11</v>
      </c>
      <c r="C23" s="197">
        <f>C18*0.8141</f>
        <v>17483.302242</v>
      </c>
      <c r="D23" s="198"/>
      <c r="E23" s="325"/>
      <c r="F23" s="325"/>
      <c r="G23" s="325"/>
      <c r="H23" s="325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327" t="e">
        <f>B24/#REF!*1</f>
        <v>#VALUE!</v>
      </c>
      <c r="F24" s="325"/>
      <c r="G24" s="325"/>
      <c r="H24" s="325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327" t="e">
        <f>B25/#REF!*1</f>
        <v>#VALUE!</v>
      </c>
      <c r="F25" s="325"/>
      <c r="G25" s="325"/>
      <c r="H25" s="325"/>
    </row>
    <row r="26" spans="1:8" ht="15.75">
      <c r="A26" s="191" t="s">
        <v>24</v>
      </c>
      <c r="B26" s="194" t="s">
        <v>11</v>
      </c>
      <c r="C26" s="197">
        <v>0</v>
      </c>
      <c r="D26" s="200"/>
      <c r="E26" s="327" t="e">
        <f>B26/#REF!*1</f>
        <v>#VALUE!</v>
      </c>
      <c r="F26" s="325"/>
      <c r="G26" s="325"/>
      <c r="H26" s="325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327" t="e">
        <f>B27/#REF!*1</f>
        <v>#VALUE!</v>
      </c>
      <c r="F27" s="325"/>
      <c r="G27" s="325"/>
      <c r="H27" s="325"/>
    </row>
    <row r="28" spans="1:8" ht="15.75">
      <c r="A28" s="20" t="s">
        <v>25</v>
      </c>
      <c r="B28" s="194" t="s">
        <v>11</v>
      </c>
      <c r="C28" s="197">
        <f>C15+C22</f>
        <v>56319.71224200001</v>
      </c>
      <c r="D28" s="198" t="s">
        <v>26</v>
      </c>
      <c r="E28" s="327" t="e">
        <f>B28/#REF!*1</f>
        <v>#VALUE!</v>
      </c>
      <c r="F28" s="325"/>
      <c r="G28" s="325"/>
      <c r="H28" s="325"/>
    </row>
    <row r="29" spans="1:8" ht="35.25" customHeight="1">
      <c r="A29" s="491" t="s">
        <v>27</v>
      </c>
      <c r="B29" s="491"/>
      <c r="C29" s="491"/>
      <c r="D29" s="491"/>
      <c r="E29" s="325"/>
      <c r="F29" s="325"/>
      <c r="G29" s="325"/>
      <c r="H29" s="325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325"/>
      <c r="F30" s="325"/>
      <c r="G30" s="325"/>
      <c r="H30" s="325"/>
    </row>
    <row r="31" spans="1:8" ht="15.75">
      <c r="A31" s="206" t="s">
        <v>32</v>
      </c>
      <c r="B31" s="207" t="s">
        <v>33</v>
      </c>
      <c r="C31" s="208" t="s">
        <v>34</v>
      </c>
      <c r="D31" s="209">
        <f>(0.81+0.85)*6*157.4</f>
        <v>1567.7040000000002</v>
      </c>
      <c r="E31" s="325"/>
      <c r="F31" s="325"/>
      <c r="G31" s="325"/>
      <c r="H31" s="325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0.24*12*157.4</f>
        <v>453.312</v>
      </c>
      <c r="E32" s="325"/>
      <c r="F32" s="325"/>
      <c r="G32" s="325"/>
      <c r="H32" s="325"/>
    </row>
    <row r="33" spans="1:8" ht="15.75">
      <c r="A33" s="210" t="s">
        <v>100</v>
      </c>
      <c r="B33" s="211" t="s">
        <v>33</v>
      </c>
      <c r="C33" s="212" t="s">
        <v>34</v>
      </c>
      <c r="D33" s="213">
        <f>(0.14+0.16)*6*157.4</f>
        <v>283.32000000000005</v>
      </c>
      <c r="E33" s="325"/>
      <c r="F33" s="325"/>
      <c r="G33" s="325"/>
      <c r="H33" s="325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1.33*12*157.4</f>
        <v>2512.1040000000003</v>
      </c>
      <c r="E34" s="325"/>
      <c r="F34" s="325"/>
      <c r="G34" s="325"/>
      <c r="H34" s="325"/>
    </row>
    <row r="35" spans="1:8" ht="15.75">
      <c r="A35" s="210" t="s">
        <v>38</v>
      </c>
      <c r="B35" s="211" t="s">
        <v>35</v>
      </c>
      <c r="C35" s="217" t="s">
        <v>39</v>
      </c>
      <c r="D35" s="213">
        <f>4.19*157.4*12</f>
        <v>7914.072000000001</v>
      </c>
      <c r="E35" s="325"/>
      <c r="F35" s="325"/>
      <c r="G35" s="325"/>
      <c r="H35" s="325"/>
    </row>
    <row r="36" spans="1:8" ht="15.75">
      <c r="A36" s="210" t="s">
        <v>85</v>
      </c>
      <c r="B36" s="211" t="s">
        <v>238</v>
      </c>
      <c r="C36" s="217" t="s">
        <v>37</v>
      </c>
      <c r="D36" s="213">
        <f>(0.73+1.02)*6*157.4-0.04</f>
        <v>1652.66</v>
      </c>
      <c r="E36" s="325"/>
      <c r="F36" s="325"/>
      <c r="G36" s="325"/>
      <c r="H36" s="325"/>
    </row>
    <row r="37" spans="1:14" s="1" customFormat="1" ht="47.25">
      <c r="A37" s="297" t="s">
        <v>228</v>
      </c>
      <c r="B37" s="218" t="s">
        <v>41</v>
      </c>
      <c r="C37" s="224"/>
      <c r="D37" s="177">
        <v>0</v>
      </c>
      <c r="E37" s="325"/>
      <c r="F37" s="325"/>
      <c r="G37" s="325"/>
      <c r="H37" s="325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D31+D32+D33+D34+D35+D36+D37</f>
        <v>14383.172000000002</v>
      </c>
      <c r="E38" s="184">
        <f>D38-D37</f>
        <v>14383.172000000002</v>
      </c>
      <c r="F38" s="325"/>
      <c r="G38" s="325"/>
      <c r="H38" s="325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41936.540242</v>
      </c>
      <c r="E39" s="184"/>
      <c r="F39" s="325"/>
      <c r="G39" s="325"/>
      <c r="H39" s="325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>
        <v>0</v>
      </c>
      <c r="E40" s="325"/>
      <c r="F40" s="325"/>
      <c r="G40" s="325"/>
      <c r="H40" s="325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6653.7</v>
      </c>
      <c r="E41" s="325"/>
      <c r="F41" s="325"/>
      <c r="G41" s="325"/>
      <c r="H41" s="325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325"/>
      <c r="F42" s="325"/>
      <c r="G42" s="325"/>
      <c r="H42" s="325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/>
      <c r="D43" s="196">
        <v>0</v>
      </c>
      <c r="E43" s="325"/>
      <c r="F43" s="325"/>
      <c r="G43" s="325"/>
      <c r="H43" s="325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/>
      <c r="D44" s="196">
        <v>0</v>
      </c>
      <c r="E44" s="325"/>
      <c r="F44" s="325"/>
      <c r="G44" s="325"/>
      <c r="H44" s="325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/>
      <c r="D45" s="196">
        <v>0</v>
      </c>
      <c r="E45" s="325"/>
      <c r="F45" s="325"/>
      <c r="G45" s="325"/>
      <c r="H45" s="325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/>
      <c r="D46" s="196">
        <v>0</v>
      </c>
      <c r="E46" s="325"/>
      <c r="F46" s="325"/>
      <c r="G46" s="325"/>
      <c r="H46" s="325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325"/>
      <c r="F47" s="325"/>
      <c r="G47" s="325"/>
      <c r="H47" s="325"/>
    </row>
    <row r="48" spans="1:8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13</v>
      </c>
      <c r="B50" s="211" t="s">
        <v>11</v>
      </c>
      <c r="C50" s="212"/>
      <c r="D50" s="240">
        <f>D53-D56-D57-D58-D59</f>
        <v>3094.3308480000014</v>
      </c>
      <c r="E50" s="110"/>
      <c r="F50" s="110"/>
      <c r="G50" s="110"/>
      <c r="H50" s="114"/>
    </row>
    <row r="51" spans="1:8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</row>
    <row r="52" spans="1:10" ht="17.25" customHeight="1">
      <c r="A52" s="257" t="s">
        <v>12</v>
      </c>
      <c r="B52" s="211" t="s">
        <v>11</v>
      </c>
      <c r="C52" s="279"/>
      <c r="D52" s="55">
        <v>0</v>
      </c>
      <c r="E52" s="110"/>
      <c r="F52" s="110"/>
      <c r="G52" s="110"/>
      <c r="H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7736.12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15391.66</v>
      </c>
      <c r="C56" s="243">
        <f>B56*0.8141</f>
        <v>12530.350406000001</v>
      </c>
      <c r="D56" s="244">
        <f>B56-C56</f>
        <v>2861.3095939999985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B57*0.8866</f>
        <v>0</v>
      </c>
      <c r="D57" s="244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B58*0.8866</f>
        <v>0</v>
      </c>
      <c r="D58" s="244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9577.62</v>
      </c>
      <c r="C59" s="243">
        <f>B59*0.8141</f>
        <v>7797.140442000001</v>
      </c>
      <c r="D59" s="267">
        <f>B59-C59</f>
        <v>1780.479558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15391.66</v>
      </c>
      <c r="C61" s="248">
        <f>C56</f>
        <v>12530.350406000001</v>
      </c>
      <c r="D61" s="269">
        <f>B61-C61</f>
        <v>2861.3095939999985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f>C57*1.0063</f>
        <v>0</v>
      </c>
      <c r="D62" s="269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f>C58*1.0063</f>
        <v>0</v>
      </c>
      <c r="D63" s="269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9577.62</v>
      </c>
      <c r="C64" s="301">
        <v>7797.140442000001</v>
      </c>
      <c r="D64" s="273">
        <v>1780.479558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7" t="s">
        <v>45</v>
      </c>
      <c r="B68" s="87" t="s">
        <v>46</v>
      </c>
      <c r="C68" s="87"/>
      <c r="D68" s="179">
        <v>0</v>
      </c>
      <c r="E68" s="89"/>
    </row>
    <row r="69" spans="1:5" ht="21" customHeight="1">
      <c r="A69" s="87" t="s">
        <v>47</v>
      </c>
      <c r="B69" s="87" t="s">
        <v>46</v>
      </c>
      <c r="C69" s="87"/>
      <c r="D69" s="179">
        <v>0</v>
      </c>
      <c r="E69" s="89"/>
    </row>
    <row r="70" spans="1:5" ht="18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6.5" customHeight="1">
      <c r="A71" s="87" t="s">
        <v>49</v>
      </c>
      <c r="B71" s="87" t="s">
        <v>11</v>
      </c>
      <c r="C71" s="87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7" t="s">
        <v>69</v>
      </c>
      <c r="B73" s="87" t="s">
        <v>46</v>
      </c>
      <c r="C73" s="87"/>
      <c r="D73" s="179">
        <v>0</v>
      </c>
      <c r="E73" s="89"/>
    </row>
    <row r="74" spans="1:5" ht="21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14" s="1" customFormat="1" ht="12.75">
      <c r="A84" s="180"/>
      <c r="B84" s="180"/>
      <c r="C84" s="180"/>
      <c r="D84" s="180"/>
      <c r="E84" s="1" t="s">
        <v>26</v>
      </c>
      <c r="K84"/>
      <c r="L84"/>
      <c r="M84"/>
      <c r="N84"/>
    </row>
    <row r="85" spans="1:4" ht="12.75">
      <c r="A85" s="180"/>
      <c r="B85" s="180"/>
      <c r="C85" s="180"/>
      <c r="D85" s="180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3">
      <selection activeCell="E16" sqref="E16:H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104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170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4" ht="31.5" customHeight="1">
      <c r="A14" s="490" t="s">
        <v>9</v>
      </c>
      <c r="B14" s="490"/>
      <c r="C14" s="490"/>
      <c r="D14" s="490"/>
    </row>
    <row r="15" spans="1:4" ht="26.25">
      <c r="A15" s="17" t="s">
        <v>10</v>
      </c>
      <c r="B15" s="194" t="s">
        <v>11</v>
      </c>
      <c r="C15" s="197">
        <v>11231.09</v>
      </c>
      <c r="D15" s="196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20067.95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10358.76+2640.6</f>
        <v>12999.36</v>
      </c>
      <c r="D18" s="198"/>
      <c r="E18" s="111">
        <f>C18-C20</f>
        <v>9502.506000000001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4107.462</v>
      </c>
      <c r="D19" s="198"/>
      <c r="E19" s="111">
        <f>E18-E38</f>
        <v>-0.0020000000004074536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(0.53+0.8)*6*107.3+2640.6</f>
        <v>3496.854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107.3*4.19*12</f>
        <v>5395.044000000001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10212.297216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C18*0.7856</f>
        <v>10212.297216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21443.387216000003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(0.85+0.65)*6*107.3</f>
        <v>965.6999999999999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0.24*12*107.3</f>
        <v>309.024</v>
      </c>
      <c r="E32" s="110"/>
      <c r="F32" s="110"/>
      <c r="G32" s="110"/>
      <c r="H32" s="110"/>
    </row>
    <row r="33" spans="1:8" ht="15.75">
      <c r="A33" s="210" t="s">
        <v>100</v>
      </c>
      <c r="B33" s="211" t="s">
        <v>33</v>
      </c>
      <c r="C33" s="212" t="s">
        <v>34</v>
      </c>
      <c r="D33" s="213">
        <v>0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1.33*12*107.3</f>
        <v>1712.508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217" t="s">
        <v>39</v>
      </c>
      <c r="D35" s="213">
        <f>4.19*107.3*12</f>
        <v>5395.044000000001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17" t="s">
        <v>37</v>
      </c>
      <c r="D36" s="402">
        <f>107.3*(1.07+0.67)*6+0.02</f>
        <v>1120.2320000000002</v>
      </c>
      <c r="E36" s="110"/>
      <c r="F36" s="110"/>
      <c r="G36" s="110"/>
      <c r="H36" s="110"/>
    </row>
    <row r="37" spans="1:14" s="1" customFormat="1" ht="47.25">
      <c r="A37" s="371" t="s">
        <v>40</v>
      </c>
      <c r="B37" s="218" t="s">
        <v>41</v>
      </c>
      <c r="C37" s="224"/>
      <c r="D37" s="177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D31+D32+D33+D34+D35+D36+D37</f>
        <v>9502.508000000002</v>
      </c>
      <c r="E38" s="113">
        <f>D38-D37</f>
        <v>9502.508000000002</v>
      </c>
      <c r="F38" s="110"/>
      <c r="G38" s="110"/>
      <c r="H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11940.879216000001</v>
      </c>
      <c r="E39" s="113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>
        <v>0</v>
      </c>
      <c r="E40" s="110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18679.3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/>
      <c r="D43" s="196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/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/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/>
      <c r="D46" s="196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13</v>
      </c>
      <c r="B50" s="211" t="s">
        <v>11</v>
      </c>
      <c r="C50" s="212"/>
      <c r="D50" s="233">
        <f>D53-D56-D57-D58-D59</f>
        <v>18277.901343999998</v>
      </c>
      <c r="E50" s="110"/>
      <c r="F50" s="110"/>
      <c r="G50" s="110"/>
      <c r="H50" s="114"/>
    </row>
    <row r="51" spans="1:8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</row>
    <row r="52" spans="1:10" ht="17.25" customHeight="1">
      <c r="A52" s="257" t="s">
        <v>12</v>
      </c>
      <c r="B52" s="211" t="s">
        <v>11</v>
      </c>
      <c r="C52" s="279"/>
      <c r="D52" s="55">
        <v>0</v>
      </c>
      <c r="E52" s="110"/>
      <c r="F52" s="110"/>
      <c r="G52" s="110"/>
      <c r="H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21483.34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7986.6</v>
      </c>
      <c r="C56" s="243">
        <f>B56*0.7856</f>
        <v>6274.27296</v>
      </c>
      <c r="D56" s="244">
        <f>B56-C56</f>
        <v>1712.3270400000001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B57*0.8866</f>
        <v>0</v>
      </c>
      <c r="D57" s="244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B58*0.8866</f>
        <v>0</v>
      </c>
      <c r="D58" s="244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6964.14</v>
      </c>
      <c r="C59" s="243">
        <f>B59*0.7856</f>
        <v>5471.028384</v>
      </c>
      <c r="D59" s="267">
        <f>B59-C59</f>
        <v>1493.1116160000001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7986.6</v>
      </c>
      <c r="C61" s="248">
        <f>C56</f>
        <v>6274.27296</v>
      </c>
      <c r="D61" s="269">
        <f>B61-C61</f>
        <v>1712.3270400000001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v>0</v>
      </c>
      <c r="D62" s="269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v>0</v>
      </c>
      <c r="D63" s="269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6964.14</v>
      </c>
      <c r="C64" s="272">
        <v>5471.028384</v>
      </c>
      <c r="D64" s="273">
        <v>1493.1116160000001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115"/>
      <c r="F65" s="119"/>
      <c r="G65" s="110"/>
      <c r="H65" s="121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115"/>
      <c r="F66" s="119"/>
      <c r="G66" s="110"/>
      <c r="H66" s="121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121"/>
      <c r="G67" s="110"/>
      <c r="H67" s="123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7" t="s">
        <v>45</v>
      </c>
      <c r="B68" s="87" t="s">
        <v>46</v>
      </c>
      <c r="C68" s="87"/>
      <c r="D68" s="179">
        <v>0</v>
      </c>
      <c r="E68" s="124"/>
      <c r="F68" s="110"/>
      <c r="G68" s="110"/>
      <c r="H68" s="110"/>
    </row>
    <row r="69" spans="1:8" ht="21" customHeight="1">
      <c r="A69" s="87" t="s">
        <v>47</v>
      </c>
      <c r="B69" s="87" t="s">
        <v>46</v>
      </c>
      <c r="C69" s="87"/>
      <c r="D69" s="179">
        <v>0</v>
      </c>
      <c r="E69" s="124"/>
      <c r="F69" s="110"/>
      <c r="G69" s="110"/>
      <c r="H69" s="110"/>
    </row>
    <row r="70" spans="1:8" ht="18" customHeight="1">
      <c r="A70" s="87" t="s">
        <v>48</v>
      </c>
      <c r="B70" s="87" t="s">
        <v>46</v>
      </c>
      <c r="C70" s="87"/>
      <c r="D70" s="179">
        <v>0</v>
      </c>
      <c r="E70" s="124"/>
      <c r="F70" s="110"/>
      <c r="G70" s="110"/>
      <c r="H70" s="110"/>
    </row>
    <row r="71" spans="1:8" ht="16.5" customHeight="1">
      <c r="A71" s="87" t="s">
        <v>49</v>
      </c>
      <c r="B71" s="87" t="s">
        <v>11</v>
      </c>
      <c r="C71" s="87"/>
      <c r="D71" s="179">
        <v>0</v>
      </c>
      <c r="E71" s="124"/>
      <c r="F71" s="110"/>
      <c r="G71" s="110"/>
      <c r="H71" s="110"/>
    </row>
    <row r="72" spans="1:8" ht="15.75" customHeight="1">
      <c r="A72" s="489" t="s">
        <v>68</v>
      </c>
      <c r="B72" s="489"/>
      <c r="C72" s="489"/>
      <c r="D72" s="489"/>
      <c r="E72" s="124"/>
      <c r="F72" s="110"/>
      <c r="G72" s="110"/>
      <c r="H72" s="110"/>
    </row>
    <row r="73" spans="1:8" ht="18.75" customHeight="1">
      <c r="A73" s="87" t="s">
        <v>69</v>
      </c>
      <c r="B73" s="87" t="s">
        <v>46</v>
      </c>
      <c r="C73" s="87"/>
      <c r="D73" s="179">
        <v>0</v>
      </c>
      <c r="E73" s="124"/>
      <c r="F73" s="110"/>
      <c r="G73" s="110"/>
      <c r="H73" s="110"/>
    </row>
    <row r="74" spans="1:8" ht="21.75" customHeight="1">
      <c r="A74" s="87" t="s">
        <v>70</v>
      </c>
      <c r="B74" s="257" t="s">
        <v>46</v>
      </c>
      <c r="C74" s="257"/>
      <c r="D74" s="179">
        <v>0</v>
      </c>
      <c r="E74" s="124"/>
      <c r="F74" s="110"/>
      <c r="G74" s="110"/>
      <c r="H74" s="110"/>
    </row>
    <row r="75" spans="1:8" ht="36" customHeight="1">
      <c r="A75" s="258" t="s">
        <v>71</v>
      </c>
      <c r="B75" s="87" t="s">
        <v>11</v>
      </c>
      <c r="C75" s="87"/>
      <c r="D75" s="179">
        <v>0</v>
      </c>
      <c r="E75" s="124"/>
      <c r="F75" s="110"/>
      <c r="G75" s="110"/>
      <c r="H75" s="110"/>
    </row>
    <row r="76" spans="1:8" ht="15.75">
      <c r="A76" s="259"/>
      <c r="B76" s="259"/>
      <c r="C76" s="259"/>
      <c r="D76" s="260"/>
      <c r="E76" s="110"/>
      <c r="F76" s="110"/>
      <c r="G76" s="110"/>
      <c r="H76" s="11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17">
      <selection activeCell="B33" sqref="B33"/>
    </sheetView>
  </sheetViews>
  <sheetFormatPr defaultColWidth="11.57421875" defaultRowHeight="12.75"/>
  <cols>
    <col min="1" max="1" width="52.8515625" style="0" customWidth="1"/>
    <col min="2" max="2" width="19.8515625" style="0" customWidth="1"/>
    <col min="3" max="3" width="23.8515625" style="0" customWidth="1"/>
    <col min="4" max="4" width="15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105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30" customHeight="1">
      <c r="A7" s="488" t="s">
        <v>2</v>
      </c>
      <c r="B7" s="488"/>
      <c r="C7" s="488"/>
      <c r="D7" s="488"/>
    </row>
    <row r="8" spans="1:4" ht="12.75">
      <c r="A8" s="261" t="s">
        <v>171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27917.89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23751.04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60893.04+5293.14</f>
        <v>66186.18000000001</v>
      </c>
      <c r="D18" s="198"/>
      <c r="E18" s="111">
        <f>C18-C20</f>
        <v>57341.76000000001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38386.20000000001</v>
      </c>
      <c r="D19" s="198"/>
      <c r="E19" s="111">
        <f>E18-E43</f>
        <v>5293.140000000021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(1.99+1.92)*6*377</f>
        <v>8844.42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377*4.19*12</f>
        <v>18955.56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</f>
        <v>57727.586196000004</v>
      </c>
      <c r="D22" s="198" t="s">
        <v>19</v>
      </c>
      <c r="E22" s="111" t="e">
        <f>B24+B25+B26+#REF!+B27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C18*0.8722</f>
        <v>57727.586196000004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5.75">
      <c r="A27" s="20" t="s">
        <v>25</v>
      </c>
      <c r="B27" s="194" t="s">
        <v>11</v>
      </c>
      <c r="C27" s="197">
        <f>C15+C22</f>
        <v>85645.476196</v>
      </c>
      <c r="D27" s="198" t="s">
        <v>26</v>
      </c>
      <c r="E27" s="112" t="e">
        <f>B27/#REF!*1</f>
        <v>#VALUE!</v>
      </c>
      <c r="F27" s="110"/>
      <c r="G27" s="110"/>
      <c r="H27" s="110"/>
    </row>
    <row r="28" spans="1:8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</row>
    <row r="29" spans="1:8" ht="51">
      <c r="A29" s="202" t="s">
        <v>28</v>
      </c>
      <c r="B29" s="203" t="s">
        <v>29</v>
      </c>
      <c r="C29" s="204" t="s">
        <v>30</v>
      </c>
      <c r="D29" s="205" t="s">
        <v>31</v>
      </c>
      <c r="E29" s="110"/>
      <c r="F29" s="110"/>
      <c r="G29" s="110"/>
      <c r="H29" s="110"/>
    </row>
    <row r="30" spans="1:8" ht="31.5">
      <c r="A30" s="206" t="s">
        <v>32</v>
      </c>
      <c r="B30" s="207" t="s">
        <v>33</v>
      </c>
      <c r="C30" s="208" t="s">
        <v>34</v>
      </c>
      <c r="D30" s="209">
        <f>(0.65+0.72)*6*377</f>
        <v>3098.94</v>
      </c>
      <c r="E30" s="110"/>
      <c r="F30" s="110"/>
      <c r="G30" s="110"/>
      <c r="H30" s="110"/>
    </row>
    <row r="31" spans="1:8" ht="15.75">
      <c r="A31" s="210" t="s">
        <v>75</v>
      </c>
      <c r="B31" s="211" t="s">
        <v>76</v>
      </c>
      <c r="C31" s="212" t="s">
        <v>34</v>
      </c>
      <c r="D31" s="213">
        <f>2.4*12*377</f>
        <v>10857.599999999999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0.24*12*377</f>
        <v>1085.76</v>
      </c>
      <c r="E32" s="110"/>
      <c r="F32" s="110"/>
      <c r="G32" s="110"/>
      <c r="H32" s="110"/>
    </row>
    <row r="33" spans="1:8" ht="15.75">
      <c r="A33" s="210" t="s">
        <v>79</v>
      </c>
      <c r="B33" s="369" t="s">
        <v>33</v>
      </c>
      <c r="C33" s="212" t="s">
        <v>34</v>
      </c>
      <c r="D33" s="213">
        <f>0.92*12*377</f>
        <v>4162.08</v>
      </c>
      <c r="E33" s="110"/>
      <c r="F33" s="110"/>
      <c r="G33" s="110"/>
      <c r="H33" s="110"/>
    </row>
    <row r="34" spans="1:8" ht="15.75">
      <c r="A34" s="210" t="s">
        <v>80</v>
      </c>
      <c r="B34" s="211" t="s">
        <v>33</v>
      </c>
      <c r="C34" s="212" t="s">
        <v>34</v>
      </c>
      <c r="D34" s="213">
        <f>377*(1.18+1.48)*6</f>
        <v>6016.92</v>
      </c>
      <c r="E34" s="110"/>
      <c r="F34" s="110"/>
      <c r="G34" s="110"/>
      <c r="H34" s="110"/>
    </row>
    <row r="35" spans="1:8" ht="15.75">
      <c r="A35" s="210" t="s">
        <v>81</v>
      </c>
      <c r="B35" s="216" t="s">
        <v>82</v>
      </c>
      <c r="C35" s="212" t="s">
        <v>34</v>
      </c>
      <c r="D35" s="213">
        <f>1.33*12*377</f>
        <v>6016.92</v>
      </c>
      <c r="E35" s="110"/>
      <c r="F35" s="110"/>
      <c r="G35" s="110"/>
      <c r="H35" s="110"/>
    </row>
    <row r="36" spans="1:8" ht="15.75">
      <c r="A36" s="210" t="s">
        <v>38</v>
      </c>
      <c r="B36" s="211" t="s">
        <v>35</v>
      </c>
      <c r="C36" s="368" t="s">
        <v>237</v>
      </c>
      <c r="D36" s="213">
        <f>4.19*377*12</f>
        <v>18955.56</v>
      </c>
      <c r="E36" s="110"/>
      <c r="F36" s="110"/>
      <c r="G36" s="110"/>
      <c r="H36" s="110"/>
    </row>
    <row r="37" spans="1:8" ht="15.75">
      <c r="A37" s="210" t="s">
        <v>85</v>
      </c>
      <c r="B37" s="211" t="s">
        <v>238</v>
      </c>
      <c r="C37" s="217" t="s">
        <v>37</v>
      </c>
      <c r="D37" s="213">
        <f>377*(0.37+0.45)*6</f>
        <v>1854.8400000000001</v>
      </c>
      <c r="E37" s="110"/>
      <c r="F37" s="110"/>
      <c r="G37" s="110"/>
      <c r="H37" s="110"/>
    </row>
    <row r="38" spans="1:8" ht="15.75">
      <c r="A38" s="210" t="s">
        <v>226</v>
      </c>
      <c r="B38" s="211"/>
      <c r="C38" s="217"/>
      <c r="D38" s="213"/>
      <c r="E38" s="110"/>
      <c r="F38" s="110"/>
      <c r="G38" s="110"/>
      <c r="H38" s="110"/>
    </row>
    <row r="39" spans="1:8" ht="31.5">
      <c r="A39" s="210" t="s">
        <v>223</v>
      </c>
      <c r="B39" s="211" t="s">
        <v>35</v>
      </c>
      <c r="C39" s="278" t="s">
        <v>220</v>
      </c>
      <c r="D39" s="213">
        <v>456.63</v>
      </c>
      <c r="E39" s="110"/>
      <c r="F39" s="110"/>
      <c r="G39" s="110"/>
      <c r="H39" s="110"/>
    </row>
    <row r="40" spans="1:8" ht="15.75">
      <c r="A40" s="210" t="s">
        <v>221</v>
      </c>
      <c r="B40" s="211" t="s">
        <v>35</v>
      </c>
      <c r="C40" s="217" t="s">
        <v>222</v>
      </c>
      <c r="D40" s="213">
        <v>4840.74</v>
      </c>
      <c r="E40" s="110"/>
      <c r="F40" s="110"/>
      <c r="G40" s="110"/>
      <c r="H40" s="110"/>
    </row>
    <row r="41" spans="1:14" s="1" customFormat="1" ht="63">
      <c r="A41" s="297" t="s">
        <v>228</v>
      </c>
      <c r="B41" s="218" t="s">
        <v>41</v>
      </c>
      <c r="C41" s="224"/>
      <c r="D41" s="387">
        <f>D42</f>
        <v>10732</v>
      </c>
      <c r="E41" s="110"/>
      <c r="F41" s="110"/>
      <c r="G41" s="110"/>
      <c r="H41" s="110"/>
      <c r="K41"/>
      <c r="L41"/>
      <c r="M41"/>
      <c r="N41"/>
    </row>
    <row r="42" spans="1:14" s="1" customFormat="1" ht="15.75">
      <c r="A42" s="222" t="s">
        <v>299</v>
      </c>
      <c r="B42" s="220" t="s">
        <v>150</v>
      </c>
      <c r="C42" s="217" t="s">
        <v>34</v>
      </c>
      <c r="D42" s="178">
        <v>10732</v>
      </c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37" t="s">
        <v>42</v>
      </c>
      <c r="B43" s="225"/>
      <c r="C43" s="226"/>
      <c r="D43" s="98">
        <f>D30+D31+D32+D33+D34+D35+D36+D37+D39+D40+D41</f>
        <v>68077.98999999999</v>
      </c>
      <c r="E43" s="113">
        <f>D43-D39-D40-D41</f>
        <v>52048.61999999999</v>
      </c>
      <c r="F43" s="110"/>
      <c r="G43" s="110"/>
      <c r="H43" s="110"/>
      <c r="K43"/>
      <c r="L43"/>
      <c r="M43"/>
      <c r="N43"/>
    </row>
    <row r="44" spans="1:14" s="1" customFormat="1" ht="15.75">
      <c r="A44" s="40" t="s">
        <v>43</v>
      </c>
      <c r="B44" s="227" t="s">
        <v>11</v>
      </c>
      <c r="C44" s="228"/>
      <c r="D44" s="229">
        <f>C27-D43</f>
        <v>17567.486196000013</v>
      </c>
      <c r="E44" s="113"/>
      <c r="F44" s="110"/>
      <c r="G44" s="110"/>
      <c r="H44" s="110"/>
      <c r="K44"/>
      <c r="L44"/>
      <c r="M44"/>
      <c r="N44"/>
    </row>
    <row r="45" spans="1:14" s="1" customFormat="1" ht="15.75">
      <c r="A45" s="230" t="s">
        <v>12</v>
      </c>
      <c r="B45" s="231" t="s">
        <v>11</v>
      </c>
      <c r="C45" s="212"/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13</v>
      </c>
      <c r="B46" s="231" t="s">
        <v>11</v>
      </c>
      <c r="C46" s="212"/>
      <c r="D46" s="198">
        <f>C17+C18-C23</f>
        <v>32209.633803999997</v>
      </c>
      <c r="E46" s="110"/>
      <c r="F46" s="110"/>
      <c r="G46" s="110"/>
      <c r="H46" s="110"/>
      <c r="K46"/>
      <c r="L46"/>
      <c r="M46"/>
      <c r="N46"/>
    </row>
    <row r="47" spans="1:14" s="1" customFormat="1" ht="24" customHeight="1">
      <c r="A47" s="492" t="s">
        <v>44</v>
      </c>
      <c r="B47" s="492"/>
      <c r="C47" s="492"/>
      <c r="D47" s="492"/>
      <c r="E47" s="110"/>
      <c r="F47" s="110"/>
      <c r="G47" s="110"/>
      <c r="H47" s="110"/>
      <c r="K47"/>
      <c r="L47"/>
      <c r="M47"/>
      <c r="N47"/>
    </row>
    <row r="48" spans="1:14" s="1" customFormat="1" ht="15.75">
      <c r="A48" s="230" t="s">
        <v>45</v>
      </c>
      <c r="B48" s="211" t="s">
        <v>46</v>
      </c>
      <c r="C48" s="212"/>
      <c r="D48" s="196">
        <v>0</v>
      </c>
      <c r="E48" s="110"/>
      <c r="F48" s="110"/>
      <c r="G48" s="110"/>
      <c r="H48" s="110"/>
      <c r="K48"/>
      <c r="L48"/>
      <c r="M48"/>
      <c r="N48"/>
    </row>
    <row r="49" spans="1:14" s="1" customFormat="1" ht="15.75">
      <c r="A49" s="230" t="s">
        <v>47</v>
      </c>
      <c r="B49" s="211" t="s">
        <v>46</v>
      </c>
      <c r="C49" s="212"/>
      <c r="D49" s="196">
        <v>0</v>
      </c>
      <c r="E49" s="110"/>
      <c r="F49" s="110"/>
      <c r="G49" s="110"/>
      <c r="H49" s="110"/>
      <c r="K49"/>
      <c r="L49"/>
      <c r="M49"/>
      <c r="N49"/>
    </row>
    <row r="50" spans="1:14" s="1" customFormat="1" ht="26.25">
      <c r="A50" s="232" t="s">
        <v>48</v>
      </c>
      <c r="B50" s="211" t="s">
        <v>46</v>
      </c>
      <c r="C50" s="212"/>
      <c r="D50" s="196">
        <v>0</v>
      </c>
      <c r="E50" s="110"/>
      <c r="F50" s="110"/>
      <c r="G50" s="110"/>
      <c r="H50" s="110"/>
      <c r="K50"/>
      <c r="L50"/>
      <c r="M50"/>
      <c r="N50"/>
    </row>
    <row r="51" spans="1:14" s="1" customFormat="1" ht="15.75">
      <c r="A51" s="230" t="s">
        <v>49</v>
      </c>
      <c r="B51" s="211" t="s">
        <v>11</v>
      </c>
      <c r="C51" s="212"/>
      <c r="D51" s="196">
        <v>0</v>
      </c>
      <c r="E51" s="110"/>
      <c r="F51" s="110"/>
      <c r="G51" s="110"/>
      <c r="H51" s="110"/>
      <c r="K51"/>
      <c r="L51"/>
      <c r="M51"/>
      <c r="N51"/>
    </row>
    <row r="52" spans="1:8" ht="20.25" customHeight="1">
      <c r="A52" s="493" t="s">
        <v>50</v>
      </c>
      <c r="B52" s="493"/>
      <c r="C52" s="493"/>
      <c r="D52" s="493"/>
      <c r="E52" s="110"/>
      <c r="F52" s="110"/>
      <c r="G52" s="110"/>
      <c r="H52" s="110"/>
    </row>
    <row r="53" spans="1:8" ht="26.25">
      <c r="A53" s="232" t="s">
        <v>51</v>
      </c>
      <c r="B53" s="211" t="s">
        <v>11</v>
      </c>
      <c r="C53" s="212"/>
      <c r="D53" s="196">
        <v>0</v>
      </c>
      <c r="E53" s="110"/>
      <c r="F53" s="110"/>
      <c r="G53" s="110"/>
      <c r="H53" s="110"/>
    </row>
    <row r="54" spans="1:8" ht="15.75">
      <c r="A54" s="230" t="s">
        <v>12</v>
      </c>
      <c r="B54" s="211" t="s">
        <v>11</v>
      </c>
      <c r="C54" s="212"/>
      <c r="D54" s="196">
        <v>0</v>
      </c>
      <c r="E54" s="110"/>
      <c r="F54" s="110"/>
      <c r="G54" s="110"/>
      <c r="H54" s="110"/>
    </row>
    <row r="55" spans="1:8" ht="15.75">
      <c r="A55" s="230" t="s">
        <v>13</v>
      </c>
      <c r="B55" s="211" t="s">
        <v>11</v>
      </c>
      <c r="C55" s="212"/>
      <c r="D55" s="240">
        <f>D58-D61-D62-D63-D64</f>
        <v>91202.59767599999</v>
      </c>
      <c r="E55" s="110"/>
      <c r="F55" s="110"/>
      <c r="G55" s="110"/>
      <c r="H55" s="114"/>
    </row>
    <row r="56" spans="1:8" ht="26.25">
      <c r="A56" s="234" t="s">
        <v>52</v>
      </c>
      <c r="B56" s="211" t="s">
        <v>11</v>
      </c>
      <c r="C56" s="235"/>
      <c r="D56" s="236">
        <v>0</v>
      </c>
      <c r="E56" s="110"/>
      <c r="F56" s="110"/>
      <c r="G56" s="110"/>
      <c r="H56" s="110"/>
    </row>
    <row r="57" spans="1:10" ht="17.25" customHeight="1">
      <c r="A57" s="237" t="s">
        <v>209</v>
      </c>
      <c r="B57" s="211" t="s">
        <v>11</v>
      </c>
      <c r="C57" s="235"/>
      <c r="D57" s="236">
        <v>0</v>
      </c>
      <c r="E57" s="110"/>
      <c r="F57" s="110"/>
      <c r="G57" s="110"/>
      <c r="H57" s="110"/>
      <c r="I57" s="49"/>
      <c r="J57" s="49"/>
    </row>
    <row r="58" spans="1:14" ht="15.75">
      <c r="A58" s="238" t="s">
        <v>13</v>
      </c>
      <c r="B58" s="211" t="s">
        <v>11</v>
      </c>
      <c r="C58" s="239"/>
      <c r="D58" s="240">
        <v>124126.38</v>
      </c>
      <c r="E58" s="110"/>
      <c r="F58" s="110"/>
      <c r="G58" s="110"/>
      <c r="H58" s="110" t="s">
        <v>26</v>
      </c>
      <c r="I58" s="60"/>
      <c r="J58" s="60"/>
      <c r="K58" s="61"/>
      <c r="L58" s="61"/>
      <c r="M58" s="61"/>
      <c r="N58" s="61"/>
    </row>
    <row r="59" spans="1:14" ht="18" customHeight="1">
      <c r="A59" s="494" t="s">
        <v>53</v>
      </c>
      <c r="B59" s="494"/>
      <c r="C59" s="494"/>
      <c r="D59" s="494"/>
      <c r="E59" s="115"/>
      <c r="F59" s="116"/>
      <c r="G59" s="117"/>
      <c r="H59" s="110"/>
      <c r="I59" s="65"/>
      <c r="J59" s="65"/>
      <c r="K59" s="66"/>
      <c r="L59" s="66"/>
      <c r="M59" s="66"/>
      <c r="N59" s="66"/>
    </row>
    <row r="60" spans="1:14" ht="51">
      <c r="A60" s="67" t="s">
        <v>54</v>
      </c>
      <c r="B60" s="68" t="s">
        <v>55</v>
      </c>
      <c r="C60" s="159" t="s">
        <v>56</v>
      </c>
      <c r="D60" s="160" t="s">
        <v>57</v>
      </c>
      <c r="E60" s="115"/>
      <c r="F60" s="116"/>
      <c r="G60" s="117"/>
      <c r="H60" s="110"/>
      <c r="I60" s="65"/>
      <c r="J60" s="71"/>
      <c r="K60" s="66"/>
      <c r="L60" s="66"/>
      <c r="M60" s="66"/>
      <c r="N60" s="66"/>
    </row>
    <row r="61" spans="1:14" ht="15.75">
      <c r="A61" s="241" t="s">
        <v>58</v>
      </c>
      <c r="B61" s="242">
        <v>26183.84</v>
      </c>
      <c r="C61" s="440">
        <f>B61*0.8722</f>
        <v>22837.545248</v>
      </c>
      <c r="D61" s="441">
        <f>B61-C61</f>
        <v>3346.2947520000016</v>
      </c>
      <c r="E61" s="118"/>
      <c r="F61" s="116"/>
      <c r="G61" s="117"/>
      <c r="H61" s="110"/>
      <c r="I61" s="65"/>
      <c r="J61" s="65"/>
      <c r="K61" s="66"/>
      <c r="L61" s="66"/>
      <c r="M61" s="66"/>
      <c r="N61" s="66"/>
    </row>
    <row r="62" spans="1:14" ht="15.75">
      <c r="A62" s="241" t="s">
        <v>59</v>
      </c>
      <c r="B62" s="242">
        <v>29964.44</v>
      </c>
      <c r="C62" s="440">
        <f>B62*0.8722</f>
        <v>26134.984568</v>
      </c>
      <c r="D62" s="441">
        <f>B62-C62</f>
        <v>3829.455431999999</v>
      </c>
      <c r="E62" s="115"/>
      <c r="F62" s="116"/>
      <c r="G62" s="117"/>
      <c r="H62" s="110"/>
      <c r="I62" s="65"/>
      <c r="J62" s="65"/>
      <c r="K62" s="66"/>
      <c r="L62" s="66"/>
      <c r="M62" s="66"/>
      <c r="N62" s="66"/>
    </row>
    <row r="63" spans="1:14" ht="15.75">
      <c r="A63" s="241" t="s">
        <v>60</v>
      </c>
      <c r="B63" s="245">
        <v>177002.88</v>
      </c>
      <c r="C63" s="440">
        <f>B63*0.8722</f>
        <v>154381.911936</v>
      </c>
      <c r="D63" s="441">
        <f>B63-C63</f>
        <v>22620.968064000015</v>
      </c>
      <c r="E63" s="115">
        <f>(2.07+1.8)*6*2301.2-0.37*2301.2*6</f>
        <v>48325.2</v>
      </c>
      <c r="F63" s="119"/>
      <c r="G63" s="120"/>
      <c r="H63" s="115"/>
      <c r="I63" s="65"/>
      <c r="J63" s="65"/>
      <c r="K63" s="66"/>
      <c r="L63" s="66"/>
      <c r="M63" s="66"/>
      <c r="N63" s="66"/>
    </row>
    <row r="64" spans="1:14" ht="16.5" thickBot="1">
      <c r="A64" s="264" t="s">
        <v>318</v>
      </c>
      <c r="B64" s="265">
        <v>24468.42</v>
      </c>
      <c r="C64" s="440">
        <f>B64*0.8722</f>
        <v>21341.355924</v>
      </c>
      <c r="D64" s="442">
        <f>B64-C64</f>
        <v>3127.0640759999987</v>
      </c>
      <c r="E64" s="115"/>
      <c r="F64" s="119"/>
      <c r="G64" s="120"/>
      <c r="H64" s="110"/>
      <c r="I64" s="65"/>
      <c r="J64" s="65"/>
      <c r="K64" s="66"/>
      <c r="L64" s="66"/>
      <c r="M64" s="66"/>
      <c r="N64" s="66"/>
    </row>
    <row r="65" spans="1:14" ht="63.75">
      <c r="A65" s="130" t="s">
        <v>62</v>
      </c>
      <c r="B65" s="131" t="s">
        <v>63</v>
      </c>
      <c r="C65" s="131" t="s">
        <v>64</v>
      </c>
      <c r="D65" s="161" t="s">
        <v>65</v>
      </c>
      <c r="E65" s="115"/>
      <c r="F65" s="74"/>
      <c r="H65" s="65"/>
      <c r="I65" s="65"/>
      <c r="J65" s="65"/>
      <c r="K65" s="66"/>
      <c r="L65" s="66"/>
      <c r="M65" s="66"/>
      <c r="N65" s="66"/>
    </row>
    <row r="66" spans="1:14" ht="17.25" customHeight="1">
      <c r="A66" s="422" t="s">
        <v>58</v>
      </c>
      <c r="B66" s="423">
        <v>26183.84</v>
      </c>
      <c r="C66" s="421">
        <v>22837.545248</v>
      </c>
      <c r="D66" s="424">
        <f>B66-C66</f>
        <v>3346.2947520000016</v>
      </c>
      <c r="E66" s="115"/>
      <c r="F66" s="74"/>
      <c r="H66" s="65"/>
      <c r="I66" s="65"/>
      <c r="J66" s="65"/>
      <c r="K66" s="66"/>
      <c r="L66" s="66"/>
      <c r="M66" s="66"/>
      <c r="N66" s="66"/>
    </row>
    <row r="67" spans="1:14" ht="18.75" customHeight="1">
      <c r="A67" s="268" t="s">
        <v>59</v>
      </c>
      <c r="B67" s="247">
        <v>29964.44</v>
      </c>
      <c r="C67" s="440">
        <v>26134.984568</v>
      </c>
      <c r="D67" s="424">
        <f>B67-C67</f>
        <v>3829.455431999999</v>
      </c>
      <c r="E67" s="115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5.75">
      <c r="A68" s="268" t="s">
        <v>60</v>
      </c>
      <c r="B68" s="247">
        <v>177002.88</v>
      </c>
      <c r="C68" s="443">
        <v>154381.911936</v>
      </c>
      <c r="D68" s="424">
        <f>B68-C68</f>
        <v>22620.968064000015</v>
      </c>
      <c r="E68" s="115"/>
      <c r="F68" s="74"/>
      <c r="H68" s="65"/>
      <c r="I68" s="65"/>
      <c r="J68" s="65"/>
      <c r="K68" s="66"/>
      <c r="L68" s="66"/>
      <c r="M68" s="66"/>
      <c r="N68" s="66"/>
    </row>
    <row r="69" spans="1:14" ht="15.75">
      <c r="A69" s="425" t="s">
        <v>318</v>
      </c>
      <c r="B69" s="247">
        <v>24468.42</v>
      </c>
      <c r="C69" s="443">
        <f>B69</f>
        <v>24468.42</v>
      </c>
      <c r="D69" s="424">
        <f>B69-C69</f>
        <v>0</v>
      </c>
      <c r="E69" s="115"/>
      <c r="F69" s="74"/>
      <c r="H69" s="65"/>
      <c r="I69" s="65"/>
      <c r="J69" s="65"/>
      <c r="K69" s="66"/>
      <c r="L69" s="66"/>
      <c r="M69" s="66"/>
      <c r="N69" s="66"/>
    </row>
    <row r="70" spans="1:14" ht="16.5" thickBot="1">
      <c r="A70" s="272"/>
      <c r="B70" s="272"/>
      <c r="C70" s="445"/>
      <c r="D70" s="446"/>
      <c r="E70" s="115"/>
      <c r="F70" s="74"/>
      <c r="H70" s="65" t="s">
        <v>26</v>
      </c>
      <c r="I70" s="65"/>
      <c r="J70" s="65"/>
      <c r="K70" s="66"/>
      <c r="L70" s="66"/>
      <c r="M70" s="66"/>
      <c r="N70" s="66"/>
    </row>
    <row r="71" spans="1:14" ht="26.25">
      <c r="A71" s="412" t="s">
        <v>66</v>
      </c>
      <c r="B71" s="251"/>
      <c r="C71" s="447"/>
      <c r="D71" s="448">
        <v>25898.12</v>
      </c>
      <c r="E71" s="115"/>
      <c r="F71" s="74"/>
      <c r="H71" s="65"/>
      <c r="I71" s="65"/>
      <c r="J71" s="65"/>
      <c r="K71" s="66"/>
      <c r="L71" s="66"/>
      <c r="M71" s="66"/>
      <c r="N71" s="66"/>
    </row>
    <row r="72" spans="1:14" ht="15.75">
      <c r="A72" s="408" t="s">
        <v>67</v>
      </c>
      <c r="B72" s="251" t="s">
        <v>11</v>
      </c>
      <c r="C72" s="449"/>
      <c r="D72" s="458">
        <v>0</v>
      </c>
      <c r="E72" s="115"/>
      <c r="F72" s="74"/>
      <c r="H72" s="65"/>
      <c r="I72" s="65"/>
      <c r="J72" s="65" t="s">
        <v>26</v>
      </c>
      <c r="K72" s="66"/>
      <c r="L72" s="66"/>
      <c r="M72" s="66"/>
      <c r="N72" s="66"/>
    </row>
    <row r="73" spans="1:14" ht="17.25" customHeight="1">
      <c r="A73" s="87" t="s">
        <v>45</v>
      </c>
      <c r="B73" s="408"/>
      <c r="C73" s="408"/>
      <c r="D73" s="408"/>
      <c r="E73" s="122" t="e">
        <f>D73+B19</f>
        <v>#VALUE!</v>
      </c>
      <c r="F73" s="65"/>
      <c r="H73" s="85" t="e">
        <f>E73-B18</f>
        <v>#VALUE!</v>
      </c>
      <c r="I73" s="65"/>
      <c r="J73" s="65"/>
      <c r="K73" s="66"/>
      <c r="L73" s="66"/>
      <c r="M73" s="66"/>
      <c r="N73" s="66"/>
    </row>
    <row r="74" spans="1:5" ht="21" customHeight="1">
      <c r="A74" s="87" t="s">
        <v>47</v>
      </c>
      <c r="B74" s="87" t="s">
        <v>46</v>
      </c>
      <c r="C74" s="87"/>
      <c r="D74" s="179">
        <v>0</v>
      </c>
      <c r="E74" s="124"/>
    </row>
    <row r="75" spans="1:5" ht="21" customHeight="1">
      <c r="A75" s="87" t="s">
        <v>48</v>
      </c>
      <c r="B75" s="87" t="s">
        <v>46</v>
      </c>
      <c r="C75" s="87"/>
      <c r="D75" s="179">
        <v>0</v>
      </c>
      <c r="E75" s="124"/>
    </row>
    <row r="76" spans="1:5" ht="18" customHeight="1">
      <c r="A76" s="87" t="s">
        <v>49</v>
      </c>
      <c r="B76" s="87" t="s">
        <v>46</v>
      </c>
      <c r="C76" s="87"/>
      <c r="D76" s="179">
        <v>0</v>
      </c>
      <c r="E76" s="124"/>
    </row>
    <row r="77" spans="1:5" ht="16.5" customHeight="1">
      <c r="A77" s="407" t="s">
        <v>68</v>
      </c>
      <c r="B77" s="87" t="s">
        <v>11</v>
      </c>
      <c r="C77" s="87"/>
      <c r="D77" s="179">
        <v>0</v>
      </c>
      <c r="E77" s="124"/>
    </row>
    <row r="78" spans="1:5" ht="15.75" customHeight="1">
      <c r="A78" s="87" t="s">
        <v>69</v>
      </c>
      <c r="B78" s="407"/>
      <c r="C78" s="407"/>
      <c r="D78" s="407"/>
      <c r="E78" s="124"/>
    </row>
    <row r="79" spans="1:5" ht="18.75" customHeight="1">
      <c r="A79" s="87" t="s">
        <v>70</v>
      </c>
      <c r="B79" s="87" t="s">
        <v>46</v>
      </c>
      <c r="C79" s="87"/>
      <c r="D79" s="179">
        <v>0</v>
      </c>
      <c r="E79" s="124"/>
    </row>
    <row r="80" spans="1:5" ht="28.5" customHeight="1">
      <c r="A80" s="258" t="s">
        <v>71</v>
      </c>
      <c r="B80" s="257" t="s">
        <v>46</v>
      </c>
      <c r="C80" s="257"/>
      <c r="D80" s="179">
        <v>0</v>
      </c>
      <c r="E80" s="124"/>
    </row>
    <row r="81" spans="1:5" ht="15.75">
      <c r="A81" s="180"/>
      <c r="B81" s="259"/>
      <c r="C81" s="259"/>
      <c r="D81" s="260"/>
      <c r="E81" s="110"/>
    </row>
    <row r="82" spans="1:14" s="1" customFormat="1" ht="12.75">
      <c r="A82" s="180" t="s">
        <v>72</v>
      </c>
      <c r="B82" s="180"/>
      <c r="C82" s="180"/>
      <c r="D82" s="180"/>
      <c r="H82" s="1" t="s">
        <v>26</v>
      </c>
      <c r="K82"/>
      <c r="L82"/>
      <c r="M82"/>
      <c r="N82"/>
    </row>
    <row r="83" spans="1:14" s="1" customFormat="1" ht="12.75">
      <c r="A83" s="180"/>
      <c r="B83" s="180"/>
      <c r="C83" s="180" t="s">
        <v>146</v>
      </c>
      <c r="D83" s="180"/>
      <c r="K83"/>
      <c r="L83"/>
      <c r="M83"/>
      <c r="N83"/>
    </row>
    <row r="84" spans="1:14" s="1" customFormat="1" ht="12.75">
      <c r="A84" s="180" t="s">
        <v>73</v>
      </c>
      <c r="B84" s="180"/>
      <c r="C84" s="180"/>
      <c r="D84" s="180"/>
      <c r="H84" s="1" t="s">
        <v>26</v>
      </c>
      <c r="K84"/>
      <c r="L84"/>
      <c r="M84"/>
      <c r="N84"/>
    </row>
    <row r="85" spans="1:14" s="1" customFormat="1" ht="12.75">
      <c r="A85" s="180"/>
      <c r="B85" s="180"/>
      <c r="C85" s="180"/>
      <c r="D85" s="180"/>
      <c r="K85"/>
      <c r="L85"/>
      <c r="M85"/>
      <c r="N85"/>
    </row>
    <row r="86" spans="1:4" ht="12.75">
      <c r="A86" s="180"/>
      <c r="B86" s="180"/>
      <c r="C86" s="180"/>
      <c r="D86" s="180"/>
    </row>
    <row r="87" spans="2:4" ht="12.75">
      <c r="B87" s="180"/>
      <c r="C87" s="180"/>
      <c r="D87" s="180"/>
    </row>
    <row r="89" spans="1:14" s="1" customFormat="1" ht="12.75">
      <c r="A89"/>
      <c r="B89"/>
      <c r="C89"/>
      <c r="D89"/>
      <c r="E89" s="1" t="s">
        <v>26</v>
      </c>
      <c r="K89"/>
      <c r="L89"/>
      <c r="M89"/>
      <c r="N89"/>
    </row>
  </sheetData>
  <sheetProtection selectLockedCells="1" selectUnlockedCells="1"/>
  <mergeCells count="11">
    <mergeCell ref="A7:D7"/>
    <mergeCell ref="A14:D14"/>
    <mergeCell ref="A28:D28"/>
    <mergeCell ref="A47:D47"/>
    <mergeCell ref="A52:D52"/>
    <mergeCell ref="A59:D59"/>
    <mergeCell ref="A1:D1"/>
    <mergeCell ref="A2:D2"/>
    <mergeCell ref="A3:D3"/>
    <mergeCell ref="A4:D4"/>
    <mergeCell ref="A5:D5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33">
      <selection activeCell="A76" sqref="A76"/>
    </sheetView>
  </sheetViews>
  <sheetFormatPr defaultColWidth="11.57421875" defaultRowHeight="12.75"/>
  <cols>
    <col min="1" max="1" width="54.7109375" style="0" customWidth="1"/>
    <col min="2" max="2" width="17.8515625" style="0" customWidth="1"/>
    <col min="3" max="3" width="22.421875" style="0" customWidth="1"/>
    <col min="4" max="4" width="18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126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3.75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148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8" ht="12.75">
      <c r="A10" s="189">
        <v>1</v>
      </c>
      <c r="B10" s="189">
        <v>2</v>
      </c>
      <c r="C10" s="189">
        <v>3</v>
      </c>
      <c r="D10" s="190">
        <v>4</v>
      </c>
      <c r="E10" s="110"/>
      <c r="F10" s="110"/>
      <c r="G10" s="110"/>
      <c r="H10" s="110"/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29855.34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59"/>
      <c r="F16" s="59"/>
      <c r="G16" s="59"/>
      <c r="H16" s="59"/>
    </row>
    <row r="17" spans="1:8" ht="15.75">
      <c r="A17" s="20" t="s">
        <v>13</v>
      </c>
      <c r="B17" s="194" t="s">
        <v>11</v>
      </c>
      <c r="C17" s="197">
        <v>3994.78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74304.08+6443.34</f>
        <v>80747.42</v>
      </c>
      <c r="D18" s="198"/>
      <c r="E18" s="111">
        <f>C18-C20</f>
        <v>68701.4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45225.66799999999</v>
      </c>
      <c r="D19" s="198"/>
      <c r="E19" s="111">
        <f>E18-E44</f>
        <v>6443.337999999989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(2.11+2.19)*6*466.9</f>
        <v>12046.019999999999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466.9*4.19*12</f>
        <v>23475.732000000004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</f>
        <v>81740.613266</v>
      </c>
      <c r="D22" s="198" t="s">
        <v>19</v>
      </c>
      <c r="E22" s="111" t="e">
        <f>B24+B25+B26+#REF!+B27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C18*1.0123</f>
        <v>81740.613266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5.75">
      <c r="A27" s="20" t="s">
        <v>25</v>
      </c>
      <c r="B27" s="194" t="s">
        <v>11</v>
      </c>
      <c r="C27" s="197">
        <f>C15+C22</f>
        <v>111595.953266</v>
      </c>
      <c r="D27" s="198" t="s">
        <v>26</v>
      </c>
      <c r="E27" s="112" t="e">
        <f>B27/#REF!*1</f>
        <v>#VALUE!</v>
      </c>
      <c r="F27" s="110"/>
      <c r="G27" s="110"/>
      <c r="H27" s="110"/>
    </row>
    <row r="28" spans="1:8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</row>
    <row r="29" spans="1:8" ht="51">
      <c r="A29" s="202" t="s">
        <v>28</v>
      </c>
      <c r="B29" s="203" t="s">
        <v>29</v>
      </c>
      <c r="C29" s="204" t="s">
        <v>30</v>
      </c>
      <c r="D29" s="205" t="s">
        <v>31</v>
      </c>
      <c r="E29" s="110"/>
      <c r="F29" s="110"/>
      <c r="G29" s="110"/>
      <c r="H29" s="110"/>
    </row>
    <row r="30" spans="1:8" ht="31.5">
      <c r="A30" s="206" t="s">
        <v>32</v>
      </c>
      <c r="B30" s="207" t="s">
        <v>33</v>
      </c>
      <c r="C30" s="208" t="s">
        <v>34</v>
      </c>
      <c r="D30" s="209">
        <f>(0.7+0.65)*6*466.9</f>
        <v>3781.8900000000003</v>
      </c>
      <c r="E30" s="110"/>
      <c r="F30" s="110"/>
      <c r="G30" s="110"/>
      <c r="H30" s="110"/>
    </row>
    <row r="31" spans="1:8" ht="15.75">
      <c r="A31" s="210" t="s">
        <v>75</v>
      </c>
      <c r="B31" s="211" t="s">
        <v>76</v>
      </c>
      <c r="C31" s="212" t="s">
        <v>34</v>
      </c>
      <c r="D31" s="213">
        <f>2.4*12*466.9</f>
        <v>13446.719999999998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0.24*12*466.9</f>
        <v>1344.6719999999998</v>
      </c>
      <c r="E32" s="110"/>
      <c r="F32" s="110"/>
      <c r="G32" s="110"/>
      <c r="H32" s="110"/>
    </row>
    <row r="33" spans="1:8" ht="15.75">
      <c r="A33" s="210" t="s">
        <v>79</v>
      </c>
      <c r="B33" s="215" t="s">
        <v>33</v>
      </c>
      <c r="C33" s="212" t="s">
        <v>34</v>
      </c>
      <c r="D33" s="213">
        <f>(0.7+0.87)*6*466.9</f>
        <v>4398.1979999999985</v>
      </c>
      <c r="E33" s="110"/>
      <c r="F33" s="110"/>
      <c r="G33" s="110"/>
      <c r="H33" s="110"/>
    </row>
    <row r="34" spans="1:8" ht="15.75">
      <c r="A34" s="210" t="s">
        <v>107</v>
      </c>
      <c r="B34" s="211" t="s">
        <v>33</v>
      </c>
      <c r="C34" s="212" t="s">
        <v>34</v>
      </c>
      <c r="D34" s="213">
        <v>6426.16</v>
      </c>
      <c r="E34" s="110"/>
      <c r="F34" s="110"/>
      <c r="G34" s="110"/>
      <c r="H34" s="110"/>
    </row>
    <row r="35" spans="1:8" ht="31.5">
      <c r="A35" s="210" t="s">
        <v>81</v>
      </c>
      <c r="B35" s="216" t="s">
        <v>82</v>
      </c>
      <c r="C35" s="212" t="s">
        <v>34</v>
      </c>
      <c r="D35" s="213">
        <f>1.33*12*466.9</f>
        <v>7451.724</v>
      </c>
      <c r="E35" s="110"/>
      <c r="F35" s="110"/>
      <c r="G35" s="110"/>
      <c r="H35" s="110"/>
    </row>
    <row r="36" spans="1:8" ht="15.75">
      <c r="A36" s="210" t="s">
        <v>38</v>
      </c>
      <c r="B36" s="211" t="s">
        <v>35</v>
      </c>
      <c r="C36" s="368" t="s">
        <v>237</v>
      </c>
      <c r="D36" s="213">
        <f>4.19*466.9*12</f>
        <v>23475.732000000004</v>
      </c>
      <c r="E36" s="110"/>
      <c r="F36" s="110"/>
      <c r="G36" s="110"/>
      <c r="H36" s="110"/>
    </row>
    <row r="37" spans="1:8" ht="15.75">
      <c r="A37" s="210" t="s">
        <v>219</v>
      </c>
      <c r="B37" s="211"/>
      <c r="C37" s="262"/>
      <c r="D37" s="213"/>
      <c r="E37" s="110"/>
      <c r="F37" s="110"/>
      <c r="G37" s="110"/>
      <c r="H37" s="110"/>
    </row>
    <row r="38" spans="1:8" ht="47.25">
      <c r="A38" s="210" t="s">
        <v>223</v>
      </c>
      <c r="B38" s="211" t="s">
        <v>35</v>
      </c>
      <c r="C38" s="319" t="s">
        <v>220</v>
      </c>
      <c r="D38" s="213">
        <v>392.68</v>
      </c>
      <c r="E38" s="110"/>
      <c r="F38" s="110"/>
      <c r="G38" s="110"/>
      <c r="H38" s="110"/>
    </row>
    <row r="39" spans="1:8" ht="15.75">
      <c r="A39" s="210" t="s">
        <v>221</v>
      </c>
      <c r="B39" s="211" t="s">
        <v>35</v>
      </c>
      <c r="C39" s="262" t="s">
        <v>222</v>
      </c>
      <c r="D39" s="213">
        <v>6051.06</v>
      </c>
      <c r="E39" s="110"/>
      <c r="F39" s="110"/>
      <c r="G39" s="110"/>
      <c r="H39" s="110"/>
    </row>
    <row r="40" spans="1:8" ht="15.75">
      <c r="A40" s="210" t="s">
        <v>315</v>
      </c>
      <c r="B40" s="211" t="s">
        <v>238</v>
      </c>
      <c r="C40" s="262" t="s">
        <v>37</v>
      </c>
      <c r="D40" s="213">
        <f>466.9*(0.32+0.37)*6</f>
        <v>1932.9659999999997</v>
      </c>
      <c r="E40" s="110"/>
      <c r="F40" s="110"/>
      <c r="G40" s="110"/>
      <c r="H40" s="110"/>
    </row>
    <row r="41" spans="1:14" s="1" customFormat="1" ht="63" customHeight="1">
      <c r="A41" s="263" t="s">
        <v>217</v>
      </c>
      <c r="B41" s="218" t="s">
        <v>41</v>
      </c>
      <c r="C41" s="208"/>
      <c r="D41" s="387">
        <f>D42+D43</f>
        <v>1000</v>
      </c>
      <c r="E41" s="110"/>
      <c r="F41" s="110"/>
      <c r="G41" s="110"/>
      <c r="H41" s="110"/>
      <c r="K41"/>
      <c r="L41"/>
      <c r="M41"/>
      <c r="N41"/>
    </row>
    <row r="42" spans="1:14" s="1" customFormat="1" ht="15.75">
      <c r="A42" s="222" t="s">
        <v>152</v>
      </c>
      <c r="B42" s="220" t="s">
        <v>159</v>
      </c>
      <c r="C42" s="212" t="s">
        <v>251</v>
      </c>
      <c r="D42" s="178">
        <v>1000</v>
      </c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22"/>
      <c r="B43" s="220"/>
      <c r="C43" s="212"/>
      <c r="D43" s="178"/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37" t="s">
        <v>42</v>
      </c>
      <c r="B44" s="225"/>
      <c r="C44" s="226"/>
      <c r="D44" s="98">
        <f>D30+D31+D32+D33+D34+D35+D36+D38+D39+D41+D40</f>
        <v>69701.802</v>
      </c>
      <c r="E44" s="113">
        <f>D44-D41-D38-D39</f>
        <v>62258.062000000005</v>
      </c>
      <c r="F44" s="110"/>
      <c r="G44" s="110"/>
      <c r="H44" s="110"/>
      <c r="K44"/>
      <c r="L44"/>
      <c r="M44"/>
      <c r="N44"/>
    </row>
    <row r="45" spans="1:14" s="1" customFormat="1" ht="15.75">
      <c r="A45" s="40" t="s">
        <v>43</v>
      </c>
      <c r="B45" s="227" t="s">
        <v>11</v>
      </c>
      <c r="C45" s="228"/>
      <c r="D45" s="229">
        <f>C27-D44</f>
        <v>41894.151266</v>
      </c>
      <c r="E45" s="113"/>
      <c r="F45" s="110"/>
      <c r="G45" s="110"/>
      <c r="H45" s="110"/>
      <c r="K45"/>
      <c r="L45"/>
      <c r="M45"/>
      <c r="N45"/>
    </row>
    <row r="46" spans="1:14" s="1" customFormat="1" ht="15.75">
      <c r="A46" s="230" t="s">
        <v>12</v>
      </c>
      <c r="B46" s="231" t="s">
        <v>11</v>
      </c>
      <c r="C46" s="212"/>
      <c r="D46" s="196">
        <v>0</v>
      </c>
      <c r="E46" s="110"/>
      <c r="F46" s="110"/>
      <c r="G46" s="110"/>
      <c r="H46" s="110"/>
      <c r="K46"/>
      <c r="L46"/>
      <c r="M46"/>
      <c r="N46"/>
    </row>
    <row r="47" spans="1:14" s="1" customFormat="1" ht="15.75">
      <c r="A47" s="230" t="s">
        <v>13</v>
      </c>
      <c r="B47" s="231" t="s">
        <v>11</v>
      </c>
      <c r="C47" s="212"/>
      <c r="D47" s="198">
        <v>10822.5</v>
      </c>
      <c r="E47" s="110"/>
      <c r="F47" s="110"/>
      <c r="G47" s="110"/>
      <c r="H47" s="110"/>
      <c r="K47"/>
      <c r="L47"/>
      <c r="M47"/>
      <c r="N47"/>
    </row>
    <row r="48" spans="1:14" s="1" customFormat="1" ht="24" customHeight="1">
      <c r="A48" s="492" t="s">
        <v>44</v>
      </c>
      <c r="B48" s="492"/>
      <c r="C48" s="492"/>
      <c r="D48" s="492"/>
      <c r="E48" s="110"/>
      <c r="F48" s="110"/>
      <c r="G48" s="110"/>
      <c r="H48" s="110"/>
      <c r="K48"/>
      <c r="L48"/>
      <c r="M48"/>
      <c r="N48"/>
    </row>
    <row r="49" spans="1:14" s="1" customFormat="1" ht="15.75">
      <c r="A49" s="230" t="s">
        <v>45</v>
      </c>
      <c r="B49" s="211" t="s">
        <v>46</v>
      </c>
      <c r="C49" s="212">
        <v>0</v>
      </c>
      <c r="D49" s="196">
        <v>0</v>
      </c>
      <c r="E49" s="110"/>
      <c r="F49" s="110"/>
      <c r="G49" s="110"/>
      <c r="H49" s="110"/>
      <c r="K49"/>
      <c r="L49"/>
      <c r="M49"/>
      <c r="N49"/>
    </row>
    <row r="50" spans="1:14" s="1" customFormat="1" ht="15.75">
      <c r="A50" s="230" t="s">
        <v>47</v>
      </c>
      <c r="B50" s="211" t="s">
        <v>46</v>
      </c>
      <c r="C50" s="212">
        <v>0</v>
      </c>
      <c r="D50" s="196">
        <v>0</v>
      </c>
      <c r="E50" s="110"/>
      <c r="F50" s="110"/>
      <c r="G50" s="110"/>
      <c r="H50" s="110"/>
      <c r="K50"/>
      <c r="L50"/>
      <c r="M50"/>
      <c r="N50"/>
    </row>
    <row r="51" spans="1:14" s="1" customFormat="1" ht="26.25">
      <c r="A51" s="232" t="s">
        <v>48</v>
      </c>
      <c r="B51" s="211" t="s">
        <v>46</v>
      </c>
      <c r="C51" s="212">
        <v>0</v>
      </c>
      <c r="D51" s="196">
        <v>0</v>
      </c>
      <c r="E51" s="110"/>
      <c r="F51" s="110"/>
      <c r="G51" s="110"/>
      <c r="H51" s="110"/>
      <c r="K51"/>
      <c r="L51"/>
      <c r="M51"/>
      <c r="N51"/>
    </row>
    <row r="52" spans="1:14" s="1" customFormat="1" ht="15.75">
      <c r="A52" s="230" t="s">
        <v>49</v>
      </c>
      <c r="B52" s="211" t="s">
        <v>11</v>
      </c>
      <c r="C52" s="212">
        <v>0</v>
      </c>
      <c r="D52" s="196">
        <v>0</v>
      </c>
      <c r="E52" s="110"/>
      <c r="F52" s="110"/>
      <c r="G52" s="110"/>
      <c r="H52" s="110"/>
      <c r="K52"/>
      <c r="L52"/>
      <c r="M52"/>
      <c r="N52"/>
    </row>
    <row r="53" spans="1:8" ht="20.25" customHeight="1">
      <c r="A53" s="493" t="s">
        <v>50</v>
      </c>
      <c r="B53" s="493"/>
      <c r="C53" s="493"/>
      <c r="D53" s="493"/>
      <c r="E53" s="110"/>
      <c r="F53" s="110"/>
      <c r="G53" s="110"/>
      <c r="H53" s="110"/>
    </row>
    <row r="54" spans="1:8" ht="26.25">
      <c r="A54" s="232" t="s">
        <v>51</v>
      </c>
      <c r="B54" s="211" t="s">
        <v>11</v>
      </c>
      <c r="C54" s="212"/>
      <c r="D54" s="196">
        <v>0</v>
      </c>
      <c r="E54" s="110"/>
      <c r="F54" s="110"/>
      <c r="G54" s="110"/>
      <c r="H54" s="110"/>
    </row>
    <row r="55" spans="1:8" ht="15.75">
      <c r="A55" s="230" t="s">
        <v>12</v>
      </c>
      <c r="B55" s="211" t="s">
        <v>11</v>
      </c>
      <c r="C55" s="212"/>
      <c r="D55" s="196">
        <v>0</v>
      </c>
      <c r="E55" s="110"/>
      <c r="F55" s="110"/>
      <c r="G55" s="110"/>
      <c r="H55" s="110"/>
    </row>
    <row r="56" spans="1:8" ht="15.75">
      <c r="A56" s="230" t="s">
        <v>13</v>
      </c>
      <c r="B56" s="211" t="s">
        <v>11</v>
      </c>
      <c r="C56" s="212"/>
      <c r="D56" s="240">
        <f>D59-D62-D63-D64-D65</f>
        <v>13629.306607000002</v>
      </c>
      <c r="E56" s="110"/>
      <c r="F56" s="110"/>
      <c r="G56" s="110"/>
      <c r="H56" s="114"/>
    </row>
    <row r="57" spans="1:8" ht="26.25">
      <c r="A57" s="234" t="s">
        <v>52</v>
      </c>
      <c r="B57" s="211" t="s">
        <v>11</v>
      </c>
      <c r="C57" s="235"/>
      <c r="D57" s="236">
        <v>0</v>
      </c>
      <c r="E57" s="110"/>
      <c r="F57" s="110"/>
      <c r="G57" s="110"/>
      <c r="H57" s="110"/>
    </row>
    <row r="58" spans="1:10" ht="17.25" customHeight="1">
      <c r="A58" s="237" t="s">
        <v>209</v>
      </c>
      <c r="B58" s="211" t="s">
        <v>11</v>
      </c>
      <c r="C58" s="212"/>
      <c r="D58" s="196">
        <v>0</v>
      </c>
      <c r="E58" s="110"/>
      <c r="F58" s="110"/>
      <c r="G58" s="110"/>
      <c r="H58" s="110"/>
      <c r="I58" s="49"/>
      <c r="J58" s="49"/>
    </row>
    <row r="59" spans="1:14" ht="15.75">
      <c r="A59" s="238" t="s">
        <v>13</v>
      </c>
      <c r="B59" s="211" t="s">
        <v>11</v>
      </c>
      <c r="C59" s="239"/>
      <c r="D59" s="240">
        <v>12825.07</v>
      </c>
      <c r="E59" s="110"/>
      <c r="F59" s="110"/>
      <c r="G59" s="110"/>
      <c r="H59" s="110" t="s">
        <v>26</v>
      </c>
      <c r="I59" s="60"/>
      <c r="J59" s="60"/>
      <c r="K59" s="61"/>
      <c r="L59" s="61"/>
      <c r="M59" s="61"/>
      <c r="N59" s="61"/>
    </row>
    <row r="60" spans="1:14" ht="18" customHeight="1">
      <c r="A60" s="494" t="s">
        <v>53</v>
      </c>
      <c r="B60" s="494"/>
      <c r="C60" s="494"/>
      <c r="D60" s="494"/>
      <c r="E60" s="115"/>
      <c r="F60" s="116"/>
      <c r="G60" s="117"/>
      <c r="H60" s="110"/>
      <c r="I60" s="65"/>
      <c r="J60" s="65"/>
      <c r="K60" s="66"/>
      <c r="L60" s="66"/>
      <c r="M60" s="66"/>
      <c r="N60" s="66"/>
    </row>
    <row r="61" spans="1:14" ht="38.25">
      <c r="A61" s="67" t="s">
        <v>54</v>
      </c>
      <c r="B61" s="68" t="s">
        <v>55</v>
      </c>
      <c r="C61" s="159" t="s">
        <v>56</v>
      </c>
      <c r="D61" s="160" t="s">
        <v>57</v>
      </c>
      <c r="E61" s="115"/>
      <c r="F61" s="116"/>
      <c r="G61" s="117"/>
      <c r="H61" s="110"/>
      <c r="I61" s="65"/>
      <c r="J61" s="71"/>
      <c r="K61" s="66"/>
      <c r="L61" s="66"/>
      <c r="M61" s="66"/>
      <c r="N61" s="66"/>
    </row>
    <row r="62" spans="1:14" ht="15.75">
      <c r="A62" s="241" t="s">
        <v>58</v>
      </c>
      <c r="B62" s="242">
        <v>19040.44</v>
      </c>
      <c r="C62" s="440">
        <f>B62*1.0123</f>
        <v>19274.637412</v>
      </c>
      <c r="D62" s="441">
        <f>B62-C62</f>
        <v>-234.19741200000135</v>
      </c>
      <c r="E62" s="118"/>
      <c r="F62" s="116"/>
      <c r="G62" s="117"/>
      <c r="H62" s="110"/>
      <c r="I62" s="65"/>
      <c r="J62" s="65"/>
      <c r="K62" s="66"/>
      <c r="L62" s="66"/>
      <c r="M62" s="66"/>
      <c r="N62" s="66"/>
    </row>
    <row r="63" spans="1:14" ht="15.75">
      <c r="A63" s="241" t="s">
        <v>59</v>
      </c>
      <c r="B63" s="242">
        <v>21789.65</v>
      </c>
      <c r="C63" s="440">
        <f>B63*1.0123</f>
        <v>22057.662695000003</v>
      </c>
      <c r="D63" s="441">
        <f>B63-C63</f>
        <v>-268.01269500000126</v>
      </c>
      <c r="E63" s="115"/>
      <c r="F63" s="116"/>
      <c r="G63" s="117"/>
      <c r="H63" s="110"/>
      <c r="I63" s="65"/>
      <c r="J63" s="65"/>
      <c r="K63" s="66"/>
      <c r="L63" s="66"/>
      <c r="M63" s="66"/>
      <c r="N63" s="66"/>
    </row>
    <row r="64" spans="1:14" ht="15.75">
      <c r="A64" s="241" t="s">
        <v>60</v>
      </c>
      <c r="B64" s="245">
        <v>24555</v>
      </c>
      <c r="C64" s="440">
        <f>B64*1.0123</f>
        <v>24857.0265</v>
      </c>
      <c r="D64" s="441">
        <f>B64-C64</f>
        <v>-302.02649999999994</v>
      </c>
      <c r="E64" s="115">
        <f>(2.07+1.8)*6*2301.2-0.37*2301.2*6</f>
        <v>48325.2</v>
      </c>
      <c r="F64" s="119"/>
      <c r="G64" s="120"/>
      <c r="H64" s="115"/>
      <c r="I64" s="65"/>
      <c r="J64" s="65"/>
      <c r="K64" s="66"/>
      <c r="L64" s="66"/>
      <c r="M64" s="66"/>
      <c r="N64" s="66"/>
    </row>
    <row r="65" spans="1:14" ht="16.5" thickBot="1">
      <c r="A65" s="264" t="s">
        <v>318</v>
      </c>
      <c r="B65" s="265">
        <v>30303.18</v>
      </c>
      <c r="C65" s="440">
        <f>B65</f>
        <v>30303.18</v>
      </c>
      <c r="D65" s="442">
        <f>B65-C65</f>
        <v>0</v>
      </c>
      <c r="E65" s="115"/>
      <c r="F65" s="119"/>
      <c r="G65" s="120"/>
      <c r="H65" s="110"/>
      <c r="I65" s="65"/>
      <c r="J65" s="65"/>
      <c r="K65" s="66"/>
      <c r="L65" s="66"/>
      <c r="M65" s="66"/>
      <c r="N65" s="66"/>
    </row>
    <row r="66" spans="1:14" ht="63.75">
      <c r="A66" s="130" t="s">
        <v>62</v>
      </c>
      <c r="B66" s="131" t="s">
        <v>63</v>
      </c>
      <c r="C66" s="131" t="s">
        <v>64</v>
      </c>
      <c r="D66" s="161" t="s">
        <v>65</v>
      </c>
      <c r="E66" s="115"/>
      <c r="F66" s="119"/>
      <c r="G66" s="110"/>
      <c r="H66" s="121"/>
      <c r="I66" s="65"/>
      <c r="J66" s="65"/>
      <c r="K66" s="66"/>
      <c r="L66" s="66"/>
      <c r="M66" s="66"/>
      <c r="N66" s="66"/>
    </row>
    <row r="67" spans="1:14" ht="12.75">
      <c r="A67" s="268" t="s">
        <v>58</v>
      </c>
      <c r="B67" s="247">
        <f aca="true" t="shared" si="0" ref="B67:C69">B62</f>
        <v>19040.44</v>
      </c>
      <c r="C67" s="465">
        <f t="shared" si="0"/>
        <v>19274.637412</v>
      </c>
      <c r="D67" s="466">
        <f>B67-C67</f>
        <v>-234.19741200000135</v>
      </c>
      <c r="E67" s="115"/>
      <c r="F67" s="119"/>
      <c r="G67" s="110"/>
      <c r="H67" s="121"/>
      <c r="I67" s="65"/>
      <c r="J67" s="65" t="s">
        <v>26</v>
      </c>
      <c r="K67" s="66"/>
      <c r="L67" s="66"/>
      <c r="M67" s="66"/>
      <c r="N67" s="66"/>
    </row>
    <row r="68" spans="1:14" ht="12.75">
      <c r="A68" s="268" t="s">
        <v>59</v>
      </c>
      <c r="B68" s="247">
        <f t="shared" si="0"/>
        <v>21789.65</v>
      </c>
      <c r="C68" s="465">
        <f t="shared" si="0"/>
        <v>22057.662695000003</v>
      </c>
      <c r="D68" s="466">
        <f>B68-C68</f>
        <v>-268.01269500000126</v>
      </c>
      <c r="E68" s="115"/>
      <c r="F68" s="119"/>
      <c r="G68" s="110"/>
      <c r="H68" s="121"/>
      <c r="I68" s="65"/>
      <c r="J68" s="65"/>
      <c r="K68" s="66"/>
      <c r="L68" s="66"/>
      <c r="M68" s="66"/>
      <c r="N68" s="66"/>
    </row>
    <row r="69" spans="1:14" ht="12.75">
      <c r="A69" s="268" t="s">
        <v>60</v>
      </c>
      <c r="B69" s="247">
        <f t="shared" si="0"/>
        <v>24555</v>
      </c>
      <c r="C69" s="467">
        <f t="shared" si="0"/>
        <v>24857.0265</v>
      </c>
      <c r="D69" s="468">
        <f>B69-C69</f>
        <v>-302.02649999999994</v>
      </c>
      <c r="E69" s="115"/>
      <c r="F69" s="119"/>
      <c r="G69" s="110"/>
      <c r="H69" s="121"/>
      <c r="I69" s="65"/>
      <c r="J69" s="65"/>
      <c r="K69" s="66"/>
      <c r="L69" s="66"/>
      <c r="M69" s="66"/>
      <c r="N69" s="66"/>
    </row>
    <row r="70" spans="1:14" ht="18" customHeight="1">
      <c r="A70" s="264" t="s">
        <v>318</v>
      </c>
      <c r="B70" s="397">
        <f>B65</f>
        <v>30303.18</v>
      </c>
      <c r="C70" s="398">
        <f>C65</f>
        <v>30303.18</v>
      </c>
      <c r="D70" s="397">
        <f>B70-C70</f>
        <v>0</v>
      </c>
      <c r="E70" s="115"/>
      <c r="F70" s="119"/>
      <c r="G70" s="110"/>
      <c r="H70" s="121" t="s">
        <v>26</v>
      </c>
      <c r="I70" s="65"/>
      <c r="J70" s="65"/>
      <c r="K70" s="66"/>
      <c r="L70" s="66"/>
      <c r="M70" s="66"/>
      <c r="N70" s="66"/>
    </row>
    <row r="71" spans="1:14" ht="26.25">
      <c r="A71" s="254" t="s">
        <v>66</v>
      </c>
      <c r="B71" s="251" t="s">
        <v>11</v>
      </c>
      <c r="C71" s="87"/>
      <c r="D71" s="450">
        <v>3934.64</v>
      </c>
      <c r="E71" s="115"/>
      <c r="F71" s="119"/>
      <c r="G71" s="110"/>
      <c r="H71" s="121"/>
      <c r="I71" s="65"/>
      <c r="J71" s="65" t="s">
        <v>26</v>
      </c>
      <c r="K71" s="66"/>
      <c r="L71" s="66"/>
      <c r="M71" s="66"/>
      <c r="N71" s="66"/>
    </row>
    <row r="72" spans="1:14" ht="17.25" customHeight="1">
      <c r="A72" s="495" t="s">
        <v>67</v>
      </c>
      <c r="B72" s="495"/>
      <c r="C72" s="495"/>
      <c r="D72" s="495"/>
      <c r="E72" s="122" t="e">
        <f>D72+B19</f>
        <v>#VALUE!</v>
      </c>
      <c r="F72" s="121"/>
      <c r="G72" s="110"/>
      <c r="H72" s="123" t="e">
        <f>E72-B18</f>
        <v>#VALUE!</v>
      </c>
      <c r="I72" s="65"/>
      <c r="J72" s="65"/>
      <c r="K72" s="66"/>
      <c r="L72" s="66"/>
      <c r="M72" s="66"/>
      <c r="N72" s="66"/>
    </row>
    <row r="73" spans="1:8" ht="21" customHeight="1">
      <c r="A73" s="87" t="s">
        <v>45</v>
      </c>
      <c r="B73" s="87" t="s">
        <v>46</v>
      </c>
      <c r="C73" s="87"/>
      <c r="D73" s="179">
        <v>0</v>
      </c>
      <c r="E73" s="124"/>
      <c r="F73" s="110"/>
      <c r="G73" s="110"/>
      <c r="H73" s="110"/>
    </row>
    <row r="74" spans="1:8" ht="21" customHeight="1">
      <c r="A74" s="87" t="s">
        <v>47</v>
      </c>
      <c r="B74" s="87" t="s">
        <v>46</v>
      </c>
      <c r="C74" s="87"/>
      <c r="D74" s="88"/>
      <c r="E74" s="124"/>
      <c r="F74" s="110"/>
      <c r="G74" s="110"/>
      <c r="H74" s="110"/>
    </row>
    <row r="75" spans="1:8" ht="18" customHeight="1">
      <c r="A75" s="87" t="s">
        <v>48</v>
      </c>
      <c r="B75" s="87" t="s">
        <v>46</v>
      </c>
      <c r="C75" s="87"/>
      <c r="D75" s="179">
        <v>0</v>
      </c>
      <c r="E75" s="124"/>
      <c r="F75" s="110"/>
      <c r="G75" s="110"/>
      <c r="H75" s="110"/>
    </row>
    <row r="76" spans="1:8" ht="16.5" customHeight="1">
      <c r="A76" s="87" t="s">
        <v>49</v>
      </c>
      <c r="B76" s="87" t="s">
        <v>11</v>
      </c>
      <c r="C76" s="87"/>
      <c r="D76" s="179">
        <v>0</v>
      </c>
      <c r="E76" s="124"/>
      <c r="F76" s="110"/>
      <c r="G76" s="110"/>
      <c r="H76" s="110"/>
    </row>
    <row r="77" spans="1:8" ht="15.75" customHeight="1">
      <c r="A77" s="489" t="s">
        <v>68</v>
      </c>
      <c r="B77" s="489"/>
      <c r="C77" s="489"/>
      <c r="D77" s="489"/>
      <c r="E77" s="124"/>
      <c r="F77" s="110"/>
      <c r="G77" s="110"/>
      <c r="H77" s="110"/>
    </row>
    <row r="78" spans="1:8" ht="18.75" customHeight="1">
      <c r="A78" s="87" t="s">
        <v>69</v>
      </c>
      <c r="B78" s="87" t="s">
        <v>46</v>
      </c>
      <c r="C78" s="87"/>
      <c r="D78" s="179">
        <v>0</v>
      </c>
      <c r="E78" s="124"/>
      <c r="F78" s="110"/>
      <c r="G78" s="110"/>
      <c r="H78" s="110"/>
    </row>
    <row r="79" spans="1:8" ht="21.75" customHeight="1">
      <c r="A79" s="87" t="s">
        <v>70</v>
      </c>
      <c r="B79" s="257" t="s">
        <v>46</v>
      </c>
      <c r="C79" s="257"/>
      <c r="D79" s="179">
        <v>0</v>
      </c>
      <c r="E79" s="124"/>
      <c r="F79" s="110"/>
      <c r="G79" s="110"/>
      <c r="H79" s="110"/>
    </row>
    <row r="80" spans="1:8" ht="36" customHeight="1">
      <c r="A80" s="258" t="s">
        <v>71</v>
      </c>
      <c r="B80" s="87" t="s">
        <v>11</v>
      </c>
      <c r="C80" s="87"/>
      <c r="D80" s="179">
        <v>0</v>
      </c>
      <c r="E80" s="124"/>
      <c r="F80" s="110"/>
      <c r="G80" s="110"/>
      <c r="H80" s="110"/>
    </row>
    <row r="81" spans="1:14" s="1" customFormat="1" ht="12.75">
      <c r="A81" s="180"/>
      <c r="B81" s="180"/>
      <c r="C81" s="180"/>
      <c r="D81" s="180"/>
      <c r="E81" s="110"/>
      <c r="F81" s="110"/>
      <c r="G81" s="110"/>
      <c r="H81" s="110" t="s">
        <v>26</v>
      </c>
      <c r="K81"/>
      <c r="L81"/>
      <c r="M81"/>
      <c r="N81"/>
    </row>
    <row r="82" spans="1:14" s="1" customFormat="1" ht="12.75">
      <c r="A82" s="180" t="s">
        <v>72</v>
      </c>
      <c r="B82" s="180"/>
      <c r="C82" s="180" t="s">
        <v>146</v>
      </c>
      <c r="D82" s="180"/>
      <c r="E82" s="110"/>
      <c r="F82" s="110"/>
      <c r="G82" s="110"/>
      <c r="H82" s="110"/>
      <c r="K82"/>
      <c r="L82"/>
      <c r="M82"/>
      <c r="N82"/>
    </row>
    <row r="83" spans="1:14" s="1" customFormat="1" ht="12.75">
      <c r="A83" s="180"/>
      <c r="B83" s="180"/>
      <c r="C83" s="180"/>
      <c r="D83" s="180"/>
      <c r="E83" s="110"/>
      <c r="F83" s="110"/>
      <c r="G83" s="110"/>
      <c r="H83" s="110" t="s">
        <v>26</v>
      </c>
      <c r="K83"/>
      <c r="L83"/>
      <c r="M83"/>
      <c r="N83"/>
    </row>
    <row r="84" spans="1:14" s="1" customFormat="1" ht="12.75">
      <c r="A84" s="180" t="s">
        <v>73</v>
      </c>
      <c r="B84" s="180"/>
      <c r="C84" s="180"/>
      <c r="D84" s="180"/>
      <c r="E84" s="110"/>
      <c r="F84" s="110"/>
      <c r="G84" s="110"/>
      <c r="H84" s="110"/>
      <c r="K84"/>
      <c r="L84"/>
      <c r="M84"/>
      <c r="N84"/>
    </row>
    <row r="88" spans="1:14" s="1" customFormat="1" ht="12.75">
      <c r="A88"/>
      <c r="B88"/>
      <c r="C88"/>
      <c r="D88"/>
      <c r="E88" s="1" t="s">
        <v>26</v>
      </c>
      <c r="K88"/>
      <c r="L88"/>
      <c r="M88"/>
      <c r="N88"/>
    </row>
  </sheetData>
  <sheetProtection selectLockedCells="1" selectUnlockedCells="1"/>
  <mergeCells count="13">
    <mergeCell ref="A77:D77"/>
    <mergeCell ref="A14:D14"/>
    <mergeCell ref="A28:D28"/>
    <mergeCell ref="A48:D48"/>
    <mergeCell ref="A53:D53"/>
    <mergeCell ref="A60:D60"/>
    <mergeCell ref="A72:D7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0" zoomScaleNormal="80" zoomScalePageLayoutView="0" workbookViewId="0" topLeftCell="A15">
      <selection activeCell="E16" sqref="E16:H4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106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185" t="s">
        <v>335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4" ht="31.5" customHeight="1">
      <c r="A14" s="490" t="s">
        <v>9</v>
      </c>
      <c r="B14" s="490"/>
      <c r="C14" s="490"/>
      <c r="D14" s="490"/>
    </row>
    <row r="15" spans="1:8" ht="26.25">
      <c r="A15" s="17" t="s">
        <v>10</v>
      </c>
      <c r="B15" s="194" t="s">
        <v>11</v>
      </c>
      <c r="C15" s="197">
        <v>-10327.01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0</v>
      </c>
      <c r="D17" s="198"/>
      <c r="E17" s="59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v>9652.92</v>
      </c>
      <c r="D18" s="198"/>
      <c r="E18" s="18">
        <f>C18-C20</f>
        <v>7454.094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3275.826</v>
      </c>
      <c r="D19" s="198"/>
      <c r="E19" s="18">
        <f>E18-E37</f>
        <v>0.0039999999999054126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(2.25+2.16)*6*83.1</f>
        <v>2198.826</v>
      </c>
      <c r="D20" s="198"/>
      <c r="E20" s="150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83.1*4.19*12</f>
        <v>4178.268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8250.350724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C18*0.8547</f>
        <v>8250.350724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-2076.6592760000003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(0.85+0.73)*6*83.1</f>
        <v>787.788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0.24*83.1*12</f>
        <v>239.32799999999997</v>
      </c>
      <c r="E32" s="110"/>
      <c r="F32" s="110"/>
      <c r="G32" s="110"/>
      <c r="H32" s="110"/>
    </row>
    <row r="33" spans="1:8" ht="15.75">
      <c r="A33" s="296" t="s">
        <v>336</v>
      </c>
      <c r="B33" s="211" t="s">
        <v>33</v>
      </c>
      <c r="C33" s="212" t="s">
        <v>34</v>
      </c>
      <c r="D33" s="213">
        <f>(1.02+0.83)*6*83.1+0.02</f>
        <v>922.4300000000001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1.33*12*83.1</f>
        <v>1326.276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4.19*83.1*12</f>
        <v>4178.268</v>
      </c>
      <c r="E35" s="110"/>
      <c r="F35" s="110"/>
      <c r="G35" s="110"/>
      <c r="H35" s="110"/>
    </row>
    <row r="36" spans="1:14" s="1" customFormat="1" ht="47.25">
      <c r="A36" s="371" t="s">
        <v>40</v>
      </c>
      <c r="B36" s="218" t="s">
        <v>41</v>
      </c>
      <c r="C36" s="224"/>
      <c r="D36" s="177">
        <v>0</v>
      </c>
      <c r="E36" s="59"/>
      <c r="F36" s="110"/>
      <c r="G36" s="110"/>
      <c r="H36" s="110"/>
      <c r="K36"/>
      <c r="L36"/>
      <c r="M36"/>
      <c r="N36"/>
    </row>
    <row r="37" spans="1:14" s="1" customFormat="1" ht="15.75">
      <c r="A37" s="37" t="s">
        <v>42</v>
      </c>
      <c r="B37" s="225"/>
      <c r="C37" s="226"/>
      <c r="D37" s="98">
        <f>D31+D32+D33+D34+D35+D36</f>
        <v>7454.09</v>
      </c>
      <c r="E37" s="44">
        <f>D37-D36</f>
        <v>7454.09</v>
      </c>
      <c r="F37" s="110"/>
      <c r="G37" s="110"/>
      <c r="H37" s="110"/>
      <c r="K37"/>
      <c r="L37"/>
      <c r="M37"/>
      <c r="N37"/>
    </row>
    <row r="38" spans="1:14" s="1" customFormat="1" ht="15.75">
      <c r="A38" s="40" t="s">
        <v>43</v>
      </c>
      <c r="B38" s="227" t="s">
        <v>11</v>
      </c>
      <c r="C38" s="228"/>
      <c r="D38" s="229">
        <f>C28-D37</f>
        <v>-9530.749276</v>
      </c>
      <c r="E38" s="44"/>
      <c r="F38" s="110"/>
      <c r="G38" s="110"/>
      <c r="H38" s="110"/>
      <c r="K38"/>
      <c r="L38"/>
      <c r="M38"/>
      <c r="N38"/>
    </row>
    <row r="39" spans="1:14" s="1" customFormat="1" ht="15.75">
      <c r="A39" s="230" t="s">
        <v>12</v>
      </c>
      <c r="B39" s="231" t="s">
        <v>11</v>
      </c>
      <c r="C39" s="212"/>
      <c r="D39" s="196">
        <v>0</v>
      </c>
      <c r="E39" s="110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13</v>
      </c>
      <c r="B40" s="231" t="s">
        <v>11</v>
      </c>
      <c r="C40" s="212"/>
      <c r="D40" s="196">
        <v>1806.8</v>
      </c>
      <c r="E40" s="110"/>
      <c r="F40" s="110"/>
      <c r="G40" s="110"/>
      <c r="H40" s="110"/>
      <c r="K40"/>
      <c r="L40"/>
      <c r="M40"/>
      <c r="N40"/>
    </row>
    <row r="41" spans="1:14" s="1" customFormat="1" ht="24" customHeight="1">
      <c r="A41" s="492" t="s">
        <v>44</v>
      </c>
      <c r="B41" s="492"/>
      <c r="C41" s="492"/>
      <c r="D41" s="492"/>
      <c r="E41" s="110"/>
      <c r="F41" s="110"/>
      <c r="G41" s="110"/>
      <c r="H41" s="110"/>
      <c r="K41"/>
      <c r="L41"/>
      <c r="M41"/>
      <c r="N41"/>
    </row>
    <row r="42" spans="1:14" s="1" customFormat="1" ht="15.75">
      <c r="A42" s="230" t="s">
        <v>45</v>
      </c>
      <c r="B42" s="211" t="s">
        <v>46</v>
      </c>
      <c r="C42" s="212"/>
      <c r="D42" s="196">
        <v>0</v>
      </c>
      <c r="K42"/>
      <c r="L42"/>
      <c r="M42"/>
      <c r="N42"/>
    </row>
    <row r="43" spans="1:14" s="1" customFormat="1" ht="15.75">
      <c r="A43" s="230" t="s">
        <v>47</v>
      </c>
      <c r="B43" s="211" t="s">
        <v>46</v>
      </c>
      <c r="C43" s="212"/>
      <c r="D43" s="196">
        <v>0</v>
      </c>
      <c r="K43"/>
      <c r="L43"/>
      <c r="M43"/>
      <c r="N43"/>
    </row>
    <row r="44" spans="1:14" s="1" customFormat="1" ht="15.75">
      <c r="A44" s="232" t="s">
        <v>48</v>
      </c>
      <c r="B44" s="211" t="s">
        <v>46</v>
      </c>
      <c r="C44" s="212"/>
      <c r="D44" s="196">
        <v>0</v>
      </c>
      <c r="K44"/>
      <c r="L44"/>
      <c r="M44"/>
      <c r="N44"/>
    </row>
    <row r="45" spans="1:14" s="1" customFormat="1" ht="15.75">
      <c r="A45" s="230" t="s">
        <v>49</v>
      </c>
      <c r="B45" s="211" t="s">
        <v>11</v>
      </c>
      <c r="C45" s="212"/>
      <c r="D45" s="196">
        <v>0</v>
      </c>
      <c r="K45"/>
      <c r="L45"/>
      <c r="M45"/>
      <c r="N45"/>
    </row>
    <row r="46" spans="1:4" ht="20.25" customHeight="1">
      <c r="A46" s="493" t="s">
        <v>50</v>
      </c>
      <c r="B46" s="493"/>
      <c r="C46" s="493"/>
      <c r="D46" s="493"/>
    </row>
    <row r="47" spans="1:4" ht="26.25">
      <c r="A47" s="232" t="s">
        <v>51</v>
      </c>
      <c r="B47" s="211" t="s">
        <v>11</v>
      </c>
      <c r="C47" s="212"/>
      <c r="D47" s="196">
        <v>0</v>
      </c>
    </row>
    <row r="48" spans="1:4" ht="15.75">
      <c r="A48" s="230" t="s">
        <v>12</v>
      </c>
      <c r="B48" s="211" t="s">
        <v>11</v>
      </c>
      <c r="C48" s="212"/>
      <c r="D48" s="196">
        <v>0</v>
      </c>
    </row>
    <row r="49" spans="1:8" ht="15.75">
      <c r="A49" s="230" t="s">
        <v>13</v>
      </c>
      <c r="B49" s="211" t="s">
        <v>11</v>
      </c>
      <c r="C49" s="212"/>
      <c r="D49" s="233">
        <f>D52-D55-D56-D57-D58</f>
        <v>2322.5161920000037</v>
      </c>
      <c r="H49" s="49"/>
    </row>
    <row r="50" spans="1:4" ht="26.25">
      <c r="A50" s="234" t="s">
        <v>52</v>
      </c>
      <c r="B50" s="211" t="s">
        <v>11</v>
      </c>
      <c r="C50" s="235"/>
      <c r="D50" s="236">
        <v>0</v>
      </c>
    </row>
    <row r="51" spans="1:10" ht="17.25" customHeight="1">
      <c r="A51" s="257" t="s">
        <v>12</v>
      </c>
      <c r="B51" s="211" t="s">
        <v>11</v>
      </c>
      <c r="C51" s="279"/>
      <c r="D51" s="55">
        <v>0</v>
      </c>
      <c r="I51" s="49"/>
      <c r="J51" s="49"/>
    </row>
    <row r="52" spans="1:14" ht="15.75">
      <c r="A52" s="238" t="s">
        <v>13</v>
      </c>
      <c r="B52" s="211" t="s">
        <v>11</v>
      </c>
      <c r="C52" s="239"/>
      <c r="D52" s="240">
        <v>10380.18</v>
      </c>
      <c r="E52" s="59"/>
      <c r="H52" s="1" t="s">
        <v>26</v>
      </c>
      <c r="I52" s="60"/>
      <c r="J52" s="60"/>
      <c r="K52" s="61"/>
      <c r="L52" s="61"/>
      <c r="M52" s="61"/>
      <c r="N52" s="61"/>
    </row>
    <row r="53" spans="1:14" ht="18" customHeight="1">
      <c r="A53" s="494" t="s">
        <v>53</v>
      </c>
      <c r="B53" s="494"/>
      <c r="C53" s="494"/>
      <c r="D53" s="494"/>
      <c r="E53" s="62"/>
      <c r="F53" s="63"/>
      <c r="G53" s="64"/>
      <c r="I53" s="65"/>
      <c r="J53" s="65"/>
      <c r="K53" s="66"/>
      <c r="L53" s="66"/>
      <c r="M53" s="66"/>
      <c r="N53" s="66"/>
    </row>
    <row r="54" spans="1:14" ht="47.25">
      <c r="A54" s="67" t="s">
        <v>54</v>
      </c>
      <c r="B54" s="68" t="s">
        <v>55</v>
      </c>
      <c r="C54" s="69" t="s">
        <v>56</v>
      </c>
      <c r="D54" s="70" t="s">
        <v>57</v>
      </c>
      <c r="E54" s="62"/>
      <c r="F54" s="63"/>
      <c r="G54" s="64"/>
      <c r="I54" s="65"/>
      <c r="J54" s="71"/>
      <c r="K54" s="66"/>
      <c r="L54" s="66"/>
      <c r="M54" s="66"/>
      <c r="N54" s="66"/>
    </row>
    <row r="55" spans="1:14" ht="15.75">
      <c r="A55" s="426" t="s">
        <v>58</v>
      </c>
      <c r="B55" s="429">
        <v>11046.12</v>
      </c>
      <c r="C55" s="427">
        <f>B55*0.8547</f>
        <v>9441.118764</v>
      </c>
      <c r="D55" s="428">
        <f>B55-C55</f>
        <v>1605.001236</v>
      </c>
      <c r="E55" s="62"/>
      <c r="F55" s="63"/>
      <c r="G55" s="64"/>
      <c r="I55" s="65"/>
      <c r="J55" s="71"/>
      <c r="K55" s="66"/>
      <c r="L55" s="66"/>
      <c r="M55" s="66"/>
      <c r="N55" s="66"/>
    </row>
    <row r="56" spans="1:14" ht="15.75">
      <c r="A56" s="241" t="s">
        <v>59</v>
      </c>
      <c r="B56" s="242">
        <v>0</v>
      </c>
      <c r="C56" s="427">
        <f>B56*0.8547</f>
        <v>0</v>
      </c>
      <c r="D56" s="428">
        <f>B56-C56</f>
        <v>0</v>
      </c>
      <c r="E56" s="62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41" t="s">
        <v>60</v>
      </c>
      <c r="B57" s="245">
        <v>39015.78</v>
      </c>
      <c r="C57" s="427">
        <f>B57*0.8547</f>
        <v>33346.787166</v>
      </c>
      <c r="D57" s="428">
        <f>B57-C57</f>
        <v>5668.992833999997</v>
      </c>
      <c r="E57" s="62">
        <f>(2.07+1.8)*6*2301.2-0.37*2301.2*6</f>
        <v>48325.2</v>
      </c>
      <c r="F57" s="74"/>
      <c r="G57" s="75"/>
      <c r="H57" s="62"/>
      <c r="I57" s="65"/>
      <c r="J57" s="65"/>
      <c r="K57" s="66"/>
      <c r="L57" s="66"/>
      <c r="M57" s="66"/>
      <c r="N57" s="66"/>
    </row>
    <row r="58" spans="1:14" ht="16.5" thickBot="1">
      <c r="A58" s="264" t="s">
        <v>318</v>
      </c>
      <c r="B58" s="265">
        <v>5393.46</v>
      </c>
      <c r="C58" s="427">
        <f>B58*0.8547</f>
        <v>4609.790262</v>
      </c>
      <c r="D58" s="428">
        <f>B58-C58</f>
        <v>783.6697379999996</v>
      </c>
      <c r="E58" s="62"/>
      <c r="F58" s="74"/>
      <c r="G58" s="75"/>
      <c r="I58" s="65"/>
      <c r="J58" s="65"/>
      <c r="K58" s="66"/>
      <c r="L58" s="66"/>
      <c r="M58" s="66"/>
      <c r="N58" s="66"/>
    </row>
    <row r="59" spans="1:14" ht="63">
      <c r="A59" s="130" t="s">
        <v>62</v>
      </c>
      <c r="B59" s="131" t="s">
        <v>63</v>
      </c>
      <c r="C59" s="132" t="s">
        <v>64</v>
      </c>
      <c r="D59" s="133" t="s">
        <v>65</v>
      </c>
      <c r="E59" s="62"/>
      <c r="F59" s="74"/>
      <c r="H59" s="65"/>
      <c r="I59" s="65"/>
      <c r="J59" s="65"/>
      <c r="K59" s="66"/>
      <c r="L59" s="66"/>
      <c r="M59" s="66"/>
      <c r="N59" s="66"/>
    </row>
    <row r="60" spans="1:14" ht="15.75">
      <c r="A60" s="268" t="s">
        <v>58</v>
      </c>
      <c r="B60" s="247">
        <f>B55</f>
        <v>11046.12</v>
      </c>
      <c r="C60" s="248">
        <f>C55</f>
        <v>9441.118764</v>
      </c>
      <c r="D60" s="269">
        <f>B60-C60</f>
        <v>1605.001236</v>
      </c>
      <c r="E60" s="62"/>
      <c r="F60" s="74"/>
      <c r="H60" s="65"/>
      <c r="I60" s="65"/>
      <c r="J60" s="65" t="s">
        <v>26</v>
      </c>
      <c r="K60" s="66"/>
      <c r="L60" s="66"/>
      <c r="M60" s="66"/>
      <c r="N60" s="66"/>
    </row>
    <row r="61" spans="1:14" ht="15.75">
      <c r="A61" s="268" t="s">
        <v>59</v>
      </c>
      <c r="B61" s="247">
        <f>B56</f>
        <v>0</v>
      </c>
      <c r="C61" s="248">
        <f>C56*1.0063</f>
        <v>0</v>
      </c>
      <c r="D61" s="269">
        <f>B61-C61</f>
        <v>0</v>
      </c>
      <c r="E61" s="62"/>
      <c r="F61" s="74"/>
      <c r="H61" s="65"/>
      <c r="I61" s="65"/>
      <c r="J61" s="65"/>
      <c r="K61" s="66"/>
      <c r="L61" s="66"/>
      <c r="M61" s="66"/>
      <c r="N61" s="66"/>
    </row>
    <row r="62" spans="1:14" ht="15.75">
      <c r="A62" s="268" t="s">
        <v>60</v>
      </c>
      <c r="B62" s="247">
        <f>B57</f>
        <v>39015.78</v>
      </c>
      <c r="C62" s="248">
        <f>C57</f>
        <v>33346.787166</v>
      </c>
      <c r="D62" s="269">
        <f>B62-C62</f>
        <v>5668.992833999997</v>
      </c>
      <c r="E62" s="62"/>
      <c r="F62" s="74"/>
      <c r="H62" s="65"/>
      <c r="I62" s="65"/>
      <c r="J62" s="65"/>
      <c r="K62" s="66"/>
      <c r="L62" s="66"/>
      <c r="M62" s="66"/>
      <c r="N62" s="66"/>
    </row>
    <row r="63" spans="1:14" ht="16.5" thickBot="1">
      <c r="A63" s="270" t="s">
        <v>318</v>
      </c>
      <c r="B63" s="271">
        <v>5393.46</v>
      </c>
      <c r="C63" s="272">
        <v>4609.790262</v>
      </c>
      <c r="D63" s="273">
        <v>783.6697379999996</v>
      </c>
      <c r="E63" s="62"/>
      <c r="F63" s="74"/>
      <c r="H63" s="65" t="s">
        <v>26</v>
      </c>
      <c r="I63" s="65"/>
      <c r="J63" s="65"/>
      <c r="K63" s="66"/>
      <c r="L63" s="66"/>
      <c r="M63" s="66"/>
      <c r="N63" s="66"/>
    </row>
    <row r="64" spans="1:14" ht="15.75">
      <c r="A64" s="250"/>
      <c r="B64" s="251"/>
      <c r="C64" s="252"/>
      <c r="D64" s="253"/>
      <c r="E64" s="62"/>
      <c r="F64" s="74"/>
      <c r="H64" s="65"/>
      <c r="I64" s="65"/>
      <c r="J64" s="65"/>
      <c r="K64" s="66"/>
      <c r="L64" s="66"/>
      <c r="M64" s="66"/>
      <c r="N64" s="66"/>
    </row>
    <row r="65" spans="1:14" ht="26.25">
      <c r="A65" s="254" t="s">
        <v>66</v>
      </c>
      <c r="B65" s="251" t="s">
        <v>11</v>
      </c>
      <c r="C65" s="255"/>
      <c r="D65" s="256">
        <v>0</v>
      </c>
      <c r="E65" s="62"/>
      <c r="F65" s="74"/>
      <c r="H65" s="65"/>
      <c r="I65" s="65"/>
      <c r="J65" s="65" t="s">
        <v>26</v>
      </c>
      <c r="K65" s="66"/>
      <c r="L65" s="66"/>
      <c r="M65" s="66"/>
      <c r="N65" s="66"/>
    </row>
    <row r="66" spans="1:14" ht="17.25" customHeight="1">
      <c r="A66" s="495" t="s">
        <v>67</v>
      </c>
      <c r="B66" s="495"/>
      <c r="C66" s="495"/>
      <c r="D66" s="495"/>
      <c r="E66" s="84" t="e">
        <f>D66+B19</f>
        <v>#VALUE!</v>
      </c>
      <c r="F66" s="65"/>
      <c r="H66" s="85" t="e">
        <f>E66-B18</f>
        <v>#VALUE!</v>
      </c>
      <c r="I66" s="65"/>
      <c r="J66" s="65"/>
      <c r="K66" s="66"/>
      <c r="L66" s="66"/>
      <c r="M66" s="66"/>
      <c r="N66" s="66"/>
    </row>
    <row r="67" spans="1:5" ht="21" customHeight="1">
      <c r="A67" s="87" t="s">
        <v>45</v>
      </c>
      <c r="B67" s="87" t="s">
        <v>46</v>
      </c>
      <c r="C67" s="87"/>
      <c r="D67" s="179">
        <v>0</v>
      </c>
      <c r="E67" s="89"/>
    </row>
    <row r="68" spans="1:5" ht="21" customHeight="1">
      <c r="A68" s="87" t="s">
        <v>47</v>
      </c>
      <c r="B68" s="87" t="s">
        <v>46</v>
      </c>
      <c r="C68" s="87"/>
      <c r="D68" s="179">
        <v>0</v>
      </c>
      <c r="E68" s="89"/>
    </row>
    <row r="69" spans="1:5" ht="18" customHeight="1">
      <c r="A69" s="87" t="s">
        <v>48</v>
      </c>
      <c r="B69" s="87" t="s">
        <v>46</v>
      </c>
      <c r="C69" s="87"/>
      <c r="D69" s="179">
        <v>0</v>
      </c>
      <c r="E69" s="89"/>
    </row>
    <row r="70" spans="1:5" ht="16.5" customHeight="1">
      <c r="A70" s="87" t="s">
        <v>49</v>
      </c>
      <c r="B70" s="87" t="s">
        <v>11</v>
      </c>
      <c r="C70" s="87"/>
      <c r="D70" s="179">
        <v>0</v>
      </c>
      <c r="E70" s="89"/>
    </row>
    <row r="71" spans="1:5" ht="15.75" customHeight="1">
      <c r="A71" s="489" t="s">
        <v>68</v>
      </c>
      <c r="B71" s="489"/>
      <c r="C71" s="489"/>
      <c r="D71" s="489"/>
      <c r="E71" s="89"/>
    </row>
    <row r="72" spans="1:5" ht="18.75" customHeight="1">
      <c r="A72" s="87" t="s">
        <v>69</v>
      </c>
      <c r="B72" s="87" t="s">
        <v>46</v>
      </c>
      <c r="C72" s="87"/>
      <c r="D72" s="179">
        <v>0</v>
      </c>
      <c r="E72" s="89"/>
    </row>
    <row r="73" spans="1:5" ht="21.75" customHeight="1">
      <c r="A73" s="87" t="s">
        <v>70</v>
      </c>
      <c r="B73" s="257" t="s">
        <v>46</v>
      </c>
      <c r="C73" s="257"/>
      <c r="D73" s="179">
        <v>0</v>
      </c>
      <c r="E73" s="89"/>
    </row>
    <row r="74" spans="1:5" ht="36" customHeight="1">
      <c r="A74" s="258" t="s">
        <v>71</v>
      </c>
      <c r="B74" s="87" t="s">
        <v>11</v>
      </c>
      <c r="C74" s="87"/>
      <c r="D74" s="179">
        <v>0</v>
      </c>
      <c r="E74" s="89"/>
    </row>
    <row r="75" spans="1:4" ht="15.75">
      <c r="A75" s="259"/>
      <c r="B75" s="259"/>
      <c r="C75" s="259"/>
      <c r="D75" s="260"/>
    </row>
    <row r="76" spans="1:14" s="1" customFormat="1" ht="12.75">
      <c r="A76" s="180"/>
      <c r="B76" s="180"/>
      <c r="C76" s="180"/>
      <c r="D76" s="180"/>
      <c r="H76" s="1" t="s">
        <v>26</v>
      </c>
      <c r="K76"/>
      <c r="L76"/>
      <c r="M76"/>
      <c r="N76"/>
    </row>
    <row r="77" spans="1:14" s="1" customFormat="1" ht="12.75">
      <c r="A77" s="180" t="s">
        <v>72</v>
      </c>
      <c r="B77" s="180"/>
      <c r="C77" s="180"/>
      <c r="D77" s="180"/>
      <c r="K77"/>
      <c r="L77"/>
      <c r="M77"/>
      <c r="N77"/>
    </row>
    <row r="78" spans="1:14" s="1" customFormat="1" ht="12.75">
      <c r="A78" s="180"/>
      <c r="B78" s="180"/>
      <c r="C78" s="180"/>
      <c r="D78" s="180"/>
      <c r="H78" s="1" t="s">
        <v>26</v>
      </c>
      <c r="K78"/>
      <c r="L78"/>
      <c r="M78"/>
      <c r="N78"/>
    </row>
    <row r="79" spans="1:14" s="1" customFormat="1" ht="12.75">
      <c r="A79" s="180" t="s">
        <v>73</v>
      </c>
      <c r="B79" s="180"/>
      <c r="C79" s="180"/>
      <c r="D79" s="180"/>
      <c r="K79"/>
      <c r="L79"/>
      <c r="M79"/>
      <c r="N79"/>
    </row>
    <row r="80" spans="1:4" ht="12.75">
      <c r="A80" s="180"/>
      <c r="B80" s="180"/>
      <c r="C80" s="180"/>
      <c r="D80" s="180"/>
    </row>
    <row r="83" spans="1:14" s="1" customFormat="1" ht="12.75">
      <c r="A83"/>
      <c r="B83"/>
      <c r="C83"/>
      <c r="D83"/>
      <c r="E83" s="1" t="s">
        <v>26</v>
      </c>
      <c r="K83"/>
      <c r="L83"/>
      <c r="M83"/>
      <c r="N83"/>
    </row>
  </sheetData>
  <sheetProtection selectLockedCells="1" selectUnlockedCells="1"/>
  <mergeCells count="13">
    <mergeCell ref="A71:D71"/>
    <mergeCell ref="A14:D14"/>
    <mergeCell ref="A29:D29"/>
    <mergeCell ref="A41:D41"/>
    <mergeCell ref="A46:D46"/>
    <mergeCell ref="A53:D53"/>
    <mergeCell ref="A66:D6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4">
      <selection activeCell="E16" sqref="E16:H4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108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172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35445.48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1694.46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v>14534.1</v>
      </c>
      <c r="D18" s="198"/>
      <c r="E18" s="111">
        <f>C18-C20</f>
        <v>12452.04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5689.38</v>
      </c>
      <c r="D19" s="198"/>
      <c r="E19" s="111">
        <f>E18-E39</f>
        <v>0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(1.56+1.02)*6*134.5</f>
        <v>2082.06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134.5*4.19*12</f>
        <v>6762.660000000001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14959.949130000003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C18*1.0293</f>
        <v>14959.949130000003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50405.429130000004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(0.85+0.84)*6*134.5</f>
        <v>1363.8300000000002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0.24*12*134.5</f>
        <v>387.36</v>
      </c>
      <c r="E32" s="110"/>
      <c r="F32" s="110"/>
      <c r="G32" s="110"/>
      <c r="H32" s="110"/>
    </row>
    <row r="33" spans="1:8" ht="15.75">
      <c r="A33" s="296" t="s">
        <v>100</v>
      </c>
      <c r="B33" s="211" t="s">
        <v>33</v>
      </c>
      <c r="C33" s="212" t="s">
        <v>34</v>
      </c>
      <c r="D33" s="213">
        <f>(0.14+0.16)*6*134.5</f>
        <v>242.10000000000002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1.33*12*134.5</f>
        <v>2146.62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4.19*134.5*12</f>
        <v>6762.660000000001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17" t="s">
        <v>37</v>
      </c>
      <c r="D36" s="213">
        <f>134.5*(0.86+1.06)*6+0.03</f>
        <v>1549.47</v>
      </c>
      <c r="E36" s="110"/>
      <c r="F36" s="110"/>
      <c r="G36" s="110"/>
      <c r="H36" s="110"/>
    </row>
    <row r="37" spans="1:14" s="1" customFormat="1" ht="47.25">
      <c r="A37" s="371" t="s">
        <v>40</v>
      </c>
      <c r="B37" s="218" t="s">
        <v>41</v>
      </c>
      <c r="C37" s="224"/>
      <c r="D37" s="387">
        <f>D38</f>
        <v>11600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222" t="s">
        <v>300</v>
      </c>
      <c r="B38" s="220" t="s">
        <v>156</v>
      </c>
      <c r="C38" s="217" t="s">
        <v>34</v>
      </c>
      <c r="D38" s="178">
        <v>11600</v>
      </c>
      <c r="E38" s="110"/>
      <c r="F38" s="110"/>
      <c r="G38" s="110"/>
      <c r="H38" s="110"/>
      <c r="K38"/>
      <c r="L38"/>
      <c r="M38"/>
      <c r="N38"/>
    </row>
    <row r="39" spans="1:14" s="1" customFormat="1" ht="15.75">
      <c r="A39" s="37" t="s">
        <v>42</v>
      </c>
      <c r="B39" s="225"/>
      <c r="C39" s="226"/>
      <c r="D39" s="98">
        <f>D31+D32+D33+D34+D35+D36+D37</f>
        <v>24052.04</v>
      </c>
      <c r="E39" s="324">
        <f>D39-D37</f>
        <v>12452.04</v>
      </c>
      <c r="F39" s="110"/>
      <c r="G39" s="110"/>
      <c r="H39" s="110"/>
      <c r="K39"/>
      <c r="L39"/>
      <c r="M39"/>
      <c r="N39"/>
    </row>
    <row r="40" spans="1:14" s="1" customFormat="1" ht="15.75">
      <c r="A40" s="40" t="s">
        <v>43</v>
      </c>
      <c r="B40" s="227" t="s">
        <v>11</v>
      </c>
      <c r="C40" s="228"/>
      <c r="D40" s="229">
        <f>C28-D39</f>
        <v>26353.389130000003</v>
      </c>
      <c r="E40" s="324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12</v>
      </c>
      <c r="B41" s="231" t="s">
        <v>11</v>
      </c>
      <c r="C41" s="212"/>
      <c r="D41" s="196">
        <v>0</v>
      </c>
      <c r="E41" s="323"/>
      <c r="F41" s="110"/>
      <c r="G41" s="110"/>
      <c r="H41" s="110"/>
      <c r="K41"/>
      <c r="L41"/>
      <c r="M41"/>
      <c r="N41"/>
    </row>
    <row r="42" spans="1:14" s="1" customFormat="1" ht="15.75">
      <c r="A42" s="230" t="s">
        <v>13</v>
      </c>
      <c r="B42" s="231" t="s">
        <v>11</v>
      </c>
      <c r="C42" s="212"/>
      <c r="D42" s="198">
        <f>C17+C18-C23</f>
        <v>1268.6108699999986</v>
      </c>
      <c r="E42" s="110"/>
      <c r="F42" s="110"/>
      <c r="G42" s="110"/>
      <c r="H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45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0" t="s">
        <v>47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2" t="s">
        <v>48</v>
      </c>
      <c r="B46" s="211" t="s">
        <v>46</v>
      </c>
      <c r="C46" s="212">
        <v>0</v>
      </c>
      <c r="D46" s="196">
        <v>0</v>
      </c>
      <c r="E46" s="110"/>
      <c r="F46" s="110"/>
      <c r="G46" s="110"/>
      <c r="H46" s="110"/>
      <c r="K46"/>
      <c r="L46"/>
      <c r="M46"/>
      <c r="N46"/>
    </row>
    <row r="47" spans="1:14" s="1" customFormat="1" ht="15.75">
      <c r="A47" s="230" t="s">
        <v>49</v>
      </c>
      <c r="B47" s="211" t="s">
        <v>11</v>
      </c>
      <c r="C47" s="212">
        <v>0</v>
      </c>
      <c r="D47" s="196">
        <v>0</v>
      </c>
      <c r="E47" s="110"/>
      <c r="F47" s="110"/>
      <c r="G47" s="110"/>
      <c r="H47" s="110"/>
      <c r="K47"/>
      <c r="L47"/>
      <c r="M47"/>
      <c r="N47"/>
    </row>
    <row r="48" spans="1:8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</row>
    <row r="49" spans="1:8" ht="26.25">
      <c r="A49" s="232" t="s">
        <v>51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12</v>
      </c>
      <c r="B50" s="211" t="s">
        <v>11</v>
      </c>
      <c r="C50" s="212"/>
      <c r="D50" s="196">
        <v>0</v>
      </c>
      <c r="E50" s="110"/>
      <c r="F50" s="110"/>
      <c r="G50" s="110"/>
      <c r="H50" s="110"/>
    </row>
    <row r="51" spans="1:8" ht="15.75">
      <c r="A51" s="230" t="s">
        <v>13</v>
      </c>
      <c r="B51" s="211" t="s">
        <v>11</v>
      </c>
      <c r="C51" s="212"/>
      <c r="D51" s="233">
        <f>D54-D57-D60</f>
        <v>2968.004308000003</v>
      </c>
      <c r="E51" s="110"/>
      <c r="F51" s="110"/>
      <c r="G51" s="110"/>
      <c r="H51" s="114"/>
    </row>
    <row r="52" spans="1:8" ht="26.25">
      <c r="A52" s="234" t="s">
        <v>52</v>
      </c>
      <c r="B52" s="211" t="s">
        <v>11</v>
      </c>
      <c r="C52" s="235"/>
      <c r="D52" s="236">
        <v>0</v>
      </c>
      <c r="E52" s="110"/>
      <c r="F52" s="110"/>
      <c r="G52" s="110"/>
      <c r="H52" s="110"/>
    </row>
    <row r="53" spans="1:10" ht="17.25" customHeight="1">
      <c r="A53" s="257" t="s">
        <v>12</v>
      </c>
      <c r="B53" s="211" t="s">
        <v>11</v>
      </c>
      <c r="C53" s="279"/>
      <c r="D53" s="55">
        <v>0</v>
      </c>
      <c r="E53" s="110"/>
      <c r="F53" s="110"/>
      <c r="G53" s="110"/>
      <c r="H53" s="110"/>
      <c r="I53" s="49"/>
      <c r="J53" s="49"/>
    </row>
    <row r="54" spans="1:14" ht="15.75">
      <c r="A54" s="238" t="s">
        <v>13</v>
      </c>
      <c r="B54" s="211" t="s">
        <v>11</v>
      </c>
      <c r="C54" s="239"/>
      <c r="D54" s="240">
        <v>2203.17</v>
      </c>
      <c r="E54" s="110"/>
      <c r="F54" s="110"/>
      <c r="G54" s="110"/>
      <c r="H54" s="110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116"/>
      <c r="G55" s="117"/>
      <c r="H55" s="110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116"/>
      <c r="G56" s="117"/>
      <c r="H56" s="110"/>
      <c r="I56" s="65"/>
      <c r="J56" s="71"/>
      <c r="K56" s="66"/>
      <c r="L56" s="66"/>
      <c r="M56" s="66"/>
      <c r="N56" s="66"/>
    </row>
    <row r="57" spans="1:14" ht="15.75">
      <c r="A57" s="241" t="s">
        <v>58</v>
      </c>
      <c r="B57" s="242">
        <v>17374.1</v>
      </c>
      <c r="C57" s="243">
        <f>B57*1.0293</f>
        <v>17883.16113</v>
      </c>
      <c r="D57" s="244">
        <f>B57-C57</f>
        <v>-509.06113000000187</v>
      </c>
      <c r="E57" s="118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59</v>
      </c>
      <c r="B58" s="242">
        <v>0</v>
      </c>
      <c r="C58" s="243">
        <f>B58*1.1615</f>
        <v>0</v>
      </c>
      <c r="D58" s="244">
        <f>B58-C58</f>
        <v>0</v>
      </c>
      <c r="E58" s="115"/>
      <c r="F58" s="116"/>
      <c r="G58" s="117"/>
      <c r="H58" s="110"/>
      <c r="I58" s="65"/>
      <c r="J58" s="65"/>
      <c r="K58" s="66"/>
      <c r="L58" s="66"/>
      <c r="M58" s="66"/>
      <c r="N58" s="66"/>
    </row>
    <row r="59" spans="1:14" ht="15.75">
      <c r="A59" s="241" t="s">
        <v>60</v>
      </c>
      <c r="B59" s="245">
        <v>0</v>
      </c>
      <c r="C59" s="243">
        <f>B59*1.1615</f>
        <v>0</v>
      </c>
      <c r="D59" s="244">
        <f>B59-C59</f>
        <v>0</v>
      </c>
      <c r="E59" s="62">
        <f>(2.07+1.8)*6*2301.2-0.37*2301.2*6</f>
        <v>48325.2</v>
      </c>
      <c r="F59" s="74"/>
      <c r="G59" s="75"/>
      <c r="H59" s="62"/>
      <c r="I59" s="65"/>
      <c r="J59" s="65"/>
      <c r="K59" s="66"/>
      <c r="L59" s="66"/>
      <c r="M59" s="66"/>
      <c r="N59" s="66"/>
    </row>
    <row r="60" spans="1:14" ht="16.5" thickBot="1">
      <c r="A60" s="264" t="s">
        <v>318</v>
      </c>
      <c r="B60" s="265">
        <v>8729.46</v>
      </c>
      <c r="C60" s="243">
        <f>B60*1.0293</f>
        <v>8985.233178</v>
      </c>
      <c r="D60" s="267">
        <f>B60-C60</f>
        <v>-255.77317800000128</v>
      </c>
      <c r="E60" s="62"/>
      <c r="F60" s="74"/>
      <c r="G60" s="75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62"/>
      <c r="F61" s="74"/>
      <c r="H61" s="65"/>
      <c r="I61" s="65"/>
      <c r="J61" s="65"/>
      <c r="K61" s="66"/>
      <c r="L61" s="66"/>
      <c r="M61" s="66"/>
      <c r="N61" s="66"/>
    </row>
    <row r="62" spans="1:14" ht="15.75">
      <c r="A62" s="268" t="s">
        <v>58</v>
      </c>
      <c r="B62" s="247">
        <f>B57</f>
        <v>17374.1</v>
      </c>
      <c r="C62" s="248">
        <f>C57</f>
        <v>17883.16113</v>
      </c>
      <c r="D62" s="269">
        <f>B62-C62</f>
        <v>-509.06113000000187</v>
      </c>
      <c r="E62" s="62"/>
      <c r="F62" s="74"/>
      <c r="H62" s="65"/>
      <c r="I62" s="65"/>
      <c r="J62" s="65" t="s">
        <v>26</v>
      </c>
      <c r="K62" s="66"/>
      <c r="L62" s="66"/>
      <c r="M62" s="66"/>
      <c r="N62" s="66"/>
    </row>
    <row r="63" spans="1:14" ht="15.75">
      <c r="A63" s="268" t="s">
        <v>59</v>
      </c>
      <c r="B63" s="247">
        <v>0</v>
      </c>
      <c r="C63" s="248">
        <f>C58*1.0063</f>
        <v>0</v>
      </c>
      <c r="D63" s="269">
        <f>B63-C63</f>
        <v>0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5.75">
      <c r="A64" s="268" t="s">
        <v>60</v>
      </c>
      <c r="B64" s="247">
        <v>0</v>
      </c>
      <c r="C64" s="248">
        <f>C59*1.0063</f>
        <v>0</v>
      </c>
      <c r="D64" s="269">
        <f>B64-C64</f>
        <v>0</v>
      </c>
      <c r="E64" s="62"/>
      <c r="F64" s="74"/>
      <c r="H64" s="65"/>
      <c r="I64" s="65"/>
      <c r="J64" s="65"/>
      <c r="K64" s="66"/>
      <c r="L64" s="66"/>
      <c r="M64" s="66"/>
      <c r="N64" s="66"/>
    </row>
    <row r="65" spans="1:14" ht="16.5" thickBot="1">
      <c r="A65" s="270" t="s">
        <v>318</v>
      </c>
      <c r="B65" s="271">
        <v>8729.46</v>
      </c>
      <c r="C65" s="272">
        <v>8985.233178</v>
      </c>
      <c r="D65" s="273">
        <v>-255.77317800000128</v>
      </c>
      <c r="E65" s="62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15.75">
      <c r="A66" s="250"/>
      <c r="B66" s="251"/>
      <c r="C66" s="252"/>
      <c r="D66" s="253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26.25">
      <c r="A67" s="254" t="s">
        <v>66</v>
      </c>
      <c r="B67" s="251" t="s">
        <v>11</v>
      </c>
      <c r="C67" s="255"/>
      <c r="D67" s="256">
        <v>0</v>
      </c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84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7" t="s">
        <v>45</v>
      </c>
      <c r="B69" s="87" t="s">
        <v>46</v>
      </c>
      <c r="C69" s="87"/>
      <c r="D69" s="179">
        <v>0</v>
      </c>
      <c r="E69" s="89"/>
    </row>
    <row r="70" spans="1:5" ht="21" customHeight="1">
      <c r="A70" s="87" t="s">
        <v>47</v>
      </c>
      <c r="B70" s="87" t="s">
        <v>46</v>
      </c>
      <c r="C70" s="87"/>
      <c r="D70" s="179">
        <v>0</v>
      </c>
      <c r="E70" s="89"/>
    </row>
    <row r="71" spans="1:5" ht="18" customHeight="1">
      <c r="A71" s="87" t="s">
        <v>48</v>
      </c>
      <c r="B71" s="87" t="s">
        <v>46</v>
      </c>
      <c r="C71" s="87"/>
      <c r="D71" s="179">
        <v>0</v>
      </c>
      <c r="E71" s="89"/>
    </row>
    <row r="72" spans="1:5" ht="16.5" customHeight="1">
      <c r="A72" s="87" t="s">
        <v>49</v>
      </c>
      <c r="B72" s="87" t="s">
        <v>11</v>
      </c>
      <c r="C72" s="87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7" t="s">
        <v>69</v>
      </c>
      <c r="B74" s="87" t="s">
        <v>46</v>
      </c>
      <c r="C74" s="87"/>
      <c r="D74" s="179">
        <v>0</v>
      </c>
      <c r="E74" s="89"/>
    </row>
    <row r="75" spans="1:5" ht="21.75" customHeight="1">
      <c r="A75" s="87" t="s">
        <v>70</v>
      </c>
      <c r="B75" s="257" t="s">
        <v>46</v>
      </c>
      <c r="C75" s="257"/>
      <c r="D75" s="179">
        <v>0</v>
      </c>
      <c r="E75" s="89"/>
    </row>
    <row r="76" spans="1:5" ht="36" customHeight="1">
      <c r="A76" s="258" t="s">
        <v>71</v>
      </c>
      <c r="B76" s="87" t="s">
        <v>11</v>
      </c>
      <c r="C76" s="87"/>
      <c r="D76" s="179">
        <v>0</v>
      </c>
      <c r="E76" s="89"/>
    </row>
    <row r="77" spans="1:4" ht="15.75">
      <c r="A77" s="259"/>
      <c r="B77" s="259"/>
      <c r="C77" s="259"/>
      <c r="D77" s="260"/>
    </row>
    <row r="78" spans="1:14" s="1" customFormat="1" ht="12.75">
      <c r="A78" s="180"/>
      <c r="B78" s="180"/>
      <c r="C78" s="180"/>
      <c r="D78" s="180"/>
      <c r="H78" s="1" t="s">
        <v>26</v>
      </c>
      <c r="K78"/>
      <c r="L78"/>
      <c r="M78"/>
      <c r="N78"/>
    </row>
    <row r="79" spans="1:14" s="1" customFormat="1" ht="12.75">
      <c r="A79" s="180" t="s">
        <v>72</v>
      </c>
      <c r="B79" s="180"/>
      <c r="C79" s="180"/>
      <c r="D79" s="180"/>
      <c r="K79"/>
      <c r="L79"/>
      <c r="M79"/>
      <c r="N79"/>
    </row>
    <row r="80" spans="1:14" s="1" customFormat="1" ht="12.75">
      <c r="A80" s="180"/>
      <c r="B80" s="180"/>
      <c r="C80" s="180"/>
      <c r="D80" s="180"/>
      <c r="H80" s="1" t="s">
        <v>26</v>
      </c>
      <c r="K80"/>
      <c r="L80"/>
      <c r="M80"/>
      <c r="N80"/>
    </row>
    <row r="81" spans="1:14" s="1" customFormat="1" ht="12.75">
      <c r="A81" s="180" t="s">
        <v>73</v>
      </c>
      <c r="B81" s="180"/>
      <c r="C81" s="180"/>
      <c r="D81" s="180"/>
      <c r="K81"/>
      <c r="L81"/>
      <c r="M81"/>
      <c r="N81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4" ht="12.75">
      <c r="A84" s="180"/>
      <c r="B84" s="180"/>
      <c r="C84" s="180"/>
      <c r="D84" s="180"/>
    </row>
    <row r="85" spans="1:14" s="1" customFormat="1" ht="12.75">
      <c r="A85" s="180"/>
      <c r="B85" s="180"/>
      <c r="C85" s="180"/>
      <c r="D85" s="180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7">
      <selection activeCell="E17" sqref="E17:J45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109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185" t="s">
        <v>337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4" ht="31.5" customHeight="1">
      <c r="A14" s="490" t="s">
        <v>9</v>
      </c>
      <c r="B14" s="490"/>
      <c r="C14" s="490"/>
      <c r="D14" s="490"/>
    </row>
    <row r="15" spans="1:5" ht="26.25">
      <c r="A15" s="17" t="s">
        <v>10</v>
      </c>
      <c r="B15" s="194" t="s">
        <v>11</v>
      </c>
      <c r="C15" s="197">
        <v>19616.9</v>
      </c>
      <c r="D15" s="196"/>
      <c r="E15" s="110"/>
    </row>
    <row r="16" spans="1:5" ht="15.75">
      <c r="A16" s="20" t="s">
        <v>12</v>
      </c>
      <c r="B16" s="194" t="s">
        <v>11</v>
      </c>
      <c r="C16" s="195">
        <v>0</v>
      </c>
      <c r="D16" s="196"/>
      <c r="E16" s="110"/>
    </row>
    <row r="17" spans="1:10" ht="15.75">
      <c r="A17" s="20" t="s">
        <v>13</v>
      </c>
      <c r="B17" s="194" t="s">
        <v>11</v>
      </c>
      <c r="C17" s="197">
        <v>0</v>
      </c>
      <c r="D17" s="198"/>
      <c r="E17" s="110"/>
      <c r="F17" s="110"/>
      <c r="G17" s="110"/>
      <c r="H17" s="110"/>
      <c r="I17" s="110"/>
      <c r="J17" s="110"/>
    </row>
    <row r="18" spans="1:10" ht="31.5" customHeight="1">
      <c r="A18" s="17" t="s">
        <v>14</v>
      </c>
      <c r="B18" s="194" t="s">
        <v>11</v>
      </c>
      <c r="C18" s="197">
        <v>17595.14</v>
      </c>
      <c r="D18" s="198"/>
      <c r="E18" s="111">
        <f>C18-C20</f>
        <v>12625.6515</v>
      </c>
      <c r="F18" s="110"/>
      <c r="G18" s="110"/>
      <c r="H18" s="110"/>
      <c r="I18" s="110"/>
      <c r="J18" s="110"/>
    </row>
    <row r="19" spans="1:10" ht="15.75">
      <c r="A19" s="20" t="s">
        <v>15</v>
      </c>
      <c r="B19" s="194" t="s">
        <v>11</v>
      </c>
      <c r="C19" s="197">
        <f>C18-C20-C21</f>
        <v>5293.5705</v>
      </c>
      <c r="D19" s="198"/>
      <c r="E19" s="111">
        <f>E18-E38+743.58</f>
        <v>-0.004499999998984094</v>
      </c>
      <c r="F19" s="110"/>
      <c r="G19" s="110"/>
      <c r="H19" s="110"/>
      <c r="I19" s="110"/>
      <c r="J19" s="110"/>
    </row>
    <row r="20" spans="1:10" ht="15.75">
      <c r="A20" s="20" t="s">
        <v>16</v>
      </c>
      <c r="B20" s="194" t="s">
        <v>11</v>
      </c>
      <c r="C20" s="197">
        <f>(2.7+2.13)*6*145.825+743.48</f>
        <v>4969.4884999999995</v>
      </c>
      <c r="D20" s="198"/>
      <c r="E20" s="112"/>
      <c r="F20" s="110"/>
      <c r="G20" s="110"/>
      <c r="H20" s="110"/>
      <c r="I20" s="110"/>
      <c r="J20" s="110"/>
    </row>
    <row r="21" spans="1:10" ht="15.75">
      <c r="A21" s="20" t="s">
        <v>17</v>
      </c>
      <c r="B21" s="194" t="s">
        <v>11</v>
      </c>
      <c r="C21" s="199">
        <f>145.825*4.19*12</f>
        <v>7332.081</v>
      </c>
      <c r="D21" s="198"/>
      <c r="E21" s="110"/>
      <c r="F21" s="110"/>
      <c r="G21" s="110"/>
      <c r="H21" s="110"/>
      <c r="I21" s="110"/>
      <c r="J21" s="110"/>
    </row>
    <row r="22" spans="1:10" ht="15.75">
      <c r="A22" s="20" t="s">
        <v>18</v>
      </c>
      <c r="B22" s="194" t="s">
        <v>11</v>
      </c>
      <c r="C22" s="197">
        <f>C23+C24+C25+C26+C27</f>
        <v>16652.040496</v>
      </c>
      <c r="D22" s="198" t="s">
        <v>19</v>
      </c>
      <c r="E22" s="111" t="e">
        <f>B24+B25+B26+B27+B28</f>
        <v>#VALUE!</v>
      </c>
      <c r="F22" s="110"/>
      <c r="G22" s="110"/>
      <c r="H22" s="110"/>
      <c r="I22" s="110"/>
      <c r="J22" s="110"/>
    </row>
    <row r="23" spans="1:10" ht="15.75">
      <c r="A23" s="20" t="s">
        <v>20</v>
      </c>
      <c r="B23" s="194" t="s">
        <v>11</v>
      </c>
      <c r="C23" s="197">
        <f>C18*0.9464</f>
        <v>16652.040496</v>
      </c>
      <c r="D23" s="198"/>
      <c r="E23" s="110"/>
      <c r="F23" s="110"/>
      <c r="G23" s="110"/>
      <c r="H23" s="110"/>
      <c r="I23" s="110"/>
      <c r="J23" s="110"/>
    </row>
    <row r="24" spans="1:10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  <c r="I24" s="110"/>
      <c r="J24" s="110"/>
    </row>
    <row r="25" spans="1:10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  <c r="I25" s="110"/>
      <c r="J25" s="110"/>
    </row>
    <row r="26" spans="1:10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  <c r="I26" s="110"/>
      <c r="J26" s="110"/>
    </row>
    <row r="27" spans="1:10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  <c r="I27" s="110"/>
      <c r="J27" s="110"/>
    </row>
    <row r="28" spans="1:10" ht="15.75">
      <c r="A28" s="20" t="s">
        <v>25</v>
      </c>
      <c r="B28" s="194" t="s">
        <v>11</v>
      </c>
      <c r="C28" s="197">
        <f>C15+C22</f>
        <v>36268.940496</v>
      </c>
      <c r="D28" s="198" t="s">
        <v>26</v>
      </c>
      <c r="E28" s="112" t="e">
        <f>B28/#REF!*1</f>
        <v>#VALUE!</v>
      </c>
      <c r="F28" s="110"/>
      <c r="G28" s="110"/>
      <c r="H28" s="110"/>
      <c r="I28" s="110"/>
      <c r="J28" s="110"/>
    </row>
    <row r="29" spans="1:10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  <c r="J29" s="110"/>
    </row>
    <row r="30" spans="1:10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  <c r="I30" s="110"/>
      <c r="J30" s="110"/>
    </row>
    <row r="31" spans="1:10" ht="15.75">
      <c r="A31" s="206" t="s">
        <v>32</v>
      </c>
      <c r="B31" s="207" t="s">
        <v>33</v>
      </c>
      <c r="C31" s="208" t="s">
        <v>34</v>
      </c>
      <c r="D31" s="209">
        <f>(0.85+0.84)*6*145.825</f>
        <v>1478.6655</v>
      </c>
      <c r="E31" s="110"/>
      <c r="F31" s="110"/>
      <c r="G31" s="110"/>
      <c r="H31" s="110"/>
      <c r="I31" s="110"/>
      <c r="J31" s="110"/>
    </row>
    <row r="32" spans="1:10" ht="15.75">
      <c r="A32" s="210" t="s">
        <v>36</v>
      </c>
      <c r="B32" s="211" t="s">
        <v>33</v>
      </c>
      <c r="C32" s="212" t="s">
        <v>37</v>
      </c>
      <c r="D32" s="213">
        <f>0.24*12*145.825</f>
        <v>419.97599999999994</v>
      </c>
      <c r="E32" s="110"/>
      <c r="F32" s="110"/>
      <c r="G32" s="110"/>
      <c r="H32" s="110"/>
      <c r="I32" s="110"/>
      <c r="J32" s="110"/>
    </row>
    <row r="33" spans="1:10" ht="15.75">
      <c r="A33" s="296" t="s">
        <v>100</v>
      </c>
      <c r="B33" s="211" t="s">
        <v>33</v>
      </c>
      <c r="C33" s="212" t="s">
        <v>34</v>
      </c>
      <c r="D33" s="213">
        <f>(0.14+0.16)*6*145.825</f>
        <v>262.485</v>
      </c>
      <c r="E33" s="110"/>
      <c r="F33" s="110"/>
      <c r="G33" s="110"/>
      <c r="H33" s="110"/>
      <c r="I33" s="110"/>
      <c r="J33" s="110"/>
    </row>
    <row r="34" spans="1:10" ht="15.75">
      <c r="A34" s="210" t="s">
        <v>81</v>
      </c>
      <c r="B34" s="216" t="s">
        <v>82</v>
      </c>
      <c r="C34" s="212" t="s">
        <v>34</v>
      </c>
      <c r="D34" s="213">
        <f>1.33*12*145.825</f>
        <v>2327.3669999999997</v>
      </c>
      <c r="E34" s="110"/>
      <c r="F34" s="110"/>
      <c r="G34" s="110"/>
      <c r="H34" s="110"/>
      <c r="I34" s="110"/>
      <c r="J34" s="110"/>
    </row>
    <row r="35" spans="1:10" ht="15.75">
      <c r="A35" s="210" t="s">
        <v>38</v>
      </c>
      <c r="B35" s="211" t="s">
        <v>35</v>
      </c>
      <c r="C35" s="368" t="s">
        <v>237</v>
      </c>
      <c r="D35" s="213">
        <f>4.19*145.825*12</f>
        <v>7332.081</v>
      </c>
      <c r="E35" s="110"/>
      <c r="F35" s="110"/>
      <c r="G35" s="110"/>
      <c r="H35" s="110"/>
      <c r="I35" s="110"/>
      <c r="J35" s="110"/>
    </row>
    <row r="36" spans="1:10" ht="15.75">
      <c r="A36" s="210" t="s">
        <v>85</v>
      </c>
      <c r="B36" s="211" t="s">
        <v>238</v>
      </c>
      <c r="C36" s="217" t="s">
        <v>37</v>
      </c>
      <c r="D36" s="213">
        <f>145.825*(0.98+0.79)*6</f>
        <v>1548.6615000000002</v>
      </c>
      <c r="E36" s="110"/>
      <c r="F36" s="110"/>
      <c r="G36" s="110"/>
      <c r="H36" s="110"/>
      <c r="I36" s="110"/>
      <c r="J36" s="110"/>
    </row>
    <row r="37" spans="1:14" s="1" customFormat="1" ht="47.25">
      <c r="A37" s="371" t="s">
        <v>40</v>
      </c>
      <c r="B37" s="218" t="s">
        <v>41</v>
      </c>
      <c r="C37" s="224"/>
      <c r="D37" s="177">
        <v>0</v>
      </c>
      <c r="E37" s="110"/>
      <c r="F37" s="110"/>
      <c r="G37" s="110"/>
      <c r="H37" s="110"/>
      <c r="I37" s="110"/>
      <c r="J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SUM(D31:D37)</f>
        <v>13369.235999999999</v>
      </c>
      <c r="E38" s="113">
        <f>D38-D37</f>
        <v>13369.235999999999</v>
      </c>
      <c r="F38" s="110"/>
      <c r="G38" s="110"/>
      <c r="H38" s="110"/>
      <c r="I38" s="110"/>
      <c r="J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22899.704496000006</v>
      </c>
      <c r="E39" s="113"/>
      <c r="F39" s="110"/>
      <c r="G39" s="110"/>
      <c r="H39" s="110"/>
      <c r="I39" s="110"/>
      <c r="J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>
        <v>0</v>
      </c>
      <c r="E40" s="110"/>
      <c r="F40" s="110"/>
      <c r="G40" s="110"/>
      <c r="H40" s="110"/>
      <c r="I40" s="110"/>
      <c r="J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1853.7</v>
      </c>
      <c r="E41" s="110"/>
      <c r="F41" s="110"/>
      <c r="G41" s="110"/>
      <c r="H41" s="110"/>
      <c r="I41" s="110"/>
      <c r="J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I42" s="110"/>
      <c r="J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>
        <v>0</v>
      </c>
      <c r="D43" s="196">
        <v>0</v>
      </c>
      <c r="E43" s="110"/>
      <c r="F43" s="110"/>
      <c r="G43" s="110"/>
      <c r="H43" s="110"/>
      <c r="I43" s="110"/>
      <c r="J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I44" s="110"/>
      <c r="J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I45" s="110"/>
      <c r="J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>
        <v>0</v>
      </c>
      <c r="D46" s="196">
        <v>0</v>
      </c>
      <c r="E46" s="110"/>
      <c r="K46"/>
      <c r="L46"/>
      <c r="M46"/>
      <c r="N46"/>
    </row>
    <row r="47" spans="1:5" ht="20.25" customHeight="1">
      <c r="A47" s="493" t="s">
        <v>50</v>
      </c>
      <c r="B47" s="493"/>
      <c r="C47" s="493"/>
      <c r="D47" s="493"/>
      <c r="E47" s="110"/>
    </row>
    <row r="48" spans="1:5" ht="26.25">
      <c r="A48" s="232" t="s">
        <v>51</v>
      </c>
      <c r="B48" s="211" t="s">
        <v>11</v>
      </c>
      <c r="C48" s="212"/>
      <c r="D48" s="196">
        <v>0</v>
      </c>
      <c r="E48" s="110"/>
    </row>
    <row r="49" spans="1:5" ht="15.75">
      <c r="A49" s="230" t="s">
        <v>12</v>
      </c>
      <c r="B49" s="211" t="s">
        <v>11</v>
      </c>
      <c r="C49" s="212"/>
      <c r="D49" s="196">
        <v>0</v>
      </c>
      <c r="E49" s="110"/>
    </row>
    <row r="50" spans="1:8" ht="15.75">
      <c r="A50" s="230" t="s">
        <v>13</v>
      </c>
      <c r="B50" s="211" t="s">
        <v>11</v>
      </c>
      <c r="C50" s="212"/>
      <c r="D50" s="233">
        <f>D53-D56-D59</f>
        <v>1150.6227759999992</v>
      </c>
      <c r="E50" s="110"/>
      <c r="H50" s="49"/>
    </row>
    <row r="51" spans="1:5" ht="26.25">
      <c r="A51" s="234" t="s">
        <v>52</v>
      </c>
      <c r="B51" s="211" t="s">
        <v>11</v>
      </c>
      <c r="C51" s="235"/>
      <c r="D51" s="236">
        <v>0</v>
      </c>
      <c r="E51" s="110"/>
    </row>
    <row r="52" spans="1:10" ht="17.25" customHeight="1">
      <c r="A52" s="257" t="s">
        <v>12</v>
      </c>
      <c r="B52" s="211" t="s">
        <v>11</v>
      </c>
      <c r="C52" s="279"/>
      <c r="D52" s="55">
        <v>0</v>
      </c>
      <c r="E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2342.37</v>
      </c>
      <c r="E53" s="110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63"/>
      <c r="G55" s="64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13299.19</v>
      </c>
      <c r="C56" s="243">
        <f>B56*0.9464</f>
        <v>12586.353416</v>
      </c>
      <c r="D56" s="244">
        <f>B56-C56</f>
        <v>712.8365840000006</v>
      </c>
      <c r="E56" s="118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B57*1.1615</f>
        <v>0</v>
      </c>
      <c r="D57" s="244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B58*1.1615</f>
        <v>0</v>
      </c>
      <c r="D58" s="244">
        <f>B58-C58</f>
        <v>0</v>
      </c>
      <c r="E58" s="62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8934.9</v>
      </c>
      <c r="C59" s="266">
        <f>B59*0.9464</f>
        <v>8455.98936</v>
      </c>
      <c r="D59" s="267">
        <f>B59-C59</f>
        <v>478.91064000000006</v>
      </c>
      <c r="E59" s="62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62"/>
      <c r="F60" s="74"/>
      <c r="H60" s="65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13299.19</v>
      </c>
      <c r="C61" s="248">
        <f>C56</f>
        <v>12586.353416</v>
      </c>
      <c r="D61" s="269">
        <f>B61-C61</f>
        <v>712.8365840000006</v>
      </c>
      <c r="E61" s="62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v>0</v>
      </c>
      <c r="D62" s="269">
        <f>B62-C62</f>
        <v>0</v>
      </c>
      <c r="E62" s="62"/>
      <c r="F62" s="74"/>
      <c r="H62" s="65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v>0</v>
      </c>
      <c r="D63" s="269">
        <f>B63-C63</f>
        <v>0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8934.9</v>
      </c>
      <c r="C64" s="272">
        <v>8455.98936</v>
      </c>
      <c r="D64" s="273">
        <v>478.91064000000006</v>
      </c>
      <c r="E64" s="62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7" t="s">
        <v>45</v>
      </c>
      <c r="B68" s="87" t="s">
        <v>46</v>
      </c>
      <c r="C68" s="87"/>
      <c r="D68" s="179">
        <v>0</v>
      </c>
      <c r="E68" s="89"/>
    </row>
    <row r="69" spans="1:5" ht="21" customHeight="1">
      <c r="A69" s="87" t="s">
        <v>47</v>
      </c>
      <c r="B69" s="87" t="s">
        <v>46</v>
      </c>
      <c r="C69" s="87"/>
      <c r="D69" s="179">
        <v>0</v>
      </c>
      <c r="E69" s="89"/>
    </row>
    <row r="70" spans="1:5" ht="18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6.5" customHeight="1">
      <c r="A71" s="87" t="s">
        <v>49</v>
      </c>
      <c r="B71" s="87" t="s">
        <v>11</v>
      </c>
      <c r="C71" s="87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7" t="s">
        <v>69</v>
      </c>
      <c r="B73" s="87" t="s">
        <v>46</v>
      </c>
      <c r="C73" s="87"/>
      <c r="D73" s="179">
        <v>0</v>
      </c>
      <c r="E73" s="89"/>
    </row>
    <row r="74" spans="1:5" ht="21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3">
      <selection activeCell="E18" sqref="E18:H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110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175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5">
        <v>51305.17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59"/>
      <c r="F16" s="59"/>
      <c r="G16" s="59"/>
      <c r="H16" s="59"/>
    </row>
    <row r="17" spans="1:8" ht="15.75">
      <c r="A17" s="20" t="s">
        <v>13</v>
      </c>
      <c r="B17" s="194" t="s">
        <v>11</v>
      </c>
      <c r="C17" s="197">
        <v>1432.1</v>
      </c>
      <c r="D17" s="198"/>
      <c r="E17" s="59"/>
      <c r="F17" s="59"/>
      <c r="G17" s="59"/>
      <c r="H17" s="59"/>
    </row>
    <row r="18" spans="1:8" ht="31.5" customHeight="1">
      <c r="A18" s="17" t="s">
        <v>14</v>
      </c>
      <c r="B18" s="194" t="s">
        <v>11</v>
      </c>
      <c r="C18" s="197">
        <f>16187.34+1542.24</f>
        <v>17729.58</v>
      </c>
      <c r="D18" s="198"/>
      <c r="E18" s="111">
        <f>C18-C20</f>
        <v>9349.914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4336.998</v>
      </c>
      <c r="D19" s="198"/>
      <c r="E19" s="111">
        <f>E18-E38</f>
        <v>-0.0020000000004074536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(4.92+6.51)*6*99.7+1542.24</f>
        <v>8379.666000000001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99.7*4.19*12</f>
        <v>5012.916000000001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17729.58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</f>
        <v>17729.58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69034.75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(0.81+0.85)*6*99.7</f>
        <v>993.0120000000001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0.24*12*99.7</f>
        <v>287.136</v>
      </c>
      <c r="E32" s="110"/>
      <c r="F32" s="110"/>
      <c r="G32" s="110"/>
      <c r="H32" s="110"/>
    </row>
    <row r="33" spans="1:8" ht="15.75">
      <c r="A33" s="296" t="s">
        <v>100</v>
      </c>
      <c r="B33" s="211" t="s">
        <v>33</v>
      </c>
      <c r="C33" s="212" t="s">
        <v>34</v>
      </c>
      <c r="D33" s="213">
        <f>(0.14+0.16)*6*99.7</f>
        <v>179.46000000000004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1.33*12*99.7</f>
        <v>1591.2120000000002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4.19*99.7*12</f>
        <v>5012.916000000001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17" t="s">
        <v>37</v>
      </c>
      <c r="D36" s="213">
        <f>99.7*(0.77+1.38)*6+0.05</f>
        <v>1286.1799999999998</v>
      </c>
      <c r="E36" s="110"/>
      <c r="F36" s="110"/>
      <c r="G36" s="110"/>
      <c r="H36" s="110"/>
    </row>
    <row r="37" spans="1:14" s="1" customFormat="1" ht="47.25">
      <c r="A37" s="371" t="s">
        <v>40</v>
      </c>
      <c r="B37" s="218" t="s">
        <v>41</v>
      </c>
      <c r="C37" s="224"/>
      <c r="D37" s="177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SUM(D31:D37)</f>
        <v>9349.916000000001</v>
      </c>
      <c r="E38" s="113">
        <f>D38-D37</f>
        <v>9349.916000000001</v>
      </c>
      <c r="F38" s="110"/>
      <c r="G38" s="110"/>
      <c r="H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59684.834</v>
      </c>
      <c r="E39" s="113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>
        <v>0</v>
      </c>
      <c r="E40" s="110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6">
        <v>1432.1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>
        <v>0</v>
      </c>
      <c r="D43" s="196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>
        <v>0</v>
      </c>
      <c r="D46" s="196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13</v>
      </c>
      <c r="B50" s="211" t="s">
        <v>11</v>
      </c>
      <c r="C50" s="212"/>
      <c r="D50" s="233">
        <v>1773.37</v>
      </c>
      <c r="E50" s="110"/>
      <c r="F50" s="110"/>
      <c r="G50" s="110"/>
      <c r="H50" s="114"/>
    </row>
    <row r="51" spans="1:8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</row>
    <row r="52" spans="1:10" ht="17.25" customHeight="1">
      <c r="A52" s="257" t="s">
        <v>12</v>
      </c>
      <c r="B52" s="211" t="s">
        <v>11</v>
      </c>
      <c r="C52" s="279"/>
      <c r="D52" s="55">
        <v>0</v>
      </c>
      <c r="E52" s="110"/>
      <c r="F52" s="110"/>
      <c r="G52" s="110"/>
      <c r="H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1773.37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15483.86</v>
      </c>
      <c r="C56" s="243">
        <f>B56*1</f>
        <v>15483.86</v>
      </c>
      <c r="D56" s="244">
        <f>B56-C56</f>
        <v>0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B57*1.1615</f>
        <v>0</v>
      </c>
      <c r="D57" s="244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B58*1.1615</f>
        <v>0</v>
      </c>
      <c r="D58" s="244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6470.82</v>
      </c>
      <c r="C59" s="266">
        <f>B59</f>
        <v>6470.82</v>
      </c>
      <c r="D59" s="267">
        <f>B59-C59</f>
        <v>0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15483.86</v>
      </c>
      <c r="C61" s="248">
        <f>C56</f>
        <v>15483.86</v>
      </c>
      <c r="D61" s="269">
        <f>B61-C61</f>
        <v>0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v>0</v>
      </c>
      <c r="D62" s="269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v>0</v>
      </c>
      <c r="D63" s="269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6470.82</v>
      </c>
      <c r="C64" s="272">
        <v>6470.82</v>
      </c>
      <c r="D64" s="273">
        <v>0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115"/>
      <c r="F65" s="119"/>
      <c r="G65" s="110"/>
      <c r="H65" s="121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115"/>
      <c r="F66" s="119"/>
      <c r="G66" s="110"/>
      <c r="H66" s="121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121"/>
      <c r="G67" s="110"/>
      <c r="H67" s="123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7" t="s">
        <v>45</v>
      </c>
      <c r="B68" s="87" t="s">
        <v>46</v>
      </c>
      <c r="C68" s="87"/>
      <c r="D68" s="179">
        <v>0</v>
      </c>
      <c r="E68" s="124"/>
      <c r="F68" s="110"/>
      <c r="G68" s="110"/>
      <c r="H68" s="110"/>
    </row>
    <row r="69" spans="1:8" ht="21" customHeight="1">
      <c r="A69" s="87" t="s">
        <v>47</v>
      </c>
      <c r="B69" s="87" t="s">
        <v>46</v>
      </c>
      <c r="C69" s="87"/>
      <c r="D69" s="179">
        <v>0</v>
      </c>
      <c r="E69" s="124"/>
      <c r="F69" s="110"/>
      <c r="G69" s="110"/>
      <c r="H69" s="110"/>
    </row>
    <row r="70" spans="1:8" ht="18" customHeight="1">
      <c r="A70" s="87" t="s">
        <v>48</v>
      </c>
      <c r="B70" s="87" t="s">
        <v>46</v>
      </c>
      <c r="C70" s="87"/>
      <c r="D70" s="179">
        <v>0</v>
      </c>
      <c r="E70" s="124"/>
      <c r="F70" s="110"/>
      <c r="G70" s="110"/>
      <c r="H70" s="110"/>
    </row>
    <row r="71" spans="1:8" ht="16.5" customHeight="1">
      <c r="A71" s="87" t="s">
        <v>49</v>
      </c>
      <c r="B71" s="87" t="s">
        <v>11</v>
      </c>
      <c r="C71" s="87"/>
      <c r="D71" s="179">
        <v>0</v>
      </c>
      <c r="E71" s="124"/>
      <c r="F71" s="110"/>
      <c r="G71" s="110"/>
      <c r="H71" s="110"/>
    </row>
    <row r="72" spans="1:8" ht="15.75" customHeight="1">
      <c r="A72" s="489" t="s">
        <v>68</v>
      </c>
      <c r="B72" s="489"/>
      <c r="C72" s="489"/>
      <c r="D72" s="489"/>
      <c r="E72" s="124"/>
      <c r="F72" s="110"/>
      <c r="G72" s="110"/>
      <c r="H72" s="110"/>
    </row>
    <row r="73" spans="1:8" ht="18.75" customHeight="1">
      <c r="A73" s="87" t="s">
        <v>69</v>
      </c>
      <c r="B73" s="87" t="s">
        <v>46</v>
      </c>
      <c r="C73" s="87"/>
      <c r="D73" s="179">
        <v>0</v>
      </c>
      <c r="E73" s="124"/>
      <c r="F73" s="110"/>
      <c r="G73" s="110"/>
      <c r="H73" s="110"/>
    </row>
    <row r="74" spans="1:8" ht="21.75" customHeight="1">
      <c r="A74" s="87" t="s">
        <v>70</v>
      </c>
      <c r="B74" s="257" t="s">
        <v>46</v>
      </c>
      <c r="C74" s="257"/>
      <c r="D74" s="179">
        <v>0</v>
      </c>
      <c r="E74" s="124"/>
      <c r="F74" s="110"/>
      <c r="G74" s="110"/>
      <c r="H74" s="110"/>
    </row>
    <row r="75" spans="1:8" ht="36" customHeight="1">
      <c r="A75" s="258" t="s">
        <v>71</v>
      </c>
      <c r="B75" s="87" t="s">
        <v>11</v>
      </c>
      <c r="C75" s="87"/>
      <c r="D75" s="179">
        <v>0</v>
      </c>
      <c r="E75" s="124"/>
      <c r="F75" s="110"/>
      <c r="G75" s="110"/>
      <c r="H75" s="110"/>
    </row>
    <row r="76" spans="1:8" ht="15.75">
      <c r="A76" s="259"/>
      <c r="B76" s="259"/>
      <c r="C76" s="259"/>
      <c r="D76" s="260"/>
      <c r="E76" s="110"/>
      <c r="F76" s="110"/>
      <c r="G76" s="110"/>
      <c r="H76" s="110"/>
    </row>
    <row r="77" spans="1:14" s="1" customFormat="1" ht="12.75">
      <c r="A77" s="180"/>
      <c r="B77" s="180"/>
      <c r="C77" s="180"/>
      <c r="D77" s="180"/>
      <c r="E77" s="110"/>
      <c r="F77" s="110"/>
      <c r="G77" s="110"/>
      <c r="H77" s="110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E78" s="110"/>
      <c r="F78" s="110"/>
      <c r="G78" s="110"/>
      <c r="H78" s="11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4">
      <selection activeCell="E17" sqref="E17:H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111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176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62746.2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95.3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16998.3+3599.64</f>
        <v>20597.94</v>
      </c>
      <c r="D18" s="198"/>
      <c r="E18" s="111">
        <f>C18-C20</f>
        <v>10272.305999999999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4686.1979999999985</v>
      </c>
      <c r="D19" s="198"/>
      <c r="E19" s="111">
        <f>E18-E39</f>
        <v>0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(5+5.09)*6*111.1+3599.64</f>
        <v>10325.634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111.1*4.19*12</f>
        <v>5586.108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20657.674025999997</v>
      </c>
      <c r="D22" s="198" t="s">
        <v>19</v>
      </c>
      <c r="E22" s="111"/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C18*1.0029</f>
        <v>20657.674025999997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83403.87402599999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(0.85+0.81)*6*111.1</f>
        <v>1106.556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0.24*12*111.1</f>
        <v>319.96799999999996</v>
      </c>
      <c r="E32" s="110"/>
      <c r="F32" s="110"/>
      <c r="G32" s="110"/>
      <c r="H32" s="110"/>
    </row>
    <row r="33" spans="1:8" ht="15.75">
      <c r="A33" s="296" t="s">
        <v>181</v>
      </c>
      <c r="B33" s="211" t="s">
        <v>33</v>
      </c>
      <c r="C33" s="212" t="s">
        <v>34</v>
      </c>
      <c r="D33" s="213">
        <f>(0.14+0.16)*6*111.1</f>
        <v>199.98000000000002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1.33*12*111.1</f>
        <v>1773.156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4.19*111.1*12</f>
        <v>5586.108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17" t="s">
        <v>37</v>
      </c>
      <c r="D36" s="213">
        <f>111.1*(1.24+0.69)*6</f>
        <v>1286.5379999999998</v>
      </c>
      <c r="E36" s="110"/>
      <c r="F36" s="110"/>
      <c r="G36" s="110"/>
      <c r="H36" s="110"/>
    </row>
    <row r="37" spans="1:14" s="1" customFormat="1" ht="47.25">
      <c r="A37" s="371" t="s">
        <v>40</v>
      </c>
      <c r="B37" s="218" t="s">
        <v>41</v>
      </c>
      <c r="C37" s="224"/>
      <c r="D37" s="177">
        <f>D38</f>
        <v>1063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222" t="s">
        <v>338</v>
      </c>
      <c r="B38" s="220" t="s">
        <v>149</v>
      </c>
      <c r="C38" s="217" t="s">
        <v>34</v>
      </c>
      <c r="D38" s="178">
        <v>1063</v>
      </c>
      <c r="E38" s="110"/>
      <c r="F38" s="110"/>
      <c r="G38" s="110"/>
      <c r="H38" s="110"/>
      <c r="K38"/>
      <c r="L38"/>
      <c r="M38"/>
      <c r="N38"/>
    </row>
    <row r="39" spans="1:14" s="1" customFormat="1" ht="15.75">
      <c r="A39" s="37" t="s">
        <v>42</v>
      </c>
      <c r="B39" s="225"/>
      <c r="C39" s="226"/>
      <c r="D39" s="98">
        <f>D31+D32+D33+D34+D35+D36+D37</f>
        <v>11335.306</v>
      </c>
      <c r="E39" s="113">
        <f>D39-D37</f>
        <v>10272.306</v>
      </c>
      <c r="F39" s="110"/>
      <c r="G39" s="110"/>
      <c r="H39" s="110"/>
      <c r="K39"/>
      <c r="L39"/>
      <c r="M39"/>
      <c r="N39"/>
    </row>
    <row r="40" spans="1:14" s="1" customFormat="1" ht="15.75">
      <c r="A40" s="40" t="s">
        <v>43</v>
      </c>
      <c r="B40" s="227" t="s">
        <v>11</v>
      </c>
      <c r="C40" s="228"/>
      <c r="D40" s="229">
        <f>C28-D39</f>
        <v>72068.568026</v>
      </c>
      <c r="E40" s="113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12</v>
      </c>
      <c r="B41" s="231" t="s">
        <v>11</v>
      </c>
      <c r="C41" s="212"/>
      <c r="D41" s="196">
        <v>0</v>
      </c>
      <c r="E41" s="110"/>
      <c r="F41" s="110"/>
      <c r="G41" s="110"/>
      <c r="H41" s="110"/>
      <c r="K41"/>
      <c r="L41"/>
      <c r="M41"/>
      <c r="N41"/>
    </row>
    <row r="42" spans="1:14" s="1" customFormat="1" ht="15.75">
      <c r="A42" s="230" t="s">
        <v>13</v>
      </c>
      <c r="B42" s="231" t="s">
        <v>11</v>
      </c>
      <c r="C42" s="212"/>
      <c r="D42" s="198">
        <v>1703.4</v>
      </c>
      <c r="E42" s="110"/>
      <c r="F42" s="110"/>
      <c r="G42" s="110"/>
      <c r="H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45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0" t="s">
        <v>47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2" t="s">
        <v>48</v>
      </c>
      <c r="B46" s="211" t="s">
        <v>46</v>
      </c>
      <c r="C46" s="212">
        <v>0</v>
      </c>
      <c r="D46" s="196">
        <v>0</v>
      </c>
      <c r="E46" s="110"/>
      <c r="F46" s="110"/>
      <c r="G46" s="110"/>
      <c r="H46" s="110"/>
      <c r="K46"/>
      <c r="L46"/>
      <c r="M46"/>
      <c r="N46"/>
    </row>
    <row r="47" spans="1:14" s="1" customFormat="1" ht="15.75">
      <c r="A47" s="230" t="s">
        <v>49</v>
      </c>
      <c r="B47" s="211" t="s">
        <v>11</v>
      </c>
      <c r="C47" s="212">
        <v>0</v>
      </c>
      <c r="D47" s="196">
        <v>0</v>
      </c>
      <c r="E47" s="110"/>
      <c r="F47" s="110"/>
      <c r="G47" s="110"/>
      <c r="H47" s="110"/>
      <c r="K47"/>
      <c r="L47"/>
      <c r="M47"/>
      <c r="N47"/>
    </row>
    <row r="48" spans="1:8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</row>
    <row r="49" spans="1:8" ht="26.25">
      <c r="A49" s="232" t="s">
        <v>51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12</v>
      </c>
      <c r="B50" s="211" t="s">
        <v>11</v>
      </c>
      <c r="C50" s="212"/>
      <c r="D50" s="196">
        <v>0</v>
      </c>
      <c r="E50" s="110"/>
      <c r="F50" s="110"/>
      <c r="G50" s="110"/>
      <c r="H50" s="110"/>
    </row>
    <row r="51" spans="1:8" ht="15.75">
      <c r="A51" s="230" t="s">
        <v>13</v>
      </c>
      <c r="B51" s="211" t="s">
        <v>11</v>
      </c>
      <c r="C51" s="212"/>
      <c r="D51" s="233">
        <f>D54-D57-D60</f>
        <v>1920.814752999999</v>
      </c>
      <c r="E51" s="110"/>
      <c r="F51" s="110"/>
      <c r="G51" s="110"/>
      <c r="H51" s="114"/>
    </row>
    <row r="52" spans="1:8" ht="26.25">
      <c r="A52" s="234" t="s">
        <v>52</v>
      </c>
      <c r="B52" s="211" t="s">
        <v>11</v>
      </c>
      <c r="C52" s="235"/>
      <c r="D52" s="236">
        <v>0</v>
      </c>
      <c r="E52" s="110"/>
      <c r="F52" s="110"/>
      <c r="G52" s="110"/>
      <c r="H52" s="110"/>
    </row>
    <row r="53" spans="1:10" ht="17.25" customHeight="1">
      <c r="A53" s="257" t="s">
        <v>12</v>
      </c>
      <c r="B53" s="211" t="s">
        <v>11</v>
      </c>
      <c r="C53" s="279"/>
      <c r="D53" s="55">
        <v>0</v>
      </c>
      <c r="E53" s="110"/>
      <c r="F53" s="110"/>
      <c r="G53" s="110"/>
      <c r="H53" s="110"/>
      <c r="I53" s="49"/>
      <c r="J53" s="49"/>
    </row>
    <row r="54" spans="1:14" ht="15.75">
      <c r="A54" s="238" t="s">
        <v>13</v>
      </c>
      <c r="B54" s="211" t="s">
        <v>11</v>
      </c>
      <c r="C54" s="239"/>
      <c r="D54" s="240">
        <v>1855.74</v>
      </c>
      <c r="E54" s="110"/>
      <c r="F54" s="110"/>
      <c r="G54" s="110"/>
      <c r="H54" s="110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116"/>
      <c r="G55" s="117"/>
      <c r="H55" s="110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116"/>
      <c r="G56" s="117"/>
      <c r="H56" s="110"/>
      <c r="I56" s="65"/>
      <c r="J56" s="71"/>
      <c r="K56" s="66"/>
      <c r="L56" s="66"/>
      <c r="M56" s="66"/>
      <c r="N56" s="66"/>
    </row>
    <row r="57" spans="1:14" ht="15.75">
      <c r="A57" s="241" t="s">
        <v>58</v>
      </c>
      <c r="B57" s="242">
        <v>15228.89</v>
      </c>
      <c r="C57" s="243">
        <f>B57*1.0029</f>
        <v>15273.053780999999</v>
      </c>
      <c r="D57" s="244">
        <f>B57-C57</f>
        <v>-44.16378099999929</v>
      </c>
      <c r="E57" s="73"/>
      <c r="F57" s="63"/>
      <c r="G57" s="64"/>
      <c r="I57" s="65"/>
      <c r="J57" s="65"/>
      <c r="K57" s="66"/>
      <c r="L57" s="66"/>
      <c r="M57" s="66"/>
      <c r="N57" s="66"/>
    </row>
    <row r="58" spans="1:14" ht="15.75">
      <c r="A58" s="241" t="s">
        <v>59</v>
      </c>
      <c r="B58" s="242">
        <v>0</v>
      </c>
      <c r="C58" s="243">
        <f>B58*1.1615</f>
        <v>0</v>
      </c>
      <c r="D58" s="244">
        <f>B58-C58</f>
        <v>0</v>
      </c>
      <c r="E58" s="62"/>
      <c r="F58" s="63"/>
      <c r="G58" s="64"/>
      <c r="I58" s="65"/>
      <c r="J58" s="65"/>
      <c r="K58" s="66"/>
      <c r="L58" s="66"/>
      <c r="M58" s="66"/>
      <c r="N58" s="66"/>
    </row>
    <row r="59" spans="1:14" ht="15.75">
      <c r="A59" s="241" t="s">
        <v>60</v>
      </c>
      <c r="B59" s="245">
        <v>0</v>
      </c>
      <c r="C59" s="243">
        <f>B59*1.1615</f>
        <v>0</v>
      </c>
      <c r="D59" s="244">
        <f>B59-C59</f>
        <v>0</v>
      </c>
      <c r="E59" s="62">
        <f>(2.07+1.8)*6*2301.2-0.37*2301.2*6</f>
        <v>48325.2</v>
      </c>
      <c r="F59" s="74"/>
      <c r="G59" s="75"/>
      <c r="H59" s="62"/>
      <c r="I59" s="65"/>
      <c r="J59" s="65"/>
      <c r="K59" s="66"/>
      <c r="L59" s="66"/>
      <c r="M59" s="66"/>
      <c r="N59" s="66"/>
    </row>
    <row r="60" spans="1:14" ht="16.5" thickBot="1">
      <c r="A60" s="264" t="s">
        <v>318</v>
      </c>
      <c r="B60" s="265">
        <v>7210.68</v>
      </c>
      <c r="C60" s="266">
        <f>B60*1.0029</f>
        <v>7231.590972</v>
      </c>
      <c r="D60" s="267">
        <f>B60-C60</f>
        <v>-20.910971999999674</v>
      </c>
      <c r="E60" s="62"/>
      <c r="F60" s="74"/>
      <c r="G60" s="75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62"/>
      <c r="F61" s="74"/>
      <c r="H61" s="65"/>
      <c r="I61" s="65"/>
      <c r="J61" s="65"/>
      <c r="K61" s="66"/>
      <c r="L61" s="66"/>
      <c r="M61" s="66"/>
      <c r="N61" s="66"/>
    </row>
    <row r="62" spans="1:14" ht="15.75">
      <c r="A62" s="268" t="s">
        <v>58</v>
      </c>
      <c r="B62" s="247">
        <f>B57</f>
        <v>15228.89</v>
      </c>
      <c r="C62" s="248">
        <f>C57</f>
        <v>15273.053780999999</v>
      </c>
      <c r="D62" s="269">
        <f>B62-C62</f>
        <v>-44.16378099999929</v>
      </c>
      <c r="E62" s="62"/>
      <c r="F62" s="74"/>
      <c r="H62" s="65"/>
      <c r="I62" s="65"/>
      <c r="J62" s="65" t="s">
        <v>26</v>
      </c>
      <c r="K62" s="66"/>
      <c r="L62" s="66"/>
      <c r="M62" s="66"/>
      <c r="N62" s="66"/>
    </row>
    <row r="63" spans="1:14" ht="15.75">
      <c r="A63" s="268" t="s">
        <v>59</v>
      </c>
      <c r="B63" s="247">
        <v>0</v>
      </c>
      <c r="C63" s="248">
        <v>0</v>
      </c>
      <c r="D63" s="269">
        <f>B63-C63</f>
        <v>0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5.75">
      <c r="A64" s="268" t="s">
        <v>60</v>
      </c>
      <c r="B64" s="247">
        <v>0</v>
      </c>
      <c r="C64" s="248">
        <v>0</v>
      </c>
      <c r="D64" s="269">
        <f>B64-C64</f>
        <v>0</v>
      </c>
      <c r="E64" s="62"/>
      <c r="F64" s="74"/>
      <c r="H64" s="65"/>
      <c r="I64" s="65"/>
      <c r="J64" s="65"/>
      <c r="K64" s="66"/>
      <c r="L64" s="66"/>
      <c r="M64" s="66"/>
      <c r="N64" s="66"/>
    </row>
    <row r="65" spans="1:14" ht="15.75">
      <c r="A65" s="430" t="s">
        <v>318</v>
      </c>
      <c r="B65" s="265">
        <v>7210.68</v>
      </c>
      <c r="C65" s="266">
        <f>B65*1.0029</f>
        <v>7231.590972</v>
      </c>
      <c r="D65" s="431">
        <f>B65-C65</f>
        <v>-20.910971999999674</v>
      </c>
      <c r="E65" s="62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5.25" customHeight="1" thickBot="1">
      <c r="A66" s="432"/>
      <c r="B66" s="433"/>
      <c r="C66" s="434"/>
      <c r="D66" s="435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26.25">
      <c r="A67" s="412" t="s">
        <v>66</v>
      </c>
      <c r="B67" s="251" t="s">
        <v>11</v>
      </c>
      <c r="C67" s="413"/>
      <c r="D67" s="253">
        <v>0</v>
      </c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84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7" t="s">
        <v>45</v>
      </c>
      <c r="B69" s="87" t="s">
        <v>46</v>
      </c>
      <c r="C69" s="87"/>
      <c r="D69" s="179">
        <v>0</v>
      </c>
      <c r="E69" s="89"/>
    </row>
    <row r="70" spans="1:5" ht="21" customHeight="1">
      <c r="A70" s="87" t="s">
        <v>47</v>
      </c>
      <c r="B70" s="87" t="s">
        <v>46</v>
      </c>
      <c r="C70" s="87"/>
      <c r="D70" s="179">
        <v>0</v>
      </c>
      <c r="E70" s="89"/>
    </row>
    <row r="71" spans="1:5" ht="18" customHeight="1">
      <c r="A71" s="87" t="s">
        <v>48</v>
      </c>
      <c r="B71" s="87" t="s">
        <v>46</v>
      </c>
      <c r="C71" s="87"/>
      <c r="D71" s="179">
        <v>0</v>
      </c>
      <c r="E71" s="89"/>
    </row>
    <row r="72" spans="1:5" ht="16.5" customHeight="1">
      <c r="A72" s="87" t="s">
        <v>49</v>
      </c>
      <c r="B72" s="87" t="s">
        <v>11</v>
      </c>
      <c r="C72" s="87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7" t="s">
        <v>69</v>
      </c>
      <c r="B74" s="87" t="s">
        <v>46</v>
      </c>
      <c r="C74" s="87"/>
      <c r="D74" s="179">
        <v>0</v>
      </c>
      <c r="E74" s="89"/>
    </row>
    <row r="75" spans="1:5" ht="21.75" customHeight="1">
      <c r="A75" s="87" t="s">
        <v>70</v>
      </c>
      <c r="B75" s="257" t="s">
        <v>46</v>
      </c>
      <c r="C75" s="257"/>
      <c r="D75" s="179">
        <v>0</v>
      </c>
      <c r="E75" s="89"/>
    </row>
    <row r="76" spans="1:5" ht="36" customHeight="1">
      <c r="A76" s="258" t="s">
        <v>71</v>
      </c>
      <c r="B76" s="87" t="s">
        <v>11</v>
      </c>
      <c r="C76" s="87"/>
      <c r="D76" s="179">
        <v>0</v>
      </c>
      <c r="E76" s="89"/>
    </row>
    <row r="77" spans="1:4" ht="15.75">
      <c r="A77" s="259"/>
      <c r="B77" s="259"/>
      <c r="C77" s="259"/>
      <c r="D77" s="260"/>
    </row>
    <row r="78" spans="1:14" s="1" customFormat="1" ht="12.75">
      <c r="A78" s="180"/>
      <c r="B78" s="180"/>
      <c r="C78" s="180"/>
      <c r="D78" s="180"/>
      <c r="H78" s="1" t="s">
        <v>26</v>
      </c>
      <c r="K78"/>
      <c r="L78"/>
      <c r="M78"/>
      <c r="N78"/>
    </row>
    <row r="79" spans="1:14" s="1" customFormat="1" ht="12.75">
      <c r="A79" s="180" t="s">
        <v>72</v>
      </c>
      <c r="B79" s="180"/>
      <c r="C79" s="180"/>
      <c r="D79" s="180"/>
      <c r="K79"/>
      <c r="L79"/>
      <c r="M79"/>
      <c r="N79"/>
    </row>
    <row r="80" spans="1:14" s="1" customFormat="1" ht="12.75">
      <c r="A80" s="180"/>
      <c r="B80" s="180"/>
      <c r="C80" s="180"/>
      <c r="D80" s="180"/>
      <c r="H80" s="1" t="s">
        <v>26</v>
      </c>
      <c r="K80"/>
      <c r="L80"/>
      <c r="M80"/>
      <c r="N80"/>
    </row>
    <row r="81" spans="1:14" s="1" customFormat="1" ht="12.75">
      <c r="A81" s="180" t="s">
        <v>73</v>
      </c>
      <c r="B81" s="180"/>
      <c r="C81" s="180"/>
      <c r="D81" s="180"/>
      <c r="K81"/>
      <c r="L81"/>
      <c r="M81"/>
      <c r="N81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">
      <selection activeCell="E15" sqref="E15:E5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112</v>
      </c>
      <c r="B4" s="486"/>
      <c r="C4" s="486"/>
      <c r="D4" s="486"/>
    </row>
    <row r="5" spans="1:4" ht="12.75">
      <c r="A5" s="487" t="s">
        <v>232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177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233</v>
      </c>
      <c r="D11" s="193"/>
    </row>
    <row r="12" spans="1:8" ht="12.75">
      <c r="A12" s="20" t="s">
        <v>7</v>
      </c>
      <c r="B12" s="191"/>
      <c r="C12" s="192" t="s">
        <v>224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225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16542.43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59"/>
      <c r="G16" s="59"/>
      <c r="H16" s="59"/>
    </row>
    <row r="17" spans="1:8" ht="15.75">
      <c r="A17" s="20" t="s">
        <v>13</v>
      </c>
      <c r="B17" s="194" t="s">
        <v>11</v>
      </c>
      <c r="C17" s="197">
        <v>33709.79</v>
      </c>
      <c r="D17" s="198"/>
      <c r="E17" s="110"/>
      <c r="F17" s="59"/>
      <c r="G17" s="59"/>
      <c r="H17" s="59"/>
    </row>
    <row r="18" spans="1:8" ht="31.5" customHeight="1">
      <c r="A18" s="17" t="s">
        <v>14</v>
      </c>
      <c r="B18" s="194" t="s">
        <v>11</v>
      </c>
      <c r="C18" s="197">
        <f>14971.68+2086.56</f>
        <v>17058.24</v>
      </c>
      <c r="D18" s="198"/>
      <c r="E18" s="111">
        <f>C18-C20</f>
        <v>9850.140000000001</v>
      </c>
      <c r="F18" s="59"/>
      <c r="G18" s="59"/>
      <c r="H18" s="59"/>
    </row>
    <row r="19" spans="1:8" ht="15.75">
      <c r="A19" s="20" t="s">
        <v>15</v>
      </c>
      <c r="B19" s="194" t="s">
        <v>11</v>
      </c>
      <c r="C19" s="197">
        <f>C18-C20-C21</f>
        <v>4269.060000000001</v>
      </c>
      <c r="D19" s="198"/>
      <c r="E19" s="111">
        <f>E18-E39</f>
        <v>0.002000000002226443</v>
      </c>
      <c r="F19" s="59"/>
      <c r="G19" s="59"/>
      <c r="H19" s="59"/>
    </row>
    <row r="20" spans="1:8" ht="15.75">
      <c r="A20" s="20" t="s">
        <v>16</v>
      </c>
      <c r="B20" s="194" t="s">
        <v>11</v>
      </c>
      <c r="C20" s="197">
        <f>(4.01+3.68)*6*111+2086.56</f>
        <v>7208.1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111*4.19*12</f>
        <v>5581.08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11751.421536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C18*0.6889</f>
        <v>11751.421536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28293.851536000002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(0.85+0.81)*6*111</f>
        <v>1105.5600000000002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0.24*12*111.1</f>
        <v>319.96799999999996</v>
      </c>
      <c r="E32" s="110"/>
      <c r="F32" s="110"/>
      <c r="G32" s="110"/>
      <c r="H32" s="110"/>
    </row>
    <row r="33" spans="1:8" ht="15.75">
      <c r="A33" s="210" t="s">
        <v>100</v>
      </c>
      <c r="B33" s="211" t="s">
        <v>33</v>
      </c>
      <c r="C33" s="212" t="s">
        <v>34</v>
      </c>
      <c r="D33" s="213">
        <f>(0.14+0.16)*6*111</f>
        <v>199.80000000000004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1.33*12*111</f>
        <v>1771.5600000000002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4.19*111*12</f>
        <v>5581.08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17" t="s">
        <v>37</v>
      </c>
      <c r="D36" s="213">
        <f>111*(0.62+0.69)*6-0.29</f>
        <v>872.1700000000001</v>
      </c>
      <c r="E36" s="110"/>
      <c r="F36" s="110"/>
      <c r="G36" s="110"/>
      <c r="H36" s="110"/>
    </row>
    <row r="37" spans="1:14" s="1" customFormat="1" ht="47.25">
      <c r="A37" s="297" t="s">
        <v>40</v>
      </c>
      <c r="B37" s="218" t="s">
        <v>41</v>
      </c>
      <c r="C37" s="212"/>
      <c r="D37" s="387">
        <f>D38</f>
        <v>7800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222" t="s">
        <v>301</v>
      </c>
      <c r="B38" s="220" t="s">
        <v>154</v>
      </c>
      <c r="C38" s="235" t="s">
        <v>37</v>
      </c>
      <c r="D38" s="178">
        <v>7800</v>
      </c>
      <c r="E38" s="110"/>
      <c r="F38" s="110"/>
      <c r="G38" s="110"/>
      <c r="H38" s="110"/>
      <c r="K38"/>
      <c r="L38"/>
      <c r="M38"/>
      <c r="N38"/>
    </row>
    <row r="39" spans="1:14" s="1" customFormat="1" ht="15.75">
      <c r="A39" s="37" t="s">
        <v>42</v>
      </c>
      <c r="B39" s="225"/>
      <c r="C39" s="226"/>
      <c r="D39" s="98">
        <f>SUM(D31:D37)</f>
        <v>17650.138</v>
      </c>
      <c r="E39" s="113">
        <f>D39-D37</f>
        <v>9850.137999999999</v>
      </c>
      <c r="F39" s="110"/>
      <c r="G39" s="110"/>
      <c r="H39" s="110"/>
      <c r="K39"/>
      <c r="L39"/>
      <c r="M39"/>
      <c r="N39"/>
    </row>
    <row r="40" spans="1:14" s="1" customFormat="1" ht="15.75">
      <c r="A40" s="40" t="s">
        <v>43</v>
      </c>
      <c r="B40" s="227" t="s">
        <v>11</v>
      </c>
      <c r="C40" s="228"/>
      <c r="D40" s="229">
        <f>C28-D39</f>
        <v>10643.713536000003</v>
      </c>
      <c r="E40" s="113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12</v>
      </c>
      <c r="B41" s="231" t="s">
        <v>11</v>
      </c>
      <c r="C41" s="212"/>
      <c r="D41" s="196">
        <v>0</v>
      </c>
      <c r="E41" s="110"/>
      <c r="F41" s="110"/>
      <c r="G41" s="110"/>
      <c r="H41" s="110"/>
      <c r="K41"/>
      <c r="L41"/>
      <c r="M41"/>
      <c r="N41"/>
    </row>
    <row r="42" spans="1:14" s="1" customFormat="1" ht="15.75">
      <c r="A42" s="230" t="s">
        <v>13</v>
      </c>
      <c r="B42" s="231" t="s">
        <v>11</v>
      </c>
      <c r="C42" s="212"/>
      <c r="D42" s="198">
        <v>32382.8</v>
      </c>
      <c r="E42" s="110"/>
      <c r="F42" s="110"/>
      <c r="G42" s="110"/>
      <c r="H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45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0" t="s">
        <v>47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2" t="s">
        <v>48</v>
      </c>
      <c r="B46" s="211" t="s">
        <v>46</v>
      </c>
      <c r="C46" s="212">
        <v>0</v>
      </c>
      <c r="D46" s="196">
        <v>0</v>
      </c>
      <c r="E46" s="110"/>
      <c r="F46" s="110"/>
      <c r="G46" s="110"/>
      <c r="H46" s="110"/>
      <c r="K46"/>
      <c r="L46"/>
      <c r="M46"/>
      <c r="N46"/>
    </row>
    <row r="47" spans="1:14" s="1" customFormat="1" ht="15.75">
      <c r="A47" s="230" t="s">
        <v>49</v>
      </c>
      <c r="B47" s="211" t="s">
        <v>11</v>
      </c>
      <c r="C47" s="212">
        <v>0</v>
      </c>
      <c r="D47" s="196">
        <v>0</v>
      </c>
      <c r="E47" s="110"/>
      <c r="F47" s="110"/>
      <c r="G47" s="110"/>
      <c r="H47" s="110"/>
      <c r="K47"/>
      <c r="L47"/>
      <c r="M47"/>
      <c r="N47"/>
    </row>
    <row r="48" spans="1:8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</row>
    <row r="49" spans="1:8" ht="26.25">
      <c r="A49" s="232" t="s">
        <v>51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12</v>
      </c>
      <c r="B50" s="211" t="s">
        <v>11</v>
      </c>
      <c r="C50" s="212"/>
      <c r="D50" s="196">
        <v>0</v>
      </c>
      <c r="E50" s="110"/>
      <c r="F50" s="110"/>
      <c r="G50" s="110"/>
      <c r="H50" s="110"/>
    </row>
    <row r="51" spans="1:8" ht="15.75">
      <c r="A51" s="230" t="s">
        <v>13</v>
      </c>
      <c r="B51" s="211" t="s">
        <v>11</v>
      </c>
      <c r="C51" s="212"/>
      <c r="D51" s="233">
        <f>D54-D57-D60</f>
        <v>20085.963716</v>
      </c>
      <c r="E51" s="110"/>
      <c r="F51" s="110"/>
      <c r="G51" s="110"/>
      <c r="H51" s="114"/>
    </row>
    <row r="52" spans="1:8" ht="26.25">
      <c r="A52" s="234" t="s">
        <v>52</v>
      </c>
      <c r="B52" s="211" t="s">
        <v>11</v>
      </c>
      <c r="C52" s="235"/>
      <c r="D52" s="236">
        <v>0</v>
      </c>
      <c r="E52" s="110"/>
      <c r="F52" s="110"/>
      <c r="G52" s="110"/>
      <c r="H52" s="110"/>
    </row>
    <row r="53" spans="1:10" ht="17.25" customHeight="1">
      <c r="A53" s="257" t="s">
        <v>12</v>
      </c>
      <c r="B53" s="211" t="s">
        <v>11</v>
      </c>
      <c r="C53" s="279"/>
      <c r="D53" s="55">
        <v>0</v>
      </c>
      <c r="E53" s="110"/>
      <c r="F53" s="110"/>
      <c r="G53" s="110"/>
      <c r="H53" s="110"/>
      <c r="I53" s="49"/>
      <c r="J53" s="49"/>
    </row>
    <row r="54" spans="1:14" ht="15.75">
      <c r="A54" s="238" t="s">
        <v>13</v>
      </c>
      <c r="B54" s="211" t="s">
        <v>11</v>
      </c>
      <c r="C54" s="239"/>
      <c r="D54" s="240">
        <v>24022.76</v>
      </c>
      <c r="E54" s="110"/>
      <c r="F54" s="110"/>
      <c r="G54" s="110"/>
      <c r="H54" s="110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116"/>
      <c r="G55" s="117"/>
      <c r="H55" s="110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116"/>
      <c r="G56" s="117"/>
      <c r="H56" s="110"/>
      <c r="I56" s="65"/>
      <c r="J56" s="71"/>
      <c r="K56" s="66"/>
      <c r="L56" s="66"/>
      <c r="M56" s="66"/>
      <c r="N56" s="66"/>
    </row>
    <row r="57" spans="1:14" ht="15.75">
      <c r="A57" s="241" t="s">
        <v>58</v>
      </c>
      <c r="B57" s="242">
        <v>6206.3</v>
      </c>
      <c r="C57" s="243">
        <f>B57*0.6889</f>
        <v>4275.52007</v>
      </c>
      <c r="D57" s="244">
        <f>B57-C57</f>
        <v>1930.7799300000006</v>
      </c>
      <c r="E57" s="118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59</v>
      </c>
      <c r="B58" s="242">
        <v>0</v>
      </c>
      <c r="C58" s="243">
        <f>B58*1.1615</f>
        <v>0</v>
      </c>
      <c r="D58" s="244">
        <f>B58-C58</f>
        <v>0</v>
      </c>
      <c r="E58" s="115"/>
      <c r="F58" s="116"/>
      <c r="G58" s="117"/>
      <c r="H58" s="110"/>
      <c r="I58" s="65"/>
      <c r="J58" s="65"/>
      <c r="K58" s="66"/>
      <c r="L58" s="66"/>
      <c r="M58" s="66"/>
      <c r="N58" s="66"/>
    </row>
    <row r="59" spans="1:14" ht="15.75">
      <c r="A59" s="241" t="s">
        <v>60</v>
      </c>
      <c r="B59" s="245">
        <v>0</v>
      </c>
      <c r="C59" s="243">
        <f>B59*1.1615</f>
        <v>0</v>
      </c>
      <c r="D59" s="244">
        <f>B59-C59</f>
        <v>0</v>
      </c>
      <c r="E59" s="115">
        <f>(2.07+1.8)*6*2301.2-0.37*2301.2*6</f>
        <v>48325.2</v>
      </c>
      <c r="F59" s="119"/>
      <c r="G59" s="120"/>
      <c r="H59" s="115"/>
      <c r="I59" s="65"/>
      <c r="J59" s="65"/>
      <c r="K59" s="66"/>
      <c r="L59" s="66"/>
      <c r="M59" s="66"/>
      <c r="N59" s="66"/>
    </row>
    <row r="60" spans="1:14" ht="16.5" thickBot="1">
      <c r="A60" s="264" t="s">
        <v>318</v>
      </c>
      <c r="B60" s="265">
        <v>6448.14</v>
      </c>
      <c r="C60" s="266">
        <f>B60*0.6889</f>
        <v>4442.123646</v>
      </c>
      <c r="D60" s="267">
        <f>B60-C60</f>
        <v>2006.0163540000003</v>
      </c>
      <c r="E60" s="115"/>
      <c r="F60" s="119"/>
      <c r="G60" s="120"/>
      <c r="H60" s="110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115"/>
      <c r="F61" s="119"/>
      <c r="G61" s="110"/>
      <c r="H61" s="121"/>
      <c r="I61" s="65"/>
      <c r="J61" s="65"/>
      <c r="K61" s="66"/>
      <c r="L61" s="66"/>
      <c r="M61" s="66"/>
      <c r="N61" s="66"/>
    </row>
    <row r="62" spans="1:14" ht="15.75">
      <c r="A62" s="268" t="s">
        <v>58</v>
      </c>
      <c r="B62" s="247">
        <f>B57</f>
        <v>6206.3</v>
      </c>
      <c r="C62" s="248">
        <f>C57</f>
        <v>4275.52007</v>
      </c>
      <c r="D62" s="269">
        <f>B62-C62</f>
        <v>1930.7799300000006</v>
      </c>
      <c r="E62" s="115"/>
      <c r="F62" s="119"/>
      <c r="G62" s="110"/>
      <c r="H62" s="121"/>
      <c r="I62" s="65"/>
      <c r="J62" s="65" t="s">
        <v>26</v>
      </c>
      <c r="K62" s="66"/>
      <c r="L62" s="66"/>
      <c r="M62" s="66"/>
      <c r="N62" s="66"/>
    </row>
    <row r="63" spans="1:14" ht="15.75">
      <c r="A63" s="268" t="s">
        <v>59</v>
      </c>
      <c r="B63" s="247">
        <v>0</v>
      </c>
      <c r="C63" s="248">
        <v>0</v>
      </c>
      <c r="D63" s="269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.75">
      <c r="A64" s="268" t="s">
        <v>60</v>
      </c>
      <c r="B64" s="247">
        <v>0</v>
      </c>
      <c r="C64" s="248">
        <v>0</v>
      </c>
      <c r="D64" s="269">
        <f>B64-C64</f>
        <v>0</v>
      </c>
      <c r="E64" s="115"/>
      <c r="F64" s="119"/>
      <c r="G64" s="110"/>
      <c r="H64" s="121"/>
      <c r="I64" s="65"/>
      <c r="J64" s="65"/>
      <c r="K64" s="66"/>
      <c r="L64" s="66"/>
      <c r="M64" s="66"/>
      <c r="N64" s="66"/>
    </row>
    <row r="65" spans="1:14" ht="16.5" thickBot="1">
      <c r="A65" s="270" t="s">
        <v>318</v>
      </c>
      <c r="B65" s="271">
        <v>6448.14</v>
      </c>
      <c r="C65" s="272">
        <v>4442.123646</v>
      </c>
      <c r="D65" s="273">
        <v>2006.0163540000003</v>
      </c>
      <c r="E65" s="115"/>
      <c r="F65" s="119"/>
      <c r="G65" s="110"/>
      <c r="H65" s="121" t="s">
        <v>26</v>
      </c>
      <c r="I65" s="65"/>
      <c r="J65" s="65"/>
      <c r="K65" s="66"/>
      <c r="L65" s="66"/>
      <c r="M65" s="66"/>
      <c r="N65" s="66"/>
    </row>
    <row r="66" spans="1:14" ht="15.75">
      <c r="A66" s="250"/>
      <c r="B66" s="251"/>
      <c r="C66" s="252"/>
      <c r="D66" s="253"/>
      <c r="E66" s="115"/>
      <c r="F66" s="119"/>
      <c r="G66" s="110"/>
      <c r="H66" s="121"/>
      <c r="I66" s="65"/>
      <c r="J66" s="65"/>
      <c r="K66" s="66"/>
      <c r="L66" s="66"/>
      <c r="M66" s="66"/>
      <c r="N66" s="66"/>
    </row>
    <row r="67" spans="1:14" ht="26.25">
      <c r="A67" s="254" t="s">
        <v>66</v>
      </c>
      <c r="B67" s="251" t="s">
        <v>11</v>
      </c>
      <c r="C67" s="255"/>
      <c r="D67" s="256">
        <v>0</v>
      </c>
      <c r="E67" s="115"/>
      <c r="F67" s="119"/>
      <c r="G67" s="110"/>
      <c r="H67" s="121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122" t="e">
        <f>D68+B19</f>
        <v>#VALUE!</v>
      </c>
      <c r="F68" s="121"/>
      <c r="G68" s="110"/>
      <c r="H68" s="123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7" t="s">
        <v>45</v>
      </c>
      <c r="B69" s="87" t="s">
        <v>46</v>
      </c>
      <c r="C69" s="87"/>
      <c r="D69" s="179">
        <v>0</v>
      </c>
      <c r="E69" s="89"/>
    </row>
    <row r="70" spans="1:5" ht="21" customHeight="1">
      <c r="A70" s="87" t="s">
        <v>47</v>
      </c>
      <c r="B70" s="87" t="s">
        <v>46</v>
      </c>
      <c r="C70" s="87"/>
      <c r="D70" s="179">
        <v>0</v>
      </c>
      <c r="E70" s="89"/>
    </row>
    <row r="71" spans="1:5" ht="18" customHeight="1">
      <c r="A71" s="87" t="s">
        <v>48</v>
      </c>
      <c r="B71" s="87" t="s">
        <v>46</v>
      </c>
      <c r="C71" s="87"/>
      <c r="D71" s="179">
        <v>0</v>
      </c>
      <c r="E71" s="89"/>
    </row>
    <row r="72" spans="1:5" ht="16.5" customHeight="1">
      <c r="A72" s="87" t="s">
        <v>49</v>
      </c>
      <c r="B72" s="87" t="s">
        <v>11</v>
      </c>
      <c r="C72" s="87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7" t="s">
        <v>69</v>
      </c>
      <c r="B74" s="87" t="s">
        <v>46</v>
      </c>
      <c r="C74" s="87"/>
      <c r="D74" s="179">
        <v>0</v>
      </c>
      <c r="E74" s="89"/>
    </row>
    <row r="75" spans="1:5" ht="21.75" customHeight="1">
      <c r="A75" s="87" t="s">
        <v>70</v>
      </c>
      <c r="B75" s="257" t="s">
        <v>46</v>
      </c>
      <c r="C75" s="257"/>
      <c r="D75" s="179">
        <v>0</v>
      </c>
      <c r="E75" s="89"/>
    </row>
    <row r="76" spans="1:5" ht="36" customHeight="1">
      <c r="A76" s="258" t="s">
        <v>71</v>
      </c>
      <c r="B76" s="87" t="s">
        <v>11</v>
      </c>
      <c r="C76" s="87"/>
      <c r="D76" s="179">
        <v>0</v>
      </c>
      <c r="E76" s="89"/>
    </row>
    <row r="77" spans="1:4" ht="15.75">
      <c r="A77" s="259"/>
      <c r="B77" s="259"/>
      <c r="C77" s="259"/>
      <c r="D77" s="260"/>
    </row>
    <row r="78" spans="1:14" s="1" customFormat="1" ht="12.75">
      <c r="A78" s="180"/>
      <c r="B78" s="180"/>
      <c r="C78" s="180"/>
      <c r="D78" s="180"/>
      <c r="H78" s="1" t="s">
        <v>26</v>
      </c>
      <c r="K78"/>
      <c r="L78"/>
      <c r="M78"/>
      <c r="N78"/>
    </row>
    <row r="79" spans="1:14" s="1" customFormat="1" ht="12.75">
      <c r="A79" s="180" t="s">
        <v>72</v>
      </c>
      <c r="B79" s="180"/>
      <c r="C79" s="180"/>
      <c r="D79" s="180"/>
      <c r="K79"/>
      <c r="L79"/>
      <c r="M79"/>
      <c r="N79"/>
    </row>
    <row r="80" spans="1:14" s="1" customFormat="1" ht="12.75">
      <c r="A80" s="180"/>
      <c r="B80" s="180"/>
      <c r="C80" s="180"/>
      <c r="D80" s="180"/>
      <c r="H80" s="1" t="s">
        <v>26</v>
      </c>
      <c r="K80"/>
      <c r="L80"/>
      <c r="M80"/>
      <c r="N80"/>
    </row>
    <row r="81" spans="1:14" s="1" customFormat="1" ht="12.75">
      <c r="A81" s="180" t="s">
        <v>73</v>
      </c>
      <c r="B81" s="180"/>
      <c r="C81" s="180"/>
      <c r="D81" s="180"/>
      <c r="K81"/>
      <c r="L81"/>
      <c r="M81"/>
      <c r="N81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4" ht="12.75">
      <c r="A84" s="180"/>
      <c r="B84" s="180"/>
      <c r="C84" s="180"/>
      <c r="D84" s="180"/>
    </row>
    <row r="85" spans="1:14" s="1" customFormat="1" ht="12.75">
      <c r="A85" s="180"/>
      <c r="B85" s="180"/>
      <c r="C85" s="180"/>
      <c r="D85" s="180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5">
      <selection activeCell="E16" sqref="E16:H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113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178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5880.91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325"/>
      <c r="F16" s="325"/>
      <c r="G16" s="325"/>
      <c r="H16" s="325"/>
    </row>
    <row r="17" spans="1:8" ht="15.75">
      <c r="A17" s="20" t="s">
        <v>13</v>
      </c>
      <c r="B17" s="194" t="s">
        <v>11</v>
      </c>
      <c r="C17" s="197">
        <v>15991.46218</v>
      </c>
      <c r="D17" s="198"/>
      <c r="E17" s="325"/>
      <c r="F17" s="325"/>
      <c r="G17" s="325"/>
      <c r="H17" s="325"/>
    </row>
    <row r="18" spans="1:8" ht="31.5" customHeight="1">
      <c r="A18" s="17" t="s">
        <v>14</v>
      </c>
      <c r="B18" s="194" t="s">
        <v>11</v>
      </c>
      <c r="C18" s="197">
        <f>6816.3+1526.04</f>
        <v>8342.34</v>
      </c>
      <c r="D18" s="198"/>
      <c r="E18" s="326">
        <f>C18-C20</f>
        <v>4631.802</v>
      </c>
      <c r="F18" s="325"/>
      <c r="G18" s="325"/>
      <c r="H18" s="325"/>
    </row>
    <row r="19" spans="1:8" ht="15.75">
      <c r="A19" s="20" t="s">
        <v>15</v>
      </c>
      <c r="B19" s="194" t="s">
        <v>11</v>
      </c>
      <c r="C19" s="197">
        <f>C18-C20-C21</f>
        <v>1873.6259999999993</v>
      </c>
      <c r="D19" s="198"/>
      <c r="E19" s="326">
        <f>E18-E38</f>
        <v>-0.0020000000004074536</v>
      </c>
      <c r="F19" s="325"/>
      <c r="G19" s="325"/>
      <c r="H19" s="325"/>
    </row>
    <row r="20" spans="1:8" ht="15.75">
      <c r="A20" s="20" t="s">
        <v>16</v>
      </c>
      <c r="B20" s="194" t="s">
        <v>11</v>
      </c>
      <c r="C20" s="197">
        <f>(4.72+3.01)*6*47.1+1526.04</f>
        <v>3710.538</v>
      </c>
      <c r="D20" s="198"/>
      <c r="E20" s="327"/>
      <c r="F20" s="325"/>
      <c r="G20" s="325"/>
      <c r="H20" s="325"/>
    </row>
    <row r="21" spans="1:8" ht="15.75">
      <c r="A21" s="20" t="s">
        <v>17</v>
      </c>
      <c r="B21" s="194" t="s">
        <v>11</v>
      </c>
      <c r="C21" s="199">
        <f>47.1*4.88*12</f>
        <v>2758.1760000000004</v>
      </c>
      <c r="D21" s="198"/>
      <c r="E21" s="325"/>
      <c r="F21" s="325"/>
      <c r="G21" s="325"/>
      <c r="H21" s="325"/>
    </row>
    <row r="22" spans="1:8" ht="15.75">
      <c r="A22" s="20" t="s">
        <v>18</v>
      </c>
      <c r="B22" s="194" t="s">
        <v>11</v>
      </c>
      <c r="C22" s="197">
        <f>C23+C24+C25+C26+C27</f>
        <v>9871.490922</v>
      </c>
      <c r="D22" s="198" t="s">
        <v>19</v>
      </c>
      <c r="E22" s="326" t="e">
        <f>B24+B25+B26+B27+B28</f>
        <v>#VALUE!</v>
      </c>
      <c r="F22" s="325"/>
      <c r="G22" s="325"/>
      <c r="H22" s="325"/>
    </row>
    <row r="23" spans="1:8" ht="15.75">
      <c r="A23" s="20" t="s">
        <v>20</v>
      </c>
      <c r="B23" s="194" t="s">
        <v>11</v>
      </c>
      <c r="C23" s="197">
        <f>C18*1.1833</f>
        <v>9871.490922</v>
      </c>
      <c r="D23" s="198"/>
      <c r="E23" s="325"/>
      <c r="F23" s="325"/>
      <c r="G23" s="325"/>
      <c r="H23" s="325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327" t="e">
        <f>B24/#REF!*1</f>
        <v>#VALUE!</v>
      </c>
      <c r="F24" s="325"/>
      <c r="G24" s="325"/>
      <c r="H24" s="325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327" t="e">
        <f>B25/#REF!*1</f>
        <v>#VALUE!</v>
      </c>
      <c r="F25" s="325"/>
      <c r="G25" s="325"/>
      <c r="H25" s="325"/>
    </row>
    <row r="26" spans="1:8" ht="15.75">
      <c r="A26" s="191" t="s">
        <v>24</v>
      </c>
      <c r="B26" s="194" t="s">
        <v>11</v>
      </c>
      <c r="C26" s="197">
        <v>0</v>
      </c>
      <c r="D26" s="200"/>
      <c r="E26" s="327" t="e">
        <f>B26/#REF!*1</f>
        <v>#VALUE!</v>
      </c>
      <c r="F26" s="325"/>
      <c r="G26" s="325"/>
      <c r="H26" s="325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327" t="e">
        <f>B27/#REF!*1</f>
        <v>#VALUE!</v>
      </c>
      <c r="F27" s="325"/>
      <c r="G27" s="325"/>
      <c r="H27" s="325"/>
    </row>
    <row r="28" spans="1:8" ht="15.75">
      <c r="A28" s="20" t="s">
        <v>25</v>
      </c>
      <c r="B28" s="194" t="s">
        <v>11</v>
      </c>
      <c r="C28" s="197">
        <f>C15+C22</f>
        <v>15752.400922</v>
      </c>
      <c r="D28" s="198" t="s">
        <v>26</v>
      </c>
      <c r="E28" s="327" t="e">
        <f>B28/#REF!*1</f>
        <v>#VALUE!</v>
      </c>
      <c r="F28" s="325"/>
      <c r="G28" s="325"/>
      <c r="H28" s="325"/>
    </row>
    <row r="29" spans="1:8" ht="35.25" customHeight="1">
      <c r="A29" s="491" t="s">
        <v>27</v>
      </c>
      <c r="B29" s="491"/>
      <c r="C29" s="491"/>
      <c r="D29" s="491"/>
      <c r="E29" s="325"/>
      <c r="F29" s="325"/>
      <c r="G29" s="325"/>
      <c r="H29" s="325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325"/>
      <c r="F30" s="325"/>
      <c r="G30" s="325"/>
      <c r="H30" s="325"/>
    </row>
    <row r="31" spans="1:8" ht="15.75">
      <c r="A31" s="206" t="s">
        <v>32</v>
      </c>
      <c r="B31" s="207" t="s">
        <v>33</v>
      </c>
      <c r="C31" s="208" t="s">
        <v>34</v>
      </c>
      <c r="D31" s="209">
        <f>(0.85+0.81)*6*47.1</f>
        <v>469.11600000000004</v>
      </c>
      <c r="E31" s="325"/>
      <c r="F31" s="325"/>
      <c r="G31" s="325"/>
      <c r="H31" s="325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0.24*12*47.1</f>
        <v>135.648</v>
      </c>
      <c r="E32" s="325"/>
      <c r="F32" s="325"/>
      <c r="G32" s="325"/>
      <c r="H32" s="325"/>
    </row>
    <row r="33" spans="1:8" ht="15.75">
      <c r="A33" s="296" t="s">
        <v>179</v>
      </c>
      <c r="B33" s="211" t="s">
        <v>33</v>
      </c>
      <c r="C33" s="212" t="s">
        <v>34</v>
      </c>
      <c r="D33" s="213">
        <f>(0.14+0.16)*6*47.1</f>
        <v>84.78000000000002</v>
      </c>
      <c r="E33" s="325"/>
      <c r="F33" s="325"/>
      <c r="G33" s="325"/>
      <c r="H33" s="325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1.33*12*47.1</f>
        <v>751.716</v>
      </c>
      <c r="E34" s="325"/>
      <c r="F34" s="325"/>
      <c r="G34" s="325"/>
      <c r="H34" s="325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4.19*47.1*12</f>
        <v>2368.188</v>
      </c>
      <c r="E35" s="325"/>
      <c r="F35" s="325"/>
      <c r="G35" s="325"/>
      <c r="H35" s="325"/>
    </row>
    <row r="36" spans="1:8" ht="15.75">
      <c r="A36" s="210" t="s">
        <v>85</v>
      </c>
      <c r="B36" s="211" t="s">
        <v>238</v>
      </c>
      <c r="C36" s="217" t="s">
        <v>37</v>
      </c>
      <c r="D36" s="213">
        <f>47.1*(2.09+0.82)*6-0.01</f>
        <v>822.3559999999999</v>
      </c>
      <c r="E36" s="325"/>
      <c r="F36" s="325"/>
      <c r="G36" s="325"/>
      <c r="H36" s="325"/>
    </row>
    <row r="37" spans="1:14" s="1" customFormat="1" ht="47.25">
      <c r="A37" s="371" t="s">
        <v>40</v>
      </c>
      <c r="B37" s="218" t="s">
        <v>41</v>
      </c>
      <c r="C37" s="224"/>
      <c r="D37" s="177">
        <v>0</v>
      </c>
      <c r="E37" s="325"/>
      <c r="F37" s="325"/>
      <c r="G37" s="325"/>
      <c r="H37" s="325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SUM(D31:D37)</f>
        <v>4631.804</v>
      </c>
      <c r="E38" s="184">
        <f>D38-D37</f>
        <v>4631.804</v>
      </c>
      <c r="F38" s="325"/>
      <c r="G38" s="325"/>
      <c r="H38" s="325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11120.596922</v>
      </c>
      <c r="E39" s="184"/>
      <c r="F39" s="325"/>
      <c r="G39" s="325"/>
      <c r="H39" s="325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>
        <v>0</v>
      </c>
      <c r="E40" s="325"/>
      <c r="F40" s="325"/>
      <c r="G40" s="325"/>
      <c r="H40" s="325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12225.2</v>
      </c>
      <c r="E41" s="325"/>
      <c r="F41" s="325"/>
      <c r="G41" s="325"/>
      <c r="H41" s="325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325"/>
      <c r="F42" s="325"/>
      <c r="G42" s="325"/>
      <c r="H42" s="325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>
        <v>0</v>
      </c>
      <c r="D43" s="196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>
        <v>0</v>
      </c>
      <c r="D46" s="196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13</v>
      </c>
      <c r="B50" s="211" t="s">
        <v>11</v>
      </c>
      <c r="C50" s="212"/>
      <c r="D50" s="233">
        <f>D53-D56-D59</f>
        <v>7256.699288</v>
      </c>
      <c r="E50" s="110"/>
      <c r="F50" s="110"/>
      <c r="G50" s="110"/>
      <c r="H50" s="114"/>
    </row>
    <row r="51" spans="1:8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</row>
    <row r="52" spans="1:10" ht="17.25" customHeight="1">
      <c r="A52" s="257" t="s">
        <v>12</v>
      </c>
      <c r="B52" s="211" t="s">
        <v>11</v>
      </c>
      <c r="C52" s="279"/>
      <c r="D52" s="55">
        <v>0</v>
      </c>
      <c r="E52" s="110"/>
      <c r="F52" s="110"/>
      <c r="G52" s="110"/>
      <c r="H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6449.93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 thickBo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1344.42</v>
      </c>
      <c r="C56" s="243">
        <f>B56*1.1833</f>
        <v>1590.852186</v>
      </c>
      <c r="D56" s="244">
        <f>B56-C56</f>
        <v>-246.432186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B57*1.1615</f>
        <v>0</v>
      </c>
      <c r="D57" s="244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B58*1.1615</f>
        <v>0</v>
      </c>
      <c r="D58" s="244">
        <f>B58-C58</f>
        <v>0</v>
      </c>
      <c r="E58" s="62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3056.94</v>
      </c>
      <c r="C59" s="266">
        <f>B59*1.1833</f>
        <v>3617.277102</v>
      </c>
      <c r="D59" s="267">
        <f>B59-C59</f>
        <v>-560.337102</v>
      </c>
      <c r="E59" s="62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62"/>
      <c r="F60" s="74"/>
      <c r="H60" s="65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1344.42</v>
      </c>
      <c r="C61" s="248">
        <f>C56</f>
        <v>1590.852186</v>
      </c>
      <c r="D61" s="269">
        <f>B61-C61</f>
        <v>-246.432186</v>
      </c>
      <c r="E61" s="62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v>0</v>
      </c>
      <c r="D62" s="269">
        <f>B62-C62</f>
        <v>0</v>
      </c>
      <c r="E62" s="62"/>
      <c r="F62" s="74"/>
      <c r="H62" s="65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v>0</v>
      </c>
      <c r="D63" s="269">
        <f>B63-C63</f>
        <v>0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3056.94</v>
      </c>
      <c r="C64" s="272">
        <v>3617.277102</v>
      </c>
      <c r="D64" s="273">
        <v>-560.337102</v>
      </c>
      <c r="E64" s="62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7" t="s">
        <v>45</v>
      </c>
      <c r="B68" s="87" t="s">
        <v>46</v>
      </c>
      <c r="C68" s="87"/>
      <c r="D68" s="179">
        <v>0</v>
      </c>
      <c r="E68" s="89"/>
    </row>
    <row r="69" spans="1:5" ht="21" customHeight="1">
      <c r="A69" s="87" t="s">
        <v>47</v>
      </c>
      <c r="B69" s="87" t="s">
        <v>46</v>
      </c>
      <c r="C69" s="87"/>
      <c r="D69" s="179">
        <v>0</v>
      </c>
      <c r="E69" s="89"/>
    </row>
    <row r="70" spans="1:5" ht="18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6.5" customHeight="1">
      <c r="A71" s="87" t="s">
        <v>49</v>
      </c>
      <c r="B71" s="87" t="s">
        <v>11</v>
      </c>
      <c r="C71" s="87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7" t="s">
        <v>69</v>
      </c>
      <c r="B73" s="87" t="s">
        <v>46</v>
      </c>
      <c r="C73" s="87"/>
      <c r="D73" s="179">
        <v>0</v>
      </c>
      <c r="E73" s="89"/>
    </row>
    <row r="74" spans="1:5" ht="21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0" zoomScaleNormal="80" zoomScalePageLayoutView="0" workbookViewId="0" topLeftCell="A14">
      <selection activeCell="E16" sqref="E16:H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114</v>
      </c>
      <c r="B4" s="486"/>
      <c r="C4" s="486"/>
      <c r="D4" s="486"/>
    </row>
    <row r="5" spans="1:4" ht="12.75">
      <c r="A5" s="487" t="s">
        <v>302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180</v>
      </c>
      <c r="B8" s="180"/>
      <c r="C8" s="186"/>
      <c r="D8" s="180"/>
    </row>
    <row r="9" spans="1:5" ht="12.75">
      <c r="A9" s="187" t="s">
        <v>3</v>
      </c>
      <c r="B9" s="187" t="s">
        <v>4</v>
      </c>
      <c r="C9" s="187" t="s">
        <v>5</v>
      </c>
      <c r="D9" s="188"/>
      <c r="E9" s="110"/>
    </row>
    <row r="10" spans="1:5" ht="12.75">
      <c r="A10" s="189">
        <v>1</v>
      </c>
      <c r="B10" s="189">
        <v>2</v>
      </c>
      <c r="C10" s="189">
        <v>3</v>
      </c>
      <c r="D10" s="190">
        <v>4</v>
      </c>
      <c r="E10" s="110"/>
    </row>
    <row r="11" spans="1:5" ht="12.75">
      <c r="A11" s="20" t="s">
        <v>6</v>
      </c>
      <c r="B11" s="191"/>
      <c r="C11" s="192" t="s">
        <v>242</v>
      </c>
      <c r="D11" s="193"/>
      <c r="E11" s="110"/>
    </row>
    <row r="12" spans="1:5" ht="12.75">
      <c r="A12" s="20" t="s">
        <v>7</v>
      </c>
      <c r="B12" s="191"/>
      <c r="C12" s="192" t="s">
        <v>243</v>
      </c>
      <c r="D12" s="193"/>
      <c r="E12" s="110"/>
    </row>
    <row r="13" spans="1:5" ht="12.75">
      <c r="A13" s="20" t="s">
        <v>8</v>
      </c>
      <c r="B13" s="191"/>
      <c r="C13" s="192" t="s">
        <v>244</v>
      </c>
      <c r="D13" s="193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5" ht="26.25">
      <c r="A15" s="17" t="s">
        <v>10</v>
      </c>
      <c r="B15" s="194" t="s">
        <v>11</v>
      </c>
      <c r="C15" s="195">
        <v>27486.85</v>
      </c>
      <c r="D15" s="196"/>
      <c r="E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39.35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19746.18+439.02</f>
        <v>20185.2</v>
      </c>
      <c r="D18" s="198"/>
      <c r="E18" s="111">
        <f>C18-C20</f>
        <v>15082.812000000002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6907.284000000001</v>
      </c>
      <c r="D19" s="198"/>
      <c r="E19" s="111">
        <f>E37-E18</f>
        <v>0.0039999999971769284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(2.44+2.34)*6*162.6+439.02</f>
        <v>5102.387999999999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162.6*4.19*12</f>
        <v>8175.528000000001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20179.14444</v>
      </c>
      <c r="D22" s="198" t="s">
        <v>19</v>
      </c>
      <c r="E22" s="111"/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C18*0.9997</f>
        <v>20179.14444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/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47665.994439999995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(0.81+0.65)*6*162.6</f>
        <v>1424.376</v>
      </c>
      <c r="E31" s="110"/>
      <c r="F31" s="110"/>
      <c r="G31" s="110"/>
      <c r="H31" s="110"/>
    </row>
    <row r="32" spans="1:8" ht="15.75">
      <c r="A32" s="210" t="s">
        <v>36</v>
      </c>
      <c r="B32" s="211" t="s">
        <v>78</v>
      </c>
      <c r="C32" s="212" t="s">
        <v>37</v>
      </c>
      <c r="D32" s="213">
        <f>0.48*12*162.6</f>
        <v>936.5759999999999</v>
      </c>
      <c r="E32" s="110"/>
      <c r="F32" s="110"/>
      <c r="G32" s="110"/>
      <c r="H32" s="110"/>
    </row>
    <row r="33" spans="1:8" ht="15.75">
      <c r="A33" s="296" t="s">
        <v>181</v>
      </c>
      <c r="B33" s="211" t="s">
        <v>33</v>
      </c>
      <c r="C33" s="212" t="s">
        <v>34</v>
      </c>
      <c r="D33" s="213">
        <f>(1.08+0.92)*6*162.6+0.04</f>
        <v>1951.2399999999998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1.33*12*162.6</f>
        <v>2595.096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4.19*162.6*12</f>
        <v>8175.528000000001</v>
      </c>
      <c r="E35" s="110"/>
      <c r="F35" s="110"/>
      <c r="G35" s="110"/>
      <c r="H35" s="110"/>
    </row>
    <row r="36" spans="1:8" ht="47.25">
      <c r="A36" s="374" t="s">
        <v>230</v>
      </c>
      <c r="B36" s="375" t="s">
        <v>41</v>
      </c>
      <c r="C36" s="376"/>
      <c r="D36" s="312">
        <v>0</v>
      </c>
      <c r="E36" s="110"/>
      <c r="F36" s="110"/>
      <c r="G36" s="110"/>
      <c r="H36" s="110"/>
    </row>
    <row r="37" spans="1:14" s="1" customFormat="1" ht="15.75">
      <c r="A37" s="37" t="s">
        <v>42</v>
      </c>
      <c r="B37" s="225"/>
      <c r="C37" s="226"/>
      <c r="D37" s="98">
        <f>D31+D32+D33+D34+D35+D36</f>
        <v>15082.815999999999</v>
      </c>
      <c r="E37" s="113">
        <f>D37-D36</f>
        <v>15082.815999999999</v>
      </c>
      <c r="F37" s="110"/>
      <c r="G37" s="110"/>
      <c r="H37" s="110"/>
      <c r="K37"/>
      <c r="L37"/>
      <c r="M37"/>
      <c r="N37"/>
    </row>
    <row r="38" spans="1:14" s="1" customFormat="1" ht="15.75">
      <c r="A38" s="40" t="s">
        <v>43</v>
      </c>
      <c r="B38" s="227" t="s">
        <v>11</v>
      </c>
      <c r="C38" s="228"/>
      <c r="D38" s="229">
        <f>C28-D37</f>
        <v>32583.178439999996</v>
      </c>
      <c r="E38" s="113"/>
      <c r="F38" s="110"/>
      <c r="G38" s="110"/>
      <c r="H38" s="110"/>
      <c r="K38"/>
      <c r="L38"/>
      <c r="M38"/>
      <c r="N38"/>
    </row>
    <row r="39" spans="1:14" s="1" customFormat="1" ht="15.75">
      <c r="A39" s="230" t="s">
        <v>12</v>
      </c>
      <c r="B39" s="231" t="s">
        <v>11</v>
      </c>
      <c r="C39" s="212"/>
      <c r="D39" s="196">
        <v>0</v>
      </c>
      <c r="E39" s="110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13</v>
      </c>
      <c r="B40" s="231" t="s">
        <v>11</v>
      </c>
      <c r="C40" s="212"/>
      <c r="D40" s="198">
        <v>1713.5</v>
      </c>
      <c r="E40" s="110"/>
      <c r="F40" s="110"/>
      <c r="G40" s="110"/>
      <c r="H40" s="110"/>
      <c r="K40"/>
      <c r="L40"/>
      <c r="M40"/>
      <c r="N40"/>
    </row>
    <row r="41" spans="1:14" s="1" customFormat="1" ht="24" customHeight="1">
      <c r="A41" s="492" t="s">
        <v>44</v>
      </c>
      <c r="B41" s="492"/>
      <c r="C41" s="492"/>
      <c r="D41" s="492"/>
      <c r="E41" s="110"/>
      <c r="K41"/>
      <c r="L41"/>
      <c r="M41"/>
      <c r="N41"/>
    </row>
    <row r="42" spans="1:14" s="1" customFormat="1" ht="15.75">
      <c r="A42" s="230" t="s">
        <v>45</v>
      </c>
      <c r="B42" s="211" t="s">
        <v>46</v>
      </c>
      <c r="C42" s="212">
        <v>0</v>
      </c>
      <c r="D42" s="196">
        <v>0</v>
      </c>
      <c r="E42" s="110"/>
      <c r="K42"/>
      <c r="L42"/>
      <c r="M42"/>
      <c r="N42"/>
    </row>
    <row r="43" spans="1:14" s="1" customFormat="1" ht="15.75">
      <c r="A43" s="230" t="s">
        <v>47</v>
      </c>
      <c r="B43" s="211" t="s">
        <v>46</v>
      </c>
      <c r="C43" s="212">
        <v>0</v>
      </c>
      <c r="D43" s="196">
        <v>0</v>
      </c>
      <c r="E43" s="110"/>
      <c r="K43"/>
      <c r="L43"/>
      <c r="M43"/>
      <c r="N43"/>
    </row>
    <row r="44" spans="1:14" s="1" customFormat="1" ht="15.75">
      <c r="A44" s="232" t="s">
        <v>48</v>
      </c>
      <c r="B44" s="211" t="s">
        <v>46</v>
      </c>
      <c r="C44" s="212">
        <v>0</v>
      </c>
      <c r="D44" s="196">
        <v>0</v>
      </c>
      <c r="E44" s="110"/>
      <c r="K44"/>
      <c r="L44"/>
      <c r="M44"/>
      <c r="N44"/>
    </row>
    <row r="45" spans="1:14" s="1" customFormat="1" ht="15.75">
      <c r="A45" s="230" t="s">
        <v>49</v>
      </c>
      <c r="B45" s="211" t="s">
        <v>11</v>
      </c>
      <c r="C45" s="212">
        <v>0</v>
      </c>
      <c r="D45" s="196">
        <v>0</v>
      </c>
      <c r="E45" s="110"/>
      <c r="K45"/>
      <c r="L45"/>
      <c r="M45"/>
      <c r="N45"/>
    </row>
    <row r="46" spans="1:5" ht="20.25" customHeight="1">
      <c r="A46" s="493" t="s">
        <v>50</v>
      </c>
      <c r="B46" s="493"/>
      <c r="C46" s="493"/>
      <c r="D46" s="493"/>
      <c r="E46" s="110"/>
    </row>
    <row r="47" spans="1:5" ht="26.25">
      <c r="A47" s="232" t="s">
        <v>51</v>
      </c>
      <c r="B47" s="211" t="s">
        <v>11</v>
      </c>
      <c r="C47" s="212"/>
      <c r="D47" s="196">
        <v>0</v>
      </c>
      <c r="E47" s="110"/>
    </row>
    <row r="48" spans="1:5" ht="15.75">
      <c r="A48" s="230" t="s">
        <v>12</v>
      </c>
      <c r="B48" s="211" t="s">
        <v>11</v>
      </c>
      <c r="C48" s="212"/>
      <c r="D48" s="196">
        <v>0</v>
      </c>
      <c r="E48" s="110"/>
    </row>
    <row r="49" spans="1:8" ht="15.75">
      <c r="A49" s="230" t="s">
        <v>13</v>
      </c>
      <c r="B49" s="211" t="s">
        <v>11</v>
      </c>
      <c r="C49" s="212"/>
      <c r="D49" s="233">
        <f>D52-D55-D56-D57-D58</f>
        <v>9501.103238000003</v>
      </c>
      <c r="E49" s="110"/>
      <c r="H49" s="49"/>
    </row>
    <row r="50" spans="1:5" ht="26.25">
      <c r="A50" s="234" t="s">
        <v>52</v>
      </c>
      <c r="B50" s="211" t="s">
        <v>11</v>
      </c>
      <c r="C50" s="235"/>
      <c r="D50" s="236">
        <v>0</v>
      </c>
      <c r="E50" s="110"/>
    </row>
    <row r="51" spans="1:10" ht="17.25" customHeight="1">
      <c r="A51" s="257" t="s">
        <v>12</v>
      </c>
      <c r="B51" s="211" t="s">
        <v>11</v>
      </c>
      <c r="C51" s="212"/>
      <c r="D51" s="196">
        <v>0</v>
      </c>
      <c r="E51" s="110"/>
      <c r="I51" s="49"/>
      <c r="J51" s="49"/>
    </row>
    <row r="52" spans="1:14" ht="15.75">
      <c r="A52" s="238" t="s">
        <v>13</v>
      </c>
      <c r="B52" s="211" t="s">
        <v>11</v>
      </c>
      <c r="C52" s="239"/>
      <c r="D52" s="240">
        <v>9534.8</v>
      </c>
      <c r="E52" s="110"/>
      <c r="H52" s="1" t="s">
        <v>26</v>
      </c>
      <c r="I52" s="60"/>
      <c r="J52" s="60"/>
      <c r="K52" s="61"/>
      <c r="L52" s="61"/>
      <c r="M52" s="61"/>
      <c r="N52" s="61"/>
    </row>
    <row r="53" spans="1:14" ht="18" customHeight="1">
      <c r="A53" s="494" t="s">
        <v>53</v>
      </c>
      <c r="B53" s="494"/>
      <c r="C53" s="494"/>
      <c r="D53" s="494"/>
      <c r="E53" s="115"/>
      <c r="F53" s="63"/>
      <c r="G53" s="64"/>
      <c r="I53" s="65"/>
      <c r="J53" s="65"/>
      <c r="K53" s="66"/>
      <c r="L53" s="66"/>
      <c r="M53" s="66"/>
      <c r="N53" s="66"/>
    </row>
    <row r="54" spans="1:14" ht="47.25">
      <c r="A54" s="67" t="s">
        <v>54</v>
      </c>
      <c r="B54" s="68" t="s">
        <v>55</v>
      </c>
      <c r="C54" s="69" t="s">
        <v>56</v>
      </c>
      <c r="D54" s="70" t="s">
        <v>57</v>
      </c>
      <c r="E54" s="115"/>
      <c r="F54" s="63"/>
      <c r="G54" s="64"/>
      <c r="I54" s="65"/>
      <c r="J54" s="71"/>
      <c r="K54" s="66"/>
      <c r="L54" s="66"/>
      <c r="M54" s="66"/>
      <c r="N54" s="66"/>
    </row>
    <row r="55" spans="1:14" ht="15.75">
      <c r="A55" s="241" t="s">
        <v>58</v>
      </c>
      <c r="B55" s="242">
        <v>11918.18</v>
      </c>
      <c r="C55" s="243">
        <f>B55*0.9997</f>
        <v>11914.604546</v>
      </c>
      <c r="D55" s="244">
        <f>B55-C55</f>
        <v>3.5754539999998087</v>
      </c>
      <c r="E55" s="118"/>
      <c r="F55" s="63"/>
      <c r="G55" s="64"/>
      <c r="I55" s="65"/>
      <c r="J55" s="65"/>
      <c r="K55" s="66"/>
      <c r="L55" s="66"/>
      <c r="M55" s="66"/>
      <c r="N55" s="66"/>
    </row>
    <row r="56" spans="1:14" ht="15.75">
      <c r="A56" s="241" t="s">
        <v>59</v>
      </c>
      <c r="B56" s="242">
        <v>13639.09</v>
      </c>
      <c r="C56" s="243">
        <f>B56*0.9997</f>
        <v>13634.998273000001</v>
      </c>
      <c r="D56" s="244">
        <f>B56-C56</f>
        <v>4.091726999999082</v>
      </c>
      <c r="E56" s="115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41" t="s">
        <v>60</v>
      </c>
      <c r="B57" s="245">
        <v>76341.24</v>
      </c>
      <c r="C57" s="243">
        <f>B57*0.9997</f>
        <v>76318.33762800001</v>
      </c>
      <c r="D57" s="244">
        <f>B57-C57</f>
        <v>22.90237199999683</v>
      </c>
      <c r="E57" s="115">
        <f>(2.07+1.8)*6*2301.2-0.37*2301.2*6</f>
        <v>48325.2</v>
      </c>
      <c r="F57" s="74"/>
      <c r="G57" s="75"/>
      <c r="H57" s="62"/>
      <c r="I57" s="65"/>
      <c r="J57" s="65"/>
      <c r="K57" s="66"/>
      <c r="L57" s="66"/>
      <c r="M57" s="66"/>
      <c r="N57" s="66"/>
    </row>
    <row r="58" spans="1:14" ht="16.5" thickBot="1">
      <c r="A58" s="264" t="s">
        <v>318</v>
      </c>
      <c r="B58" s="265">
        <v>10424.03</v>
      </c>
      <c r="C58" s="243">
        <f>B58*0.9997</f>
        <v>10420.902791</v>
      </c>
      <c r="D58" s="267">
        <f>B58-C58</f>
        <v>3.127209000000221</v>
      </c>
      <c r="E58" s="115"/>
      <c r="F58" s="74"/>
      <c r="G58" s="75"/>
      <c r="I58" s="65"/>
      <c r="J58" s="65"/>
      <c r="K58" s="66"/>
      <c r="L58" s="66"/>
      <c r="M58" s="66"/>
      <c r="N58" s="66"/>
    </row>
    <row r="59" spans="1:14" ht="63">
      <c r="A59" s="130" t="s">
        <v>62</v>
      </c>
      <c r="B59" s="131" t="s">
        <v>63</v>
      </c>
      <c r="C59" s="132" t="s">
        <v>64</v>
      </c>
      <c r="D59" s="133" t="s">
        <v>65</v>
      </c>
      <c r="E59" s="115"/>
      <c r="F59" s="74"/>
      <c r="H59" s="65"/>
      <c r="I59" s="65"/>
      <c r="J59" s="65"/>
      <c r="K59" s="66"/>
      <c r="L59" s="66"/>
      <c r="M59" s="66"/>
      <c r="N59" s="66"/>
    </row>
    <row r="60" spans="1:14" ht="15.75">
      <c r="A60" s="268" t="s">
        <v>58</v>
      </c>
      <c r="B60" s="242">
        <v>11918.18</v>
      </c>
      <c r="C60" s="243">
        <f>B60*0.9997</f>
        <v>11914.604546</v>
      </c>
      <c r="D60" s="269">
        <f>B60-C60</f>
        <v>3.5754539999998087</v>
      </c>
      <c r="E60" s="115"/>
      <c r="F60" s="74"/>
      <c r="H60" s="65"/>
      <c r="I60" s="65"/>
      <c r="J60" s="65" t="s">
        <v>26</v>
      </c>
      <c r="K60" s="66"/>
      <c r="L60" s="66"/>
      <c r="M60" s="66"/>
      <c r="N60" s="66"/>
    </row>
    <row r="61" spans="1:14" ht="15.75">
      <c r="A61" s="268" t="s">
        <v>59</v>
      </c>
      <c r="B61" s="242">
        <v>13639.09</v>
      </c>
      <c r="C61" s="243">
        <f>B61*0.9997</f>
        <v>13634.998273000001</v>
      </c>
      <c r="D61" s="269">
        <f>B61-C61</f>
        <v>4.091726999999082</v>
      </c>
      <c r="E61" s="115"/>
      <c r="F61" s="74"/>
      <c r="H61" s="65"/>
      <c r="I61" s="65"/>
      <c r="J61" s="65"/>
      <c r="K61" s="66"/>
      <c r="L61" s="66"/>
      <c r="M61" s="66"/>
      <c r="N61" s="66"/>
    </row>
    <row r="62" spans="1:14" ht="15.75">
      <c r="A62" s="268" t="s">
        <v>60</v>
      </c>
      <c r="B62" s="245">
        <v>76341.24</v>
      </c>
      <c r="C62" s="243">
        <f>B62*0.9997</f>
        <v>76318.33762800001</v>
      </c>
      <c r="D62" s="269">
        <f>B62-C62</f>
        <v>22.90237199999683</v>
      </c>
      <c r="E62" s="62"/>
      <c r="F62" s="74"/>
      <c r="H62" s="65"/>
      <c r="I62" s="65"/>
      <c r="J62" s="65"/>
      <c r="K62" s="66"/>
      <c r="L62" s="66"/>
      <c r="M62" s="66"/>
      <c r="N62" s="66"/>
    </row>
    <row r="63" spans="1:14" ht="16.5" thickBot="1">
      <c r="A63" s="270" t="s">
        <v>318</v>
      </c>
      <c r="B63" s="405">
        <v>10424.03</v>
      </c>
      <c r="C63" s="406">
        <f>B63*0.9997</f>
        <v>10420.902791</v>
      </c>
      <c r="D63" s="273">
        <f>B63-C63</f>
        <v>3.127209000000221</v>
      </c>
      <c r="E63" s="62"/>
      <c r="F63" s="74"/>
      <c r="H63" s="65" t="s">
        <v>26</v>
      </c>
      <c r="I63" s="65"/>
      <c r="J63" s="65"/>
      <c r="K63" s="66"/>
      <c r="L63" s="66"/>
      <c r="M63" s="66"/>
      <c r="N63" s="66"/>
    </row>
    <row r="64" spans="1:14" ht="15.75">
      <c r="A64" s="250"/>
      <c r="B64" s="251"/>
      <c r="C64" s="252"/>
      <c r="D64" s="253"/>
      <c r="E64" s="62"/>
      <c r="F64" s="74"/>
      <c r="H64" s="65"/>
      <c r="I64" s="65"/>
      <c r="J64" s="65"/>
      <c r="K64" s="66"/>
      <c r="L64" s="66"/>
      <c r="M64" s="66"/>
      <c r="N64" s="66"/>
    </row>
    <row r="65" spans="1:14" ht="26.25">
      <c r="A65" s="254" t="s">
        <v>66</v>
      </c>
      <c r="B65" s="251" t="s">
        <v>11</v>
      </c>
      <c r="C65" s="255"/>
      <c r="D65" s="256">
        <v>0</v>
      </c>
      <c r="E65" s="62"/>
      <c r="F65" s="74"/>
      <c r="H65" s="65"/>
      <c r="I65" s="65"/>
      <c r="J65" s="65" t="s">
        <v>26</v>
      </c>
      <c r="K65" s="66"/>
      <c r="L65" s="66"/>
      <c r="M65" s="66"/>
      <c r="N65" s="66"/>
    </row>
    <row r="66" spans="1:14" ht="17.25" customHeight="1">
      <c r="A66" s="495" t="s">
        <v>67</v>
      </c>
      <c r="B66" s="495"/>
      <c r="C66" s="495"/>
      <c r="D66" s="495"/>
      <c r="E66" s="84" t="e">
        <f>D66+B19</f>
        <v>#VALUE!</v>
      </c>
      <c r="F66" s="65"/>
      <c r="H66" s="85" t="e">
        <f>E66-B18</f>
        <v>#VALUE!</v>
      </c>
      <c r="I66" s="65"/>
      <c r="J66" s="65"/>
      <c r="K66" s="66"/>
      <c r="L66" s="66"/>
      <c r="M66" s="66"/>
      <c r="N66" s="66"/>
    </row>
    <row r="67" spans="1:5" ht="21" customHeight="1">
      <c r="A67" s="87" t="s">
        <v>45</v>
      </c>
      <c r="B67" s="87" t="s">
        <v>46</v>
      </c>
      <c r="C67" s="87"/>
      <c r="D67" s="179">
        <v>0</v>
      </c>
      <c r="E67" s="89"/>
    </row>
    <row r="68" spans="1:5" ht="21" customHeight="1">
      <c r="A68" s="87" t="s">
        <v>47</v>
      </c>
      <c r="B68" s="87" t="s">
        <v>46</v>
      </c>
      <c r="C68" s="87"/>
      <c r="D68" s="179">
        <v>0</v>
      </c>
      <c r="E68" s="89"/>
    </row>
    <row r="69" spans="1:5" ht="18" customHeight="1">
      <c r="A69" s="87" t="s">
        <v>48</v>
      </c>
      <c r="B69" s="87" t="s">
        <v>46</v>
      </c>
      <c r="C69" s="87"/>
      <c r="D69" s="179">
        <v>0</v>
      </c>
      <c r="E69" s="89"/>
    </row>
    <row r="70" spans="1:5" ht="16.5" customHeight="1">
      <c r="A70" s="87" t="s">
        <v>49</v>
      </c>
      <c r="B70" s="87" t="s">
        <v>11</v>
      </c>
      <c r="C70" s="87"/>
      <c r="D70" s="179">
        <v>0</v>
      </c>
      <c r="E70" s="89"/>
    </row>
    <row r="71" spans="1:5" ht="15.75" customHeight="1">
      <c r="A71" s="489" t="s">
        <v>68</v>
      </c>
      <c r="B71" s="489"/>
      <c r="C71" s="489"/>
      <c r="D71" s="489"/>
      <c r="E71" s="89"/>
    </row>
    <row r="72" spans="1:5" ht="18.75" customHeight="1">
      <c r="A72" s="87" t="s">
        <v>69</v>
      </c>
      <c r="B72" s="87" t="s">
        <v>46</v>
      </c>
      <c r="C72" s="87"/>
      <c r="D72" s="179">
        <v>0</v>
      </c>
      <c r="E72" s="89"/>
    </row>
    <row r="73" spans="1:5" ht="21.75" customHeight="1">
      <c r="A73" s="87" t="s">
        <v>70</v>
      </c>
      <c r="B73" s="257" t="s">
        <v>46</v>
      </c>
      <c r="C73" s="257"/>
      <c r="D73" s="179">
        <v>0</v>
      </c>
      <c r="E73" s="89"/>
    </row>
    <row r="74" spans="1:5" ht="36" customHeight="1">
      <c r="A74" s="258" t="s">
        <v>71</v>
      </c>
      <c r="B74" s="87" t="s">
        <v>11</v>
      </c>
      <c r="C74" s="87"/>
      <c r="D74" s="179">
        <v>0</v>
      </c>
      <c r="E74" s="89"/>
    </row>
    <row r="75" spans="1:4" ht="15.75">
      <c r="A75" s="259"/>
      <c r="B75" s="259"/>
      <c r="C75" s="259"/>
      <c r="D75" s="260"/>
    </row>
    <row r="76" spans="1:14" s="1" customFormat="1" ht="12.75">
      <c r="A76" s="180"/>
      <c r="B76" s="180"/>
      <c r="C76" s="180"/>
      <c r="D76" s="180"/>
      <c r="H76" s="1" t="s">
        <v>26</v>
      </c>
      <c r="K76"/>
      <c r="L76"/>
      <c r="M76"/>
      <c r="N76"/>
    </row>
    <row r="77" spans="1:14" s="1" customFormat="1" ht="12.75">
      <c r="A77" s="180" t="s">
        <v>72</v>
      </c>
      <c r="B77" s="180"/>
      <c r="C77" s="180" t="s">
        <v>146</v>
      </c>
      <c r="D77" s="180"/>
      <c r="K77"/>
      <c r="L77"/>
      <c r="M77"/>
      <c r="N77"/>
    </row>
    <row r="78" spans="1:14" s="1" customFormat="1" ht="12.75">
      <c r="A78" s="180"/>
      <c r="B78" s="180"/>
      <c r="C78" s="180"/>
      <c r="D78" s="180"/>
      <c r="H78" s="1" t="s">
        <v>26</v>
      </c>
      <c r="K78"/>
      <c r="L78"/>
      <c r="M78"/>
      <c r="N78"/>
    </row>
    <row r="79" spans="1:14" s="1" customFormat="1" ht="12.75">
      <c r="A79" s="180" t="s">
        <v>73</v>
      </c>
      <c r="B79" s="180"/>
      <c r="C79" s="180"/>
      <c r="D79" s="180"/>
      <c r="K79"/>
      <c r="L79"/>
      <c r="M79"/>
      <c r="N79"/>
    </row>
    <row r="80" spans="1:4" ht="12.75">
      <c r="A80" s="180"/>
      <c r="B80" s="180"/>
      <c r="C80" s="180"/>
      <c r="D80" s="180"/>
    </row>
    <row r="81" spans="1:4" ht="12.75">
      <c r="A81" s="180"/>
      <c r="B81" s="180"/>
      <c r="C81" s="180"/>
      <c r="D81" s="180"/>
    </row>
    <row r="83" spans="1:14" s="1" customFormat="1" ht="12.75">
      <c r="A83"/>
      <c r="B83"/>
      <c r="C83"/>
      <c r="D83"/>
      <c r="E83" s="1" t="s">
        <v>26</v>
      </c>
      <c r="K83"/>
      <c r="L83"/>
      <c r="M83"/>
      <c r="N83"/>
    </row>
  </sheetData>
  <sheetProtection selectLockedCells="1" selectUnlockedCells="1"/>
  <mergeCells count="13">
    <mergeCell ref="A71:D71"/>
    <mergeCell ref="A14:D14"/>
    <mergeCell ref="A29:D29"/>
    <mergeCell ref="A41:D41"/>
    <mergeCell ref="A46:D46"/>
    <mergeCell ref="A53:D53"/>
    <mergeCell ref="A66:D6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33">
      <selection activeCell="E33" sqref="E33:H6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115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182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5" ht="31.5" customHeight="1">
      <c r="A14" s="490" t="s">
        <v>9</v>
      </c>
      <c r="B14" s="490"/>
      <c r="C14" s="490"/>
      <c r="D14" s="490"/>
      <c r="E14" s="110"/>
    </row>
    <row r="15" spans="1:5" ht="26.25">
      <c r="A15" s="17" t="s">
        <v>10</v>
      </c>
      <c r="B15" s="194" t="s">
        <v>11</v>
      </c>
      <c r="C15" s="195">
        <v>36668.78</v>
      </c>
      <c r="D15" s="196"/>
      <c r="E15" s="110"/>
    </row>
    <row r="16" spans="1:5" ht="15.75">
      <c r="A16" s="20" t="s">
        <v>12</v>
      </c>
      <c r="B16" s="194" t="s">
        <v>11</v>
      </c>
      <c r="C16" s="195">
        <v>0</v>
      </c>
      <c r="D16" s="196"/>
      <c r="E16" s="59"/>
    </row>
    <row r="17" spans="1:5" ht="15.75">
      <c r="A17" s="20" t="s">
        <v>13</v>
      </c>
      <c r="B17" s="194" t="s">
        <v>11</v>
      </c>
      <c r="C17" s="197">
        <v>479.41</v>
      </c>
      <c r="D17" s="198"/>
      <c r="E17" s="59"/>
    </row>
    <row r="18" spans="1:5" ht="31.5" customHeight="1">
      <c r="A18" s="17" t="s">
        <v>14</v>
      </c>
      <c r="B18" s="194" t="s">
        <v>11</v>
      </c>
      <c r="C18" s="197">
        <f>19845.6+5297.4</f>
        <v>25143</v>
      </c>
      <c r="D18" s="198"/>
      <c r="E18" s="18">
        <f>C18-C20</f>
        <v>15166.23</v>
      </c>
    </row>
    <row r="19" spans="1:5" ht="15.75">
      <c r="A19" s="20" t="s">
        <v>15</v>
      </c>
      <c r="B19" s="194" t="s">
        <v>11</v>
      </c>
      <c r="C19" s="197">
        <f>C18-C20-C21</f>
        <v>6945.449999999999</v>
      </c>
      <c r="D19" s="198"/>
      <c r="E19" s="18">
        <f>E18-E37</f>
        <v>0</v>
      </c>
    </row>
    <row r="20" spans="1:5" ht="15.75">
      <c r="A20" s="20" t="s">
        <v>16</v>
      </c>
      <c r="B20" s="194" t="s">
        <v>11</v>
      </c>
      <c r="C20" s="197">
        <f>(2.44+2.33)*6*163.5+5297.4</f>
        <v>9976.77</v>
      </c>
      <c r="D20" s="198"/>
      <c r="E20" s="150"/>
    </row>
    <row r="21" spans="1:5" ht="15.75">
      <c r="A21" s="20" t="s">
        <v>17</v>
      </c>
      <c r="B21" s="194" t="s">
        <v>11</v>
      </c>
      <c r="C21" s="199">
        <f>163.5*4.19*12</f>
        <v>8220.78</v>
      </c>
      <c r="D21" s="198"/>
      <c r="E21" s="110"/>
    </row>
    <row r="22" spans="1:5" ht="15.75">
      <c r="A22" s="20" t="s">
        <v>18</v>
      </c>
      <c r="B22" s="194" t="s">
        <v>11</v>
      </c>
      <c r="C22" s="197">
        <f>C23+C24+C25+C26+C27</f>
        <v>23805.3924</v>
      </c>
      <c r="D22" s="198" t="s">
        <v>19</v>
      </c>
      <c r="E22" s="111" t="e">
        <f>B24+B25+B26+B27+B28</f>
        <v>#VALUE!</v>
      </c>
    </row>
    <row r="23" spans="1:5" ht="15.75">
      <c r="A23" s="20" t="s">
        <v>20</v>
      </c>
      <c r="B23" s="194" t="s">
        <v>11</v>
      </c>
      <c r="C23" s="197">
        <f>C18*0.9468</f>
        <v>23805.3924</v>
      </c>
      <c r="D23" s="198"/>
      <c r="E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H24" s="1" t="s">
        <v>22</v>
      </c>
    </row>
    <row r="25" spans="1:5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</row>
    <row r="26" spans="1:5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</row>
    <row r="27" spans="1:5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</row>
    <row r="28" spans="1:5" ht="15.75">
      <c r="A28" s="20" t="s">
        <v>25</v>
      </c>
      <c r="B28" s="194" t="s">
        <v>11</v>
      </c>
      <c r="C28" s="197">
        <f>C15+C22</f>
        <v>60474.172399999996</v>
      </c>
      <c r="D28" s="198" t="s">
        <v>26</v>
      </c>
      <c r="E28" s="112" t="e">
        <f>B28/#REF!*1</f>
        <v>#VALUE!</v>
      </c>
    </row>
    <row r="29" spans="1:5" ht="35.25" customHeight="1">
      <c r="A29" s="491" t="s">
        <v>27</v>
      </c>
      <c r="B29" s="491"/>
      <c r="C29" s="491"/>
      <c r="D29" s="491"/>
      <c r="E29" s="110"/>
    </row>
    <row r="30" spans="1:5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</row>
    <row r="31" spans="1:5" ht="15.75">
      <c r="A31" s="206" t="s">
        <v>32</v>
      </c>
      <c r="B31" s="207" t="s">
        <v>33</v>
      </c>
      <c r="C31" s="208" t="s">
        <v>34</v>
      </c>
      <c r="D31" s="209">
        <f>(0.81+0.65)*6*163.5</f>
        <v>1432.26</v>
      </c>
      <c r="E31" s="110"/>
    </row>
    <row r="32" spans="1:5" ht="15.75">
      <c r="A32" s="210" t="s">
        <v>36</v>
      </c>
      <c r="B32" s="211" t="s">
        <v>78</v>
      </c>
      <c r="C32" s="212" t="s">
        <v>37</v>
      </c>
      <c r="D32" s="213">
        <f>0.48*12*163.5</f>
        <v>941.76</v>
      </c>
      <c r="E32" s="110"/>
    </row>
    <row r="33" spans="1:8" ht="15.75">
      <c r="A33" s="296" t="s">
        <v>107</v>
      </c>
      <c r="B33" s="211" t="s">
        <v>33</v>
      </c>
      <c r="C33" s="212" t="s">
        <v>34</v>
      </c>
      <c r="D33" s="213">
        <f>(1.08+0.92)*6*163.5-0.03</f>
        <v>1961.97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1.33*12*163.5</f>
        <v>2609.46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4.19*163.5*12</f>
        <v>8220.78</v>
      </c>
      <c r="E35" s="110"/>
      <c r="F35" s="110"/>
      <c r="G35" s="110"/>
      <c r="H35" s="110"/>
    </row>
    <row r="36" spans="1:14" s="1" customFormat="1" ht="47.25">
      <c r="A36" s="297" t="s">
        <v>229</v>
      </c>
      <c r="B36" s="218" t="s">
        <v>41</v>
      </c>
      <c r="C36" s="377"/>
      <c r="D36" s="177">
        <v>0</v>
      </c>
      <c r="E36" s="110"/>
      <c r="F36" s="110"/>
      <c r="G36" s="110"/>
      <c r="H36" s="110"/>
      <c r="K36"/>
      <c r="L36"/>
      <c r="M36"/>
      <c r="N36"/>
    </row>
    <row r="37" spans="1:14" s="1" customFormat="1" ht="15.75">
      <c r="A37" s="37" t="s">
        <v>42</v>
      </c>
      <c r="B37" s="225"/>
      <c r="C37" s="226"/>
      <c r="D37" s="98">
        <f>SUM(D31:D36)</f>
        <v>15166.23</v>
      </c>
      <c r="E37" s="113">
        <f>D37-D36</f>
        <v>15166.23</v>
      </c>
      <c r="F37" s="110"/>
      <c r="G37" s="110"/>
      <c r="H37" s="110"/>
      <c r="K37"/>
      <c r="L37"/>
      <c r="M37"/>
      <c r="N37"/>
    </row>
    <row r="38" spans="1:14" s="1" customFormat="1" ht="15.75">
      <c r="A38" s="40" t="s">
        <v>43</v>
      </c>
      <c r="B38" s="227" t="s">
        <v>11</v>
      </c>
      <c r="C38" s="228"/>
      <c r="D38" s="229">
        <f>C28-D37</f>
        <v>45307.9424</v>
      </c>
      <c r="E38" s="113"/>
      <c r="F38" s="110"/>
      <c r="G38" s="110"/>
      <c r="H38" s="110"/>
      <c r="K38"/>
      <c r="L38"/>
      <c r="M38"/>
      <c r="N38"/>
    </row>
    <row r="39" spans="1:14" s="1" customFormat="1" ht="15.75">
      <c r="A39" s="230" t="s">
        <v>12</v>
      </c>
      <c r="B39" s="231" t="s">
        <v>11</v>
      </c>
      <c r="C39" s="212"/>
      <c r="D39" s="196"/>
      <c r="E39" s="110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13</v>
      </c>
      <c r="B40" s="231" t="s">
        <v>11</v>
      </c>
      <c r="C40" s="212"/>
      <c r="D40" s="198">
        <v>3916.4</v>
      </c>
      <c r="E40" s="110"/>
      <c r="F40" s="110"/>
      <c r="G40" s="110"/>
      <c r="H40" s="110"/>
      <c r="K40"/>
      <c r="L40"/>
      <c r="M40"/>
      <c r="N40"/>
    </row>
    <row r="41" spans="1:14" s="1" customFormat="1" ht="24" customHeight="1">
      <c r="A41" s="492" t="s">
        <v>44</v>
      </c>
      <c r="B41" s="492"/>
      <c r="C41" s="492"/>
      <c r="D41" s="492"/>
      <c r="E41" s="110"/>
      <c r="F41" s="110"/>
      <c r="G41" s="110"/>
      <c r="H41" s="110"/>
      <c r="K41"/>
      <c r="L41"/>
      <c r="M41"/>
      <c r="N41"/>
    </row>
    <row r="42" spans="1:14" s="1" customFormat="1" ht="15.75">
      <c r="A42" s="230" t="s">
        <v>45</v>
      </c>
      <c r="B42" s="211" t="s">
        <v>46</v>
      </c>
      <c r="C42" s="212">
        <v>0</v>
      </c>
      <c r="D42" s="196">
        <v>0</v>
      </c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30" t="s">
        <v>47</v>
      </c>
      <c r="B43" s="211" t="s">
        <v>46</v>
      </c>
      <c r="C43" s="212">
        <v>0</v>
      </c>
      <c r="D43" s="196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2" t="s">
        <v>48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0" t="s">
        <v>49</v>
      </c>
      <c r="B45" s="211" t="s">
        <v>11</v>
      </c>
      <c r="C45" s="212">
        <v>0</v>
      </c>
      <c r="D45" s="196">
        <v>0</v>
      </c>
      <c r="E45" s="110"/>
      <c r="F45" s="110"/>
      <c r="G45" s="110"/>
      <c r="H45" s="110"/>
      <c r="K45"/>
      <c r="L45"/>
      <c r="M45"/>
      <c r="N45"/>
    </row>
    <row r="46" spans="1:8" ht="20.25" customHeight="1">
      <c r="A46" s="493" t="s">
        <v>50</v>
      </c>
      <c r="B46" s="493"/>
      <c r="C46" s="493"/>
      <c r="D46" s="493"/>
      <c r="E46" s="110"/>
      <c r="F46" s="110"/>
      <c r="G46" s="110"/>
      <c r="H46" s="110"/>
    </row>
    <row r="47" spans="1:8" ht="26.25">
      <c r="A47" s="232" t="s">
        <v>51</v>
      </c>
      <c r="B47" s="211" t="s">
        <v>11</v>
      </c>
      <c r="C47" s="212"/>
      <c r="D47" s="196">
        <v>0</v>
      </c>
      <c r="E47" s="110"/>
      <c r="F47" s="110"/>
      <c r="G47" s="110"/>
      <c r="H47" s="110"/>
    </row>
    <row r="48" spans="1:8" ht="15.75">
      <c r="A48" s="230" t="s">
        <v>12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13</v>
      </c>
      <c r="B49" s="211" t="s">
        <v>11</v>
      </c>
      <c r="C49" s="212"/>
      <c r="D49" s="233">
        <f>D52-D55-D56-D57-D58</f>
        <v>11083.417243999995</v>
      </c>
      <c r="E49" s="110"/>
      <c r="F49" s="110"/>
      <c r="G49" s="110"/>
      <c r="H49" s="114"/>
    </row>
    <row r="50" spans="1:8" ht="26.25">
      <c r="A50" s="234" t="s">
        <v>52</v>
      </c>
      <c r="B50" s="211" t="s">
        <v>11</v>
      </c>
      <c r="C50" s="235"/>
      <c r="D50" s="236">
        <v>0</v>
      </c>
      <c r="E50" s="110"/>
      <c r="F50" s="110"/>
      <c r="G50" s="110"/>
      <c r="H50" s="110"/>
    </row>
    <row r="51" spans="1:10" ht="17.25" customHeight="1">
      <c r="A51" s="257" t="s">
        <v>12</v>
      </c>
      <c r="B51" s="211" t="s">
        <v>11</v>
      </c>
      <c r="C51" s="212"/>
      <c r="D51" s="196">
        <v>0</v>
      </c>
      <c r="E51" s="110"/>
      <c r="F51" s="110"/>
      <c r="G51" s="110"/>
      <c r="H51" s="110"/>
      <c r="I51" s="49"/>
      <c r="J51" s="49"/>
    </row>
    <row r="52" spans="1:14" ht="15.75">
      <c r="A52" s="238" t="s">
        <v>13</v>
      </c>
      <c r="B52" s="211" t="s">
        <v>11</v>
      </c>
      <c r="C52" s="239"/>
      <c r="D52" s="240">
        <v>16832.28</v>
      </c>
      <c r="E52" s="110"/>
      <c r="F52" s="110"/>
      <c r="G52" s="110"/>
      <c r="H52" s="110" t="s">
        <v>26</v>
      </c>
      <c r="I52" s="60"/>
      <c r="J52" s="60"/>
      <c r="K52" s="61"/>
      <c r="L52" s="61"/>
      <c r="M52" s="61"/>
      <c r="N52" s="61"/>
    </row>
    <row r="53" spans="1:14" ht="18" customHeight="1">
      <c r="A53" s="494" t="s">
        <v>53</v>
      </c>
      <c r="B53" s="494"/>
      <c r="C53" s="494"/>
      <c r="D53" s="494"/>
      <c r="E53" s="115"/>
      <c r="F53" s="116"/>
      <c r="G53" s="117"/>
      <c r="H53" s="110"/>
      <c r="I53" s="65"/>
      <c r="J53" s="65"/>
      <c r="K53" s="66"/>
      <c r="L53" s="66"/>
      <c r="M53" s="66"/>
      <c r="N53" s="66"/>
    </row>
    <row r="54" spans="1:14" ht="47.25">
      <c r="A54" s="67" t="s">
        <v>54</v>
      </c>
      <c r="B54" s="68" t="s">
        <v>55</v>
      </c>
      <c r="C54" s="69" t="s">
        <v>56</v>
      </c>
      <c r="D54" s="70" t="s">
        <v>57</v>
      </c>
      <c r="E54" s="115"/>
      <c r="F54" s="116"/>
      <c r="G54" s="117"/>
      <c r="H54" s="110"/>
      <c r="I54" s="65"/>
      <c r="J54" s="71"/>
      <c r="K54" s="66"/>
      <c r="L54" s="66"/>
      <c r="M54" s="66"/>
      <c r="N54" s="66"/>
    </row>
    <row r="55" spans="1:14" ht="15.75">
      <c r="A55" s="241" t="s">
        <v>58</v>
      </c>
      <c r="B55" s="242">
        <v>9892.09</v>
      </c>
      <c r="C55" s="243">
        <f>B55*0.9468</f>
        <v>9365.830812</v>
      </c>
      <c r="D55" s="244">
        <f>B55-C55</f>
        <v>526.259188</v>
      </c>
      <c r="E55" s="118"/>
      <c r="F55" s="116"/>
      <c r="G55" s="117"/>
      <c r="H55" s="110"/>
      <c r="I55" s="65"/>
      <c r="J55" s="65"/>
      <c r="K55" s="66"/>
      <c r="L55" s="66"/>
      <c r="M55" s="66"/>
      <c r="N55" s="66"/>
    </row>
    <row r="56" spans="1:14" ht="15.75">
      <c r="A56" s="241" t="s">
        <v>59</v>
      </c>
      <c r="B56" s="242">
        <v>11320.44</v>
      </c>
      <c r="C56" s="243">
        <f>B56*0.9468</f>
        <v>10718.192592</v>
      </c>
      <c r="D56" s="244">
        <f>B56-C56</f>
        <v>602.2474080000011</v>
      </c>
      <c r="E56" s="115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60</v>
      </c>
      <c r="B57" s="245">
        <v>76237.2</v>
      </c>
      <c r="C57" s="243">
        <f>B57*0.9468</f>
        <v>72181.38096</v>
      </c>
      <c r="D57" s="244">
        <f>B57-C57</f>
        <v>4055.819040000002</v>
      </c>
      <c r="E57" s="115">
        <f>(2.07+1.8)*6*2301.2-0.37*2301.2*6</f>
        <v>48325.2</v>
      </c>
      <c r="F57" s="119"/>
      <c r="G57" s="120"/>
      <c r="H57" s="115"/>
      <c r="I57" s="65"/>
      <c r="J57" s="65"/>
      <c r="K57" s="66"/>
      <c r="L57" s="66"/>
      <c r="M57" s="66"/>
      <c r="N57" s="66"/>
    </row>
    <row r="58" spans="1:14" ht="16.5" thickBot="1">
      <c r="A58" s="264" t="s">
        <v>318</v>
      </c>
      <c r="B58" s="265">
        <v>10611.6</v>
      </c>
      <c r="C58" s="243">
        <f>B58*0.9468</f>
        <v>10047.06288</v>
      </c>
      <c r="D58" s="267">
        <f>B58-C58</f>
        <v>564.5371200000009</v>
      </c>
      <c r="E58" s="115"/>
      <c r="F58" s="119"/>
      <c r="G58" s="120"/>
      <c r="H58" s="110"/>
      <c r="I58" s="65"/>
      <c r="J58" s="65"/>
      <c r="K58" s="66"/>
      <c r="L58" s="66"/>
      <c r="M58" s="66"/>
      <c r="N58" s="66"/>
    </row>
    <row r="59" spans="1:14" ht="63">
      <c r="A59" s="130" t="s">
        <v>62</v>
      </c>
      <c r="B59" s="131" t="s">
        <v>63</v>
      </c>
      <c r="C59" s="132" t="s">
        <v>64</v>
      </c>
      <c r="D59" s="133" t="s">
        <v>65</v>
      </c>
      <c r="E59" s="115"/>
      <c r="F59" s="119"/>
      <c r="G59" s="110"/>
      <c r="H59" s="121"/>
      <c r="I59" s="65"/>
      <c r="J59" s="65"/>
      <c r="K59" s="66"/>
      <c r="L59" s="66"/>
      <c r="M59" s="66"/>
      <c r="N59" s="66"/>
    </row>
    <row r="60" spans="1:14" ht="15.75">
      <c r="A60" s="241" t="s">
        <v>58</v>
      </c>
      <c r="B60" s="242">
        <v>9892.09</v>
      </c>
      <c r="C60" s="243">
        <f>B60*0.9468</f>
        <v>9365.830812</v>
      </c>
      <c r="D60" s="244">
        <f>B60-C60</f>
        <v>526.259188</v>
      </c>
      <c r="E60" s="115"/>
      <c r="F60" s="119"/>
      <c r="G60" s="110"/>
      <c r="H60" s="121"/>
      <c r="I60" s="65"/>
      <c r="J60" s="65" t="s">
        <v>26</v>
      </c>
      <c r="K60" s="66"/>
      <c r="L60" s="66"/>
      <c r="M60" s="66"/>
      <c r="N60" s="66"/>
    </row>
    <row r="61" spans="1:14" ht="15.75">
      <c r="A61" s="241" t="s">
        <v>59</v>
      </c>
      <c r="B61" s="242">
        <v>11320.44</v>
      </c>
      <c r="C61" s="243">
        <f>B61*0.9468</f>
        <v>10718.192592</v>
      </c>
      <c r="D61" s="244">
        <f>B61-C61</f>
        <v>602.2474080000011</v>
      </c>
      <c r="E61" s="115"/>
      <c r="F61" s="119"/>
      <c r="G61" s="110"/>
      <c r="H61" s="121"/>
      <c r="I61" s="65"/>
      <c r="J61" s="65"/>
      <c r="K61" s="66"/>
      <c r="L61" s="66"/>
      <c r="M61" s="66"/>
      <c r="N61" s="66"/>
    </row>
    <row r="62" spans="1:14" ht="15.75">
      <c r="A62" s="241" t="s">
        <v>60</v>
      </c>
      <c r="B62" s="245">
        <v>76237.2</v>
      </c>
      <c r="C62" s="243">
        <f>B62*0.9468</f>
        <v>72181.38096</v>
      </c>
      <c r="D62" s="244">
        <f>B62-C62</f>
        <v>4055.819040000002</v>
      </c>
      <c r="E62" s="62"/>
      <c r="F62" s="74"/>
      <c r="H62" s="65"/>
      <c r="I62" s="65"/>
      <c r="J62" s="65"/>
      <c r="K62" s="66"/>
      <c r="L62" s="66"/>
      <c r="M62" s="66"/>
      <c r="N62" s="66"/>
    </row>
    <row r="63" spans="1:14" ht="15.75">
      <c r="A63" s="264" t="s">
        <v>318</v>
      </c>
      <c r="B63" s="265">
        <v>10611.6</v>
      </c>
      <c r="C63" s="243">
        <f>B63*0.9468</f>
        <v>10047.06288</v>
      </c>
      <c r="D63" s="267">
        <f>B63-C63</f>
        <v>564.5371200000009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6.5" thickBot="1">
      <c r="A64" s="270"/>
      <c r="B64" s="271"/>
      <c r="C64" s="272"/>
      <c r="D64" s="273"/>
      <c r="E64" s="62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7" t="s">
        <v>45</v>
      </c>
      <c r="B68" s="87" t="s">
        <v>46</v>
      </c>
      <c r="C68" s="87"/>
      <c r="D68" s="179">
        <v>1</v>
      </c>
      <c r="E68" s="89"/>
    </row>
    <row r="69" spans="1:5" ht="21" customHeight="1">
      <c r="A69" s="87" t="s">
        <v>47</v>
      </c>
      <c r="B69" s="87" t="s">
        <v>46</v>
      </c>
      <c r="C69" s="87"/>
      <c r="D69" s="179">
        <v>1</v>
      </c>
      <c r="E69" s="89"/>
    </row>
    <row r="70" spans="1:5" ht="18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6.5" customHeight="1">
      <c r="A71" s="87" t="s">
        <v>49</v>
      </c>
      <c r="B71" s="87" t="s">
        <v>11</v>
      </c>
      <c r="C71" s="87"/>
      <c r="D71" s="179">
        <v>526.68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7" t="s">
        <v>69</v>
      </c>
      <c r="B73" s="87" t="s">
        <v>46</v>
      </c>
      <c r="C73" s="87"/>
      <c r="D73" s="179">
        <v>0</v>
      </c>
      <c r="E73" s="89"/>
    </row>
    <row r="74" spans="1:5" ht="21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 t="s">
        <v>146</v>
      </c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1:D41"/>
    <mergeCell ref="A46:D46"/>
    <mergeCell ref="A53:D53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0" zoomScaleNormal="80" zoomScalePageLayoutView="0" workbookViewId="0" topLeftCell="A1">
      <selection activeCell="E13" sqref="E13:H5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116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183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5" ht="12.75">
      <c r="A10" s="189">
        <v>1</v>
      </c>
      <c r="B10" s="189">
        <v>2</v>
      </c>
      <c r="C10" s="189">
        <v>3</v>
      </c>
      <c r="D10" s="190">
        <v>4</v>
      </c>
      <c r="E10" s="110"/>
    </row>
    <row r="11" spans="1:5" ht="12.75">
      <c r="A11" s="20" t="s">
        <v>6</v>
      </c>
      <c r="B11" s="191"/>
      <c r="C11" s="192" t="s">
        <v>242</v>
      </c>
      <c r="D11" s="193"/>
      <c r="E11" s="110"/>
    </row>
    <row r="12" spans="1:5" ht="12.75">
      <c r="A12" s="20" t="s">
        <v>7</v>
      </c>
      <c r="B12" s="191"/>
      <c r="C12" s="192" t="s">
        <v>243</v>
      </c>
      <c r="D12" s="193"/>
      <c r="E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5">
        <v>21370.16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84.57</v>
      </c>
      <c r="D17" s="198"/>
      <c r="E17" s="325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12141.54+2838.24</f>
        <v>14979.78</v>
      </c>
      <c r="D18" s="198"/>
      <c r="E18" s="326">
        <f>C18-C20</f>
        <v>7752.780000000001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3348.2520000000004</v>
      </c>
      <c r="D19" s="198"/>
      <c r="E19" s="326">
        <f>E18-E37</f>
        <v>0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(4.16+4.19)*6*87.6+2838.24</f>
        <v>7227</v>
      </c>
      <c r="D20" s="198"/>
      <c r="E20" s="327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87.6*4.19*12</f>
        <v>4404.528</v>
      </c>
      <c r="D21" s="198"/>
      <c r="E21" s="325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14979.78</v>
      </c>
      <c r="D22" s="198" t="s">
        <v>19</v>
      </c>
      <c r="E22" s="326"/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</f>
        <v>14979.78</v>
      </c>
      <c r="D23" s="198"/>
      <c r="E23" s="325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327"/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327"/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327"/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327"/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36349.94</v>
      </c>
      <c r="D28" s="198" t="s">
        <v>26</v>
      </c>
      <c r="E28" s="327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325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325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(0.81+0.65)*6*87.6</f>
        <v>767.376</v>
      </c>
      <c r="E31" s="325"/>
      <c r="F31" s="110"/>
      <c r="G31" s="110"/>
      <c r="H31" s="110"/>
    </row>
    <row r="32" spans="1:8" ht="15.75">
      <c r="A32" s="210" t="s">
        <v>36</v>
      </c>
      <c r="B32" s="211" t="s">
        <v>78</v>
      </c>
      <c r="C32" s="212" t="s">
        <v>37</v>
      </c>
      <c r="D32" s="213">
        <f>0.48*12*87.6</f>
        <v>504.57599999999996</v>
      </c>
      <c r="E32" s="325"/>
      <c r="F32" s="110"/>
      <c r="G32" s="110"/>
      <c r="H32" s="110"/>
    </row>
    <row r="33" spans="1:8" ht="15.75">
      <c r="A33" s="296" t="s">
        <v>184</v>
      </c>
      <c r="B33" s="211" t="s">
        <v>33</v>
      </c>
      <c r="C33" s="212" t="s">
        <v>34</v>
      </c>
      <c r="D33" s="213">
        <f>87.6*(0.97+0.62)*6-157.5</f>
        <v>678.204</v>
      </c>
      <c r="E33" s="325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1.33*12*87.6</f>
        <v>1398.096</v>
      </c>
      <c r="E34" s="325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4.19*87.6*12</f>
        <v>4404.528</v>
      </c>
      <c r="E35" s="325"/>
      <c r="F35" s="110"/>
      <c r="G35" s="110"/>
      <c r="H35" s="110"/>
    </row>
    <row r="36" spans="1:14" s="1" customFormat="1" ht="47.25">
      <c r="A36" s="371" t="s">
        <v>40</v>
      </c>
      <c r="B36" s="218" t="s">
        <v>41</v>
      </c>
      <c r="C36" s="377"/>
      <c r="D36" s="177">
        <v>0</v>
      </c>
      <c r="E36" s="325"/>
      <c r="F36" s="110"/>
      <c r="G36" s="110"/>
      <c r="H36" s="110"/>
      <c r="K36"/>
      <c r="L36"/>
      <c r="M36"/>
      <c r="N36"/>
    </row>
    <row r="37" spans="1:14" s="1" customFormat="1" ht="15.75">
      <c r="A37" s="37" t="s">
        <v>42</v>
      </c>
      <c r="B37" s="225"/>
      <c r="C37" s="226"/>
      <c r="D37" s="98">
        <f>SUM(D31:D36)</f>
        <v>7752.780000000001</v>
      </c>
      <c r="E37" s="184">
        <f>D37-D36</f>
        <v>7752.780000000001</v>
      </c>
      <c r="F37" s="110"/>
      <c r="G37" s="110"/>
      <c r="H37" s="110"/>
      <c r="K37"/>
      <c r="L37"/>
      <c r="M37"/>
      <c r="N37"/>
    </row>
    <row r="38" spans="1:14" s="1" customFormat="1" ht="15.75">
      <c r="A38" s="40" t="s">
        <v>43</v>
      </c>
      <c r="B38" s="227" t="s">
        <v>11</v>
      </c>
      <c r="C38" s="228"/>
      <c r="D38" s="229">
        <f>C28-D37</f>
        <v>28597.160000000003</v>
      </c>
      <c r="E38" s="184"/>
      <c r="F38" s="110"/>
      <c r="G38" s="110"/>
      <c r="H38" s="110"/>
      <c r="K38"/>
      <c r="L38"/>
      <c r="M38"/>
      <c r="N38"/>
    </row>
    <row r="39" spans="1:14" s="1" customFormat="1" ht="15.75">
      <c r="A39" s="230" t="s">
        <v>12</v>
      </c>
      <c r="B39" s="231" t="s">
        <v>11</v>
      </c>
      <c r="C39" s="212"/>
      <c r="D39" s="196"/>
      <c r="E39" s="325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13</v>
      </c>
      <c r="B40" s="231" t="s">
        <v>11</v>
      </c>
      <c r="C40" s="212"/>
      <c r="D40" s="198">
        <v>1310</v>
      </c>
      <c r="E40" s="325"/>
      <c r="F40" s="110"/>
      <c r="G40" s="110"/>
      <c r="H40" s="110"/>
      <c r="K40"/>
      <c r="L40"/>
      <c r="M40"/>
      <c r="N40"/>
    </row>
    <row r="41" spans="1:14" s="1" customFormat="1" ht="24" customHeight="1">
      <c r="A41" s="492" t="s">
        <v>44</v>
      </c>
      <c r="B41" s="492"/>
      <c r="C41" s="492"/>
      <c r="D41" s="492"/>
      <c r="E41" s="325"/>
      <c r="F41" s="110"/>
      <c r="G41" s="110"/>
      <c r="H41" s="110"/>
      <c r="K41"/>
      <c r="L41"/>
      <c r="M41"/>
      <c r="N41"/>
    </row>
    <row r="42" spans="1:14" s="1" customFormat="1" ht="15.75">
      <c r="A42" s="230" t="s">
        <v>45</v>
      </c>
      <c r="B42" s="211" t="s">
        <v>46</v>
      </c>
      <c r="C42" s="212">
        <v>0</v>
      </c>
      <c r="D42" s="196">
        <v>0</v>
      </c>
      <c r="E42" s="325"/>
      <c r="F42" s="110"/>
      <c r="G42" s="110"/>
      <c r="H42" s="110"/>
      <c r="K42"/>
      <c r="L42"/>
      <c r="M42"/>
      <c r="N42"/>
    </row>
    <row r="43" spans="1:14" s="1" customFormat="1" ht="15.75">
      <c r="A43" s="230" t="s">
        <v>47</v>
      </c>
      <c r="B43" s="211" t="s">
        <v>46</v>
      </c>
      <c r="C43" s="212">
        <v>0</v>
      </c>
      <c r="D43" s="196">
        <v>0</v>
      </c>
      <c r="E43" s="325"/>
      <c r="F43" s="110"/>
      <c r="G43" s="110"/>
      <c r="H43" s="110"/>
      <c r="K43"/>
      <c r="L43"/>
      <c r="M43"/>
      <c r="N43"/>
    </row>
    <row r="44" spans="1:14" s="1" customFormat="1" ht="15.75">
      <c r="A44" s="232" t="s">
        <v>48</v>
      </c>
      <c r="B44" s="211" t="s">
        <v>46</v>
      </c>
      <c r="C44" s="212">
        <v>0</v>
      </c>
      <c r="D44" s="196">
        <v>0</v>
      </c>
      <c r="E44" s="325"/>
      <c r="F44" s="110"/>
      <c r="G44" s="110"/>
      <c r="H44" s="110"/>
      <c r="K44"/>
      <c r="L44"/>
      <c r="M44"/>
      <c r="N44"/>
    </row>
    <row r="45" spans="1:14" s="1" customFormat="1" ht="15.75">
      <c r="A45" s="230" t="s">
        <v>49</v>
      </c>
      <c r="B45" s="211" t="s">
        <v>11</v>
      </c>
      <c r="C45" s="212">
        <v>0</v>
      </c>
      <c r="D45" s="196">
        <v>0</v>
      </c>
      <c r="E45" s="325"/>
      <c r="F45" s="110"/>
      <c r="G45" s="110"/>
      <c r="H45" s="110"/>
      <c r="K45"/>
      <c r="L45"/>
      <c r="M45"/>
      <c r="N45"/>
    </row>
    <row r="46" spans="1:8" ht="20.25" customHeight="1">
      <c r="A46" s="493" t="s">
        <v>50</v>
      </c>
      <c r="B46" s="493"/>
      <c r="C46" s="493"/>
      <c r="D46" s="493"/>
      <c r="E46" s="325"/>
      <c r="F46" s="110"/>
      <c r="G46" s="110"/>
      <c r="H46" s="110"/>
    </row>
    <row r="47" spans="1:8" ht="26.25">
      <c r="A47" s="232" t="s">
        <v>51</v>
      </c>
      <c r="B47" s="211" t="s">
        <v>11</v>
      </c>
      <c r="C47" s="212"/>
      <c r="D47" s="196">
        <v>0</v>
      </c>
      <c r="E47" s="325"/>
      <c r="F47" s="110"/>
      <c r="G47" s="110"/>
      <c r="H47" s="110"/>
    </row>
    <row r="48" spans="1:8" ht="15.75">
      <c r="A48" s="230" t="s">
        <v>12</v>
      </c>
      <c r="B48" s="211" t="s">
        <v>11</v>
      </c>
      <c r="C48" s="212"/>
      <c r="D48" s="196">
        <v>0</v>
      </c>
      <c r="E48" s="325"/>
      <c r="F48" s="110"/>
      <c r="G48" s="110"/>
      <c r="H48" s="110"/>
    </row>
    <row r="49" spans="1:8" ht="15.75">
      <c r="A49" s="230" t="s">
        <v>13</v>
      </c>
      <c r="B49" s="211" t="s">
        <v>11</v>
      </c>
      <c r="C49" s="212"/>
      <c r="D49" s="233">
        <f>D52-D55-D56-D57-D58</f>
        <v>2689.56</v>
      </c>
      <c r="E49" s="325"/>
      <c r="F49" s="110"/>
      <c r="G49" s="110"/>
      <c r="H49" s="114"/>
    </row>
    <row r="50" spans="1:8" ht="26.25">
      <c r="A50" s="234" t="s">
        <v>52</v>
      </c>
      <c r="B50" s="211" t="s">
        <v>11</v>
      </c>
      <c r="C50" s="235"/>
      <c r="D50" s="236">
        <v>0</v>
      </c>
      <c r="E50" s="325"/>
      <c r="F50" s="110"/>
      <c r="G50" s="110"/>
      <c r="H50" s="110"/>
    </row>
    <row r="51" spans="1:10" ht="17.25" customHeight="1">
      <c r="A51" s="257" t="s">
        <v>12</v>
      </c>
      <c r="B51" s="211" t="s">
        <v>11</v>
      </c>
      <c r="C51" s="212"/>
      <c r="D51" s="196">
        <v>0</v>
      </c>
      <c r="E51" s="325"/>
      <c r="F51" s="110"/>
      <c r="G51" s="110"/>
      <c r="H51" s="110"/>
      <c r="I51" s="49"/>
      <c r="J51" s="49"/>
    </row>
    <row r="52" spans="1:14" ht="15.75">
      <c r="A52" s="238" t="s">
        <v>13</v>
      </c>
      <c r="B52" s="211" t="s">
        <v>11</v>
      </c>
      <c r="C52" s="239"/>
      <c r="D52" s="240">
        <v>2689.56</v>
      </c>
      <c r="E52" s="325"/>
      <c r="F52" s="110"/>
      <c r="G52" s="110"/>
      <c r="H52" s="110" t="s">
        <v>26</v>
      </c>
      <c r="I52" s="60"/>
      <c r="J52" s="60"/>
      <c r="K52" s="61"/>
      <c r="L52" s="61"/>
      <c r="M52" s="61"/>
      <c r="N52" s="61"/>
    </row>
    <row r="53" spans="1:14" ht="18" customHeight="1">
      <c r="A53" s="494" t="s">
        <v>53</v>
      </c>
      <c r="B53" s="494"/>
      <c r="C53" s="494"/>
      <c r="D53" s="494"/>
      <c r="E53" s="115"/>
      <c r="F53" s="116"/>
      <c r="G53" s="117"/>
      <c r="H53" s="110"/>
      <c r="I53" s="65"/>
      <c r="J53" s="65"/>
      <c r="K53" s="66"/>
      <c r="L53" s="66"/>
      <c r="M53" s="66"/>
      <c r="N53" s="66"/>
    </row>
    <row r="54" spans="1:14" ht="47.25">
      <c r="A54" s="67" t="s">
        <v>54</v>
      </c>
      <c r="B54" s="68" t="s">
        <v>55</v>
      </c>
      <c r="C54" s="69" t="s">
        <v>56</v>
      </c>
      <c r="D54" s="70" t="s">
        <v>57</v>
      </c>
      <c r="E54" s="115"/>
      <c r="F54" s="63"/>
      <c r="G54" s="64"/>
      <c r="I54" s="65"/>
      <c r="J54" s="71"/>
      <c r="K54" s="66"/>
      <c r="L54" s="66"/>
      <c r="M54" s="66"/>
      <c r="N54" s="66"/>
    </row>
    <row r="55" spans="1:14" ht="15.75">
      <c r="A55" s="241" t="s">
        <v>58</v>
      </c>
      <c r="B55" s="242">
        <v>4480.2</v>
      </c>
      <c r="C55" s="243">
        <f>B55*1</f>
        <v>4480.2</v>
      </c>
      <c r="D55" s="244">
        <f>B55-C55</f>
        <v>0</v>
      </c>
      <c r="E55" s="118"/>
      <c r="F55" s="63"/>
      <c r="G55" s="64"/>
      <c r="I55" s="65"/>
      <c r="J55" s="65"/>
      <c r="K55" s="66"/>
      <c r="L55" s="66"/>
      <c r="M55" s="66"/>
      <c r="N55" s="66"/>
    </row>
    <row r="56" spans="1:14" ht="15.75">
      <c r="A56" s="241" t="s">
        <v>59</v>
      </c>
      <c r="B56" s="242">
        <v>5127.12</v>
      </c>
      <c r="C56" s="243">
        <f>B56*1</f>
        <v>5127.12</v>
      </c>
      <c r="D56" s="244">
        <f>B56-C56</f>
        <v>0</v>
      </c>
      <c r="E56" s="115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41" t="s">
        <v>60</v>
      </c>
      <c r="B57" s="245">
        <v>15446.64</v>
      </c>
      <c r="C57" s="243">
        <f>B57*1</f>
        <v>15446.64</v>
      </c>
      <c r="D57" s="244">
        <f>B57-C57</f>
        <v>0</v>
      </c>
      <c r="E57" s="115">
        <f>(2.07+1.8)*6*2301.2-0.37*2301.2*6</f>
        <v>48325.2</v>
      </c>
      <c r="F57" s="74"/>
      <c r="G57" s="75"/>
      <c r="H57" s="62"/>
      <c r="I57" s="65"/>
      <c r="J57" s="65"/>
      <c r="K57" s="66"/>
      <c r="L57" s="66"/>
      <c r="M57" s="66"/>
      <c r="N57" s="66"/>
    </row>
    <row r="58" spans="1:14" ht="16.5" thickBot="1">
      <c r="A58" s="264" t="s">
        <v>318</v>
      </c>
      <c r="B58" s="265">
        <v>5685.42</v>
      </c>
      <c r="C58" s="243">
        <f>B58*1</f>
        <v>5685.42</v>
      </c>
      <c r="D58" s="267">
        <f>B58-C58</f>
        <v>0</v>
      </c>
      <c r="E58" s="115"/>
      <c r="F58" s="74"/>
      <c r="G58" s="75"/>
      <c r="I58" s="65"/>
      <c r="J58" s="65"/>
      <c r="K58" s="66"/>
      <c r="L58" s="66"/>
      <c r="M58" s="66"/>
      <c r="N58" s="66"/>
    </row>
    <row r="59" spans="1:14" ht="63">
      <c r="A59" s="130" t="s">
        <v>62</v>
      </c>
      <c r="B59" s="131" t="s">
        <v>63</v>
      </c>
      <c r="C59" s="132" t="s">
        <v>64</v>
      </c>
      <c r="D59" s="133" t="s">
        <v>65</v>
      </c>
      <c r="E59" s="115"/>
      <c r="F59" s="74"/>
      <c r="H59" s="65"/>
      <c r="I59" s="65"/>
      <c r="J59" s="65"/>
      <c r="K59" s="66"/>
      <c r="L59" s="66"/>
      <c r="M59" s="66"/>
      <c r="N59" s="66"/>
    </row>
    <row r="60" spans="1:14" ht="15.75">
      <c r="A60" s="241" t="s">
        <v>58</v>
      </c>
      <c r="B60" s="242">
        <v>4480.2</v>
      </c>
      <c r="C60" s="243">
        <f>B60*1</f>
        <v>4480.2</v>
      </c>
      <c r="D60" s="244">
        <f>B60-C60</f>
        <v>0</v>
      </c>
      <c r="E60" s="115"/>
      <c r="F60" s="74"/>
      <c r="H60" s="65"/>
      <c r="I60" s="65"/>
      <c r="J60" s="65" t="s">
        <v>26</v>
      </c>
      <c r="K60" s="66"/>
      <c r="L60" s="66"/>
      <c r="M60" s="66"/>
      <c r="N60" s="66"/>
    </row>
    <row r="61" spans="1:14" ht="15.75">
      <c r="A61" s="241" t="s">
        <v>59</v>
      </c>
      <c r="B61" s="242">
        <v>5127.12</v>
      </c>
      <c r="C61" s="243">
        <f>B61*1</f>
        <v>5127.12</v>
      </c>
      <c r="D61" s="244">
        <f>B61-C61</f>
        <v>0</v>
      </c>
      <c r="E61" s="115"/>
      <c r="F61" s="74"/>
      <c r="H61" s="65"/>
      <c r="I61" s="65"/>
      <c r="J61" s="65"/>
      <c r="K61" s="66"/>
      <c r="L61" s="66"/>
      <c r="M61" s="66"/>
      <c r="N61" s="66"/>
    </row>
    <row r="62" spans="1:14" ht="15.75">
      <c r="A62" s="241" t="s">
        <v>60</v>
      </c>
      <c r="B62" s="245">
        <v>15446.64</v>
      </c>
      <c r="C62" s="243">
        <f>B62*1</f>
        <v>15446.64</v>
      </c>
      <c r="D62" s="244">
        <f>B62-C62</f>
        <v>0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.75">
      <c r="A63" s="264" t="s">
        <v>318</v>
      </c>
      <c r="B63" s="265">
        <v>5685.42</v>
      </c>
      <c r="C63" s="243">
        <f>B63*1</f>
        <v>5685.42</v>
      </c>
      <c r="D63" s="267">
        <f>B63-C63</f>
        <v>0</v>
      </c>
      <c r="E63" s="115"/>
      <c r="F63" s="74"/>
      <c r="H63" s="65" t="s">
        <v>26</v>
      </c>
      <c r="I63" s="65"/>
      <c r="J63" s="65"/>
      <c r="K63" s="66"/>
      <c r="L63" s="66"/>
      <c r="M63" s="66"/>
      <c r="N63" s="66"/>
    </row>
    <row r="64" spans="1:14" ht="15.75">
      <c r="A64" s="250"/>
      <c r="B64" s="251"/>
      <c r="C64" s="252"/>
      <c r="D64" s="253"/>
      <c r="E64" s="115"/>
      <c r="F64" s="74"/>
      <c r="H64" s="65"/>
      <c r="I64" s="65"/>
      <c r="J64" s="65"/>
      <c r="K64" s="66"/>
      <c r="L64" s="66"/>
      <c r="M64" s="66"/>
      <c r="N64" s="66"/>
    </row>
    <row r="65" spans="1:14" ht="26.25">
      <c r="A65" s="254" t="s">
        <v>66</v>
      </c>
      <c r="B65" s="251" t="s">
        <v>11</v>
      </c>
      <c r="C65" s="255"/>
      <c r="D65" s="256">
        <v>0</v>
      </c>
      <c r="E65" s="115"/>
      <c r="F65" s="74"/>
      <c r="H65" s="65"/>
      <c r="I65" s="65"/>
      <c r="J65" s="65" t="s">
        <v>26</v>
      </c>
      <c r="K65" s="66"/>
      <c r="L65" s="66"/>
      <c r="M65" s="66"/>
      <c r="N65" s="66"/>
    </row>
    <row r="66" spans="1:14" ht="17.25" customHeight="1">
      <c r="A66" s="495" t="s">
        <v>67</v>
      </c>
      <c r="B66" s="495"/>
      <c r="C66" s="495"/>
      <c r="D66" s="495"/>
      <c r="E66" s="122" t="e">
        <f>D66+B19</f>
        <v>#VALUE!</v>
      </c>
      <c r="F66" s="65"/>
      <c r="H66" s="85" t="e">
        <f>E66-B18</f>
        <v>#VALUE!</v>
      </c>
      <c r="I66" s="65"/>
      <c r="J66" s="65"/>
      <c r="K66" s="66"/>
      <c r="L66" s="66"/>
      <c r="M66" s="66"/>
      <c r="N66" s="66"/>
    </row>
    <row r="67" spans="1:5" ht="21" customHeight="1">
      <c r="A67" s="87" t="s">
        <v>45</v>
      </c>
      <c r="B67" s="87" t="s">
        <v>46</v>
      </c>
      <c r="C67" s="87"/>
      <c r="D67" s="179">
        <v>0</v>
      </c>
      <c r="E67" s="124"/>
    </row>
    <row r="68" spans="1:5" ht="21" customHeight="1">
      <c r="A68" s="87" t="s">
        <v>47</v>
      </c>
      <c r="B68" s="87" t="s">
        <v>46</v>
      </c>
      <c r="C68" s="87"/>
      <c r="D68" s="179">
        <v>0</v>
      </c>
      <c r="E68" s="124"/>
    </row>
    <row r="69" spans="1:5" ht="18" customHeight="1">
      <c r="A69" s="87" t="s">
        <v>48</v>
      </c>
      <c r="B69" s="87" t="s">
        <v>46</v>
      </c>
      <c r="C69" s="87"/>
      <c r="D69" s="179">
        <v>0</v>
      </c>
      <c r="E69" s="124"/>
    </row>
    <row r="70" spans="1:5" ht="16.5" customHeight="1">
      <c r="A70" s="87" t="s">
        <v>49</v>
      </c>
      <c r="B70" s="87" t="s">
        <v>11</v>
      </c>
      <c r="C70" s="87"/>
      <c r="D70" s="179">
        <v>0</v>
      </c>
      <c r="E70" s="124"/>
    </row>
    <row r="71" spans="1:5" ht="15.75" customHeight="1">
      <c r="A71" s="489" t="s">
        <v>68</v>
      </c>
      <c r="B71" s="489"/>
      <c r="C71" s="489"/>
      <c r="D71" s="489"/>
      <c r="E71" s="124"/>
    </row>
    <row r="72" spans="1:5" ht="18.75" customHeight="1">
      <c r="A72" s="87" t="s">
        <v>69</v>
      </c>
      <c r="B72" s="87" t="s">
        <v>46</v>
      </c>
      <c r="C72" s="87"/>
      <c r="D72" s="179">
        <v>0</v>
      </c>
      <c r="E72" s="124"/>
    </row>
    <row r="73" spans="1:5" ht="21.75" customHeight="1">
      <c r="A73" s="87" t="s">
        <v>70</v>
      </c>
      <c r="B73" s="257" t="s">
        <v>46</v>
      </c>
      <c r="C73" s="257"/>
      <c r="D73" s="179">
        <v>0</v>
      </c>
      <c r="E73" s="124"/>
    </row>
    <row r="74" spans="1:5" ht="36" customHeight="1">
      <c r="A74" s="258" t="s">
        <v>71</v>
      </c>
      <c r="B74" s="87" t="s">
        <v>11</v>
      </c>
      <c r="C74" s="87"/>
      <c r="D74" s="179">
        <v>0</v>
      </c>
      <c r="E74" s="124"/>
    </row>
    <row r="75" spans="1:5" ht="15.75">
      <c r="A75" s="259"/>
      <c r="B75" s="259"/>
      <c r="C75" s="259"/>
      <c r="D75" s="260"/>
      <c r="E75" s="110"/>
    </row>
    <row r="76" spans="1:14" s="1" customFormat="1" ht="12.75">
      <c r="A76" s="180"/>
      <c r="B76" s="180"/>
      <c r="C76" s="180"/>
      <c r="D76" s="180"/>
      <c r="E76" s="110"/>
      <c r="H76" s="1" t="s">
        <v>26</v>
      </c>
      <c r="K76"/>
      <c r="L76"/>
      <c r="M76"/>
      <c r="N76"/>
    </row>
    <row r="77" spans="1:14" s="1" customFormat="1" ht="12.75">
      <c r="A77" s="180" t="s">
        <v>72</v>
      </c>
      <c r="B77" s="180"/>
      <c r="C77" s="180" t="s">
        <v>146</v>
      </c>
      <c r="D77" s="180"/>
      <c r="E77" s="110"/>
      <c r="K77"/>
      <c r="L77"/>
      <c r="M77"/>
      <c r="N77"/>
    </row>
    <row r="78" spans="1:14" s="1" customFormat="1" ht="12.75">
      <c r="A78" s="180"/>
      <c r="B78" s="180"/>
      <c r="C78" s="180"/>
      <c r="D78" s="180"/>
      <c r="H78" s="1" t="s">
        <v>26</v>
      </c>
      <c r="K78"/>
      <c r="L78"/>
      <c r="M78"/>
      <c r="N78"/>
    </row>
    <row r="79" spans="1:14" s="1" customFormat="1" ht="12.75">
      <c r="A79" s="180" t="s">
        <v>73</v>
      </c>
      <c r="B79" s="180"/>
      <c r="C79" s="180"/>
      <c r="D79" s="180"/>
      <c r="K79"/>
      <c r="L79"/>
      <c r="M79"/>
      <c r="N79"/>
    </row>
    <row r="80" spans="1:4" ht="12.75">
      <c r="A80" s="180"/>
      <c r="B80" s="180"/>
      <c r="C80" s="180"/>
      <c r="D80" s="1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3" spans="1:14" s="1" customFormat="1" ht="12.75">
      <c r="A83" s="180"/>
      <c r="B83" s="180"/>
      <c r="C83" s="180"/>
      <c r="D83" s="180"/>
      <c r="E83" s="1" t="s">
        <v>26</v>
      </c>
      <c r="K83"/>
      <c r="L83"/>
      <c r="M83"/>
      <c r="N83"/>
    </row>
  </sheetData>
  <sheetProtection selectLockedCells="1" selectUnlockedCells="1"/>
  <mergeCells count="13">
    <mergeCell ref="A71:D71"/>
    <mergeCell ref="A14:D14"/>
    <mergeCell ref="A29:D29"/>
    <mergeCell ref="A41:D41"/>
    <mergeCell ref="A46:D46"/>
    <mergeCell ref="A53:D53"/>
    <mergeCell ref="A66:D6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76" sqref="A76"/>
    </sheetView>
  </sheetViews>
  <sheetFormatPr defaultColWidth="11.57421875" defaultRowHeight="12.75"/>
  <cols>
    <col min="1" max="1" width="52.00390625" style="0" customWidth="1"/>
    <col min="2" max="2" width="18.7109375" style="0" customWidth="1"/>
    <col min="3" max="3" width="26.00390625" style="0" customWidth="1"/>
    <col min="4" max="4" width="16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74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11.25" customHeight="1">
      <c r="A6" s="2"/>
    </row>
    <row r="7" spans="1:4" ht="30" customHeight="1">
      <c r="A7" s="488" t="s">
        <v>2</v>
      </c>
      <c r="B7" s="488"/>
      <c r="C7" s="488"/>
      <c r="D7" s="488"/>
    </row>
    <row r="8" spans="1:4" ht="19.5" customHeight="1">
      <c r="A8" s="261" t="s">
        <v>155</v>
      </c>
      <c r="B8" s="180"/>
      <c r="C8" s="186"/>
      <c r="D8" s="180"/>
    </row>
    <row r="9" spans="1:5" ht="12.75">
      <c r="A9" s="187" t="s">
        <v>3</v>
      </c>
      <c r="B9" s="187" t="s">
        <v>4</v>
      </c>
      <c r="C9" s="187" t="s">
        <v>5</v>
      </c>
      <c r="D9" s="188"/>
      <c r="E9" s="110"/>
    </row>
    <row r="10" spans="1:5" ht="12.75">
      <c r="A10" s="189">
        <v>1</v>
      </c>
      <c r="B10" s="189">
        <v>2</v>
      </c>
      <c r="C10" s="189">
        <v>3</v>
      </c>
      <c r="D10" s="190">
        <v>4</v>
      </c>
      <c r="E10" s="110"/>
    </row>
    <row r="11" spans="1:5" ht="12.75">
      <c r="A11" s="20" t="s">
        <v>6</v>
      </c>
      <c r="B11" s="191"/>
      <c r="C11" s="192" t="s">
        <v>242</v>
      </c>
      <c r="D11" s="193"/>
      <c r="E11" s="110"/>
    </row>
    <row r="12" spans="1:5" ht="12.75">
      <c r="A12" s="20" t="s">
        <v>7</v>
      </c>
      <c r="B12" s="191"/>
      <c r="C12" s="192" t="s">
        <v>243</v>
      </c>
      <c r="D12" s="193"/>
      <c r="E12" s="110"/>
    </row>
    <row r="13" spans="1:5" ht="12.75">
      <c r="A13" s="20" t="s">
        <v>8</v>
      </c>
      <c r="B13" s="191"/>
      <c r="C13" s="192" t="s">
        <v>244</v>
      </c>
      <c r="D13" s="193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8" ht="39">
      <c r="A15" s="17" t="s">
        <v>10</v>
      </c>
      <c r="B15" s="194" t="s">
        <v>11</v>
      </c>
      <c r="C15" s="197">
        <v>20039.87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56720.58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111391.38+10230.12</f>
        <v>121621.5</v>
      </c>
      <c r="D18" s="198"/>
      <c r="E18" s="452">
        <f>C18-C20</f>
        <v>96761.952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66035.844</v>
      </c>
      <c r="D19" s="198"/>
      <c r="E19" s="453">
        <f>E18-E49</f>
        <v>10230.123999999967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(3.46+3.32)*6*611.1</f>
        <v>24859.547999999995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611.1*4.19*12</f>
        <v>30726.108000000007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</f>
        <v>137445.71185000002</v>
      </c>
      <c r="D22" s="198" t="s">
        <v>19</v>
      </c>
      <c r="E22" s="111"/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C18*1.0359</f>
        <v>125987.71185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/>
      <c r="F24" s="110"/>
      <c r="G24" s="110"/>
      <c r="H24" s="110" t="s">
        <v>22</v>
      </c>
    </row>
    <row r="25" spans="1:8" ht="26.25">
      <c r="A25" s="451" t="s">
        <v>345</v>
      </c>
      <c r="B25" s="194" t="s">
        <v>11</v>
      </c>
      <c r="C25" s="197">
        <v>11458</v>
      </c>
      <c r="D25" s="200">
        <v>119.63</v>
      </c>
      <c r="E25" s="112"/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/>
      <c r="F26" s="110"/>
      <c r="G26" s="110"/>
      <c r="H26" s="110"/>
    </row>
    <row r="27" spans="1:8" ht="15.75">
      <c r="A27" s="20" t="s">
        <v>25</v>
      </c>
      <c r="B27" s="194" t="s">
        <v>11</v>
      </c>
      <c r="C27" s="197">
        <f>C15+C22</f>
        <v>157485.58185000002</v>
      </c>
      <c r="D27" s="198" t="s">
        <v>26</v>
      </c>
      <c r="E27" s="112"/>
      <c r="F27" s="110"/>
      <c r="G27" s="110"/>
      <c r="H27" s="110"/>
    </row>
    <row r="28" spans="1:8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</row>
    <row r="29" spans="1:8" ht="51">
      <c r="A29" s="274" t="s">
        <v>28</v>
      </c>
      <c r="B29" s="275" t="s">
        <v>29</v>
      </c>
      <c r="C29" s="204" t="s">
        <v>30</v>
      </c>
      <c r="D29" s="276" t="s">
        <v>31</v>
      </c>
      <c r="E29" s="110"/>
      <c r="F29" s="110"/>
      <c r="G29" s="110"/>
      <c r="H29" s="110"/>
    </row>
    <row r="30" spans="1:8" ht="15.75">
      <c r="A30" s="206" t="s">
        <v>32</v>
      </c>
      <c r="B30" s="207" t="s">
        <v>33</v>
      </c>
      <c r="C30" s="208" t="s">
        <v>34</v>
      </c>
      <c r="D30" s="277">
        <f>(0.5+0.6)*6*611.1</f>
        <v>4033.2600000000007</v>
      </c>
      <c r="E30" s="110"/>
      <c r="F30" s="110"/>
      <c r="G30" s="110"/>
      <c r="H30" s="110"/>
    </row>
    <row r="31" spans="1:8" ht="15.75">
      <c r="A31" s="210" t="s">
        <v>75</v>
      </c>
      <c r="B31" s="211" t="s">
        <v>76</v>
      </c>
      <c r="C31" s="212" t="s">
        <v>34</v>
      </c>
      <c r="D31" s="214">
        <f>2.4*12*611.1</f>
        <v>17599.68</v>
      </c>
      <c r="E31" s="110"/>
      <c r="F31" s="110"/>
      <c r="G31" s="110"/>
      <c r="H31" s="110"/>
    </row>
    <row r="32" spans="1:8" ht="15.75">
      <c r="A32" s="210" t="s">
        <v>319</v>
      </c>
      <c r="B32" s="211" t="s">
        <v>320</v>
      </c>
      <c r="C32" s="212" t="s">
        <v>321</v>
      </c>
      <c r="D32" s="214">
        <f>611.1*0.15*12</f>
        <v>1099.98</v>
      </c>
      <c r="E32" s="110"/>
      <c r="F32" s="110"/>
      <c r="G32" s="110"/>
      <c r="H32" s="110"/>
    </row>
    <row r="33" spans="1:8" ht="15.75">
      <c r="A33" s="210" t="s">
        <v>36</v>
      </c>
      <c r="B33" s="211" t="s">
        <v>78</v>
      </c>
      <c r="C33" s="212" t="s">
        <v>37</v>
      </c>
      <c r="D33" s="213">
        <f>0.48*12*611.1</f>
        <v>3519.936</v>
      </c>
      <c r="E33" s="174"/>
      <c r="F33" s="110"/>
      <c r="G33" s="110"/>
      <c r="H33" s="110"/>
    </row>
    <row r="34" spans="1:8" ht="15.75">
      <c r="A34" s="210" t="s">
        <v>79</v>
      </c>
      <c r="B34" s="215" t="s">
        <v>33</v>
      </c>
      <c r="C34" s="212" t="s">
        <v>34</v>
      </c>
      <c r="D34" s="213">
        <f>(0.75+0.73)*6*611.1</f>
        <v>5426.567999999999</v>
      </c>
      <c r="E34" s="174"/>
      <c r="F34" s="110"/>
      <c r="G34" s="110"/>
      <c r="H34" s="110"/>
    </row>
    <row r="35" spans="1:8" ht="15.75">
      <c r="A35" s="210" t="s">
        <v>80</v>
      </c>
      <c r="B35" s="211" t="s">
        <v>33</v>
      </c>
      <c r="C35" s="212" t="s">
        <v>34</v>
      </c>
      <c r="D35" s="214">
        <f>(1.42+1.38)*6*611.1</f>
        <v>10266.479999999998</v>
      </c>
      <c r="E35" s="110"/>
      <c r="F35" s="110"/>
      <c r="G35" s="110"/>
      <c r="H35" s="110"/>
    </row>
    <row r="36" spans="1:8" ht="15.75">
      <c r="A36" s="210" t="s">
        <v>81</v>
      </c>
      <c r="B36" s="216" t="s">
        <v>82</v>
      </c>
      <c r="C36" s="212" t="s">
        <v>34</v>
      </c>
      <c r="D36" s="213">
        <f>1.33*12*611.1</f>
        <v>9753.156</v>
      </c>
      <c r="E36" s="110"/>
      <c r="F36" s="110"/>
      <c r="G36" s="110"/>
      <c r="H36" s="110"/>
    </row>
    <row r="37" spans="1:8" ht="15.75">
      <c r="A37" s="210" t="s">
        <v>38</v>
      </c>
      <c r="B37" s="211" t="s">
        <v>35</v>
      </c>
      <c r="C37" s="368" t="s">
        <v>237</v>
      </c>
      <c r="D37" s="213">
        <f>4.19*611.1*12</f>
        <v>30726.108000000007</v>
      </c>
      <c r="E37" s="110"/>
      <c r="F37" s="110"/>
      <c r="G37" s="110"/>
      <c r="H37" s="110"/>
    </row>
    <row r="38" spans="1:8" ht="15.75">
      <c r="A38" s="210" t="s">
        <v>315</v>
      </c>
      <c r="B38" s="211" t="s">
        <v>238</v>
      </c>
      <c r="C38" s="368" t="s">
        <v>37</v>
      </c>
      <c r="D38" s="213">
        <v>4106.66</v>
      </c>
      <c r="E38" s="110"/>
      <c r="F38" s="110"/>
      <c r="G38" s="110"/>
      <c r="H38" s="110"/>
    </row>
    <row r="39" spans="1:8" ht="15.75">
      <c r="A39" s="210" t="s">
        <v>255</v>
      </c>
      <c r="B39" s="211" t="s">
        <v>154</v>
      </c>
      <c r="C39" s="368" t="s">
        <v>256</v>
      </c>
      <c r="D39" s="214">
        <v>3200</v>
      </c>
      <c r="E39" s="110"/>
      <c r="F39" s="110"/>
      <c r="G39" s="110"/>
      <c r="H39" s="110"/>
    </row>
    <row r="40" spans="1:8" ht="15.75">
      <c r="A40" s="210" t="s">
        <v>219</v>
      </c>
      <c r="B40" s="211"/>
      <c r="C40" s="278"/>
      <c r="D40" s="213"/>
      <c r="E40" s="110"/>
      <c r="F40" s="110"/>
      <c r="G40" s="110"/>
      <c r="H40" s="110"/>
    </row>
    <row r="41" spans="1:8" ht="31.5">
      <c r="A41" s="210" t="s">
        <v>223</v>
      </c>
      <c r="B41" s="211" t="s">
        <v>35</v>
      </c>
      <c r="C41" s="278" t="s">
        <v>220</v>
      </c>
      <c r="D41" s="213">
        <v>953.52</v>
      </c>
      <c r="E41" s="110"/>
      <c r="F41" s="110"/>
      <c r="G41" s="110"/>
      <c r="H41" s="110"/>
    </row>
    <row r="42" spans="1:8" ht="15.75">
      <c r="A42" s="210" t="s">
        <v>221</v>
      </c>
      <c r="B42" s="211" t="s">
        <v>35</v>
      </c>
      <c r="C42" s="278" t="s">
        <v>222</v>
      </c>
      <c r="D42" s="213">
        <v>21016.46</v>
      </c>
      <c r="E42" s="110"/>
      <c r="F42" s="110"/>
      <c r="G42" s="110"/>
      <c r="H42" s="110"/>
    </row>
    <row r="43" spans="1:8" ht="78.75">
      <c r="A43" s="263" t="s">
        <v>211</v>
      </c>
      <c r="B43" s="218" t="s">
        <v>41</v>
      </c>
      <c r="C43" s="224"/>
      <c r="D43" s="387">
        <f>D44+D45+D46+D47</f>
        <v>56605</v>
      </c>
      <c r="E43" s="110"/>
      <c r="F43" s="110"/>
      <c r="G43" s="110"/>
      <c r="H43" s="110"/>
    </row>
    <row r="44" spans="1:8" ht="15.75">
      <c r="A44" s="223" t="s">
        <v>252</v>
      </c>
      <c r="B44" s="220" t="s">
        <v>165</v>
      </c>
      <c r="C44" s="278" t="s">
        <v>34</v>
      </c>
      <c r="D44" s="178">
        <v>1011</v>
      </c>
      <c r="E44" s="110"/>
      <c r="F44" s="110"/>
      <c r="G44" s="110"/>
      <c r="H44" s="110"/>
    </row>
    <row r="45" spans="1:8" ht="31.5">
      <c r="A45" s="223" t="s">
        <v>253</v>
      </c>
      <c r="B45" s="220" t="s">
        <v>159</v>
      </c>
      <c r="C45" s="224" t="s">
        <v>77</v>
      </c>
      <c r="D45" s="178">
        <v>180</v>
      </c>
      <c r="E45" s="110"/>
      <c r="F45" s="110"/>
      <c r="G45" s="110"/>
      <c r="H45" s="110"/>
    </row>
    <row r="46" spans="1:8" ht="15.75">
      <c r="A46" s="223" t="s">
        <v>152</v>
      </c>
      <c r="B46" s="220" t="s">
        <v>151</v>
      </c>
      <c r="C46" s="278" t="s">
        <v>34</v>
      </c>
      <c r="D46" s="178">
        <v>27281</v>
      </c>
      <c r="E46" s="110"/>
      <c r="F46" s="110"/>
      <c r="G46" s="110"/>
      <c r="H46" s="110"/>
    </row>
    <row r="47" spans="1:8" ht="51.75" customHeight="1">
      <c r="A47" s="223" t="s">
        <v>254</v>
      </c>
      <c r="B47" s="220" t="s">
        <v>151</v>
      </c>
      <c r="C47" s="278" t="s">
        <v>34</v>
      </c>
      <c r="D47" s="178">
        <v>28133</v>
      </c>
      <c r="E47" s="110"/>
      <c r="F47" s="110"/>
      <c r="G47" s="110"/>
      <c r="H47" s="110"/>
    </row>
    <row r="48" spans="1:8" ht="15.75">
      <c r="A48" s="222"/>
      <c r="B48" s="220"/>
      <c r="C48" s="212"/>
      <c r="D48" s="178"/>
      <c r="E48" s="110"/>
      <c r="F48" s="110"/>
      <c r="G48" s="110"/>
      <c r="H48" s="110"/>
    </row>
    <row r="49" spans="1:8" ht="15.75">
      <c r="A49" s="37" t="s">
        <v>42</v>
      </c>
      <c r="B49" s="225"/>
      <c r="C49" s="226"/>
      <c r="D49" s="98">
        <f>D30+D31+D32+D33+D34+D35+D36+D37+D38+D39+D41+D42+D43</f>
        <v>168306.80800000002</v>
      </c>
      <c r="E49" s="113">
        <f>D49-D41-D42-D43-D39</f>
        <v>86531.82800000004</v>
      </c>
      <c r="F49" s="110"/>
      <c r="G49" s="110"/>
      <c r="H49" s="110"/>
    </row>
    <row r="50" spans="1:8" ht="15.75">
      <c r="A50" s="40" t="s">
        <v>43</v>
      </c>
      <c r="B50" s="227" t="s">
        <v>11</v>
      </c>
      <c r="C50" s="228"/>
      <c r="D50" s="229">
        <f>C27-D49</f>
        <v>-10821.226150000002</v>
      </c>
      <c r="E50" s="113"/>
      <c r="F50" s="110"/>
      <c r="G50" s="110"/>
      <c r="H50" s="110"/>
    </row>
    <row r="51" spans="1:8" ht="15.75">
      <c r="A51" s="230" t="s">
        <v>12</v>
      </c>
      <c r="B51" s="231" t="s">
        <v>11</v>
      </c>
      <c r="C51" s="212"/>
      <c r="D51" s="196">
        <v>0</v>
      </c>
      <c r="E51" s="110"/>
      <c r="F51" s="110"/>
      <c r="G51" s="110"/>
      <c r="H51" s="110"/>
    </row>
    <row r="52" spans="1:8" ht="15.75">
      <c r="A52" s="230" t="s">
        <v>13</v>
      </c>
      <c r="B52" s="231" t="s">
        <v>11</v>
      </c>
      <c r="C52" s="212"/>
      <c r="D52" s="198">
        <f>C17+C18-C23</f>
        <v>52354.36815000001</v>
      </c>
      <c r="E52" s="110"/>
      <c r="F52" s="110"/>
      <c r="G52" s="110"/>
      <c r="H52" s="110"/>
    </row>
    <row r="53" spans="1:8" ht="24" customHeight="1">
      <c r="A53" s="492" t="s">
        <v>44</v>
      </c>
      <c r="B53" s="492"/>
      <c r="C53" s="492"/>
      <c r="D53" s="492"/>
      <c r="E53" s="110"/>
      <c r="F53" s="110"/>
      <c r="G53" s="110"/>
      <c r="H53" s="110"/>
    </row>
    <row r="54" spans="1:8" ht="15.75">
      <c r="A54" s="230" t="s">
        <v>45</v>
      </c>
      <c r="B54" s="211" t="s">
        <v>46</v>
      </c>
      <c r="C54" s="212"/>
      <c r="D54" s="196">
        <v>0</v>
      </c>
      <c r="E54" s="110"/>
      <c r="F54" s="110"/>
      <c r="G54" s="110"/>
      <c r="H54" s="110"/>
    </row>
    <row r="55" spans="1:8" ht="15.75">
      <c r="A55" s="230" t="s">
        <v>47</v>
      </c>
      <c r="B55" s="211" t="s">
        <v>46</v>
      </c>
      <c r="C55" s="212"/>
      <c r="D55" s="196">
        <v>0</v>
      </c>
      <c r="E55" s="110"/>
      <c r="F55" s="110"/>
      <c r="G55" s="110"/>
      <c r="H55" s="110"/>
    </row>
    <row r="56" spans="1:8" ht="26.25">
      <c r="A56" s="232" t="s">
        <v>48</v>
      </c>
      <c r="B56" s="211" t="s">
        <v>46</v>
      </c>
      <c r="C56" s="212"/>
      <c r="D56" s="196">
        <v>0</v>
      </c>
      <c r="E56" s="110"/>
      <c r="F56" s="110"/>
      <c r="G56" s="110"/>
      <c r="H56" s="110"/>
    </row>
    <row r="57" spans="1:8" ht="15.75">
      <c r="A57" s="230" t="s">
        <v>49</v>
      </c>
      <c r="B57" s="211" t="s">
        <v>11</v>
      </c>
      <c r="C57" s="212"/>
      <c r="D57" s="196">
        <v>0</v>
      </c>
      <c r="E57" s="110"/>
      <c r="F57" s="110"/>
      <c r="G57" s="110"/>
      <c r="H57" s="110"/>
    </row>
    <row r="58" spans="1:8" ht="20.25" customHeight="1">
      <c r="A58" s="493" t="s">
        <v>50</v>
      </c>
      <c r="B58" s="493"/>
      <c r="C58" s="493"/>
      <c r="D58" s="493"/>
      <c r="E58" s="110"/>
      <c r="F58" s="110"/>
      <c r="G58" s="110"/>
      <c r="H58" s="110"/>
    </row>
    <row r="59" spans="1:8" ht="26.25">
      <c r="A59" s="232" t="s">
        <v>51</v>
      </c>
      <c r="B59" s="211" t="s">
        <v>11</v>
      </c>
      <c r="C59" s="212"/>
      <c r="D59" s="196">
        <v>0</v>
      </c>
      <c r="E59" s="110"/>
      <c r="F59" s="110"/>
      <c r="G59" s="110"/>
      <c r="H59" s="110"/>
    </row>
    <row r="60" spans="1:8" ht="15.75">
      <c r="A60" s="230" t="s">
        <v>12</v>
      </c>
      <c r="B60" s="211" t="s">
        <v>11</v>
      </c>
      <c r="C60" s="212"/>
      <c r="D60" s="196">
        <v>0</v>
      </c>
      <c r="E60" s="110"/>
      <c r="F60" s="110"/>
      <c r="G60" s="110"/>
      <c r="H60" s="110"/>
    </row>
    <row r="61" spans="1:8" ht="15.75">
      <c r="A61" s="230" t="s">
        <v>13</v>
      </c>
      <c r="B61" s="211" t="s">
        <v>11</v>
      </c>
      <c r="C61" s="212"/>
      <c r="D61" s="233">
        <f>D64-D67-D68-D69-D70</f>
        <v>167640.94535</v>
      </c>
      <c r="E61" s="110"/>
      <c r="F61" s="110"/>
      <c r="G61" s="110"/>
      <c r="H61" s="114"/>
    </row>
    <row r="62" spans="1:8" ht="26.25">
      <c r="A62" s="234" t="s">
        <v>52</v>
      </c>
      <c r="B62" s="211" t="s">
        <v>11</v>
      </c>
      <c r="C62" s="235"/>
      <c r="D62" s="236">
        <v>0</v>
      </c>
      <c r="E62" s="110"/>
      <c r="F62" s="110"/>
      <c r="G62" s="110"/>
      <c r="H62" s="110"/>
    </row>
    <row r="63" spans="1:10" ht="17.25" customHeight="1">
      <c r="A63" s="257" t="s">
        <v>12</v>
      </c>
      <c r="B63" s="211" t="s">
        <v>11</v>
      </c>
      <c r="C63" s="279"/>
      <c r="D63" s="55">
        <v>0</v>
      </c>
      <c r="E63" s="110"/>
      <c r="F63" s="110"/>
      <c r="G63" s="110"/>
      <c r="H63" s="110"/>
      <c r="I63" s="49"/>
      <c r="J63" s="49"/>
    </row>
    <row r="64" spans="1:14" ht="15.75">
      <c r="A64" s="238" t="s">
        <v>13</v>
      </c>
      <c r="B64" s="211" t="s">
        <v>11</v>
      </c>
      <c r="C64" s="239"/>
      <c r="D64" s="240">
        <v>155600.57</v>
      </c>
      <c r="E64" s="110"/>
      <c r="F64" s="110"/>
      <c r="G64" s="110"/>
      <c r="H64" s="110" t="s">
        <v>26</v>
      </c>
      <c r="I64" s="60"/>
      <c r="J64" s="60"/>
      <c r="K64" s="61"/>
      <c r="L64" s="61"/>
      <c r="M64" s="61"/>
      <c r="N64" s="61"/>
    </row>
    <row r="65" spans="1:14" ht="18" customHeight="1">
      <c r="A65" s="494" t="s">
        <v>53</v>
      </c>
      <c r="B65" s="494"/>
      <c r="C65" s="494"/>
      <c r="D65" s="494"/>
      <c r="E65" s="115"/>
      <c r="F65" s="116"/>
      <c r="G65" s="117"/>
      <c r="H65" s="110"/>
      <c r="I65" s="65"/>
      <c r="J65" s="65"/>
      <c r="K65" s="66"/>
      <c r="L65" s="66"/>
      <c r="M65" s="66"/>
      <c r="N65" s="66"/>
    </row>
    <row r="66" spans="1:14" ht="41.25" customHeight="1">
      <c r="A66" s="67" t="s">
        <v>54</v>
      </c>
      <c r="B66" s="68" t="s">
        <v>55</v>
      </c>
      <c r="C66" s="159" t="s">
        <v>56</v>
      </c>
      <c r="D66" s="160" t="s">
        <v>57</v>
      </c>
      <c r="E66" s="115"/>
      <c r="F66" s="116"/>
      <c r="G66" s="117"/>
      <c r="H66" s="110"/>
      <c r="I66" s="65"/>
      <c r="J66" s="71"/>
      <c r="K66" s="66"/>
      <c r="L66" s="66"/>
      <c r="M66" s="66"/>
      <c r="N66" s="66"/>
    </row>
    <row r="67" spans="1:14" ht="15.75">
      <c r="A67" s="241" t="s">
        <v>58</v>
      </c>
      <c r="B67" s="280">
        <v>56482.13</v>
      </c>
      <c r="C67" s="454">
        <f>B67*1.0359</f>
        <v>58509.838467</v>
      </c>
      <c r="D67" s="455">
        <f>B67-C67</f>
        <v>-2027.708467000004</v>
      </c>
      <c r="E67" s="118"/>
      <c r="F67" s="63"/>
      <c r="G67" s="64"/>
      <c r="I67" s="65"/>
      <c r="J67" s="65"/>
      <c r="K67" s="66"/>
      <c r="L67" s="66"/>
      <c r="M67" s="66"/>
      <c r="N67" s="66"/>
    </row>
    <row r="68" spans="1:14" ht="15.75">
      <c r="A68" s="241" t="s">
        <v>59</v>
      </c>
      <c r="B68" s="280">
        <v>53107.86</v>
      </c>
      <c r="C68" s="454">
        <f>B68*1.0359</f>
        <v>55014.432174</v>
      </c>
      <c r="D68" s="455">
        <f>B68-C68</f>
        <v>-1906.5721740000008</v>
      </c>
      <c r="E68" s="115"/>
      <c r="F68" s="63"/>
      <c r="G68" s="64"/>
      <c r="I68" s="65"/>
      <c r="J68" s="65"/>
      <c r="K68" s="66"/>
      <c r="L68" s="66"/>
      <c r="M68" s="66"/>
      <c r="N68" s="66"/>
    </row>
    <row r="69" spans="1:14" ht="15.75">
      <c r="A69" s="241" t="s">
        <v>60</v>
      </c>
      <c r="B69" s="283">
        <v>225796.51</v>
      </c>
      <c r="C69" s="454">
        <f>B69*1.0359</f>
        <v>233902.604709</v>
      </c>
      <c r="D69" s="455">
        <f>B69-C69</f>
        <v>-8106.094708999997</v>
      </c>
      <c r="E69" s="115"/>
      <c r="F69" s="74"/>
      <c r="G69" s="75"/>
      <c r="H69" s="62"/>
      <c r="I69" s="65"/>
      <c r="J69" s="65"/>
      <c r="K69" s="66"/>
      <c r="L69" s="66"/>
      <c r="M69" s="66"/>
      <c r="N69" s="66"/>
    </row>
    <row r="70" spans="1:14" ht="15.75">
      <c r="A70" s="246" t="s">
        <v>318</v>
      </c>
      <c r="B70" s="284">
        <v>39151.28</v>
      </c>
      <c r="C70" s="454">
        <f>B70</f>
        <v>39151.28</v>
      </c>
      <c r="D70" s="456">
        <f>B70-C70</f>
        <v>0</v>
      </c>
      <c r="E70" s="115"/>
      <c r="F70" s="74"/>
      <c r="G70" s="75"/>
      <c r="I70" s="65"/>
      <c r="J70" s="65"/>
      <c r="K70" s="66"/>
      <c r="L70" s="66"/>
      <c r="M70" s="66"/>
      <c r="N70" s="66"/>
    </row>
    <row r="71" spans="1:14" ht="63.75">
      <c r="A71" s="76" t="s">
        <v>62</v>
      </c>
      <c r="B71" s="68" t="s">
        <v>63</v>
      </c>
      <c r="C71" s="159" t="s">
        <v>64</v>
      </c>
      <c r="D71" s="160" t="s">
        <v>65</v>
      </c>
      <c r="E71" s="115"/>
      <c r="F71" s="74"/>
      <c r="H71" s="65"/>
      <c r="I71" s="65"/>
      <c r="J71" s="65"/>
      <c r="K71" s="66"/>
      <c r="L71" s="66"/>
      <c r="M71" s="66"/>
      <c r="N71" s="66"/>
    </row>
    <row r="72" spans="1:14" ht="15.75">
      <c r="A72" s="241" t="s">
        <v>58</v>
      </c>
      <c r="B72" s="285">
        <f aca="true" t="shared" si="0" ref="B72:C74">B67</f>
        <v>56482.13</v>
      </c>
      <c r="C72" s="457">
        <f t="shared" si="0"/>
        <v>58509.838467</v>
      </c>
      <c r="D72" s="455">
        <f>B72-C72</f>
        <v>-2027.708467000004</v>
      </c>
      <c r="E72" s="115"/>
      <c r="F72" s="74"/>
      <c r="H72" s="65"/>
      <c r="I72" s="65"/>
      <c r="J72" s="65" t="s">
        <v>26</v>
      </c>
      <c r="K72" s="66"/>
      <c r="L72" s="66"/>
      <c r="M72" s="66"/>
      <c r="N72" s="66"/>
    </row>
    <row r="73" spans="1:14" ht="15.75">
      <c r="A73" s="241" t="s">
        <v>59</v>
      </c>
      <c r="B73" s="280">
        <f t="shared" si="0"/>
        <v>53107.86</v>
      </c>
      <c r="C73" s="457">
        <f t="shared" si="0"/>
        <v>55014.432174</v>
      </c>
      <c r="D73" s="455">
        <f>B73-C73</f>
        <v>-1906.5721740000008</v>
      </c>
      <c r="E73" s="115"/>
      <c r="F73" s="74"/>
      <c r="H73" s="65"/>
      <c r="I73" s="65"/>
      <c r="J73" s="65"/>
      <c r="K73" s="66"/>
      <c r="L73" s="66"/>
      <c r="M73" s="66"/>
      <c r="N73" s="66"/>
    </row>
    <row r="74" spans="1:14" ht="15.75">
      <c r="A74" s="241" t="s">
        <v>60</v>
      </c>
      <c r="B74" s="280">
        <f t="shared" si="0"/>
        <v>225796.51</v>
      </c>
      <c r="C74" s="457">
        <f t="shared" si="0"/>
        <v>233902.604709</v>
      </c>
      <c r="D74" s="455">
        <f>B74-C74</f>
        <v>-8106.094708999997</v>
      </c>
      <c r="E74" s="115"/>
      <c r="F74" s="74"/>
      <c r="H74" s="65"/>
      <c r="I74" s="65"/>
      <c r="J74" s="65"/>
      <c r="K74" s="66"/>
      <c r="L74" s="66"/>
      <c r="M74" s="66"/>
      <c r="N74" s="66"/>
    </row>
    <row r="75" spans="1:14" ht="15.75">
      <c r="A75" s="249" t="s">
        <v>318</v>
      </c>
      <c r="B75" s="280">
        <v>39151.28</v>
      </c>
      <c r="C75" s="457">
        <f>B75</f>
        <v>39151.28</v>
      </c>
      <c r="D75" s="455">
        <v>-1405.530952000001</v>
      </c>
      <c r="E75" s="115"/>
      <c r="F75" s="74"/>
      <c r="H75" s="65" t="s">
        <v>26</v>
      </c>
      <c r="I75" s="65"/>
      <c r="J75" s="65"/>
      <c r="K75" s="66"/>
      <c r="L75" s="66"/>
      <c r="M75" s="66"/>
      <c r="N75" s="66"/>
    </row>
    <row r="76" spans="1:14" ht="15.75">
      <c r="A76" s="250"/>
      <c r="B76" s="251"/>
      <c r="C76" s="447"/>
      <c r="D76" s="448"/>
      <c r="E76" s="115"/>
      <c r="F76" s="74"/>
      <c r="H76" s="65"/>
      <c r="I76" s="65"/>
      <c r="J76" s="65"/>
      <c r="K76" s="66"/>
      <c r="L76" s="66"/>
      <c r="M76" s="66"/>
      <c r="N76" s="66"/>
    </row>
    <row r="77" spans="1:14" ht="26.25">
      <c r="A77" s="254" t="s">
        <v>66</v>
      </c>
      <c r="B77" s="251" t="s">
        <v>11</v>
      </c>
      <c r="C77" s="449"/>
      <c r="D77" s="458">
        <v>34557.69</v>
      </c>
      <c r="E77" s="115"/>
      <c r="F77" s="74"/>
      <c r="H77" s="65"/>
      <c r="I77" s="65"/>
      <c r="J77" s="65" t="s">
        <v>26</v>
      </c>
      <c r="K77" s="66"/>
      <c r="L77" s="66"/>
      <c r="M77" s="66"/>
      <c r="N77" s="66"/>
    </row>
    <row r="78" spans="1:14" ht="17.25" customHeight="1">
      <c r="A78" s="495" t="s">
        <v>67</v>
      </c>
      <c r="B78" s="495"/>
      <c r="C78" s="495"/>
      <c r="D78" s="495"/>
      <c r="E78" s="122" t="s">
        <v>83</v>
      </c>
      <c r="F78" s="65"/>
      <c r="H78" s="85" t="e">
        <f>E78-B18</f>
        <v>#VALUE!</v>
      </c>
      <c r="I78" s="65"/>
      <c r="J78" s="65"/>
      <c r="K78" s="66"/>
      <c r="L78" s="66"/>
      <c r="M78" s="66"/>
      <c r="N78" s="66"/>
    </row>
    <row r="79" spans="1:5" ht="21" customHeight="1">
      <c r="A79" s="87" t="s">
        <v>45</v>
      </c>
      <c r="B79" s="87" t="s">
        <v>46</v>
      </c>
      <c r="C79" s="87">
        <v>0</v>
      </c>
      <c r="D79" s="179">
        <v>0</v>
      </c>
      <c r="E79" s="124"/>
    </row>
    <row r="80" spans="1:5" ht="21" customHeight="1">
      <c r="A80" s="87" t="s">
        <v>47</v>
      </c>
      <c r="B80" s="87" t="s">
        <v>46</v>
      </c>
      <c r="C80" s="87">
        <v>0</v>
      </c>
      <c r="D80" s="179">
        <v>0</v>
      </c>
      <c r="E80" s="124"/>
    </row>
    <row r="81" spans="1:5" ht="18" customHeight="1">
      <c r="A81" s="87" t="s">
        <v>48</v>
      </c>
      <c r="B81" s="87" t="s">
        <v>46</v>
      </c>
      <c r="C81" s="87">
        <v>0</v>
      </c>
      <c r="D81" s="179">
        <v>0</v>
      </c>
      <c r="E81" s="124"/>
    </row>
    <row r="82" spans="1:5" ht="16.5" customHeight="1">
      <c r="A82" s="87" t="s">
        <v>49</v>
      </c>
      <c r="B82" s="87" t="s">
        <v>11</v>
      </c>
      <c r="C82" s="87">
        <v>0</v>
      </c>
      <c r="D82" s="179">
        <v>0</v>
      </c>
      <c r="E82" s="124"/>
    </row>
    <row r="83" spans="1:5" ht="15.75" customHeight="1">
      <c r="A83" s="489" t="s">
        <v>68</v>
      </c>
      <c r="B83" s="489"/>
      <c r="C83" s="489"/>
      <c r="D83" s="489"/>
      <c r="E83" s="124"/>
    </row>
    <row r="84" spans="1:5" ht="18.75" customHeight="1">
      <c r="A84" s="87" t="s">
        <v>69</v>
      </c>
      <c r="B84" s="87" t="s">
        <v>46</v>
      </c>
      <c r="C84" s="87"/>
      <c r="D84" s="179">
        <v>1</v>
      </c>
      <c r="E84" s="124"/>
    </row>
    <row r="85" spans="1:5" ht="21.75" customHeight="1">
      <c r="A85" s="87" t="s">
        <v>70</v>
      </c>
      <c r="B85" s="257" t="s">
        <v>46</v>
      </c>
      <c r="C85" s="257"/>
      <c r="D85" s="179">
        <v>1</v>
      </c>
      <c r="E85" s="124"/>
    </row>
    <row r="86" spans="1:5" ht="36" customHeight="1">
      <c r="A86" s="258" t="s">
        <v>71</v>
      </c>
      <c r="B86" s="87" t="s">
        <v>11</v>
      </c>
      <c r="C86" s="87"/>
      <c r="D86" s="179">
        <v>108000</v>
      </c>
      <c r="E86" s="124"/>
    </row>
    <row r="87" spans="1:5" ht="15.75">
      <c r="A87" s="259"/>
      <c r="B87" s="259"/>
      <c r="C87" s="259"/>
      <c r="D87" s="260"/>
      <c r="E87" s="110"/>
    </row>
    <row r="88" spans="1:14" s="1" customFormat="1" ht="12.75">
      <c r="A88" s="180"/>
      <c r="B88" s="180"/>
      <c r="C88" s="180"/>
      <c r="D88" s="180"/>
      <c r="E88" s="110"/>
      <c r="H88" s="1" t="s">
        <v>26</v>
      </c>
      <c r="K88"/>
      <c r="L88"/>
      <c r="M88"/>
      <c r="N88"/>
    </row>
    <row r="89" spans="1:14" s="1" customFormat="1" ht="12.75">
      <c r="A89" s="180" t="s">
        <v>72</v>
      </c>
      <c r="B89" s="180"/>
      <c r="C89" s="180" t="s">
        <v>146</v>
      </c>
      <c r="D89" s="180"/>
      <c r="E89" s="110"/>
      <c r="K89"/>
      <c r="L89"/>
      <c r="M89"/>
      <c r="N89"/>
    </row>
    <row r="90" spans="1:14" s="1" customFormat="1" ht="12.75">
      <c r="A90" s="180"/>
      <c r="B90" s="180"/>
      <c r="C90" s="180"/>
      <c r="D90" s="180"/>
      <c r="E90" s="110"/>
      <c r="H90" s="1" t="s">
        <v>26</v>
      </c>
      <c r="K90"/>
      <c r="L90"/>
      <c r="M90"/>
      <c r="N90"/>
    </row>
    <row r="91" spans="1:14" s="1" customFormat="1" ht="12.75">
      <c r="A91" s="180" t="s">
        <v>73</v>
      </c>
      <c r="B91" s="180"/>
      <c r="C91" s="180"/>
      <c r="D91" s="180"/>
      <c r="E91" s="110"/>
      <c r="K91"/>
      <c r="L91"/>
      <c r="M91"/>
      <c r="N91"/>
    </row>
    <row r="95" spans="1:14" s="1" customFormat="1" ht="12.75">
      <c r="A95"/>
      <c r="B95"/>
      <c r="C95"/>
      <c r="D95"/>
      <c r="E95" s="1" t="s">
        <v>26</v>
      </c>
      <c r="K95"/>
      <c r="L95"/>
      <c r="M95"/>
      <c r="N95"/>
    </row>
  </sheetData>
  <sheetProtection selectLockedCells="1" selectUnlockedCells="1"/>
  <mergeCells count="13">
    <mergeCell ref="A83:D83"/>
    <mergeCell ref="A14:D14"/>
    <mergeCell ref="A28:D28"/>
    <mergeCell ref="A53:D53"/>
    <mergeCell ref="A58:D58"/>
    <mergeCell ref="A65:D65"/>
    <mergeCell ref="A78:D7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80" zoomScaleNormal="80" zoomScalePageLayoutView="0" workbookViewId="0" topLeftCell="A1">
      <selection activeCell="D76" sqref="D76"/>
    </sheetView>
  </sheetViews>
  <sheetFormatPr defaultColWidth="11.57421875" defaultRowHeight="12.75"/>
  <cols>
    <col min="1" max="1" width="54.7109375" style="0" customWidth="1"/>
    <col min="2" max="2" width="17.7109375" style="0" customWidth="1"/>
    <col min="3" max="3" width="22.421875" style="0" customWidth="1"/>
    <col min="4" max="4" width="18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117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28.5" customHeight="1">
      <c r="A7" s="488" t="s">
        <v>2</v>
      </c>
      <c r="B7" s="488"/>
      <c r="C7" s="488"/>
      <c r="D7" s="488"/>
    </row>
    <row r="8" spans="1:4" ht="12.75">
      <c r="A8" s="185" t="s">
        <v>339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5" ht="12.75">
      <c r="A11" s="20" t="s">
        <v>6</v>
      </c>
      <c r="B11" s="191"/>
      <c r="C11" s="192" t="s">
        <v>242</v>
      </c>
      <c r="D11" s="193"/>
      <c r="E11" s="110"/>
    </row>
    <row r="12" spans="1:5" ht="12.75">
      <c r="A12" s="20" t="s">
        <v>7</v>
      </c>
      <c r="B12" s="191"/>
      <c r="C12" s="192" t="s">
        <v>243</v>
      </c>
      <c r="D12" s="193"/>
      <c r="E12" s="110"/>
    </row>
    <row r="13" spans="1:5" ht="12.75">
      <c r="A13" s="20" t="s">
        <v>8</v>
      </c>
      <c r="B13" s="191"/>
      <c r="C13" s="192" t="s">
        <v>244</v>
      </c>
      <c r="D13" s="193"/>
      <c r="E13" s="110"/>
    </row>
    <row r="14" spans="1:9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  <c r="I14" s="110"/>
    </row>
    <row r="15" spans="1:9" ht="26.25">
      <c r="A15" s="17" t="s">
        <v>10</v>
      </c>
      <c r="B15" s="194" t="s">
        <v>11</v>
      </c>
      <c r="C15" s="197">
        <v>16766.09</v>
      </c>
      <c r="D15" s="196"/>
      <c r="E15" s="110"/>
      <c r="F15" s="110"/>
      <c r="G15" s="110"/>
      <c r="H15" s="110"/>
      <c r="I15" s="110"/>
    </row>
    <row r="16" spans="1:9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  <c r="I16" s="110"/>
    </row>
    <row r="17" spans="1:9" ht="15.75">
      <c r="A17" s="20" t="s">
        <v>13</v>
      </c>
      <c r="B17" s="194" t="s">
        <v>11</v>
      </c>
      <c r="C17" s="197">
        <v>5944.72</v>
      </c>
      <c r="D17" s="198"/>
      <c r="E17" s="110"/>
      <c r="F17" s="110"/>
      <c r="G17" s="110"/>
      <c r="H17" s="110"/>
      <c r="I17" s="110"/>
    </row>
    <row r="18" spans="1:9" ht="31.5" customHeight="1">
      <c r="A18" s="17" t="s">
        <v>14</v>
      </c>
      <c r="B18" s="194" t="s">
        <v>11</v>
      </c>
      <c r="C18" s="197">
        <f>160589.01+24087.22</f>
        <v>184676.23</v>
      </c>
      <c r="D18" s="198"/>
      <c r="E18" s="111">
        <f>C18-C20</f>
        <v>165020.0428</v>
      </c>
      <c r="F18" s="110"/>
      <c r="G18" s="110"/>
      <c r="H18" s="110"/>
      <c r="I18" s="110"/>
    </row>
    <row r="19" spans="1:9" ht="15.75">
      <c r="A19" s="20" t="s">
        <v>15</v>
      </c>
      <c r="B19" s="194" t="s">
        <v>11</v>
      </c>
      <c r="C19" s="197">
        <f>C18-C20-C21</f>
        <v>116286.6556</v>
      </c>
      <c r="D19" s="198"/>
      <c r="E19" s="111">
        <f>E18-E46</f>
        <v>24087.2224</v>
      </c>
      <c r="F19" s="110"/>
      <c r="G19" s="110"/>
      <c r="H19" s="110"/>
      <c r="I19" s="110"/>
    </row>
    <row r="20" spans="1:9" ht="15.75">
      <c r="A20" s="20" t="s">
        <v>16</v>
      </c>
      <c r="B20" s="194" t="s">
        <v>11</v>
      </c>
      <c r="C20" s="197">
        <f>(1.81+1.57)*6*969.24</f>
        <v>19656.1872</v>
      </c>
      <c r="D20" s="198"/>
      <c r="E20" s="112"/>
      <c r="F20" s="110"/>
      <c r="G20" s="110"/>
      <c r="H20" s="110"/>
      <c r="I20" s="110"/>
    </row>
    <row r="21" spans="1:9" ht="15.75">
      <c r="A21" s="20" t="s">
        <v>17</v>
      </c>
      <c r="B21" s="194" t="s">
        <v>11</v>
      </c>
      <c r="C21" s="199">
        <f>969.24*4.19*12</f>
        <v>48733.387200000005</v>
      </c>
      <c r="D21" s="198"/>
      <c r="E21" s="110"/>
      <c r="F21" s="110"/>
      <c r="G21" s="110"/>
      <c r="H21" s="110"/>
      <c r="I21" s="110"/>
    </row>
    <row r="22" spans="1:9" ht="15.75">
      <c r="A22" s="20" t="s">
        <v>18</v>
      </c>
      <c r="B22" s="194" t="s">
        <v>11</v>
      </c>
      <c r="C22" s="197">
        <f>C23+C24+C25+C26</f>
        <v>180761.09392400002</v>
      </c>
      <c r="D22" s="198" t="s">
        <v>19</v>
      </c>
      <c r="E22" s="111"/>
      <c r="F22" s="110"/>
      <c r="G22" s="110"/>
      <c r="H22" s="110"/>
      <c r="I22" s="110"/>
    </row>
    <row r="23" spans="1:9" ht="15.75">
      <c r="A23" s="20" t="s">
        <v>20</v>
      </c>
      <c r="B23" s="194" t="s">
        <v>11</v>
      </c>
      <c r="C23" s="197">
        <f>C18*0.9788</f>
        <v>180761.09392400002</v>
      </c>
      <c r="D23" s="198"/>
      <c r="E23" s="110"/>
      <c r="F23" s="110"/>
      <c r="G23" s="110"/>
      <c r="H23" s="110"/>
      <c r="I23" s="110"/>
    </row>
    <row r="24" spans="1:9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  <c r="I24" s="110"/>
    </row>
    <row r="25" spans="1:9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  <c r="I25" s="110"/>
    </row>
    <row r="26" spans="1:9" ht="18.75" customHeight="1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  <c r="I26" s="110"/>
    </row>
    <row r="27" spans="1:9" ht="15.75">
      <c r="A27" s="20" t="s">
        <v>25</v>
      </c>
      <c r="B27" s="194" t="s">
        <v>11</v>
      </c>
      <c r="C27" s="197">
        <f>C15+C22</f>
        <v>197527.183924</v>
      </c>
      <c r="D27" s="198" t="s">
        <v>26</v>
      </c>
      <c r="E27" s="112" t="e">
        <f>B27/#REF!*1</f>
        <v>#VALUE!</v>
      </c>
      <c r="F27" s="110"/>
      <c r="G27" s="110"/>
      <c r="H27" s="110"/>
      <c r="I27" s="110"/>
    </row>
    <row r="28" spans="1:9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  <c r="I28" s="110"/>
    </row>
    <row r="29" spans="1:9" ht="51">
      <c r="A29" s="202" t="s">
        <v>28</v>
      </c>
      <c r="B29" s="203" t="s">
        <v>29</v>
      </c>
      <c r="C29" s="204" t="s">
        <v>30</v>
      </c>
      <c r="D29" s="205" t="s">
        <v>31</v>
      </c>
      <c r="E29" s="110"/>
      <c r="F29" s="110"/>
      <c r="G29" s="110"/>
      <c r="H29" s="110"/>
      <c r="I29" s="110"/>
    </row>
    <row r="30" spans="1:9" ht="31.5">
      <c r="A30" s="206" t="s">
        <v>32</v>
      </c>
      <c r="B30" s="207" t="s">
        <v>33</v>
      </c>
      <c r="C30" s="401" t="s">
        <v>34</v>
      </c>
      <c r="D30" s="209">
        <f>(0.6+0.5)*6*969.24</f>
        <v>6396.984</v>
      </c>
      <c r="E30" s="110"/>
      <c r="F30" s="110"/>
      <c r="G30" s="110"/>
      <c r="H30" s="110"/>
      <c r="I30" s="110"/>
    </row>
    <row r="31" spans="1:9" ht="15.75">
      <c r="A31" s="210" t="s">
        <v>75</v>
      </c>
      <c r="B31" s="211" t="s">
        <v>76</v>
      </c>
      <c r="C31" s="212" t="s">
        <v>34</v>
      </c>
      <c r="D31" s="213">
        <f>2.4*12*969.24</f>
        <v>27914.111999999997</v>
      </c>
      <c r="E31" s="110"/>
      <c r="F31" s="110"/>
      <c r="G31" s="110"/>
      <c r="H31" s="110"/>
      <c r="I31" s="110"/>
    </row>
    <row r="32" spans="1:9" ht="15.75">
      <c r="A32" s="210" t="s">
        <v>319</v>
      </c>
      <c r="B32" s="211" t="s">
        <v>35</v>
      </c>
      <c r="C32" s="368" t="s">
        <v>325</v>
      </c>
      <c r="D32" s="213">
        <f>0.15*12*969.24</f>
        <v>1744.6319999999998</v>
      </c>
      <c r="E32" s="110"/>
      <c r="F32" s="110"/>
      <c r="G32" s="110"/>
      <c r="H32" s="110"/>
      <c r="I32" s="110"/>
    </row>
    <row r="33" spans="1:9" ht="15.75">
      <c r="A33" s="210" t="s">
        <v>36</v>
      </c>
      <c r="B33" s="211" t="s">
        <v>78</v>
      </c>
      <c r="C33" s="212" t="s">
        <v>37</v>
      </c>
      <c r="D33" s="213">
        <f>0.48*12*969.24</f>
        <v>5582.8224</v>
      </c>
      <c r="E33" s="110"/>
      <c r="F33" s="110"/>
      <c r="G33" s="110"/>
      <c r="H33" s="110"/>
      <c r="I33" s="110"/>
    </row>
    <row r="34" spans="1:9" ht="15.75">
      <c r="A34" s="210" t="s">
        <v>79</v>
      </c>
      <c r="B34" s="369" t="s">
        <v>33</v>
      </c>
      <c r="C34" s="212" t="s">
        <v>34</v>
      </c>
      <c r="D34" s="213">
        <f>0.73*12*969.24</f>
        <v>8490.5424</v>
      </c>
      <c r="E34" s="110"/>
      <c r="F34" s="110"/>
      <c r="G34" s="110"/>
      <c r="H34" s="110"/>
      <c r="I34" s="110"/>
    </row>
    <row r="35" spans="1:9" ht="15.75">
      <c r="A35" s="210" t="s">
        <v>107</v>
      </c>
      <c r="B35" s="211" t="s">
        <v>33</v>
      </c>
      <c r="C35" s="212" t="s">
        <v>34</v>
      </c>
      <c r="D35" s="213">
        <f>969.24*(1.9+1.86)*6-1022.07</f>
        <v>20843.9844</v>
      </c>
      <c r="E35" s="110"/>
      <c r="F35" s="110"/>
      <c r="G35" s="110"/>
      <c r="H35" s="110"/>
      <c r="I35" s="110"/>
    </row>
    <row r="36" spans="1:9" ht="31.5">
      <c r="A36" s="210" t="s">
        <v>81</v>
      </c>
      <c r="B36" s="216" t="s">
        <v>82</v>
      </c>
      <c r="C36" s="212" t="s">
        <v>34</v>
      </c>
      <c r="D36" s="213">
        <f>969.24*1.33*12</f>
        <v>15469.0704</v>
      </c>
      <c r="E36" s="110"/>
      <c r="F36" s="110"/>
      <c r="G36" s="110"/>
      <c r="H36" s="110"/>
      <c r="I36" s="110"/>
    </row>
    <row r="37" spans="1:9" ht="15.75">
      <c r="A37" s="210" t="s">
        <v>38</v>
      </c>
      <c r="B37" s="211" t="s">
        <v>35</v>
      </c>
      <c r="C37" s="368" t="s">
        <v>237</v>
      </c>
      <c r="D37" s="213">
        <f>4.19*969.24*12</f>
        <v>48733.387200000005</v>
      </c>
      <c r="E37" s="110"/>
      <c r="F37" s="110"/>
      <c r="G37" s="110"/>
      <c r="H37" s="110"/>
      <c r="I37" s="110"/>
    </row>
    <row r="38" spans="1:9" ht="15.75">
      <c r="A38" s="210" t="s">
        <v>85</v>
      </c>
      <c r="B38" s="211" t="s">
        <v>238</v>
      </c>
      <c r="C38" s="262" t="s">
        <v>37</v>
      </c>
      <c r="D38" s="213">
        <f>969.24*6*(0.59+0.4)</f>
        <v>5757.2856</v>
      </c>
      <c r="E38" s="110"/>
      <c r="F38" s="110"/>
      <c r="G38" s="110"/>
      <c r="H38" s="110"/>
      <c r="I38" s="110"/>
    </row>
    <row r="39" spans="1:9" ht="39" customHeight="1">
      <c r="A39" s="210" t="s">
        <v>255</v>
      </c>
      <c r="B39" s="211" t="s">
        <v>154</v>
      </c>
      <c r="C39" s="319" t="s">
        <v>303</v>
      </c>
      <c r="D39" s="213">
        <v>4000</v>
      </c>
      <c r="E39" s="110"/>
      <c r="F39" s="110"/>
      <c r="G39" s="110"/>
      <c r="H39" s="110"/>
      <c r="I39" s="110"/>
    </row>
    <row r="40" spans="1:9" ht="15.75">
      <c r="A40" s="210" t="s">
        <v>219</v>
      </c>
      <c r="B40" s="211"/>
      <c r="C40" s="319"/>
      <c r="D40" s="213"/>
      <c r="E40" s="110"/>
      <c r="F40" s="110"/>
      <c r="G40" s="110"/>
      <c r="H40" s="110"/>
      <c r="I40" s="110"/>
    </row>
    <row r="41" spans="1:9" ht="47.25">
      <c r="A41" s="210" t="s">
        <v>223</v>
      </c>
      <c r="B41" s="211" t="s">
        <v>35</v>
      </c>
      <c r="C41" s="319" t="s">
        <v>220</v>
      </c>
      <c r="D41" s="213">
        <v>876.29</v>
      </c>
      <c r="E41" s="110"/>
      <c r="F41" s="110"/>
      <c r="G41" s="110"/>
      <c r="H41" s="110"/>
      <c r="I41" s="110"/>
    </row>
    <row r="42" spans="1:9" ht="31.5">
      <c r="A42" s="210" t="s">
        <v>221</v>
      </c>
      <c r="B42" s="211" t="s">
        <v>35</v>
      </c>
      <c r="C42" s="319" t="s">
        <v>222</v>
      </c>
      <c r="D42" s="213">
        <v>23216.41</v>
      </c>
      <c r="E42" s="110"/>
      <c r="F42" s="110"/>
      <c r="G42" s="110"/>
      <c r="H42" s="110"/>
      <c r="I42" s="110"/>
    </row>
    <row r="43" spans="1:14" s="1" customFormat="1" ht="78.75">
      <c r="A43" s="263" t="s">
        <v>217</v>
      </c>
      <c r="B43" s="218" t="s">
        <v>41</v>
      </c>
      <c r="C43" s="208"/>
      <c r="D43" s="387">
        <f>D44+D45</f>
        <v>3172</v>
      </c>
      <c r="E43" s="110"/>
      <c r="F43" s="110"/>
      <c r="G43" s="110"/>
      <c r="H43" s="110"/>
      <c r="I43" s="110"/>
      <c r="K43"/>
      <c r="L43"/>
      <c r="M43"/>
      <c r="N43"/>
    </row>
    <row r="44" spans="1:14" s="1" customFormat="1" ht="31.5">
      <c r="A44" s="223" t="s">
        <v>266</v>
      </c>
      <c r="B44" s="220" t="s">
        <v>159</v>
      </c>
      <c r="C44" s="221" t="s">
        <v>77</v>
      </c>
      <c r="D44" s="178">
        <v>270</v>
      </c>
      <c r="E44" s="110"/>
      <c r="F44" s="110"/>
      <c r="G44" s="110"/>
      <c r="H44" s="110"/>
      <c r="I44" s="110"/>
      <c r="K44"/>
      <c r="L44"/>
      <c r="M44"/>
      <c r="N44"/>
    </row>
    <row r="45" spans="1:14" s="1" customFormat="1" ht="15.75">
      <c r="A45" s="223" t="s">
        <v>291</v>
      </c>
      <c r="B45" s="220" t="s">
        <v>156</v>
      </c>
      <c r="C45" s="262" t="s">
        <v>34</v>
      </c>
      <c r="D45" s="178">
        <v>2902</v>
      </c>
      <c r="E45" s="110"/>
      <c r="F45" s="110"/>
      <c r="G45" s="110"/>
      <c r="H45" s="110"/>
      <c r="I45" s="110"/>
      <c r="K45"/>
      <c r="L45"/>
      <c r="M45"/>
      <c r="N45"/>
    </row>
    <row r="46" spans="1:14" s="1" customFormat="1" ht="15.75">
      <c r="A46" s="37" t="s">
        <v>42</v>
      </c>
      <c r="B46" s="225"/>
      <c r="C46" s="225"/>
      <c r="D46" s="98">
        <f>D30+D31+D32+D33+D34+D35+D36+D37+D38+D41+D42+D43</f>
        <v>168197.5204</v>
      </c>
      <c r="E46" s="113">
        <f>D46-D41-D42-D43</f>
        <v>140932.8204</v>
      </c>
      <c r="F46" s="110"/>
      <c r="G46" s="110"/>
      <c r="H46" s="110"/>
      <c r="I46" s="110"/>
      <c r="K46"/>
      <c r="L46"/>
      <c r="M46"/>
      <c r="N46"/>
    </row>
    <row r="47" spans="1:14" s="1" customFormat="1" ht="15.75">
      <c r="A47" s="40" t="s">
        <v>43</v>
      </c>
      <c r="B47" s="227" t="s">
        <v>11</v>
      </c>
      <c r="C47" s="228"/>
      <c r="D47" s="229">
        <f>C27-D46</f>
        <v>29329.663524000003</v>
      </c>
      <c r="E47" s="113"/>
      <c r="F47" s="110"/>
      <c r="G47" s="110"/>
      <c r="H47" s="110"/>
      <c r="I47" s="110"/>
      <c r="K47"/>
      <c r="L47"/>
      <c r="M47"/>
      <c r="N47"/>
    </row>
    <row r="48" spans="1:14" s="1" customFormat="1" ht="15.75">
      <c r="A48" s="230" t="s">
        <v>12</v>
      </c>
      <c r="B48" s="231" t="s">
        <v>11</v>
      </c>
      <c r="C48" s="212"/>
      <c r="D48" s="196"/>
      <c r="E48" s="110"/>
      <c r="F48" s="110"/>
      <c r="G48" s="110"/>
      <c r="H48" s="110"/>
      <c r="I48" s="110"/>
      <c r="K48"/>
      <c r="L48"/>
      <c r="M48"/>
      <c r="N48"/>
    </row>
    <row r="49" spans="1:14" s="1" customFormat="1" ht="15.75">
      <c r="A49" s="230" t="s">
        <v>13</v>
      </c>
      <c r="B49" s="231" t="s">
        <v>11</v>
      </c>
      <c r="C49" s="212"/>
      <c r="D49" s="198">
        <v>24128.8</v>
      </c>
      <c r="E49" s="110"/>
      <c r="F49" s="110"/>
      <c r="G49" s="110"/>
      <c r="H49" s="110"/>
      <c r="I49" s="110"/>
      <c r="K49"/>
      <c r="L49"/>
      <c r="M49"/>
      <c r="N49"/>
    </row>
    <row r="50" spans="1:14" s="1" customFormat="1" ht="24" customHeight="1">
      <c r="A50" s="492" t="s">
        <v>44</v>
      </c>
      <c r="B50" s="492"/>
      <c r="C50" s="492"/>
      <c r="D50" s="492"/>
      <c r="E50" s="110"/>
      <c r="F50" s="110"/>
      <c r="G50" s="110"/>
      <c r="H50" s="110"/>
      <c r="I50" s="110"/>
      <c r="K50"/>
      <c r="L50"/>
      <c r="M50"/>
      <c r="N50"/>
    </row>
    <row r="51" spans="1:14" s="1" customFormat="1" ht="15.75">
      <c r="A51" s="230" t="s">
        <v>45</v>
      </c>
      <c r="B51" s="211" t="s">
        <v>46</v>
      </c>
      <c r="C51" s="212">
        <v>0</v>
      </c>
      <c r="D51" s="196">
        <v>0</v>
      </c>
      <c r="E51" s="110"/>
      <c r="F51" s="110"/>
      <c r="G51" s="110"/>
      <c r="H51" s="110"/>
      <c r="I51" s="110"/>
      <c r="K51"/>
      <c r="L51"/>
      <c r="M51"/>
      <c r="N51"/>
    </row>
    <row r="52" spans="1:14" s="1" customFormat="1" ht="15.75">
      <c r="A52" s="230" t="s">
        <v>47</v>
      </c>
      <c r="B52" s="211" t="s">
        <v>46</v>
      </c>
      <c r="C52" s="212">
        <v>0</v>
      </c>
      <c r="D52" s="196">
        <v>0</v>
      </c>
      <c r="E52" s="110"/>
      <c r="F52" s="110"/>
      <c r="G52" s="110"/>
      <c r="H52" s="110"/>
      <c r="I52" s="110"/>
      <c r="K52"/>
      <c r="L52"/>
      <c r="M52"/>
      <c r="N52"/>
    </row>
    <row r="53" spans="1:14" s="1" customFormat="1" ht="26.25">
      <c r="A53" s="232" t="s">
        <v>48</v>
      </c>
      <c r="B53" s="211" t="s">
        <v>46</v>
      </c>
      <c r="C53" s="212">
        <v>0</v>
      </c>
      <c r="D53" s="196">
        <v>0</v>
      </c>
      <c r="E53" s="110"/>
      <c r="F53" s="110"/>
      <c r="G53" s="110"/>
      <c r="H53" s="110"/>
      <c r="I53" s="110"/>
      <c r="K53"/>
      <c r="L53"/>
      <c r="M53"/>
      <c r="N53"/>
    </row>
    <row r="54" spans="1:14" s="1" customFormat="1" ht="15.75">
      <c r="A54" s="230" t="s">
        <v>49</v>
      </c>
      <c r="B54" s="211" t="s">
        <v>11</v>
      </c>
      <c r="C54" s="212">
        <v>0</v>
      </c>
      <c r="D54" s="196">
        <v>0</v>
      </c>
      <c r="E54" s="110"/>
      <c r="F54" s="110"/>
      <c r="G54" s="110"/>
      <c r="H54" s="110"/>
      <c r="I54" s="110"/>
      <c r="K54"/>
      <c r="L54"/>
      <c r="M54"/>
      <c r="N54"/>
    </row>
    <row r="55" spans="1:9" ht="20.25" customHeight="1">
      <c r="A55" s="493" t="s">
        <v>50</v>
      </c>
      <c r="B55" s="493"/>
      <c r="C55" s="493"/>
      <c r="D55" s="493"/>
      <c r="E55" s="110"/>
      <c r="F55" s="110"/>
      <c r="G55" s="110"/>
      <c r="H55" s="110"/>
      <c r="I55" s="110"/>
    </row>
    <row r="56" spans="1:5" ht="26.25">
      <c r="A56" s="232" t="s">
        <v>51</v>
      </c>
      <c r="B56" s="211" t="s">
        <v>11</v>
      </c>
      <c r="C56" s="212"/>
      <c r="D56" s="196">
        <v>0</v>
      </c>
      <c r="E56" s="110"/>
    </row>
    <row r="57" spans="1:5" ht="15.75">
      <c r="A57" s="230" t="s">
        <v>12</v>
      </c>
      <c r="B57" s="211" t="s">
        <v>11</v>
      </c>
      <c r="C57" s="212"/>
      <c r="D57" s="196">
        <v>0</v>
      </c>
      <c r="E57" s="110"/>
    </row>
    <row r="58" spans="1:8" ht="15.75">
      <c r="A58" s="230" t="s">
        <v>13</v>
      </c>
      <c r="B58" s="211" t="s">
        <v>11</v>
      </c>
      <c r="C58" s="212"/>
      <c r="D58" s="233">
        <f>D61-D64-D65-D66-D67</f>
        <v>69618.04147599997</v>
      </c>
      <c r="E58" s="110"/>
      <c r="H58" s="49"/>
    </row>
    <row r="59" spans="1:5" ht="26.25">
      <c r="A59" s="234" t="s">
        <v>52</v>
      </c>
      <c r="B59" s="211" t="s">
        <v>11</v>
      </c>
      <c r="C59" s="235"/>
      <c r="D59" s="236">
        <v>0</v>
      </c>
      <c r="E59" s="110"/>
    </row>
    <row r="60" spans="1:10" ht="17.25" customHeight="1">
      <c r="A60" s="257" t="s">
        <v>12</v>
      </c>
      <c r="B60" s="211" t="s">
        <v>11</v>
      </c>
      <c r="C60" s="212"/>
      <c r="D60" s="196">
        <v>0</v>
      </c>
      <c r="E60" s="110"/>
      <c r="I60" s="49"/>
      <c r="J60" s="49"/>
    </row>
    <row r="61" spans="1:14" ht="15.75">
      <c r="A61" s="238" t="s">
        <v>13</v>
      </c>
      <c r="B61" s="211" t="s">
        <v>11</v>
      </c>
      <c r="C61" s="239"/>
      <c r="D61" s="240">
        <v>83102.18</v>
      </c>
      <c r="E61" s="110"/>
      <c r="H61" s="1" t="s">
        <v>26</v>
      </c>
      <c r="I61" s="60"/>
      <c r="J61" s="60"/>
      <c r="K61" s="61"/>
      <c r="L61" s="61"/>
      <c r="M61" s="61"/>
      <c r="N61" s="61"/>
    </row>
    <row r="62" spans="1:14" ht="18" customHeight="1">
      <c r="A62" s="494" t="s">
        <v>53</v>
      </c>
      <c r="B62" s="494"/>
      <c r="C62" s="494"/>
      <c r="D62" s="494"/>
      <c r="E62" s="115"/>
      <c r="F62" s="63"/>
      <c r="G62" s="64"/>
      <c r="I62" s="65"/>
      <c r="J62" s="65"/>
      <c r="K62" s="66"/>
      <c r="L62" s="66"/>
      <c r="M62" s="66"/>
      <c r="N62" s="66"/>
    </row>
    <row r="63" spans="1:14" ht="38.25">
      <c r="A63" s="67" t="s">
        <v>54</v>
      </c>
      <c r="B63" s="68" t="s">
        <v>55</v>
      </c>
      <c r="C63" s="159" t="s">
        <v>56</v>
      </c>
      <c r="D63" s="160" t="s">
        <v>57</v>
      </c>
      <c r="E63" s="115"/>
      <c r="F63" s="63"/>
      <c r="G63" s="64"/>
      <c r="I63" s="65"/>
      <c r="J63" s="71"/>
      <c r="K63" s="66"/>
      <c r="L63" s="66"/>
      <c r="M63" s="66"/>
      <c r="N63" s="66"/>
    </row>
    <row r="64" spans="1:14" ht="15.75">
      <c r="A64" s="241" t="s">
        <v>58</v>
      </c>
      <c r="B64" s="242">
        <v>78389.82</v>
      </c>
      <c r="C64" s="440">
        <f>B64*0.9788</f>
        <v>76727.955816</v>
      </c>
      <c r="D64" s="441">
        <f>B64-C64</f>
        <v>1661.8641840000055</v>
      </c>
      <c r="E64" s="118"/>
      <c r="F64" s="63"/>
      <c r="G64" s="64"/>
      <c r="I64" s="65"/>
      <c r="J64" s="65"/>
      <c r="K64" s="66"/>
      <c r="L64" s="66"/>
      <c r="M64" s="66"/>
      <c r="N64" s="66"/>
    </row>
    <row r="65" spans="1:14" ht="15.75">
      <c r="A65" s="241" t="s">
        <v>59</v>
      </c>
      <c r="B65" s="242">
        <v>74041.92</v>
      </c>
      <c r="C65" s="440">
        <f>B65*0.9788</f>
        <v>72472.231296</v>
      </c>
      <c r="D65" s="441">
        <f>B65-C65</f>
        <v>1569.6887040000001</v>
      </c>
      <c r="E65" s="115"/>
      <c r="F65" s="63"/>
      <c r="G65" s="64"/>
      <c r="I65" s="65"/>
      <c r="J65" s="65"/>
      <c r="K65" s="66"/>
      <c r="L65" s="66"/>
      <c r="M65" s="66"/>
      <c r="N65" s="66"/>
    </row>
    <row r="66" spans="1:14" ht="15.75">
      <c r="A66" s="241" t="s">
        <v>60</v>
      </c>
      <c r="B66" s="245">
        <v>424412.03</v>
      </c>
      <c r="C66" s="440">
        <f>B66*0.9788</f>
        <v>415414.494964</v>
      </c>
      <c r="D66" s="441">
        <f>B66-C66</f>
        <v>8997.535036000016</v>
      </c>
      <c r="E66" s="115">
        <f>(2.07+1.8)*6*2301.2-0.37*2301.2*6</f>
        <v>48325.2</v>
      </c>
      <c r="F66" s="74"/>
      <c r="G66" s="75"/>
      <c r="H66" s="62"/>
      <c r="I66" s="65"/>
      <c r="J66" s="65"/>
      <c r="K66" s="66"/>
      <c r="L66" s="66"/>
      <c r="M66" s="66"/>
      <c r="N66" s="66"/>
    </row>
    <row r="67" spans="1:14" ht="16.5" thickBot="1">
      <c r="A67" s="264" t="s">
        <v>318</v>
      </c>
      <c r="B67" s="265">
        <v>59200.5</v>
      </c>
      <c r="C67" s="440">
        <f>B67*0.9788</f>
        <v>57945.4494</v>
      </c>
      <c r="D67" s="442">
        <f>B67-C67</f>
        <v>1255.0506000000023</v>
      </c>
      <c r="E67" s="115"/>
      <c r="F67" s="74"/>
      <c r="G67" s="75"/>
      <c r="I67" s="65"/>
      <c r="J67" s="65"/>
      <c r="K67" s="66"/>
      <c r="L67" s="66"/>
      <c r="M67" s="66"/>
      <c r="N67" s="66"/>
    </row>
    <row r="68" spans="1:14" ht="63.75">
      <c r="A68" s="130" t="s">
        <v>62</v>
      </c>
      <c r="B68" s="131" t="s">
        <v>63</v>
      </c>
      <c r="C68" s="131" t="s">
        <v>64</v>
      </c>
      <c r="D68" s="161" t="s">
        <v>65</v>
      </c>
      <c r="E68" s="115"/>
      <c r="F68" s="74"/>
      <c r="H68" s="65"/>
      <c r="I68" s="65"/>
      <c r="J68" s="65"/>
      <c r="K68" s="66"/>
      <c r="L68" s="66"/>
      <c r="M68" s="66"/>
      <c r="N68" s="66"/>
    </row>
    <row r="69" spans="1:14" ht="15.75">
      <c r="A69" s="268" t="s">
        <v>58</v>
      </c>
      <c r="B69" s="247">
        <f aca="true" t="shared" si="0" ref="B69:C71">B64</f>
        <v>78389.82</v>
      </c>
      <c r="C69" s="443">
        <f t="shared" si="0"/>
        <v>76727.955816</v>
      </c>
      <c r="D69" s="444">
        <f>B69-C69</f>
        <v>1661.8641840000055</v>
      </c>
      <c r="E69" s="115"/>
      <c r="F69" s="74"/>
      <c r="H69" s="65"/>
      <c r="I69" s="65"/>
      <c r="J69" s="65" t="s">
        <v>26</v>
      </c>
      <c r="K69" s="66"/>
      <c r="L69" s="66"/>
      <c r="M69" s="66"/>
      <c r="N69" s="66"/>
    </row>
    <row r="70" spans="1:14" ht="15.75">
      <c r="A70" s="268" t="s">
        <v>59</v>
      </c>
      <c r="B70" s="247">
        <f t="shared" si="0"/>
        <v>74041.92</v>
      </c>
      <c r="C70" s="443">
        <f t="shared" si="0"/>
        <v>72472.231296</v>
      </c>
      <c r="D70" s="444">
        <f>B70-C70</f>
        <v>1569.6887040000001</v>
      </c>
      <c r="E70" s="115"/>
      <c r="F70" s="74"/>
      <c r="H70" s="65"/>
      <c r="I70" s="65"/>
      <c r="J70" s="65"/>
      <c r="K70" s="66"/>
      <c r="L70" s="66"/>
      <c r="M70" s="66"/>
      <c r="N70" s="66"/>
    </row>
    <row r="71" spans="1:14" ht="15.75">
      <c r="A71" s="268" t="s">
        <v>60</v>
      </c>
      <c r="B71" s="247">
        <f t="shared" si="0"/>
        <v>424412.03</v>
      </c>
      <c r="C71" s="443">
        <f t="shared" si="0"/>
        <v>415414.494964</v>
      </c>
      <c r="D71" s="444">
        <f>B71-C71</f>
        <v>8997.535036000016</v>
      </c>
      <c r="E71" s="115"/>
      <c r="F71" s="74"/>
      <c r="H71" s="65"/>
      <c r="I71" s="65"/>
      <c r="J71" s="65"/>
      <c r="K71" s="66"/>
      <c r="L71" s="66"/>
      <c r="M71" s="66"/>
      <c r="N71" s="66"/>
    </row>
    <row r="72" spans="1:14" ht="16.5" thickBot="1">
      <c r="A72" s="270" t="s">
        <v>318</v>
      </c>
      <c r="B72" s="436">
        <v>59200.5</v>
      </c>
      <c r="C72" s="445">
        <f>B72</f>
        <v>59200.5</v>
      </c>
      <c r="D72" s="446">
        <f>B72-C72</f>
        <v>0</v>
      </c>
      <c r="E72" s="115"/>
      <c r="F72" s="74"/>
      <c r="H72" s="65" t="s">
        <v>26</v>
      </c>
      <c r="I72" s="65"/>
      <c r="J72" s="65"/>
      <c r="K72" s="66"/>
      <c r="L72" s="66"/>
      <c r="M72" s="66"/>
      <c r="N72" s="66"/>
    </row>
    <row r="73" spans="1:14" ht="4.5" customHeight="1">
      <c r="A73" s="250"/>
      <c r="B73" s="251"/>
      <c r="C73" s="447"/>
      <c r="D73" s="448"/>
      <c r="E73" s="62"/>
      <c r="F73" s="74"/>
      <c r="H73" s="65"/>
      <c r="I73" s="65"/>
      <c r="J73" s="65"/>
      <c r="K73" s="66"/>
      <c r="L73" s="66"/>
      <c r="M73" s="66"/>
      <c r="N73" s="66"/>
    </row>
    <row r="74" spans="1:14" ht="26.25">
      <c r="A74" s="254" t="s">
        <v>66</v>
      </c>
      <c r="B74" s="251" t="s">
        <v>11</v>
      </c>
      <c r="C74" s="449"/>
      <c r="D74" s="450">
        <v>17831.84</v>
      </c>
      <c r="E74" s="62"/>
      <c r="F74" s="74"/>
      <c r="H74" s="65"/>
      <c r="I74" s="65"/>
      <c r="J74" s="65" t="s">
        <v>26</v>
      </c>
      <c r="K74" s="66"/>
      <c r="L74" s="66"/>
      <c r="M74" s="66"/>
      <c r="N74" s="66"/>
    </row>
    <row r="75" spans="1:14" ht="17.25" customHeight="1">
      <c r="A75" s="495" t="s">
        <v>67</v>
      </c>
      <c r="B75" s="495"/>
      <c r="C75" s="495"/>
      <c r="D75" s="495"/>
      <c r="E75" s="84" t="e">
        <f>D75+B19</f>
        <v>#VALUE!</v>
      </c>
      <c r="F75" s="65"/>
      <c r="H75" s="85" t="e">
        <f>E75-B18</f>
        <v>#VALUE!</v>
      </c>
      <c r="I75" s="65"/>
      <c r="J75" s="65"/>
      <c r="K75" s="66"/>
      <c r="L75" s="66"/>
      <c r="M75" s="66"/>
      <c r="N75" s="66"/>
    </row>
    <row r="76" spans="1:5" ht="21" customHeight="1">
      <c r="A76" s="87" t="s">
        <v>45</v>
      </c>
      <c r="B76" s="87" t="s">
        <v>46</v>
      </c>
      <c r="C76" s="87"/>
      <c r="D76" s="179">
        <v>1</v>
      </c>
      <c r="E76" s="89"/>
    </row>
    <row r="77" spans="1:5" ht="21" customHeight="1">
      <c r="A77" s="87" t="s">
        <v>47</v>
      </c>
      <c r="B77" s="87" t="s">
        <v>46</v>
      </c>
      <c r="C77" s="87"/>
      <c r="D77" s="179">
        <v>1</v>
      </c>
      <c r="E77" s="89"/>
    </row>
    <row r="78" spans="1:5" ht="18" customHeight="1">
      <c r="A78" s="87" t="s">
        <v>48</v>
      </c>
      <c r="B78" s="87" t="s">
        <v>46</v>
      </c>
      <c r="C78" s="87"/>
      <c r="D78" s="179">
        <v>0</v>
      </c>
      <c r="E78" s="89"/>
    </row>
    <row r="79" spans="1:5" ht="16.5" customHeight="1">
      <c r="A79" s="87" t="s">
        <v>49</v>
      </c>
      <c r="B79" s="87" t="s">
        <v>11</v>
      </c>
      <c r="C79" s="87"/>
      <c r="D79" s="179">
        <v>831.44</v>
      </c>
      <c r="E79" s="89"/>
    </row>
    <row r="80" spans="1:5" ht="15.75" customHeight="1">
      <c r="A80" s="489" t="s">
        <v>68</v>
      </c>
      <c r="B80" s="489"/>
      <c r="C80" s="489"/>
      <c r="D80" s="489"/>
      <c r="E80" s="89"/>
    </row>
    <row r="81" spans="1:5" ht="18.75" customHeight="1">
      <c r="A81" s="87" t="s">
        <v>69</v>
      </c>
      <c r="B81" s="87" t="s">
        <v>46</v>
      </c>
      <c r="C81" s="87"/>
      <c r="D81" s="179">
        <v>0</v>
      </c>
      <c r="E81" s="89"/>
    </row>
    <row r="82" spans="1:5" ht="21.75" customHeight="1">
      <c r="A82" s="87" t="s">
        <v>70</v>
      </c>
      <c r="B82" s="257" t="s">
        <v>46</v>
      </c>
      <c r="C82" s="257"/>
      <c r="D82" s="179">
        <v>0</v>
      </c>
      <c r="E82" s="89"/>
    </row>
    <row r="83" spans="1:5" ht="36" customHeight="1">
      <c r="A83" s="258" t="s">
        <v>71</v>
      </c>
      <c r="B83" s="87" t="s">
        <v>11</v>
      </c>
      <c r="C83" s="87"/>
      <c r="D83" s="179">
        <v>0</v>
      </c>
      <c r="E83" s="89"/>
    </row>
    <row r="84" spans="1:4" ht="1.5" customHeight="1">
      <c r="A84" s="259"/>
      <c r="B84" s="259"/>
      <c r="C84" s="259"/>
      <c r="D84" s="260"/>
    </row>
    <row r="85" spans="1:14" s="1" customFormat="1" ht="12.75">
      <c r="A85" s="180"/>
      <c r="B85" s="180"/>
      <c r="C85" s="180"/>
      <c r="D85" s="180"/>
      <c r="H85" s="1" t="s">
        <v>26</v>
      </c>
      <c r="K85"/>
      <c r="L85"/>
      <c r="M85"/>
      <c r="N85"/>
    </row>
    <row r="86" spans="1:14" s="1" customFormat="1" ht="12.75">
      <c r="A86" s="180" t="s">
        <v>72</v>
      </c>
      <c r="B86" s="180"/>
      <c r="C86" s="180" t="s">
        <v>146</v>
      </c>
      <c r="D86" s="180"/>
      <c r="K86"/>
      <c r="L86"/>
      <c r="M86"/>
      <c r="N86"/>
    </row>
    <row r="87" spans="1:14" s="1" customFormat="1" ht="12.75">
      <c r="A87" s="180" t="s">
        <v>73</v>
      </c>
      <c r="B87" s="180"/>
      <c r="C87" s="180"/>
      <c r="D87" s="180"/>
      <c r="H87" s="1" t="s">
        <v>26</v>
      </c>
      <c r="K87"/>
      <c r="L87"/>
      <c r="M87"/>
      <c r="N87"/>
    </row>
    <row r="88" spans="1:14" s="1" customFormat="1" ht="12.75">
      <c r="A88" s="180"/>
      <c r="B88" s="180"/>
      <c r="C88" s="180"/>
      <c r="D88" s="180"/>
      <c r="K88"/>
      <c r="L88"/>
      <c r="M88"/>
      <c r="N88"/>
    </row>
    <row r="89" spans="1:4" ht="12.75">
      <c r="A89" s="180"/>
      <c r="B89" s="180"/>
      <c r="C89" s="180"/>
      <c r="D89" s="180"/>
    </row>
    <row r="92" spans="1:14" s="1" customFormat="1" ht="12.75">
      <c r="A92"/>
      <c r="B92"/>
      <c r="C92"/>
      <c r="D92"/>
      <c r="E92" s="1" t="s">
        <v>26</v>
      </c>
      <c r="K92"/>
      <c r="L92"/>
      <c r="M92"/>
      <c r="N92"/>
    </row>
  </sheetData>
  <sheetProtection selectLockedCells="1" selectUnlockedCells="1"/>
  <mergeCells count="13">
    <mergeCell ref="A80:D80"/>
    <mergeCell ref="A14:D14"/>
    <mergeCell ref="A28:D28"/>
    <mergeCell ref="A50:D50"/>
    <mergeCell ref="A55:D55"/>
    <mergeCell ref="A62:D62"/>
    <mergeCell ref="A75:D75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">
      <selection activeCell="E13" sqref="E13:H5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118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185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378">
        <v>8245.79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2972.59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14212.8+1892.16</f>
        <v>16104.96</v>
      </c>
      <c r="D18" s="198"/>
      <c r="E18" s="111">
        <f>C18-C20</f>
        <v>10672.199999999999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5392.799999999998</v>
      </c>
      <c r="D19" s="198"/>
      <c r="E19" s="111">
        <f>E18-D38</f>
        <v>390.59999999999854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(2.98+2.64)*6*105+1892.16</f>
        <v>5432.76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105*4.19*12</f>
        <v>5279.400000000001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16104.96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</f>
        <v>16104.96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24350.75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(0.85+0.65)*6*105</f>
        <v>945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0.24*12*105</f>
        <v>302.4</v>
      </c>
      <c r="E32" s="110"/>
      <c r="F32" s="110"/>
      <c r="G32" s="110"/>
      <c r="H32" s="110"/>
    </row>
    <row r="33" spans="1:8" ht="15.75">
      <c r="A33" s="296" t="s">
        <v>181</v>
      </c>
      <c r="B33" s="211" t="s">
        <v>33</v>
      </c>
      <c r="C33" s="212" t="s">
        <v>34</v>
      </c>
      <c r="D33" s="213">
        <f>(0.69+1.19)*6*105</f>
        <v>1184.3999999999999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1.33*12*105</f>
        <v>1675.8000000000002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4.19*105*12</f>
        <v>5279.400000000001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17" t="s">
        <v>37</v>
      </c>
      <c r="D36" s="213">
        <f>105*6*(0.69+0.73)</f>
        <v>894.5999999999999</v>
      </c>
      <c r="E36" s="110"/>
      <c r="F36" s="110"/>
      <c r="G36" s="110"/>
      <c r="H36" s="110"/>
    </row>
    <row r="37" spans="1:14" s="1" customFormat="1" ht="47.25">
      <c r="A37" s="371" t="s">
        <v>40</v>
      </c>
      <c r="B37" s="218" t="s">
        <v>41</v>
      </c>
      <c r="C37" s="212" t="s">
        <v>34</v>
      </c>
      <c r="D37" s="177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D31+D32+D33+D34+D35+D36+D37</f>
        <v>10281.6</v>
      </c>
      <c r="E38" s="113"/>
      <c r="F38" s="110"/>
      <c r="G38" s="110"/>
      <c r="H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14069.15</v>
      </c>
      <c r="E39" s="113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/>
      <c r="E40" s="110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383">
        <v>3109.8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>
        <v>0</v>
      </c>
      <c r="D43" s="196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>
        <v>0</v>
      </c>
      <c r="D46" s="196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13</v>
      </c>
      <c r="B50" s="211" t="s">
        <v>11</v>
      </c>
      <c r="C50" s="212"/>
      <c r="D50" s="233">
        <f>D53+D56+D58</f>
        <v>12132.99</v>
      </c>
      <c r="E50" s="110"/>
      <c r="F50" s="110"/>
      <c r="G50" s="110"/>
      <c r="H50" s="114"/>
    </row>
    <row r="51" spans="1:8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</row>
    <row r="52" spans="1:10" ht="17.25" customHeight="1">
      <c r="A52" s="257" t="s">
        <v>12</v>
      </c>
      <c r="B52" s="211" t="s">
        <v>11</v>
      </c>
      <c r="C52" s="212"/>
      <c r="D52" s="196">
        <v>0</v>
      </c>
      <c r="E52" s="110"/>
      <c r="F52" s="110"/>
      <c r="G52" s="110"/>
      <c r="H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12132.99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6711.1</v>
      </c>
      <c r="C56" s="243">
        <f>B56*1</f>
        <v>6711.1</v>
      </c>
      <c r="D56" s="244">
        <f>B56-C56</f>
        <v>0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B57*1</f>
        <v>0</v>
      </c>
      <c r="D57" s="244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49297.92</v>
      </c>
      <c r="C58" s="243">
        <f>B58*1</f>
        <v>49297.92</v>
      </c>
      <c r="D58" s="244">
        <f>B58-C58</f>
        <v>0</v>
      </c>
      <c r="E58" s="115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6814.8</v>
      </c>
      <c r="C59" s="243">
        <f>B59*1</f>
        <v>6814.8</v>
      </c>
      <c r="D59" s="267">
        <f>B59-C59</f>
        <v>0</v>
      </c>
      <c r="E59" s="115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74"/>
      <c r="H60" s="65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v>6711.1</v>
      </c>
      <c r="C61" s="248">
        <v>6711.1</v>
      </c>
      <c r="D61" s="269">
        <v>0</v>
      </c>
      <c r="E61" s="115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v>0</v>
      </c>
      <c r="D62" s="269">
        <v>0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49297.92</v>
      </c>
      <c r="C63" s="248">
        <v>49297.92</v>
      </c>
      <c r="D63" s="269">
        <v>0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6814.8</v>
      </c>
      <c r="C64" s="272">
        <v>6814.8</v>
      </c>
      <c r="D64" s="273">
        <v>0</v>
      </c>
      <c r="E64" s="115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7" t="s">
        <v>45</v>
      </c>
      <c r="B68" s="87" t="s">
        <v>46</v>
      </c>
      <c r="C68" s="87"/>
      <c r="D68" s="179">
        <v>0</v>
      </c>
      <c r="E68" s="89"/>
    </row>
    <row r="69" spans="1:5" ht="21" customHeight="1">
      <c r="A69" s="87" t="s">
        <v>47</v>
      </c>
      <c r="B69" s="87" t="s">
        <v>46</v>
      </c>
      <c r="C69" s="87"/>
      <c r="D69" s="179">
        <v>0</v>
      </c>
      <c r="E69" s="89"/>
    </row>
    <row r="70" spans="1:5" ht="18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6.5" customHeight="1">
      <c r="A71" s="87" t="s">
        <v>49</v>
      </c>
      <c r="B71" s="87" t="s">
        <v>11</v>
      </c>
      <c r="C71" s="87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7" t="s">
        <v>69</v>
      </c>
      <c r="B73" s="87" t="s">
        <v>46</v>
      </c>
      <c r="C73" s="87"/>
      <c r="D73" s="179">
        <v>0</v>
      </c>
      <c r="E73" s="89"/>
    </row>
    <row r="74" spans="1:5" ht="21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14" s="1" customFormat="1" ht="12.75">
      <c r="A84" s="180"/>
      <c r="B84" s="180"/>
      <c r="C84" s="180"/>
      <c r="D84" s="180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">
      <selection activeCell="E15" sqref="E15:I4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119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183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4" ht="12.75">
      <c r="A13" s="8" t="s">
        <v>8</v>
      </c>
      <c r="B13" s="9"/>
      <c r="C13" s="145" t="s">
        <v>244</v>
      </c>
      <c r="D13" s="10"/>
    </row>
    <row r="14" spans="1:5" ht="31.5" customHeight="1">
      <c r="A14" s="490" t="s">
        <v>9</v>
      </c>
      <c r="B14" s="490"/>
      <c r="C14" s="490"/>
      <c r="D14" s="490"/>
      <c r="E14" s="110"/>
    </row>
    <row r="15" spans="1:9" ht="25.5">
      <c r="A15" s="11" t="s">
        <v>10</v>
      </c>
      <c r="B15" s="12" t="s">
        <v>11</v>
      </c>
      <c r="C15" s="15">
        <v>24635.8</v>
      </c>
      <c r="D15" s="14"/>
      <c r="E15" s="110"/>
      <c r="F15" s="110"/>
      <c r="G15" s="110"/>
      <c r="H15" s="110"/>
      <c r="I15" s="110"/>
    </row>
    <row r="16" spans="1:9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  <c r="I16" s="110"/>
    </row>
    <row r="17" spans="1:9" ht="15">
      <c r="A17" s="8" t="s">
        <v>13</v>
      </c>
      <c r="B17" s="12" t="s">
        <v>11</v>
      </c>
      <c r="C17" s="15">
        <v>1967.01</v>
      </c>
      <c r="D17" s="16"/>
      <c r="E17" s="110"/>
      <c r="F17" s="110"/>
      <c r="G17" s="110"/>
      <c r="H17" s="110"/>
      <c r="I17" s="110"/>
    </row>
    <row r="18" spans="1:9" ht="31.5" customHeight="1">
      <c r="A18" s="17" t="s">
        <v>14</v>
      </c>
      <c r="B18" s="12" t="s">
        <v>11</v>
      </c>
      <c r="C18" s="15">
        <f>12824.58+1588.44</f>
        <v>14413.02</v>
      </c>
      <c r="D18" s="16"/>
      <c r="E18" s="111">
        <f>C18-C20</f>
        <v>8050.596</v>
      </c>
      <c r="F18" s="110"/>
      <c r="G18" s="110"/>
      <c r="H18" s="110"/>
      <c r="I18" s="110"/>
    </row>
    <row r="19" spans="1:9" ht="15">
      <c r="A19" s="8" t="s">
        <v>15</v>
      </c>
      <c r="B19" s="12" t="s">
        <v>11</v>
      </c>
      <c r="C19" s="15">
        <f>C18-C20-C21</f>
        <v>3646.0679999999993</v>
      </c>
      <c r="D19" s="16"/>
      <c r="E19" s="111">
        <f>E18-E38</f>
        <v>0</v>
      </c>
      <c r="F19" s="110"/>
      <c r="G19" s="110"/>
      <c r="H19" s="110"/>
      <c r="I19" s="110"/>
    </row>
    <row r="20" spans="1:9" ht="15">
      <c r="A20" s="8" t="s">
        <v>16</v>
      </c>
      <c r="B20" s="12" t="s">
        <v>11</v>
      </c>
      <c r="C20" s="15">
        <f>(4.8+4.34)*6*87.6+1558.44</f>
        <v>6362.424000000001</v>
      </c>
      <c r="D20" s="16"/>
      <c r="E20" s="112"/>
      <c r="F20" s="110"/>
      <c r="G20" s="110"/>
      <c r="H20" s="110"/>
      <c r="I20" s="110"/>
    </row>
    <row r="21" spans="1:9" ht="15">
      <c r="A21" s="8" t="s">
        <v>17</v>
      </c>
      <c r="B21" s="12" t="s">
        <v>11</v>
      </c>
      <c r="C21" s="19">
        <f>87.6*4.19*12</f>
        <v>4404.528</v>
      </c>
      <c r="D21" s="16"/>
      <c r="E21" s="110"/>
      <c r="F21" s="110"/>
      <c r="G21" s="110"/>
      <c r="H21" s="110"/>
      <c r="I21" s="110"/>
    </row>
    <row r="22" spans="1:9" ht="15">
      <c r="A22" s="20" t="s">
        <v>18</v>
      </c>
      <c r="B22" s="12" t="s">
        <v>11</v>
      </c>
      <c r="C22" s="15">
        <f>C23+C24+C25+C26+C27</f>
        <v>6732.321642000001</v>
      </c>
      <c r="D22" s="16" t="s">
        <v>19</v>
      </c>
      <c r="E22" s="111"/>
      <c r="F22" s="110"/>
      <c r="G22" s="110"/>
      <c r="H22" s="110"/>
      <c r="I22" s="110"/>
    </row>
    <row r="23" spans="1:9" ht="15">
      <c r="A23" s="8" t="s">
        <v>20</v>
      </c>
      <c r="B23" s="12" t="s">
        <v>11</v>
      </c>
      <c r="C23" s="15">
        <f>C18*0.4671</f>
        <v>6732.321642000001</v>
      </c>
      <c r="D23" s="16"/>
      <c r="E23" s="110"/>
      <c r="F23" s="110"/>
      <c r="G23" s="110"/>
      <c r="H23" s="110"/>
      <c r="I23" s="110"/>
    </row>
    <row r="24" spans="1:9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  <c r="I24" s="110"/>
    </row>
    <row r="25" spans="1:9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  <c r="I25" s="110"/>
    </row>
    <row r="26" spans="1:9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  <c r="I26" s="110"/>
    </row>
    <row r="27" spans="1:9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  <c r="I27" s="110"/>
    </row>
    <row r="28" spans="1:9" ht="15">
      <c r="A28" s="8" t="s">
        <v>25</v>
      </c>
      <c r="B28" s="12" t="s">
        <v>11</v>
      </c>
      <c r="C28" s="15">
        <f>C15+C22</f>
        <v>31368.121642</v>
      </c>
      <c r="D28" s="16" t="s">
        <v>26</v>
      </c>
      <c r="E28" s="112" t="e">
        <f>B28/#REF!*1</f>
        <v>#VALUE!</v>
      </c>
      <c r="F28" s="110"/>
      <c r="G28" s="110"/>
      <c r="H28" s="110"/>
      <c r="I28" s="110"/>
    </row>
    <row r="29" spans="1:9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</row>
    <row r="30" spans="1:9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  <c r="I30" s="110"/>
    </row>
    <row r="31" spans="1:9" ht="15">
      <c r="A31" s="26" t="s">
        <v>32</v>
      </c>
      <c r="B31" s="27" t="s">
        <v>33</v>
      </c>
      <c r="C31" s="28" t="s">
        <v>34</v>
      </c>
      <c r="D31" s="93">
        <f>(0.85+0.81)*6*87.6</f>
        <v>872.496</v>
      </c>
      <c r="E31" s="110"/>
      <c r="F31" s="110"/>
      <c r="G31" s="110"/>
      <c r="H31" s="110"/>
      <c r="I31" s="110"/>
    </row>
    <row r="32" spans="1:9" ht="15">
      <c r="A32" s="29" t="s">
        <v>36</v>
      </c>
      <c r="B32" s="30" t="s">
        <v>33</v>
      </c>
      <c r="C32" s="31" t="s">
        <v>37</v>
      </c>
      <c r="D32" s="94">
        <f>0.24*12*87.6</f>
        <v>252.28799999999998</v>
      </c>
      <c r="E32" s="110"/>
      <c r="F32" s="110"/>
      <c r="G32" s="110"/>
      <c r="H32" s="110"/>
      <c r="I32" s="110"/>
    </row>
    <row r="33" spans="1:9" ht="15">
      <c r="A33" s="154" t="s">
        <v>186</v>
      </c>
      <c r="B33" s="30" t="s">
        <v>33</v>
      </c>
      <c r="C33" s="31" t="s">
        <v>34</v>
      </c>
      <c r="D33" s="94">
        <f>(0.14+0.16)*6*87.6</f>
        <v>157.68</v>
      </c>
      <c r="E33" s="110"/>
      <c r="F33" s="110"/>
      <c r="G33" s="110"/>
      <c r="H33" s="110"/>
      <c r="I33" s="110"/>
    </row>
    <row r="34" spans="1:9" ht="15">
      <c r="A34" s="29" t="s">
        <v>81</v>
      </c>
      <c r="B34" s="92" t="s">
        <v>82</v>
      </c>
      <c r="C34" s="31" t="s">
        <v>34</v>
      </c>
      <c r="D34" s="94">
        <f>1.33*12*87.6</f>
        <v>1398.096</v>
      </c>
      <c r="E34" s="110"/>
      <c r="F34" s="110"/>
      <c r="G34" s="110"/>
      <c r="H34" s="110"/>
      <c r="I34" s="110"/>
    </row>
    <row r="35" spans="1:9" ht="15">
      <c r="A35" s="29" t="s">
        <v>38</v>
      </c>
      <c r="B35" s="30" t="s">
        <v>35</v>
      </c>
      <c r="C35" s="370" t="s">
        <v>237</v>
      </c>
      <c r="D35" s="94">
        <f>4.19*87.6*12</f>
        <v>4404.528</v>
      </c>
      <c r="E35" s="110"/>
      <c r="F35" s="110"/>
      <c r="G35" s="110"/>
      <c r="H35" s="110"/>
      <c r="I35" s="110"/>
    </row>
    <row r="36" spans="1:9" ht="15">
      <c r="A36" s="29" t="s">
        <v>85</v>
      </c>
      <c r="B36" s="30" t="s">
        <v>238</v>
      </c>
      <c r="C36" s="173" t="s">
        <v>37</v>
      </c>
      <c r="D36" s="94">
        <f>87.6*6*(0.9+0.88)+29.94</f>
        <v>965.5079999999999</v>
      </c>
      <c r="E36" s="110"/>
      <c r="F36" s="110"/>
      <c r="G36" s="110"/>
      <c r="H36" s="110"/>
      <c r="I36" s="110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10"/>
      <c r="F37" s="110"/>
      <c r="G37" s="110"/>
      <c r="H37" s="110"/>
      <c r="I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D31+D32+D33+D34+D35+D36+D37</f>
        <v>8050.596</v>
      </c>
      <c r="E38" s="113">
        <f>D38-D37</f>
        <v>8050.596</v>
      </c>
      <c r="F38" s="110"/>
      <c r="G38" s="110"/>
      <c r="H38" s="110"/>
      <c r="I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23317.525642</v>
      </c>
      <c r="E39" s="113"/>
      <c r="F39" s="110"/>
      <c r="G39" s="110"/>
      <c r="H39" s="110"/>
      <c r="I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I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9647.708358</v>
      </c>
      <c r="E41" s="110"/>
      <c r="F41" s="110"/>
      <c r="G41" s="110"/>
      <c r="H41" s="110"/>
      <c r="I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I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I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I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I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I46" s="110"/>
      <c r="K46"/>
      <c r="L46"/>
      <c r="M46"/>
      <c r="N46"/>
    </row>
    <row r="47" spans="1:5" ht="20.25" customHeight="1">
      <c r="A47" s="493" t="s">
        <v>50</v>
      </c>
      <c r="B47" s="493"/>
      <c r="C47" s="493"/>
      <c r="D47" s="493"/>
      <c r="E47" s="110"/>
    </row>
    <row r="48" spans="1:5" ht="25.5">
      <c r="A48" s="47" t="s">
        <v>51</v>
      </c>
      <c r="B48" s="30" t="s">
        <v>11</v>
      </c>
      <c r="C48" s="31"/>
      <c r="D48" s="14">
        <v>0</v>
      </c>
      <c r="E48" s="110"/>
    </row>
    <row r="49" spans="1:5" ht="15">
      <c r="A49" s="45" t="s">
        <v>12</v>
      </c>
      <c r="B49" s="30" t="s">
        <v>11</v>
      </c>
      <c r="C49" s="31"/>
      <c r="D49" s="14">
        <v>0</v>
      </c>
      <c r="E49" s="110"/>
    </row>
    <row r="50" spans="1:8" ht="15">
      <c r="A50" s="45" t="s">
        <v>13</v>
      </c>
      <c r="B50" s="30" t="s">
        <v>11</v>
      </c>
      <c r="C50" s="31"/>
      <c r="D50" s="48">
        <f>D53-D56-D57-D58-D59</f>
        <v>2150.0182550000013</v>
      </c>
      <c r="E50" s="110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10420.12</v>
      </c>
      <c r="E53" s="110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9833.57</v>
      </c>
      <c r="C56" s="101">
        <f>B56*0.4671</f>
        <v>4593.260547</v>
      </c>
      <c r="D56" s="102">
        <f>B56-C56</f>
        <v>5240.309453</v>
      </c>
      <c r="E56" s="118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B57*0.8884</f>
        <v>0</v>
      </c>
      <c r="D57" s="102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B58*0.8884</f>
        <v>0</v>
      </c>
      <c r="D58" s="102">
        <f>B58-C58</f>
        <v>0</v>
      </c>
      <c r="E58" s="115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5685.48</v>
      </c>
      <c r="C59" s="101">
        <f>B59*0.4671</f>
        <v>2655.687708</v>
      </c>
      <c r="D59" s="129">
        <f>B59-C59</f>
        <v>3029.7922919999996</v>
      </c>
      <c r="E59" s="115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74"/>
      <c r="H60" s="65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9833.57</v>
      </c>
      <c r="C61" s="106">
        <f>C56</f>
        <v>4593.260547</v>
      </c>
      <c r="D61" s="135">
        <f>B61-C61</f>
        <v>5240.309453</v>
      </c>
      <c r="E61" s="115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f>C57*1.0063</f>
        <v>0</v>
      </c>
      <c r="D62" s="135">
        <f>B62-C62</f>
        <v>0</v>
      </c>
      <c r="E62" s="62"/>
      <c r="F62" s="74"/>
      <c r="H62" s="65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f>C58*1.0063</f>
        <v>0</v>
      </c>
      <c r="D63" s="135">
        <f>B63-C63</f>
        <v>0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5">
      <c r="A64" s="134" t="s">
        <v>318</v>
      </c>
      <c r="B64" s="105">
        <v>5685.48</v>
      </c>
      <c r="C64" s="106">
        <v>2655.687708</v>
      </c>
      <c r="D64" s="135">
        <v>3029.7922919999996</v>
      </c>
      <c r="E64" s="62"/>
      <c r="F64" s="74"/>
      <c r="H64" s="65"/>
      <c r="I64" s="65"/>
      <c r="J64" s="65"/>
      <c r="K64" s="66"/>
      <c r="L64" s="66"/>
      <c r="M64" s="66"/>
      <c r="N64" s="66"/>
    </row>
    <row r="65" spans="1:14" ht="15.75" thickBot="1">
      <c r="A65" s="136" t="s">
        <v>61</v>
      </c>
      <c r="B65" s="137">
        <v>0</v>
      </c>
      <c r="C65" s="138">
        <v>0</v>
      </c>
      <c r="D65" s="139">
        <f>B65-C65</f>
        <v>0</v>
      </c>
      <c r="E65" s="62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8"/>
      <c r="B66" s="77"/>
      <c r="C66" s="79"/>
      <c r="D66" s="80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25.5">
      <c r="A67" s="81" t="s">
        <v>66</v>
      </c>
      <c r="B67" s="77" t="s">
        <v>11</v>
      </c>
      <c r="C67" s="82"/>
      <c r="D67" s="83">
        <v>0</v>
      </c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84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7"/>
      <c r="D69" s="179">
        <v>0</v>
      </c>
      <c r="E69" s="89"/>
    </row>
    <row r="70" spans="1:5" ht="21" customHeight="1">
      <c r="A70" s="86" t="s">
        <v>47</v>
      </c>
      <c r="B70" s="86" t="s">
        <v>46</v>
      </c>
      <c r="C70" s="86"/>
      <c r="D70" s="179">
        <v>0</v>
      </c>
      <c r="E70" s="89"/>
    </row>
    <row r="71" spans="1:5" ht="18" customHeight="1">
      <c r="A71" s="86" t="s">
        <v>48</v>
      </c>
      <c r="B71" s="86" t="s">
        <v>46</v>
      </c>
      <c r="C71" s="86"/>
      <c r="D71" s="179">
        <v>0</v>
      </c>
      <c r="E71" s="89"/>
    </row>
    <row r="72" spans="1:5" ht="16.5" customHeight="1">
      <c r="A72" s="86" t="s">
        <v>49</v>
      </c>
      <c r="B72" s="86" t="s">
        <v>11</v>
      </c>
      <c r="C72" s="86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6" t="s">
        <v>69</v>
      </c>
      <c r="B74" s="86" t="s">
        <v>46</v>
      </c>
      <c r="C74" s="86"/>
      <c r="D74" s="179">
        <v>0</v>
      </c>
      <c r="E74" s="89"/>
    </row>
    <row r="75" spans="1:5" ht="21.75" customHeight="1">
      <c r="A75" s="86" t="s">
        <v>70</v>
      </c>
      <c r="B75" s="53" t="s">
        <v>46</v>
      </c>
      <c r="C75" s="53"/>
      <c r="D75" s="179">
        <v>0</v>
      </c>
      <c r="E75" s="89"/>
    </row>
    <row r="76" spans="1:5" ht="36" customHeight="1">
      <c r="A76" s="90" t="s">
        <v>71</v>
      </c>
      <c r="B76" s="86" t="s">
        <v>11</v>
      </c>
      <c r="C76" s="86"/>
      <c r="D76" s="179">
        <v>0</v>
      </c>
      <c r="E76" s="89"/>
    </row>
    <row r="77" spans="1:4" ht="15">
      <c r="A77" s="66"/>
      <c r="B77" s="66"/>
      <c r="C77" s="66"/>
      <c r="D77" s="91"/>
    </row>
    <row r="78" spans="1:14" s="1" customFormat="1" ht="12.75">
      <c r="A78"/>
      <c r="B78"/>
      <c r="C78"/>
      <c r="D78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2:D42"/>
    <mergeCell ref="A47:D47"/>
    <mergeCell ref="A54:D54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3">
      <selection activeCell="E16" sqref="E16:H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120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187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5" ht="12.75">
      <c r="A12" s="8" t="s">
        <v>7</v>
      </c>
      <c r="B12" s="9"/>
      <c r="C12" s="145" t="s">
        <v>243</v>
      </c>
      <c r="D12" s="10"/>
      <c r="E12" s="110"/>
    </row>
    <row r="13" spans="1:5" ht="12.75">
      <c r="A13" s="8" t="s">
        <v>8</v>
      </c>
      <c r="B13" s="9"/>
      <c r="C13" s="145" t="s">
        <v>244</v>
      </c>
      <c r="D13" s="10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5" ht="25.5">
      <c r="A15" s="11" t="s">
        <v>10</v>
      </c>
      <c r="B15" s="12" t="s">
        <v>11</v>
      </c>
      <c r="C15" s="13">
        <v>8946.53</v>
      </c>
      <c r="D15" s="14"/>
      <c r="E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2844.67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6276.6</f>
        <v>6276.6</v>
      </c>
      <c r="D18" s="16"/>
      <c r="E18" s="111">
        <f>C18-C20</f>
        <v>5082.21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2181.0539999999996</v>
      </c>
      <c r="D19" s="16"/>
      <c r="E19" s="111">
        <f>E18-E38</f>
        <v>0.0039999999999054126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(1.97+1.48)*6*57.7</f>
        <v>1194.3900000000003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57.7*4.19*12</f>
        <v>2901.1560000000004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4291.93908</v>
      </c>
      <c r="D22" s="16" t="s">
        <v>19</v>
      </c>
      <c r="E22" s="111"/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C18*0.6838</f>
        <v>4291.93908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13238.46908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(0.85+0.4)*6*57.7</f>
        <v>432.75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0.24*12*57.7</f>
        <v>166.17600000000002</v>
      </c>
      <c r="E32" s="110"/>
      <c r="F32" s="110"/>
      <c r="G32" s="110"/>
      <c r="H32" s="110"/>
    </row>
    <row r="33" spans="1:8" ht="15">
      <c r="A33" s="154" t="s">
        <v>181</v>
      </c>
      <c r="B33" s="30" t="s">
        <v>33</v>
      </c>
      <c r="C33" s="31" t="s">
        <v>34</v>
      </c>
      <c r="D33" s="94">
        <v>0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57.7*6*(1.25+1.33)</f>
        <v>893.1960000000001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4.19*57.7*12</f>
        <v>2901.1560000000004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57.7*(0.67+1.32)*6-0.01</f>
        <v>688.9280000000001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5082.206</v>
      </c>
      <c r="E38" s="113">
        <f>D38-D37</f>
        <v>5082.206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8156.263080000001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3363.7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5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K46"/>
      <c r="L46"/>
      <c r="M46"/>
      <c r="N46"/>
    </row>
    <row r="47" spans="1:5" ht="20.25" customHeight="1">
      <c r="A47" s="493" t="s">
        <v>50</v>
      </c>
      <c r="B47" s="493"/>
      <c r="C47" s="493"/>
      <c r="D47" s="493"/>
      <c r="E47" s="110"/>
    </row>
    <row r="48" spans="1:5" ht="25.5">
      <c r="A48" s="47" t="s">
        <v>51</v>
      </c>
      <c r="B48" s="30" t="s">
        <v>11</v>
      </c>
      <c r="C48" s="31"/>
      <c r="D48" s="14">
        <v>0</v>
      </c>
      <c r="E48" s="110"/>
    </row>
    <row r="49" spans="1:5" ht="15">
      <c r="A49" s="45" t="s">
        <v>12</v>
      </c>
      <c r="B49" s="30" t="s">
        <v>11</v>
      </c>
      <c r="C49" s="31"/>
      <c r="D49" s="14">
        <v>0</v>
      </c>
      <c r="E49" s="110"/>
    </row>
    <row r="50" spans="1:8" ht="15">
      <c r="A50" s="45" t="s">
        <v>13</v>
      </c>
      <c r="B50" s="30" t="s">
        <v>11</v>
      </c>
      <c r="C50" s="31"/>
      <c r="D50" s="58">
        <f>D53-D56-D59</f>
        <v>1807.1333799999998</v>
      </c>
      <c r="E50" s="110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4407.91</v>
      </c>
      <c r="E53" s="110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4480.2</v>
      </c>
      <c r="C56" s="101">
        <f>B56*0.6838</f>
        <v>3063.56076</v>
      </c>
      <c r="D56" s="102">
        <f>B56-C56</f>
        <v>1416.63924</v>
      </c>
      <c r="E56" s="118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B57*0.8884</f>
        <v>0</v>
      </c>
      <c r="D57" s="102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B58*0.8884</f>
        <v>0</v>
      </c>
      <c r="D58" s="102">
        <f>B58-C58</f>
        <v>0</v>
      </c>
      <c r="E58" s="115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3744.9</v>
      </c>
      <c r="C59" s="128">
        <f>B59*0.6838</f>
        <v>2560.76262</v>
      </c>
      <c r="D59" s="129">
        <f>B59-C59</f>
        <v>1184.1373800000001</v>
      </c>
      <c r="E59" s="115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74"/>
      <c r="H60" s="65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4480.2</v>
      </c>
      <c r="C61" s="106">
        <f>C56</f>
        <v>3063.56076</v>
      </c>
      <c r="D61" s="135">
        <f>B61-C61</f>
        <v>1416.63924</v>
      </c>
      <c r="E61" s="115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3744.9</v>
      </c>
      <c r="C64" s="138">
        <v>2560.76262</v>
      </c>
      <c r="D64" s="139">
        <v>1184.1373800000001</v>
      </c>
      <c r="E64" s="115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115"/>
      <c r="F65" s="74"/>
      <c r="H65" s="65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115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124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124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124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124"/>
    </row>
    <row r="72" spans="1:5" ht="15.75" customHeight="1">
      <c r="A72" s="489" t="s">
        <v>68</v>
      </c>
      <c r="B72" s="489"/>
      <c r="C72" s="489"/>
      <c r="D72" s="489"/>
      <c r="E72" s="124"/>
    </row>
    <row r="73" spans="1:5" ht="18.75" customHeight="1">
      <c r="A73" s="86" t="s">
        <v>69</v>
      </c>
      <c r="B73" s="86" t="s">
        <v>46</v>
      </c>
      <c r="C73" s="86"/>
      <c r="D73" s="179">
        <v>0</v>
      </c>
      <c r="E73" s="124"/>
    </row>
    <row r="74" spans="1:5" ht="21.75" customHeight="1">
      <c r="A74" s="86" t="s">
        <v>70</v>
      </c>
      <c r="B74" s="53" t="s">
        <v>46</v>
      </c>
      <c r="C74" s="53"/>
      <c r="D74" s="179">
        <v>0</v>
      </c>
      <c r="E74" s="124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124"/>
    </row>
    <row r="76" spans="1:5" ht="15">
      <c r="A76" s="66"/>
      <c r="B76" s="66"/>
      <c r="C76" s="66"/>
      <c r="D76" s="91"/>
      <c r="E76" s="110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3">
      <selection activeCell="E16" sqref="E16:H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121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188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8" ht="12.75">
      <c r="A13" s="8" t="s">
        <v>8</v>
      </c>
      <c r="B13" s="9"/>
      <c r="C13" s="145" t="s">
        <v>244</v>
      </c>
      <c r="D13" s="10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5.5">
      <c r="A15" s="11" t="s">
        <v>10</v>
      </c>
      <c r="B15" s="12" t="s">
        <v>11</v>
      </c>
      <c r="C15" s="15">
        <v>42660.07</v>
      </c>
      <c r="D15" s="14"/>
      <c r="E15" s="110"/>
      <c r="F15" s="110"/>
      <c r="G15" s="110"/>
      <c r="H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36598.06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13017.6+1568.16</f>
        <v>14585.76</v>
      </c>
      <c r="D18" s="16"/>
      <c r="E18" s="111">
        <f>C18-C20</f>
        <v>9048.96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4222.079999999999</v>
      </c>
      <c r="D19" s="16"/>
      <c r="E19" s="111">
        <f>E18-E38</f>
        <v>0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(3.96+2.93)*6*96+1568.16</f>
        <v>5536.8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96*4.19*12</f>
        <v>4826.88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41995.320192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C18*2.8792</f>
        <v>41995.320192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84655.39019199999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(0.85+0.81)*6*96</f>
        <v>956.1600000000001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0.24*12*96</f>
        <v>276.48</v>
      </c>
      <c r="E32" s="110"/>
      <c r="F32" s="110"/>
      <c r="G32" s="110"/>
      <c r="H32" s="110"/>
    </row>
    <row r="33" spans="1:8" ht="15">
      <c r="A33" s="154" t="s">
        <v>186</v>
      </c>
      <c r="B33" s="30" t="s">
        <v>33</v>
      </c>
      <c r="C33" s="31" t="s">
        <v>34</v>
      </c>
      <c r="D33" s="94">
        <f>(0.14+0.16)*6*96</f>
        <v>172.8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1.33*12*96</f>
        <v>1532.16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4.19*96*12</f>
        <v>4826.88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96*(0.8+1.43)*6</f>
        <v>1284.48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9048.960000000001</v>
      </c>
      <c r="E38" s="113">
        <f>D38-D37</f>
        <v>9048.960000000001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75606.43019199999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13779.6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5.5">
      <c r="A48" s="47" t="s">
        <v>51</v>
      </c>
      <c r="B48" s="30" t="s">
        <v>11</v>
      </c>
      <c r="C48" s="31"/>
      <c r="D48" s="14">
        <v>0</v>
      </c>
      <c r="E48" s="110"/>
      <c r="F48" s="110"/>
      <c r="G48" s="110"/>
      <c r="H48" s="110"/>
    </row>
    <row r="49" spans="1:8" ht="15">
      <c r="A49" s="45" t="s">
        <v>12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13</v>
      </c>
      <c r="B50" s="30" t="s">
        <v>11</v>
      </c>
      <c r="C50" s="31"/>
      <c r="D50" s="58">
        <f>D53-D56-D59</f>
        <v>33359.769400000005</v>
      </c>
      <c r="E50" s="110"/>
      <c r="F50" s="110"/>
      <c r="G50" s="110"/>
      <c r="H50" s="114"/>
    </row>
    <row r="51" spans="1:8" ht="25.5">
      <c r="A51" s="50" t="s">
        <v>52</v>
      </c>
      <c r="B51" s="30" t="s">
        <v>11</v>
      </c>
      <c r="C51" s="51"/>
      <c r="D51" s="52">
        <v>0</v>
      </c>
      <c r="E51" s="110"/>
      <c r="F51" s="110"/>
      <c r="G51" s="110"/>
      <c r="H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F52" s="110"/>
      <c r="G52" s="110"/>
      <c r="H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11160.31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5582.55</v>
      </c>
      <c r="C56" s="101">
        <f>B56*2.8792</f>
        <v>16073.277960000001</v>
      </c>
      <c r="D56" s="102">
        <f>B56-C56</f>
        <v>-10490.72796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B57*0.8884</f>
        <v>0</v>
      </c>
      <c r="D57" s="102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B58*0.8884</f>
        <v>0</v>
      </c>
      <c r="D58" s="102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6230.7</v>
      </c>
      <c r="C59" s="128">
        <f>B59*2.8792</f>
        <v>17939.43144</v>
      </c>
      <c r="D59" s="129">
        <f>B59-C59</f>
        <v>-11708.73144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5582.55</v>
      </c>
      <c r="C61" s="106">
        <f>C56</f>
        <v>16073.277960000001</v>
      </c>
      <c r="D61" s="135">
        <f>B61-C61</f>
        <v>-10490.72796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6230.7</v>
      </c>
      <c r="C64" s="138">
        <v>17939.43144</v>
      </c>
      <c r="D64" s="139">
        <v>-11708.73144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115"/>
      <c r="F65" s="119"/>
      <c r="G65" s="110"/>
      <c r="H65" s="121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89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89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89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6" t="s">
        <v>69</v>
      </c>
      <c r="B73" s="86" t="s">
        <v>46</v>
      </c>
      <c r="C73" s="86"/>
      <c r="D73" s="179">
        <v>0</v>
      </c>
      <c r="E73" s="89"/>
    </row>
    <row r="74" spans="1:5" ht="21.75" customHeight="1">
      <c r="A74" s="86" t="s">
        <v>70</v>
      </c>
      <c r="B74" s="53" t="s">
        <v>46</v>
      </c>
      <c r="C74" s="53"/>
      <c r="D74" s="179">
        <v>0</v>
      </c>
      <c r="E74" s="89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89"/>
    </row>
    <row r="76" spans="1:4" ht="15">
      <c r="A76" s="66"/>
      <c r="B76" s="66"/>
      <c r="C76" s="66"/>
      <c r="D76" s="91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2">
      <selection activeCell="E15" sqref="E15:H4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122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189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4" ht="12.75">
      <c r="A13" s="8" t="s">
        <v>8</v>
      </c>
      <c r="B13" s="9"/>
      <c r="C13" s="145" t="s">
        <v>244</v>
      </c>
      <c r="D13" s="10"/>
    </row>
    <row r="14" spans="1:4" ht="31.5" customHeight="1">
      <c r="A14" s="490" t="s">
        <v>9</v>
      </c>
      <c r="B14" s="490"/>
      <c r="C14" s="490"/>
      <c r="D14" s="490"/>
    </row>
    <row r="15" spans="1:8" ht="25.5">
      <c r="A15" s="11" t="s">
        <v>10</v>
      </c>
      <c r="B15" s="12" t="s">
        <v>11</v>
      </c>
      <c r="C15" s="15">
        <v>7046.26</v>
      </c>
      <c r="D15" s="14"/>
      <c r="E15" s="110"/>
      <c r="F15" s="110"/>
      <c r="G15" s="110"/>
      <c r="H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43820.88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11623.6+1701</f>
        <v>13324.6</v>
      </c>
      <c r="D18" s="16"/>
      <c r="E18" s="111">
        <f>C18-C20</f>
        <v>9460.792000000001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4161.280000000001</v>
      </c>
      <c r="D19" s="16"/>
      <c r="E19" s="111">
        <f>E18-E38</f>
        <v>-0.0019999999985884642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(1.88+1.54)*6*105.4+1701</f>
        <v>3863.808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105.4*4.19*12</f>
        <v>5299.512000000001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6315.8604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C18*0.474</f>
        <v>6315.8604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13362.1204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(0.85+0.81)*6*105.4</f>
        <v>1049.784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0.24*12*105.4</f>
        <v>303.552</v>
      </c>
      <c r="E32" s="110"/>
      <c r="F32" s="110"/>
      <c r="G32" s="110"/>
      <c r="H32" s="110"/>
    </row>
    <row r="33" spans="1:8" ht="15">
      <c r="A33" s="154" t="s">
        <v>181</v>
      </c>
      <c r="B33" s="30" t="s">
        <v>33</v>
      </c>
      <c r="C33" s="31" t="s">
        <v>34</v>
      </c>
      <c r="D33" s="94">
        <f>(0.16+0.14)*6*105.4</f>
        <v>189.72000000000003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1.33*12*105.4</f>
        <v>1682.1840000000002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4.19*105.4*12</f>
        <v>5299.512000000001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105.4*6*(0.73+0.75)+0.09</f>
        <v>936.0420000000001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9460.794</v>
      </c>
      <c r="E38" s="113">
        <f>D38-D37</f>
        <v>9460.794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3901.3264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37981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5.5">
      <c r="A48" s="47" t="s">
        <v>51</v>
      </c>
      <c r="B48" s="30" t="s">
        <v>11</v>
      </c>
      <c r="C48" s="31"/>
      <c r="D48" s="14">
        <v>0</v>
      </c>
      <c r="E48" s="110"/>
      <c r="F48" s="110"/>
      <c r="G48" s="110"/>
      <c r="H48" s="110"/>
    </row>
    <row r="49" spans="1:8" ht="15">
      <c r="A49" s="45" t="s">
        <v>12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13</v>
      </c>
      <c r="B50" s="30" t="s">
        <v>11</v>
      </c>
      <c r="C50" s="31"/>
      <c r="D50" s="58">
        <f>D53+D56+D59</f>
        <v>47050.0422</v>
      </c>
      <c r="E50" s="110"/>
      <c r="F50" s="110"/>
      <c r="G50" s="110"/>
      <c r="H50" s="114"/>
    </row>
    <row r="51" spans="1:8" ht="25.5">
      <c r="A51" s="50" t="s">
        <v>52</v>
      </c>
      <c r="B51" s="30" t="s">
        <v>11</v>
      </c>
      <c r="C51" s="51"/>
      <c r="D51" s="52">
        <v>0</v>
      </c>
      <c r="E51" s="110"/>
      <c r="F51" s="110"/>
      <c r="G51" s="110"/>
      <c r="H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F52" s="110"/>
      <c r="G52" s="110"/>
      <c r="H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39720.39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7093.92</v>
      </c>
      <c r="C56" s="101">
        <f>B56*0.474</f>
        <v>3362.51808</v>
      </c>
      <c r="D56" s="102">
        <f>B56-C56</f>
        <v>3731.4019200000002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B57*0.8884</f>
        <v>0</v>
      </c>
      <c r="D57" s="102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B58*0.8884</f>
        <v>0</v>
      </c>
      <c r="D58" s="102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6840.78</v>
      </c>
      <c r="C59" s="128">
        <f>B59*0.474</f>
        <v>3242.5297199999995</v>
      </c>
      <c r="D59" s="129">
        <f>B59-C59</f>
        <v>3598.25028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7093.92</v>
      </c>
      <c r="C61" s="106">
        <f>C56</f>
        <v>3362.51808</v>
      </c>
      <c r="D61" s="135">
        <f>B61-C61</f>
        <v>3731.4019200000002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6840.78</v>
      </c>
      <c r="C64" s="138">
        <v>3242.5297199999995</v>
      </c>
      <c r="D64" s="139">
        <v>3598.25028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115"/>
      <c r="F65" s="119"/>
      <c r="G65" s="110"/>
      <c r="H65" s="121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115"/>
      <c r="F66" s="119"/>
      <c r="G66" s="110"/>
      <c r="H66" s="121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121"/>
      <c r="G67" s="110"/>
      <c r="H67" s="123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89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89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89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6" t="s">
        <v>69</v>
      </c>
      <c r="B73" s="86" t="s">
        <v>46</v>
      </c>
      <c r="C73" s="86"/>
      <c r="D73" s="179">
        <v>0</v>
      </c>
      <c r="E73" s="89"/>
    </row>
    <row r="74" spans="1:5" ht="21.75" customHeight="1">
      <c r="A74" s="86" t="s">
        <v>70</v>
      </c>
      <c r="B74" s="53" t="s">
        <v>46</v>
      </c>
      <c r="C74" s="53"/>
      <c r="D74" s="179">
        <v>0</v>
      </c>
      <c r="E74" s="89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89"/>
    </row>
    <row r="76" spans="1:4" ht="15">
      <c r="A76" s="66"/>
      <c r="B76" s="66"/>
      <c r="C76" s="66"/>
      <c r="D76" s="91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0">
      <selection activeCell="E16" sqref="E16:H4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123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190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4" ht="12.75">
      <c r="A13" s="8" t="s">
        <v>8</v>
      </c>
      <c r="B13" s="9"/>
      <c r="C13" s="145" t="s">
        <v>244</v>
      </c>
      <c r="D13" s="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5.5">
      <c r="A15" s="11" t="s">
        <v>10</v>
      </c>
      <c r="B15" s="12" t="s">
        <v>11</v>
      </c>
      <c r="C15" s="15">
        <v>5344.06</v>
      </c>
      <c r="D15" s="14"/>
      <c r="E15" s="110"/>
      <c r="F15" s="110"/>
      <c r="G15" s="110"/>
      <c r="H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799.74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15419.76+1639.44</f>
        <v>17059.2</v>
      </c>
      <c r="D18" s="16"/>
      <c r="E18" s="111">
        <f>C18-C20</f>
        <v>11210.208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4293.426</v>
      </c>
      <c r="D19" s="16"/>
      <c r="E19" s="111">
        <f>E18-E38</f>
        <v>-0.0019999999985884642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(2.95+2.57)*6*127.1+1639.44</f>
        <v>5848.992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127.1*(4.88+4.19)*6</f>
        <v>6916.782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16168.70976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C18*0.9478</f>
        <v>16168.70976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21512.76976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(0.85+0.81)*6*127.1</f>
        <v>1265.916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0.24*12*127.1</f>
        <v>366.04799999999994</v>
      </c>
      <c r="E32" s="110"/>
      <c r="F32" s="110"/>
      <c r="G32" s="110"/>
      <c r="H32" s="110"/>
    </row>
    <row r="33" spans="1:8" ht="15">
      <c r="A33" s="154" t="s">
        <v>181</v>
      </c>
      <c r="B33" s="30" t="s">
        <v>33</v>
      </c>
      <c r="C33" s="31" t="s">
        <v>34</v>
      </c>
      <c r="D33" s="94">
        <f>(0.16+0.14)*6*127.1</f>
        <v>228.78000000000003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1.33*12*127.1</f>
        <v>2028.516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4.19*127.1*12</f>
        <v>6390.588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127.1*6*(0.6+0.62)-0.01</f>
        <v>930.3619999999999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11210.21</v>
      </c>
      <c r="E38" s="113">
        <f>D38-D37</f>
        <v>11210.21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10302.55976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2262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5.5">
      <c r="A48" s="47" t="s">
        <v>51</v>
      </c>
      <c r="B48" s="30" t="s">
        <v>11</v>
      </c>
      <c r="C48" s="31"/>
      <c r="D48" s="14">
        <v>0</v>
      </c>
      <c r="E48" s="110"/>
      <c r="F48" s="110"/>
      <c r="G48" s="110"/>
      <c r="H48" s="110"/>
    </row>
    <row r="49" spans="1:8" ht="15">
      <c r="A49" s="45" t="s">
        <v>12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13</v>
      </c>
      <c r="B50" s="30" t="s">
        <v>11</v>
      </c>
      <c r="C50" s="31"/>
      <c r="D50" s="58">
        <f>D53-D56-D59</f>
        <v>1233.3085919999992</v>
      </c>
      <c r="E50" s="110"/>
      <c r="F50" s="110"/>
      <c r="G50" s="110"/>
      <c r="H50" s="114"/>
    </row>
    <row r="51" spans="1:8" ht="25.5">
      <c r="A51" s="50" t="s">
        <v>52</v>
      </c>
      <c r="B51" s="30" t="s">
        <v>11</v>
      </c>
      <c r="C51" s="51"/>
      <c r="D51" s="52">
        <v>0</v>
      </c>
      <c r="E51" s="110"/>
      <c r="F51" s="110"/>
      <c r="G51" s="110"/>
      <c r="H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F52" s="110"/>
      <c r="G52" s="110"/>
      <c r="H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2034.09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7091.48</v>
      </c>
      <c r="C56" s="101">
        <f>B56*0.9478</f>
        <v>6721.304743999999</v>
      </c>
      <c r="D56" s="102">
        <f>B56-C56</f>
        <v>370.17525600000045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B57*0.8884</f>
        <v>0</v>
      </c>
      <c r="D57" s="102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B58*0.8884</f>
        <v>0</v>
      </c>
      <c r="D58" s="102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8249.16</v>
      </c>
      <c r="C59" s="128">
        <f>B59*0.9478</f>
        <v>7818.553848</v>
      </c>
      <c r="D59" s="129">
        <f>B59-C59</f>
        <v>430.6061520000003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7091.48</v>
      </c>
      <c r="C61" s="106">
        <f>C56</f>
        <v>6721.304743999999</v>
      </c>
      <c r="D61" s="135">
        <f>B61-C61</f>
        <v>370.17525600000045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8249.16</v>
      </c>
      <c r="C64" s="138">
        <v>7818.553848</v>
      </c>
      <c r="D64" s="139">
        <v>430.6061520000003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89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89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89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6" t="s">
        <v>69</v>
      </c>
      <c r="B73" s="86" t="s">
        <v>46</v>
      </c>
      <c r="C73" s="86"/>
      <c r="D73" s="179">
        <v>0</v>
      </c>
      <c r="E73" s="89"/>
    </row>
    <row r="74" spans="1:5" ht="21.75" customHeight="1">
      <c r="A74" s="86" t="s">
        <v>70</v>
      </c>
      <c r="B74" s="53" t="s">
        <v>46</v>
      </c>
      <c r="C74" s="53"/>
      <c r="D74" s="179">
        <v>0</v>
      </c>
      <c r="E74" s="89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89"/>
    </row>
    <row r="76" spans="1:4" ht="15">
      <c r="A76" s="66"/>
      <c r="B76" s="66"/>
      <c r="C76" s="66"/>
      <c r="D76" s="91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4">
      <selection activeCell="E16" sqref="E16:I47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124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191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10"/>
    </row>
    <row r="11" spans="1:5" ht="12.75">
      <c r="A11" s="8" t="s">
        <v>6</v>
      </c>
      <c r="B11" s="9"/>
      <c r="C11" s="145" t="s">
        <v>242</v>
      </c>
      <c r="D11" s="10"/>
      <c r="E11" s="110"/>
    </row>
    <row r="12" spans="1:5" ht="12.75">
      <c r="A12" s="8" t="s">
        <v>7</v>
      </c>
      <c r="B12" s="9"/>
      <c r="C12" s="145" t="s">
        <v>243</v>
      </c>
      <c r="D12" s="10"/>
      <c r="E12" s="110"/>
    </row>
    <row r="13" spans="1:5" ht="12.75">
      <c r="A13" s="8" t="s">
        <v>8</v>
      </c>
      <c r="B13" s="9"/>
      <c r="C13" s="145" t="s">
        <v>244</v>
      </c>
      <c r="D13" s="10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5" ht="25.5">
      <c r="A15" s="11" t="s">
        <v>10</v>
      </c>
      <c r="B15" s="12" t="s">
        <v>11</v>
      </c>
      <c r="C15" s="15">
        <v>21209.36</v>
      </c>
      <c r="D15" s="14"/>
      <c r="E15" s="110"/>
    </row>
    <row r="16" spans="1:5" ht="15">
      <c r="A16" s="8" t="s">
        <v>12</v>
      </c>
      <c r="B16" s="12" t="s">
        <v>11</v>
      </c>
      <c r="C16" s="13">
        <v>0</v>
      </c>
      <c r="D16" s="14"/>
      <c r="E16" s="110"/>
    </row>
    <row r="17" spans="1:5" ht="15">
      <c r="A17" s="8" t="s">
        <v>13</v>
      </c>
      <c r="B17" s="12" t="s">
        <v>11</v>
      </c>
      <c r="C17" s="15">
        <v>984.76</v>
      </c>
      <c r="D17" s="16"/>
      <c r="E17" s="59"/>
    </row>
    <row r="18" spans="1:5" ht="31.5" customHeight="1">
      <c r="A18" s="17" t="s">
        <v>14</v>
      </c>
      <c r="B18" s="12" t="s">
        <v>11</v>
      </c>
      <c r="C18" s="15">
        <f>7365.42+1778.76</f>
        <v>9144.18</v>
      </c>
      <c r="D18" s="16"/>
      <c r="E18" s="18">
        <f>C18-C20</f>
        <v>5260.554</v>
      </c>
    </row>
    <row r="19" spans="1:5" ht="15">
      <c r="A19" s="8" t="s">
        <v>15</v>
      </c>
      <c r="B19" s="12" t="s">
        <v>11</v>
      </c>
      <c r="C19" s="15">
        <f>C18-C20-C21</f>
        <v>2500.182</v>
      </c>
      <c r="D19" s="16"/>
      <c r="E19" s="18">
        <f>E18-E38</f>
        <v>-0.0039999999999054126</v>
      </c>
    </row>
    <row r="20" spans="1:5" ht="15">
      <c r="A20" s="8" t="s">
        <v>16</v>
      </c>
      <c r="B20" s="12" t="s">
        <v>11</v>
      </c>
      <c r="C20" s="15">
        <f>(3.94+2.45)*6*54.9+1778.76</f>
        <v>3883.626</v>
      </c>
      <c r="D20" s="16"/>
      <c r="E20" s="150"/>
    </row>
    <row r="21" spans="1:5" ht="15">
      <c r="A21" s="8" t="s">
        <v>17</v>
      </c>
      <c r="B21" s="12" t="s">
        <v>11</v>
      </c>
      <c r="C21" s="19">
        <f>54.9*4.19*12</f>
        <v>2760.3720000000003</v>
      </c>
      <c r="D21" s="16"/>
      <c r="E21" s="110"/>
    </row>
    <row r="22" spans="1:5" ht="15">
      <c r="A22" s="20" t="s">
        <v>18</v>
      </c>
      <c r="B22" s="12" t="s">
        <v>11</v>
      </c>
      <c r="C22" s="15">
        <f>C23+C24+C25+C26+C27</f>
        <v>9432.22167</v>
      </c>
      <c r="D22" s="16" t="s">
        <v>19</v>
      </c>
      <c r="E22" s="111" t="e">
        <f>B24+B25+B26+B27+B28</f>
        <v>#VALUE!</v>
      </c>
    </row>
    <row r="23" spans="1:5" ht="15">
      <c r="A23" s="8" t="s">
        <v>20</v>
      </c>
      <c r="B23" s="12" t="s">
        <v>11</v>
      </c>
      <c r="C23" s="15">
        <f>C18*1.0315</f>
        <v>9432.22167</v>
      </c>
      <c r="D23" s="16"/>
      <c r="E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H24" s="1" t="s">
        <v>22</v>
      </c>
    </row>
    <row r="25" spans="1:5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</row>
    <row r="26" spans="1:5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</row>
    <row r="27" spans="1:5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</row>
    <row r="28" spans="1:5" ht="15">
      <c r="A28" s="8" t="s">
        <v>25</v>
      </c>
      <c r="B28" s="12" t="s">
        <v>11</v>
      </c>
      <c r="C28" s="15">
        <f>C15+C22</f>
        <v>30641.58167</v>
      </c>
      <c r="D28" s="16" t="s">
        <v>26</v>
      </c>
      <c r="E28" s="112" t="e">
        <f>B28/#REF!*1</f>
        <v>#VALUE!</v>
      </c>
    </row>
    <row r="29" spans="1:5" ht="35.25" customHeight="1">
      <c r="A29" s="491" t="s">
        <v>27</v>
      </c>
      <c r="B29" s="491"/>
      <c r="C29" s="491"/>
      <c r="D29" s="491"/>
      <c r="E29" s="110"/>
    </row>
    <row r="30" spans="1:5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</row>
    <row r="31" spans="1:5" ht="15">
      <c r="A31" s="26" t="s">
        <v>32</v>
      </c>
      <c r="B31" s="27" t="s">
        <v>33</v>
      </c>
      <c r="C31" s="28" t="s">
        <v>34</v>
      </c>
      <c r="D31" s="93">
        <f>(0.85+0.81)*6*54.9</f>
        <v>546.8040000000001</v>
      </c>
      <c r="E31" s="110"/>
    </row>
    <row r="32" spans="1:5" ht="15">
      <c r="A32" s="29" t="s">
        <v>36</v>
      </c>
      <c r="B32" s="30" t="s">
        <v>33</v>
      </c>
      <c r="C32" s="31" t="s">
        <v>37</v>
      </c>
      <c r="D32" s="94">
        <f>0.24*12*54.9</f>
        <v>158.112</v>
      </c>
      <c r="E32" s="110"/>
    </row>
    <row r="33" spans="1:5" ht="15">
      <c r="A33" s="154" t="s">
        <v>186</v>
      </c>
      <c r="B33" s="30" t="s">
        <v>33</v>
      </c>
      <c r="C33" s="31" t="s">
        <v>34</v>
      </c>
      <c r="D33" s="94">
        <f>(0.16+0.14)*6*54.9</f>
        <v>98.82000000000001</v>
      </c>
      <c r="E33" s="110"/>
    </row>
    <row r="34" spans="1:5" ht="15">
      <c r="A34" s="29" t="s">
        <v>81</v>
      </c>
      <c r="B34" s="92" t="s">
        <v>82</v>
      </c>
      <c r="C34" s="31" t="s">
        <v>34</v>
      </c>
      <c r="D34" s="94">
        <f>1.33*12*54.9</f>
        <v>876.2040000000001</v>
      </c>
      <c r="E34" s="110"/>
    </row>
    <row r="35" spans="1:5" ht="15">
      <c r="A35" s="29" t="s">
        <v>38</v>
      </c>
      <c r="B35" s="30" t="s">
        <v>35</v>
      </c>
      <c r="C35" s="32" t="s">
        <v>39</v>
      </c>
      <c r="D35" s="94">
        <f>4.19*54.9*12</f>
        <v>2760.3720000000003</v>
      </c>
      <c r="E35" s="110"/>
    </row>
    <row r="36" spans="1:5" ht="15">
      <c r="A36" s="29" t="s">
        <v>85</v>
      </c>
      <c r="B36" s="30" t="s">
        <v>238</v>
      </c>
      <c r="C36" s="173" t="s">
        <v>37</v>
      </c>
      <c r="D36" s="94">
        <f>54.9*6*(0.7+1.79)+0.04</f>
        <v>820.246</v>
      </c>
      <c r="E36" s="110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5260.558</v>
      </c>
      <c r="E38" s="113">
        <f>D38-D37</f>
        <v>5260.558</v>
      </c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25381.02367</v>
      </c>
      <c r="E39" s="113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767.2</v>
      </c>
      <c r="E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K46"/>
      <c r="L46"/>
      <c r="M46"/>
      <c r="N46"/>
    </row>
    <row r="47" spans="1:5" ht="20.25" customHeight="1">
      <c r="A47" s="493" t="s">
        <v>50</v>
      </c>
      <c r="B47" s="493"/>
      <c r="C47" s="493"/>
      <c r="D47" s="493"/>
      <c r="E47" s="110"/>
    </row>
    <row r="48" spans="1:5" ht="25.5">
      <c r="A48" s="47" t="s">
        <v>51</v>
      </c>
      <c r="B48" s="30" t="s">
        <v>11</v>
      </c>
      <c r="C48" s="31"/>
      <c r="D48" s="14">
        <v>0</v>
      </c>
      <c r="E48" s="110"/>
    </row>
    <row r="49" spans="1:5" ht="15">
      <c r="A49" s="45" t="s">
        <v>12</v>
      </c>
      <c r="B49" s="30" t="s">
        <v>11</v>
      </c>
      <c r="C49" s="31"/>
      <c r="D49" s="14">
        <v>0</v>
      </c>
      <c r="E49" s="110"/>
    </row>
    <row r="50" spans="1:8" ht="15">
      <c r="A50" s="45" t="s">
        <v>13</v>
      </c>
      <c r="B50" s="30" t="s">
        <v>11</v>
      </c>
      <c r="C50" s="31"/>
      <c r="D50" s="58">
        <f>D53-D56-D59</f>
        <v>985.6771700000007</v>
      </c>
      <c r="E50" s="110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716.63</v>
      </c>
      <c r="E53" s="110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4978.02</v>
      </c>
      <c r="C56" s="101">
        <f>B56*1.0315</f>
        <v>5134.827630000001</v>
      </c>
      <c r="D56" s="102">
        <f>B56-C56</f>
        <v>-156.80763000000024</v>
      </c>
      <c r="E56" s="118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B57*0.8884</f>
        <v>0</v>
      </c>
      <c r="D57" s="102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B58*0.8884</f>
        <v>0</v>
      </c>
      <c r="D58" s="102">
        <f>B58-C58</f>
        <v>0</v>
      </c>
      <c r="E58" s="115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3563.16</v>
      </c>
      <c r="C59" s="128">
        <f>B59*1.0315</f>
        <v>3675.3995400000003</v>
      </c>
      <c r="D59" s="129">
        <f>B59-C59</f>
        <v>-112.23954000000049</v>
      </c>
      <c r="E59" s="115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74"/>
      <c r="H60" s="65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4978.02</v>
      </c>
      <c r="C61" s="106">
        <f>B61*1.0315</f>
        <v>5134.827630000001</v>
      </c>
      <c r="D61" s="135">
        <f>B61-C61</f>
        <v>-156.80763000000024</v>
      </c>
      <c r="E61" s="115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3563.16</v>
      </c>
      <c r="C64" s="138">
        <v>3675.3995400000003</v>
      </c>
      <c r="D64" s="139">
        <v>-112.23954000000049</v>
      </c>
      <c r="E64" s="115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141"/>
      <c r="E65" s="115"/>
      <c r="F65" s="74"/>
      <c r="H65" s="65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115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124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124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124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124"/>
    </row>
    <row r="72" spans="1:5" ht="15.75" customHeight="1">
      <c r="A72" s="489" t="s">
        <v>68</v>
      </c>
      <c r="B72" s="489"/>
      <c r="C72" s="489"/>
      <c r="D72" s="489"/>
      <c r="E72" s="124"/>
    </row>
    <row r="73" spans="1:5" ht="18.75" customHeight="1">
      <c r="A73" s="86" t="s">
        <v>69</v>
      </c>
      <c r="B73" s="86" t="s">
        <v>46</v>
      </c>
      <c r="C73" s="86"/>
      <c r="D73" s="179">
        <v>0</v>
      </c>
      <c r="E73" s="124"/>
    </row>
    <row r="74" spans="1:5" ht="21.75" customHeight="1">
      <c r="A74" s="86" t="s">
        <v>70</v>
      </c>
      <c r="B74" s="53" t="s">
        <v>46</v>
      </c>
      <c r="C74" s="53"/>
      <c r="D74" s="179">
        <v>0</v>
      </c>
      <c r="E74" s="124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124"/>
    </row>
    <row r="76" spans="1:5" ht="15">
      <c r="A76" s="66"/>
      <c r="B76" s="66"/>
      <c r="C76" s="66"/>
      <c r="D76" s="91"/>
      <c r="E76" s="110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6">
      <selection activeCell="E17" sqref="E17:H4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127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16.5" customHeight="1">
      <c r="A6" s="2" t="s">
        <v>192</v>
      </c>
    </row>
    <row r="7" spans="1:4" ht="18" customHeight="1">
      <c r="A7" s="488" t="s">
        <v>2</v>
      </c>
      <c r="B7" s="488"/>
      <c r="C7" s="488"/>
      <c r="D7" s="488"/>
    </row>
    <row r="8" spans="1:3" ht="12.75">
      <c r="A8" s="2"/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4" ht="12.75">
      <c r="A13" s="8" t="s">
        <v>8</v>
      </c>
      <c r="B13" s="9"/>
      <c r="C13" s="145" t="s">
        <v>244</v>
      </c>
      <c r="D13" s="10"/>
    </row>
    <row r="14" spans="1:4" ht="31.5" customHeight="1">
      <c r="A14" s="490" t="s">
        <v>9</v>
      </c>
      <c r="B14" s="490"/>
      <c r="C14" s="490"/>
      <c r="D14" s="490"/>
    </row>
    <row r="15" spans="1:5" ht="25.5">
      <c r="A15" s="11" t="s">
        <v>10</v>
      </c>
      <c r="B15" s="12" t="s">
        <v>11</v>
      </c>
      <c r="C15" s="15">
        <v>20531.59</v>
      </c>
      <c r="D15" s="14"/>
      <c r="E15" s="110"/>
    </row>
    <row r="16" spans="1:5" ht="15">
      <c r="A16" s="8" t="s">
        <v>12</v>
      </c>
      <c r="B16" s="12" t="s">
        <v>11</v>
      </c>
      <c r="C16" s="13">
        <v>0</v>
      </c>
      <c r="D16" s="14"/>
      <c r="E16" s="110"/>
    </row>
    <row r="17" spans="1:8" ht="15">
      <c r="A17" s="8" t="s">
        <v>13</v>
      </c>
      <c r="B17" s="12" t="s">
        <v>11</v>
      </c>
      <c r="C17" s="15">
        <v>-10.22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v>11498.88</v>
      </c>
      <c r="D18" s="16"/>
      <c r="E18" s="111">
        <f>C18-C20</f>
        <v>8237.472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3973.727999999999</v>
      </c>
      <c r="D19" s="16"/>
      <c r="E19" s="111">
        <f>E18-E38</f>
        <v>0</v>
      </c>
      <c r="F19" s="110"/>
      <c r="G19" s="110"/>
      <c r="H19" s="110"/>
    </row>
    <row r="20" spans="1:8" ht="15">
      <c r="A20" s="8" t="s">
        <v>16</v>
      </c>
      <c r="B20" s="379" t="s">
        <v>11</v>
      </c>
      <c r="C20" s="15">
        <f>(3.85+2.56)*6*84.8</f>
        <v>3261.408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84.8*4.19*12</f>
        <v>4263.744000000001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10500.777215999999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C18*0.9132</f>
        <v>10500.777215999999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31032.367216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(0.85+0.81)*6*84.8</f>
        <v>844.6080000000001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0.24*12*84.8</f>
        <v>244.224</v>
      </c>
      <c r="E32" s="110"/>
      <c r="F32" s="110"/>
      <c r="G32" s="110"/>
      <c r="H32" s="110"/>
    </row>
    <row r="33" spans="1:8" ht="15">
      <c r="A33" s="154" t="s">
        <v>181</v>
      </c>
      <c r="B33" s="30" t="s">
        <v>33</v>
      </c>
      <c r="C33" s="31" t="s">
        <v>34</v>
      </c>
      <c r="D33" s="94">
        <f>(0.14+0.16)*6*84.8</f>
        <v>152.64000000000001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1.33*12*84.8</f>
        <v>1353.4080000000001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4.19*84.8*12</f>
        <v>4263.744000000001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84.8*6*(1.8+0.91)</f>
        <v>1378.848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28"/>
      <c r="D37" s="157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8237.472000000002</v>
      </c>
      <c r="E38" s="113">
        <f>D38-D37</f>
        <v>8237.472000000002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22794.895215999997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1468.8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5" ht="20.25" customHeight="1">
      <c r="A47" s="493" t="s">
        <v>50</v>
      </c>
      <c r="B47" s="493"/>
      <c r="C47" s="493"/>
      <c r="D47" s="493"/>
      <c r="E47" s="110"/>
    </row>
    <row r="48" spans="1:5" ht="25.5">
      <c r="A48" s="47" t="s">
        <v>51</v>
      </c>
      <c r="B48" s="30" t="s">
        <v>11</v>
      </c>
      <c r="C48" s="31"/>
      <c r="D48" s="14">
        <v>0</v>
      </c>
      <c r="E48" s="110"/>
    </row>
    <row r="49" spans="1:5" ht="15">
      <c r="A49" s="45" t="s">
        <v>12</v>
      </c>
      <c r="B49" s="30" t="s">
        <v>11</v>
      </c>
      <c r="C49" s="31"/>
      <c r="D49" s="14">
        <v>0</v>
      </c>
      <c r="E49" s="110"/>
    </row>
    <row r="50" spans="1:8" ht="15">
      <c r="A50" s="45" t="s">
        <v>13</v>
      </c>
      <c r="B50" s="30" t="s">
        <v>11</v>
      </c>
      <c r="C50" s="31"/>
      <c r="D50" s="58">
        <f>D53-D56-D59</f>
        <v>889.7605520000011</v>
      </c>
      <c r="E50" s="110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2776.52</v>
      </c>
      <c r="E53" s="110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16233.12</v>
      </c>
      <c r="C56" s="101">
        <f>B56*0.9132</f>
        <v>14824.085184000001</v>
      </c>
      <c r="D56" s="102">
        <f>B56-C56</f>
        <v>1409.0348159999994</v>
      </c>
      <c r="E56" s="118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B57*0.9934</f>
        <v>0</v>
      </c>
      <c r="D57" s="102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B58*0.9934</f>
        <v>0</v>
      </c>
      <c r="D58" s="102">
        <f>B58-C58</f>
        <v>0</v>
      </c>
      <c r="E58" s="115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5503.74</v>
      </c>
      <c r="C59" s="128">
        <f>B59*0.9132</f>
        <v>5026.015368</v>
      </c>
      <c r="D59" s="129">
        <f>B59-C59</f>
        <v>477.7246319999995</v>
      </c>
      <c r="E59" s="115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74"/>
      <c r="H60" s="65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16233.12</v>
      </c>
      <c r="C61" s="106">
        <f>C56</f>
        <v>14824.085184000001</v>
      </c>
      <c r="D61" s="135">
        <f>B61-C61</f>
        <v>1409.0348159999994</v>
      </c>
      <c r="E61" s="115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5503.74</v>
      </c>
      <c r="C64" s="138">
        <v>5026.015368</v>
      </c>
      <c r="D64" s="139">
        <v>477.7246319999995</v>
      </c>
      <c r="E64" s="62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89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89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89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6" t="s">
        <v>69</v>
      </c>
      <c r="B73" s="86" t="s">
        <v>46</v>
      </c>
      <c r="C73" s="86"/>
      <c r="D73" s="179">
        <v>0</v>
      </c>
      <c r="E73" s="89"/>
    </row>
    <row r="74" spans="1:5" ht="21.75" customHeight="1">
      <c r="A74" s="86" t="s">
        <v>70</v>
      </c>
      <c r="B74" s="53" t="s">
        <v>46</v>
      </c>
      <c r="C74" s="53"/>
      <c r="D74" s="179">
        <v>0</v>
      </c>
      <c r="E74" s="89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89"/>
    </row>
    <row r="76" spans="1:4" ht="15">
      <c r="A76" s="66"/>
      <c r="B76" s="66"/>
      <c r="C76" s="66"/>
      <c r="D76" s="91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44">
      <selection activeCell="E37" sqref="E37:H6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128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23.25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146" t="s">
        <v>239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5" ht="12.75">
      <c r="A11" s="8" t="s">
        <v>6</v>
      </c>
      <c r="B11" s="9"/>
      <c r="C11" s="145" t="s">
        <v>242</v>
      </c>
      <c r="D11" s="10"/>
      <c r="E11" s="110"/>
    </row>
    <row r="12" spans="1:5" ht="12.75">
      <c r="A12" s="8" t="s">
        <v>7</v>
      </c>
      <c r="B12" s="9"/>
      <c r="C12" s="145" t="s">
        <v>243</v>
      </c>
      <c r="D12" s="10"/>
      <c r="E12" s="110"/>
    </row>
    <row r="13" spans="1:5" ht="12.75">
      <c r="A13" s="8" t="s">
        <v>8</v>
      </c>
      <c r="B13" s="9"/>
      <c r="C13" s="145" t="s">
        <v>244</v>
      </c>
      <c r="D13" s="10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5" ht="25.5">
      <c r="A15" s="11" t="s">
        <v>10</v>
      </c>
      <c r="B15" s="12" t="s">
        <v>11</v>
      </c>
      <c r="C15" s="13">
        <v>4713.82</v>
      </c>
      <c r="D15" s="14"/>
      <c r="E15" s="110"/>
    </row>
    <row r="16" spans="1:5" ht="15">
      <c r="A16" s="8" t="s">
        <v>12</v>
      </c>
      <c r="B16" s="12" t="s">
        <v>11</v>
      </c>
      <c r="C16" s="13">
        <v>0</v>
      </c>
      <c r="D16" s="14"/>
      <c r="E16" s="110"/>
    </row>
    <row r="17" spans="1:5" ht="15">
      <c r="A17" s="8" t="s">
        <v>13</v>
      </c>
      <c r="B17" s="12" t="s">
        <v>11</v>
      </c>
      <c r="C17" s="15">
        <v>12591.57</v>
      </c>
      <c r="D17" s="16"/>
      <c r="E17" s="156"/>
    </row>
    <row r="18" spans="1:5" ht="31.5" customHeight="1">
      <c r="A18" s="17" t="s">
        <v>14</v>
      </c>
      <c r="B18" s="12" t="s">
        <v>11</v>
      </c>
      <c r="C18" s="15">
        <f>16765.14+3414.96</f>
        <v>20180.1</v>
      </c>
      <c r="D18" s="16"/>
      <c r="E18" s="155">
        <f>C18-C20</f>
        <v>12626.435999999998</v>
      </c>
    </row>
    <row r="19" spans="1:5" ht="15">
      <c r="A19" s="8" t="s">
        <v>15</v>
      </c>
      <c r="B19" s="12" t="s">
        <v>11</v>
      </c>
      <c r="C19" s="15">
        <f>C18-C20-C21</f>
        <v>5577.1799999999985</v>
      </c>
      <c r="D19" s="16"/>
      <c r="E19" s="155">
        <f>E18-E39</f>
        <v>0.023999999997613486</v>
      </c>
    </row>
    <row r="20" spans="1:5" ht="15">
      <c r="A20" s="8" t="s">
        <v>16</v>
      </c>
      <c r="B20" s="12" t="s">
        <v>11</v>
      </c>
      <c r="C20" s="15">
        <f>(2.58+2.34)*6*140.2+3414.96</f>
        <v>7553.664</v>
      </c>
      <c r="D20" s="16"/>
      <c r="E20" s="112"/>
    </row>
    <row r="21" spans="1:5" ht="15">
      <c r="A21" s="8" t="s">
        <v>17</v>
      </c>
      <c r="B21" s="12" t="s">
        <v>11</v>
      </c>
      <c r="C21" s="19">
        <f>140.2*4.19*12</f>
        <v>7049.255999999999</v>
      </c>
      <c r="D21" s="16"/>
      <c r="E21" s="110"/>
    </row>
    <row r="22" spans="1:5" ht="15">
      <c r="A22" s="20" t="s">
        <v>18</v>
      </c>
      <c r="B22" s="12" t="s">
        <v>11</v>
      </c>
      <c r="C22" s="15">
        <f>C23+C24+C25+C26+C27</f>
        <v>29416.531769999998</v>
      </c>
      <c r="D22" s="16" t="s">
        <v>19</v>
      </c>
      <c r="E22" s="111" t="e">
        <f>B24+B25+B26+B27+B28</f>
        <v>#VALUE!</v>
      </c>
    </row>
    <row r="23" spans="1:5" ht="15">
      <c r="A23" s="8" t="s">
        <v>20</v>
      </c>
      <c r="B23" s="12" t="s">
        <v>11</v>
      </c>
      <c r="C23" s="15">
        <f>C18*1.4577</f>
        <v>29416.531769999998</v>
      </c>
      <c r="D23" s="16"/>
      <c r="E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H24" s="1" t="s">
        <v>22</v>
      </c>
    </row>
    <row r="25" spans="1:5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</row>
    <row r="26" spans="1:5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</row>
    <row r="27" spans="1:5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</row>
    <row r="28" spans="1:5" ht="15">
      <c r="A28" s="8" t="s">
        <v>25</v>
      </c>
      <c r="B28" s="12" t="s">
        <v>11</v>
      </c>
      <c r="C28" s="15">
        <f>C15+C22</f>
        <v>34130.351769999994</v>
      </c>
      <c r="D28" s="16" t="s">
        <v>26</v>
      </c>
      <c r="E28" s="112" t="e">
        <f>B28/#REF!*1</f>
        <v>#VALUE!</v>
      </c>
    </row>
    <row r="29" spans="1:5" ht="35.25" customHeight="1">
      <c r="A29" s="491" t="s">
        <v>27</v>
      </c>
      <c r="B29" s="491"/>
      <c r="C29" s="491"/>
      <c r="D29" s="491"/>
      <c r="E29" s="110"/>
    </row>
    <row r="30" spans="1:5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</row>
    <row r="31" spans="1:5" ht="15">
      <c r="A31" s="26" t="s">
        <v>32</v>
      </c>
      <c r="B31" s="27" t="s">
        <v>33</v>
      </c>
      <c r="C31" s="28" t="s">
        <v>34</v>
      </c>
      <c r="D31" s="93">
        <f>(0.85+0.81)*6*140.2</f>
        <v>1396.392</v>
      </c>
      <c r="E31" s="110"/>
    </row>
    <row r="32" spans="1:5" ht="15">
      <c r="A32" s="29" t="s">
        <v>36</v>
      </c>
      <c r="B32" s="30" t="s">
        <v>33</v>
      </c>
      <c r="C32" s="31" t="s">
        <v>37</v>
      </c>
      <c r="D32" s="94">
        <f>0.24*12*140.2</f>
        <v>403.77599999999995</v>
      </c>
      <c r="E32" s="110"/>
    </row>
    <row r="33" spans="1:5" ht="15">
      <c r="A33" s="154" t="s">
        <v>184</v>
      </c>
      <c r="B33" s="30" t="s">
        <v>33</v>
      </c>
      <c r="C33" s="31" t="s">
        <v>34</v>
      </c>
      <c r="D33" s="94">
        <f>(0.14+0.16)*140.2*6</f>
        <v>252.36</v>
      </c>
      <c r="E33" s="110"/>
    </row>
    <row r="34" spans="1:5" ht="15">
      <c r="A34" s="29" t="s">
        <v>81</v>
      </c>
      <c r="B34" s="92" t="s">
        <v>82</v>
      </c>
      <c r="C34" s="31" t="s">
        <v>34</v>
      </c>
      <c r="D34" s="94">
        <f>1.33*12*140.2</f>
        <v>2237.592</v>
      </c>
      <c r="E34" s="110"/>
    </row>
    <row r="35" spans="1:5" ht="15">
      <c r="A35" s="29" t="s">
        <v>38</v>
      </c>
      <c r="B35" s="30" t="s">
        <v>35</v>
      </c>
      <c r="C35" s="370" t="s">
        <v>237</v>
      </c>
      <c r="D35" s="94">
        <f>4.19*140.2*12</f>
        <v>7049.255999999999</v>
      </c>
      <c r="E35" s="110"/>
    </row>
    <row r="36" spans="1:5" ht="15">
      <c r="A36" s="29" t="s">
        <v>85</v>
      </c>
      <c r="B36" s="30" t="s">
        <v>238</v>
      </c>
      <c r="C36" s="173" t="s">
        <v>37</v>
      </c>
      <c r="D36" s="94">
        <f>140.2*(0.71+0.82)*6</f>
        <v>1287.0359999999996</v>
      </c>
      <c r="E36" s="110"/>
    </row>
    <row r="37" spans="1:14" s="1" customFormat="1" ht="45">
      <c r="A37" s="33" t="s">
        <v>40</v>
      </c>
      <c r="B37" s="34" t="s">
        <v>41</v>
      </c>
      <c r="C37" s="28"/>
      <c r="D37" s="36">
        <f>D38</f>
        <v>7406</v>
      </c>
      <c r="E37" s="110"/>
      <c r="F37" s="110"/>
      <c r="G37" s="110"/>
      <c r="H37" s="110"/>
      <c r="K37"/>
      <c r="L37"/>
      <c r="M37"/>
      <c r="N37"/>
    </row>
    <row r="38" spans="1:14" s="1" customFormat="1" ht="15">
      <c r="A38" s="149" t="s">
        <v>340</v>
      </c>
      <c r="B38" s="96" t="s">
        <v>167</v>
      </c>
      <c r="C38" s="28" t="s">
        <v>234</v>
      </c>
      <c r="D38" s="147">
        <v>7406</v>
      </c>
      <c r="E38" s="110"/>
      <c r="F38" s="110"/>
      <c r="G38" s="110"/>
      <c r="H38" s="110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8">
        <f>D31+D32+D33+D34+D35+D36+D37</f>
        <v>20032.412</v>
      </c>
      <c r="E39" s="113">
        <f>D39-D37</f>
        <v>12626.412</v>
      </c>
      <c r="F39" s="110"/>
      <c r="G39" s="110"/>
      <c r="H39" s="110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14097.939769999994</v>
      </c>
      <c r="E40" s="113"/>
      <c r="F40" s="110"/>
      <c r="G40" s="110"/>
      <c r="H40" s="110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10"/>
      <c r="F41" s="110"/>
      <c r="G41" s="110"/>
      <c r="H41" s="110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1712.3</v>
      </c>
      <c r="E42" s="110"/>
      <c r="F42" s="110"/>
      <c r="G42" s="110"/>
      <c r="H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110"/>
      <c r="F47" s="110"/>
      <c r="G47" s="110"/>
      <c r="H47" s="110"/>
      <c r="K47"/>
      <c r="L47"/>
      <c r="M47"/>
      <c r="N47"/>
    </row>
    <row r="48" spans="1:8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</row>
    <row r="49" spans="1:8" ht="25.5">
      <c r="A49" s="47" t="s">
        <v>51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12</v>
      </c>
      <c r="B50" s="30" t="s">
        <v>11</v>
      </c>
      <c r="C50" s="31"/>
      <c r="D50" s="14">
        <v>0</v>
      </c>
      <c r="E50" s="110"/>
      <c r="F50" s="110"/>
      <c r="G50" s="110"/>
      <c r="H50" s="110"/>
    </row>
    <row r="51" spans="1:8" ht="15">
      <c r="A51" s="45" t="s">
        <v>13</v>
      </c>
      <c r="B51" s="30" t="s">
        <v>11</v>
      </c>
      <c r="C51" s="31"/>
      <c r="D51" s="48">
        <f>D54-D57-D60</f>
        <v>12570.872384</v>
      </c>
      <c r="E51" s="110"/>
      <c r="F51" s="110"/>
      <c r="G51" s="110"/>
      <c r="H51" s="114"/>
    </row>
    <row r="52" spans="1:8" ht="25.5">
      <c r="A52" s="50" t="s">
        <v>52</v>
      </c>
      <c r="B52" s="30" t="s">
        <v>11</v>
      </c>
      <c r="C52" s="51"/>
      <c r="D52" s="52">
        <v>0</v>
      </c>
      <c r="E52" s="110"/>
      <c r="F52" s="110"/>
      <c r="G52" s="110"/>
      <c r="H52" s="110"/>
    </row>
    <row r="53" spans="1:10" ht="17.25" customHeight="1">
      <c r="A53" s="53" t="s">
        <v>12</v>
      </c>
      <c r="B53" s="30" t="s">
        <v>11</v>
      </c>
      <c r="C53" s="31"/>
      <c r="D53" s="14">
        <v>0</v>
      </c>
      <c r="E53" s="110"/>
      <c r="F53" s="110"/>
      <c r="G53" s="110"/>
      <c r="H53" s="110"/>
      <c r="I53" s="49"/>
      <c r="J53" s="49"/>
    </row>
    <row r="54" spans="1:14" ht="15">
      <c r="A54" s="56" t="s">
        <v>13</v>
      </c>
      <c r="B54" s="30" t="s">
        <v>11</v>
      </c>
      <c r="C54" s="57"/>
      <c r="D54" s="58">
        <v>1966</v>
      </c>
      <c r="E54" s="110"/>
      <c r="F54" s="110"/>
      <c r="G54" s="110"/>
      <c r="H54" s="110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116"/>
      <c r="G55" s="117"/>
      <c r="H55" s="110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116"/>
      <c r="G56" s="117"/>
      <c r="H56" s="110"/>
      <c r="I56" s="65"/>
      <c r="J56" s="71"/>
      <c r="K56" s="66"/>
      <c r="L56" s="66"/>
      <c r="M56" s="66"/>
      <c r="N56" s="66"/>
    </row>
    <row r="57" spans="1:14" ht="15">
      <c r="A57" s="72" t="s">
        <v>58</v>
      </c>
      <c r="B57" s="100">
        <v>14070.56</v>
      </c>
      <c r="C57" s="101">
        <f>B57*1.4577</f>
        <v>20510.655312</v>
      </c>
      <c r="D57" s="102">
        <f>B57-C57</f>
        <v>-6440.0953119999995</v>
      </c>
      <c r="E57" s="118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59</v>
      </c>
      <c r="B58" s="100">
        <v>0</v>
      </c>
      <c r="C58" s="101">
        <f>B58*0.9934</f>
        <v>0</v>
      </c>
      <c r="D58" s="102">
        <f>B58-C58</f>
        <v>0</v>
      </c>
      <c r="E58" s="115"/>
      <c r="F58" s="116"/>
      <c r="G58" s="117"/>
      <c r="H58" s="110"/>
      <c r="I58" s="65"/>
      <c r="J58" s="65"/>
      <c r="K58" s="66"/>
      <c r="L58" s="66"/>
      <c r="M58" s="66"/>
      <c r="N58" s="66"/>
    </row>
    <row r="59" spans="1:14" ht="15">
      <c r="A59" s="72" t="s">
        <v>60</v>
      </c>
      <c r="B59" s="103">
        <v>0</v>
      </c>
      <c r="C59" s="101">
        <f>B59*0.9934</f>
        <v>0</v>
      </c>
      <c r="D59" s="102">
        <f>B59-C59</f>
        <v>0</v>
      </c>
      <c r="E59" s="115">
        <f>(2.07+1.8)*6*2301.2-0.37*2301.2*6</f>
        <v>48325.2</v>
      </c>
      <c r="F59" s="119"/>
      <c r="G59" s="120"/>
      <c r="H59" s="115"/>
      <c r="I59" s="65"/>
      <c r="J59" s="65"/>
      <c r="K59" s="66"/>
      <c r="L59" s="66"/>
      <c r="M59" s="66"/>
      <c r="N59" s="66"/>
    </row>
    <row r="60" spans="1:14" ht="15.75" thickBot="1">
      <c r="A60" s="126" t="s">
        <v>318</v>
      </c>
      <c r="B60" s="127">
        <v>9099.36</v>
      </c>
      <c r="C60" s="101">
        <f>B60*1.4577</f>
        <v>13264.137072000001</v>
      </c>
      <c r="D60" s="129">
        <f>B60-C60</f>
        <v>-4164.777072000001</v>
      </c>
      <c r="E60" s="115"/>
      <c r="F60" s="119"/>
      <c r="G60" s="120"/>
      <c r="H60" s="110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115"/>
      <c r="F61" s="119"/>
      <c r="G61" s="110"/>
      <c r="H61" s="121"/>
      <c r="I61" s="65"/>
      <c r="J61" s="65"/>
      <c r="K61" s="66"/>
      <c r="L61" s="66"/>
      <c r="M61" s="66"/>
      <c r="N61" s="66"/>
    </row>
    <row r="62" spans="1:14" ht="15">
      <c r="A62" s="134" t="s">
        <v>58</v>
      </c>
      <c r="B62" s="105">
        <f>B57</f>
        <v>14070.56</v>
      </c>
      <c r="C62" s="106">
        <f>C57</f>
        <v>20510.655312</v>
      </c>
      <c r="D62" s="135">
        <f>B62-C62</f>
        <v>-6440.0953119999995</v>
      </c>
      <c r="E62" s="115"/>
      <c r="F62" s="119"/>
      <c r="G62" s="110"/>
      <c r="H62" s="121"/>
      <c r="I62" s="65"/>
      <c r="J62" s="65" t="s">
        <v>26</v>
      </c>
      <c r="K62" s="66"/>
      <c r="L62" s="66"/>
      <c r="M62" s="66"/>
      <c r="N62" s="66"/>
    </row>
    <row r="63" spans="1:14" ht="15">
      <c r="A63" s="134" t="s">
        <v>59</v>
      </c>
      <c r="B63" s="105">
        <v>0</v>
      </c>
      <c r="C63" s="106">
        <v>0</v>
      </c>
      <c r="D63" s="135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">
      <c r="A64" s="134" t="s">
        <v>60</v>
      </c>
      <c r="B64" s="105">
        <v>0</v>
      </c>
      <c r="C64" s="106">
        <v>0</v>
      </c>
      <c r="D64" s="135">
        <f>B64-C64</f>
        <v>0</v>
      </c>
      <c r="E64" s="115"/>
      <c r="F64" s="74"/>
      <c r="H64" s="65"/>
      <c r="I64" s="65"/>
      <c r="J64" s="65"/>
      <c r="K64" s="66"/>
      <c r="L64" s="66"/>
      <c r="M64" s="66"/>
      <c r="N64" s="66"/>
    </row>
    <row r="65" spans="1:14" ht="15.75" thickBot="1">
      <c r="A65" s="136" t="s">
        <v>318</v>
      </c>
      <c r="B65" s="137">
        <v>9099.36</v>
      </c>
      <c r="C65" s="138">
        <v>13264.137072000001</v>
      </c>
      <c r="D65" s="139">
        <v>-4164.777072000001</v>
      </c>
      <c r="E65" s="62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8"/>
      <c r="B66" s="77"/>
      <c r="C66" s="79"/>
      <c r="D66" s="80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25.5">
      <c r="A67" s="81" t="s">
        <v>66</v>
      </c>
      <c r="B67" s="77" t="s">
        <v>11</v>
      </c>
      <c r="C67" s="82"/>
      <c r="D67" s="83">
        <v>0</v>
      </c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84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7"/>
      <c r="D69" s="179">
        <v>0</v>
      </c>
      <c r="E69" s="89"/>
    </row>
    <row r="70" spans="1:5" ht="21" customHeight="1">
      <c r="A70" s="86" t="s">
        <v>47</v>
      </c>
      <c r="B70" s="86" t="s">
        <v>46</v>
      </c>
      <c r="C70" s="86"/>
      <c r="D70" s="179">
        <v>0</v>
      </c>
      <c r="E70" s="89"/>
    </row>
    <row r="71" spans="1:5" ht="18" customHeight="1">
      <c r="A71" s="86" t="s">
        <v>48</v>
      </c>
      <c r="B71" s="86" t="s">
        <v>46</v>
      </c>
      <c r="C71" s="86"/>
      <c r="D71" s="179">
        <v>0</v>
      </c>
      <c r="E71" s="89"/>
    </row>
    <row r="72" spans="1:5" ht="16.5" customHeight="1">
      <c r="A72" s="86" t="s">
        <v>49</v>
      </c>
      <c r="B72" s="86" t="s">
        <v>11</v>
      </c>
      <c r="C72" s="86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6" t="s">
        <v>69</v>
      </c>
      <c r="B74" s="86" t="s">
        <v>46</v>
      </c>
      <c r="C74" s="86"/>
      <c r="D74" s="179">
        <v>2</v>
      </c>
      <c r="E74" s="89"/>
    </row>
    <row r="75" spans="1:5" ht="21.75" customHeight="1">
      <c r="A75" s="86" t="s">
        <v>70</v>
      </c>
      <c r="B75" s="53" t="s">
        <v>46</v>
      </c>
      <c r="C75" s="53"/>
      <c r="D75" s="179">
        <v>2</v>
      </c>
      <c r="E75" s="89"/>
    </row>
    <row r="76" spans="1:5" ht="36" customHeight="1">
      <c r="A76" s="90" t="s">
        <v>71</v>
      </c>
      <c r="B76" s="86" t="s">
        <v>11</v>
      </c>
      <c r="C76" s="86"/>
      <c r="D76" s="179">
        <v>20000</v>
      </c>
      <c r="E76" s="89"/>
    </row>
    <row r="77" spans="1:4" ht="15">
      <c r="A77" s="66"/>
      <c r="B77" s="66"/>
      <c r="C77" s="66"/>
      <c r="D77" s="91"/>
    </row>
    <row r="78" spans="1:14" s="1" customFormat="1" ht="12.75">
      <c r="A78"/>
      <c r="B78"/>
      <c r="C78"/>
      <c r="D78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112" zoomScaleNormal="112" zoomScalePageLayoutView="0" workbookViewId="0" topLeftCell="A9">
      <selection activeCell="A28" sqref="A28:D28"/>
    </sheetView>
  </sheetViews>
  <sheetFormatPr defaultColWidth="11.57421875" defaultRowHeight="12.75"/>
  <cols>
    <col min="1" max="1" width="56.00390625" style="0" customWidth="1"/>
    <col min="2" max="2" width="17.00390625" style="0" customWidth="1"/>
    <col min="3" max="3" width="23.8515625" style="0" customWidth="1"/>
    <col min="4" max="4" width="16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84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11.25" customHeight="1">
      <c r="A6" s="2"/>
    </row>
    <row r="7" spans="1:4" ht="36.75" customHeight="1">
      <c r="A7" s="488" t="s">
        <v>2</v>
      </c>
      <c r="B7" s="488"/>
      <c r="C7" s="488"/>
      <c r="D7" s="488"/>
    </row>
    <row r="8" spans="1:4" ht="17.25" customHeight="1">
      <c r="A8" s="185" t="s">
        <v>322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8" ht="12.75">
      <c r="A10" s="189">
        <v>1</v>
      </c>
      <c r="B10" s="189">
        <v>2</v>
      </c>
      <c r="C10" s="189">
        <v>3</v>
      </c>
      <c r="D10" s="190">
        <v>4</v>
      </c>
      <c r="E10" s="110"/>
      <c r="F10" s="110"/>
      <c r="G10" s="110"/>
      <c r="H10" s="110"/>
    </row>
    <row r="11" spans="1:9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  <c r="I11" s="110"/>
    </row>
    <row r="12" spans="1:9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  <c r="I12" s="110"/>
    </row>
    <row r="13" spans="1:9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  <c r="I13" s="110"/>
    </row>
    <row r="14" spans="1:9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  <c r="I14" s="110"/>
    </row>
    <row r="15" spans="1:9" ht="26.25">
      <c r="A15" s="17" t="s">
        <v>10</v>
      </c>
      <c r="B15" s="194" t="s">
        <v>11</v>
      </c>
      <c r="C15" s="197">
        <v>-10689.54</v>
      </c>
      <c r="D15" s="196"/>
      <c r="E15" s="110"/>
      <c r="F15" s="110"/>
      <c r="G15" s="110"/>
      <c r="H15" s="110"/>
      <c r="I15" s="110"/>
    </row>
    <row r="16" spans="1:9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  <c r="I16" s="110"/>
    </row>
    <row r="17" spans="1:9" ht="15.75">
      <c r="A17" s="20" t="s">
        <v>13</v>
      </c>
      <c r="B17" s="194" t="s">
        <v>11</v>
      </c>
      <c r="C17" s="197">
        <v>2468.26</v>
      </c>
      <c r="D17" s="198"/>
      <c r="E17" s="110"/>
      <c r="F17" s="110"/>
      <c r="G17" s="110"/>
      <c r="H17" s="110"/>
      <c r="I17" s="110"/>
    </row>
    <row r="18" spans="1:9" ht="31.5" customHeight="1">
      <c r="A18" s="17" t="s">
        <v>14</v>
      </c>
      <c r="B18" s="194" t="s">
        <v>11</v>
      </c>
      <c r="C18" s="197">
        <f>69768.24+6040.14</f>
        <v>75808.38</v>
      </c>
      <c r="D18" s="198"/>
      <c r="E18" s="111">
        <f>C18-C20</f>
        <v>66308.2887</v>
      </c>
      <c r="F18" s="110"/>
      <c r="G18" s="110"/>
      <c r="H18" s="110"/>
      <c r="I18" s="110"/>
    </row>
    <row r="19" spans="1:9" ht="15.75">
      <c r="A19" s="20" t="s">
        <v>15</v>
      </c>
      <c r="B19" s="194" t="s">
        <v>11</v>
      </c>
      <c r="C19" s="197">
        <f>C18-C20-C21</f>
        <v>44008.3545</v>
      </c>
      <c r="D19" s="198"/>
      <c r="E19" s="111">
        <f>E18-E43</f>
        <v>6040.1352999999945</v>
      </c>
      <c r="F19" s="110"/>
      <c r="G19" s="110"/>
      <c r="H19" s="110"/>
      <c r="I19" s="110"/>
    </row>
    <row r="20" spans="1:9" ht="15.75">
      <c r="A20" s="20" t="s">
        <v>16</v>
      </c>
      <c r="B20" s="194" t="s">
        <v>11</v>
      </c>
      <c r="C20" s="197">
        <f>(1.82+1.75)*6*443.515</f>
        <v>9500.0913</v>
      </c>
      <c r="D20" s="198"/>
      <c r="E20" s="112"/>
      <c r="F20" s="110"/>
      <c r="G20" s="110"/>
      <c r="H20" s="110"/>
      <c r="I20" s="110"/>
    </row>
    <row r="21" spans="1:9" ht="15.75">
      <c r="A21" s="20" t="s">
        <v>17</v>
      </c>
      <c r="B21" s="194" t="s">
        <v>11</v>
      </c>
      <c r="C21" s="199">
        <f>443.515*4.19*12</f>
        <v>22299.934200000003</v>
      </c>
      <c r="D21" s="198"/>
      <c r="E21" s="110"/>
      <c r="F21" s="110"/>
      <c r="G21" s="110"/>
      <c r="H21" s="110"/>
      <c r="I21" s="110"/>
    </row>
    <row r="22" spans="1:9" ht="15.75">
      <c r="A22" s="20" t="s">
        <v>18</v>
      </c>
      <c r="B22" s="194" t="s">
        <v>11</v>
      </c>
      <c r="C22" s="197">
        <f>C23+C24+C25+C26</f>
        <v>77696.008662</v>
      </c>
      <c r="D22" s="198" t="s">
        <v>19</v>
      </c>
      <c r="E22" s="111"/>
      <c r="F22" s="110"/>
      <c r="G22" s="110"/>
      <c r="H22" s="110"/>
      <c r="I22" s="110"/>
    </row>
    <row r="23" spans="1:9" ht="15.75">
      <c r="A23" s="20" t="s">
        <v>20</v>
      </c>
      <c r="B23" s="194" t="s">
        <v>11</v>
      </c>
      <c r="C23" s="197">
        <f>C18*1.0249</f>
        <v>77696.008662</v>
      </c>
      <c r="D23" s="198"/>
      <c r="E23" s="110"/>
      <c r="F23" s="110"/>
      <c r="G23" s="110"/>
      <c r="H23" s="110"/>
      <c r="I23" s="110"/>
    </row>
    <row r="24" spans="1:9" ht="15.75">
      <c r="A24" s="20" t="s">
        <v>21</v>
      </c>
      <c r="B24" s="194" t="s">
        <v>11</v>
      </c>
      <c r="C24" s="197">
        <v>0</v>
      </c>
      <c r="D24" s="200">
        <v>65.21</v>
      </c>
      <c r="E24" s="112"/>
      <c r="F24" s="110"/>
      <c r="G24" s="110"/>
      <c r="H24" s="110" t="s">
        <v>22</v>
      </c>
      <c r="I24" s="110"/>
    </row>
    <row r="25" spans="1:9" ht="15.75">
      <c r="A25" s="20" t="s">
        <v>23</v>
      </c>
      <c r="B25" s="194" t="s">
        <v>11</v>
      </c>
      <c r="C25" s="197">
        <v>0</v>
      </c>
      <c r="D25" s="200">
        <v>119.63</v>
      </c>
      <c r="E25" s="112"/>
      <c r="F25" s="110"/>
      <c r="G25" s="110"/>
      <c r="H25" s="110"/>
      <c r="I25" s="110"/>
    </row>
    <row r="26" spans="1:9" ht="15.75">
      <c r="A26" s="191" t="s">
        <v>24</v>
      </c>
      <c r="B26" s="194" t="s">
        <v>11</v>
      </c>
      <c r="C26" s="197">
        <v>0</v>
      </c>
      <c r="D26" s="200"/>
      <c r="E26" s="112"/>
      <c r="F26" s="110"/>
      <c r="G26" s="110"/>
      <c r="H26" s="110"/>
      <c r="I26" s="110"/>
    </row>
    <row r="27" spans="1:9" ht="15.75">
      <c r="A27" s="20" t="s">
        <v>25</v>
      </c>
      <c r="B27" s="194" t="s">
        <v>11</v>
      </c>
      <c r="C27" s="197">
        <f>C15+C22</f>
        <v>67006.468662</v>
      </c>
      <c r="D27" s="198" t="s">
        <v>26</v>
      </c>
      <c r="E27" s="112"/>
      <c r="F27" s="110"/>
      <c r="G27" s="110"/>
      <c r="H27" s="110"/>
      <c r="I27" s="110"/>
    </row>
    <row r="28" spans="1:9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  <c r="I28" s="110"/>
    </row>
    <row r="29" spans="1:9" ht="51">
      <c r="A29" s="202" t="s">
        <v>28</v>
      </c>
      <c r="B29" s="203" t="s">
        <v>29</v>
      </c>
      <c r="C29" s="204" t="s">
        <v>30</v>
      </c>
      <c r="D29" s="205" t="s">
        <v>31</v>
      </c>
      <c r="E29" s="110"/>
      <c r="F29" s="110"/>
      <c r="G29" s="110"/>
      <c r="H29" s="110"/>
      <c r="I29" s="110"/>
    </row>
    <row r="30" spans="1:9" ht="23.25" customHeight="1">
      <c r="A30" s="206" t="s">
        <v>32</v>
      </c>
      <c r="B30" s="207" t="s">
        <v>33</v>
      </c>
      <c r="C30" s="208" t="s">
        <v>34</v>
      </c>
      <c r="D30" s="209">
        <f>0.6*12*443.48</f>
        <v>3193.056</v>
      </c>
      <c r="E30" s="110"/>
      <c r="F30" s="110"/>
      <c r="G30" s="110"/>
      <c r="H30" s="110"/>
      <c r="I30" s="110"/>
    </row>
    <row r="31" spans="1:9" ht="15.75">
      <c r="A31" s="210" t="s">
        <v>75</v>
      </c>
      <c r="B31" s="211" t="s">
        <v>76</v>
      </c>
      <c r="C31" s="212" t="s">
        <v>34</v>
      </c>
      <c r="D31" s="213">
        <f>2.4*12*443.48</f>
        <v>12772.224</v>
      </c>
      <c r="E31" s="110"/>
      <c r="F31" s="110"/>
      <c r="G31" s="110"/>
      <c r="H31" s="110"/>
      <c r="I31" s="110"/>
    </row>
    <row r="32" spans="1:9" ht="15.75">
      <c r="A32" s="210" t="s">
        <v>36</v>
      </c>
      <c r="B32" s="211" t="s">
        <v>33</v>
      </c>
      <c r="C32" s="212" t="s">
        <v>37</v>
      </c>
      <c r="D32" s="213">
        <f>0.24*12*443.48</f>
        <v>1277.2224</v>
      </c>
      <c r="E32" s="174"/>
      <c r="F32" s="110"/>
      <c r="G32" s="110"/>
      <c r="H32" s="110"/>
      <c r="I32" s="110"/>
    </row>
    <row r="33" spans="1:9" ht="15.75">
      <c r="A33" s="210" t="s">
        <v>79</v>
      </c>
      <c r="B33" s="369" t="s">
        <v>33</v>
      </c>
      <c r="C33" s="212" t="s">
        <v>34</v>
      </c>
      <c r="D33" s="213">
        <f>0.73*12*443.48</f>
        <v>3884.8848000000003</v>
      </c>
      <c r="E33" s="174"/>
      <c r="F33" s="110"/>
      <c r="G33" s="110"/>
      <c r="H33" s="110"/>
      <c r="I33" s="110"/>
    </row>
    <row r="34" spans="1:9" ht="15.75">
      <c r="A34" s="210" t="s">
        <v>80</v>
      </c>
      <c r="B34" s="211" t="s">
        <v>33</v>
      </c>
      <c r="C34" s="212" t="s">
        <v>34</v>
      </c>
      <c r="D34" s="213">
        <f>(1.67+1.38)*443.48*6</f>
        <v>8115.684</v>
      </c>
      <c r="E34" s="110"/>
      <c r="F34" s="110"/>
      <c r="G34" s="110"/>
      <c r="H34" s="110"/>
      <c r="I34" s="110"/>
    </row>
    <row r="35" spans="1:9" ht="31.5">
      <c r="A35" s="210" t="s">
        <v>81</v>
      </c>
      <c r="B35" s="216" t="s">
        <v>82</v>
      </c>
      <c r="C35" s="212" t="s">
        <v>34</v>
      </c>
      <c r="D35" s="213">
        <f>1.33*12*443.48</f>
        <v>7077.9408</v>
      </c>
      <c r="E35" s="110"/>
      <c r="F35" s="110"/>
      <c r="G35" s="110"/>
      <c r="H35" s="110"/>
      <c r="I35" s="110"/>
    </row>
    <row r="36" spans="1:9" ht="15.75">
      <c r="A36" s="210" t="s">
        <v>38</v>
      </c>
      <c r="B36" s="211" t="s">
        <v>35</v>
      </c>
      <c r="C36" s="368" t="s">
        <v>237</v>
      </c>
      <c r="D36" s="213">
        <f>4.19*443.48*12</f>
        <v>22298.174400000004</v>
      </c>
      <c r="E36" s="110"/>
      <c r="F36" s="110"/>
      <c r="G36" s="110"/>
      <c r="H36" s="110"/>
      <c r="I36" s="110"/>
    </row>
    <row r="37" spans="1:9" ht="21" customHeight="1">
      <c r="A37" s="210" t="s">
        <v>315</v>
      </c>
      <c r="B37" s="211" t="s">
        <v>238</v>
      </c>
      <c r="C37" s="278" t="s">
        <v>37</v>
      </c>
      <c r="D37" s="213">
        <v>1648.967</v>
      </c>
      <c r="E37" s="110"/>
      <c r="F37" s="110"/>
      <c r="G37" s="110"/>
      <c r="H37" s="110"/>
      <c r="I37" s="110"/>
    </row>
    <row r="38" spans="1:9" ht="21" customHeight="1">
      <c r="A38" s="210" t="s">
        <v>219</v>
      </c>
      <c r="B38" s="211"/>
      <c r="C38" s="278"/>
      <c r="D38" s="287"/>
      <c r="E38" s="110"/>
      <c r="F38" s="110"/>
      <c r="G38" s="110"/>
      <c r="H38" s="110"/>
      <c r="I38" s="110"/>
    </row>
    <row r="39" spans="1:9" ht="16.5" customHeight="1">
      <c r="A39" s="210" t="s">
        <v>223</v>
      </c>
      <c r="B39" s="211" t="s">
        <v>35</v>
      </c>
      <c r="C39" s="278" t="s">
        <v>220</v>
      </c>
      <c r="D39" s="287">
        <v>390.68</v>
      </c>
      <c r="E39" s="110"/>
      <c r="F39" s="110"/>
      <c r="G39" s="110"/>
      <c r="H39" s="110"/>
      <c r="I39" s="110"/>
    </row>
    <row r="40" spans="1:9" ht="15.75" customHeight="1">
      <c r="A40" s="210" t="s">
        <v>221</v>
      </c>
      <c r="B40" s="211" t="s">
        <v>35</v>
      </c>
      <c r="C40" s="278" t="s">
        <v>222</v>
      </c>
      <c r="D40" s="287">
        <v>5667.66</v>
      </c>
      <c r="E40" s="110"/>
      <c r="F40" s="110"/>
      <c r="G40" s="110"/>
      <c r="H40" s="110"/>
      <c r="I40" s="110"/>
    </row>
    <row r="41" spans="1:14" s="1" customFormat="1" ht="78.75">
      <c r="A41" s="263" t="s">
        <v>212</v>
      </c>
      <c r="B41" s="218" t="s">
        <v>41</v>
      </c>
      <c r="C41" s="224"/>
      <c r="D41" s="387">
        <f>D42</f>
        <v>965</v>
      </c>
      <c r="E41" s="110"/>
      <c r="F41" s="110"/>
      <c r="G41" s="110"/>
      <c r="H41" s="110"/>
      <c r="I41" s="110"/>
      <c r="K41"/>
      <c r="L41"/>
      <c r="M41"/>
      <c r="N41"/>
    </row>
    <row r="42" spans="1:14" s="1" customFormat="1" ht="18" customHeight="1">
      <c r="A42" s="222" t="s">
        <v>257</v>
      </c>
      <c r="B42" s="220" t="s">
        <v>150</v>
      </c>
      <c r="C42" s="278" t="s">
        <v>34</v>
      </c>
      <c r="D42" s="178">
        <v>965</v>
      </c>
      <c r="E42" s="110"/>
      <c r="F42" s="110"/>
      <c r="G42" s="110"/>
      <c r="H42" s="110"/>
      <c r="I42" s="110"/>
      <c r="K42"/>
      <c r="L42"/>
      <c r="M42"/>
      <c r="N42"/>
    </row>
    <row r="43" spans="1:14" s="1" customFormat="1" ht="15.75">
      <c r="A43" s="37" t="s">
        <v>42</v>
      </c>
      <c r="B43" s="225"/>
      <c r="C43" s="226"/>
      <c r="D43" s="98">
        <f>D30+D31+D32+D33+D34+D35+D36+D37+D39+D40+D41</f>
        <v>67291.4934</v>
      </c>
      <c r="E43" s="113">
        <f>D43-D39-D40-D41</f>
        <v>60268.15340000001</v>
      </c>
      <c r="F43" s="110"/>
      <c r="G43" s="110"/>
      <c r="H43" s="110"/>
      <c r="I43" s="110"/>
      <c r="K43"/>
      <c r="L43"/>
      <c r="M43"/>
      <c r="N43"/>
    </row>
    <row r="44" spans="1:14" s="1" customFormat="1" ht="15.75">
      <c r="A44" s="40" t="s">
        <v>43</v>
      </c>
      <c r="B44" s="227" t="s">
        <v>11</v>
      </c>
      <c r="C44" s="228"/>
      <c r="D44" s="229">
        <v>6717.8</v>
      </c>
      <c r="E44" s="113"/>
      <c r="F44" s="110"/>
      <c r="G44" s="110"/>
      <c r="H44" s="110"/>
      <c r="I44" s="110"/>
      <c r="K44"/>
      <c r="L44"/>
      <c r="M44"/>
      <c r="N44"/>
    </row>
    <row r="45" spans="1:14" s="1" customFormat="1" ht="15.75">
      <c r="A45" s="230" t="s">
        <v>12</v>
      </c>
      <c r="B45" s="231" t="s">
        <v>11</v>
      </c>
      <c r="C45" s="212"/>
      <c r="D45" s="196">
        <v>0</v>
      </c>
      <c r="E45" s="110"/>
      <c r="F45" s="110"/>
      <c r="G45" s="110"/>
      <c r="H45" s="110"/>
      <c r="I45" s="110"/>
      <c r="K45"/>
      <c r="L45"/>
      <c r="M45"/>
      <c r="N45"/>
    </row>
    <row r="46" spans="1:14" s="1" customFormat="1" ht="15.75">
      <c r="A46" s="230" t="s">
        <v>13</v>
      </c>
      <c r="B46" s="231" t="s">
        <v>11</v>
      </c>
      <c r="C46" s="212"/>
      <c r="D46" s="198">
        <f>C17+C18-C23</f>
        <v>580.6313380000065</v>
      </c>
      <c r="E46" s="110"/>
      <c r="F46" s="110"/>
      <c r="G46" s="110"/>
      <c r="H46" s="110"/>
      <c r="I46" s="110"/>
      <c r="K46"/>
      <c r="L46"/>
      <c r="M46"/>
      <c r="N46"/>
    </row>
    <row r="47" spans="1:14" s="1" customFormat="1" ht="24" customHeight="1">
      <c r="A47" s="492" t="s">
        <v>44</v>
      </c>
      <c r="B47" s="492"/>
      <c r="C47" s="492"/>
      <c r="D47" s="492"/>
      <c r="E47" s="110"/>
      <c r="F47" s="110"/>
      <c r="G47" s="110"/>
      <c r="H47" s="110"/>
      <c r="I47" s="110"/>
      <c r="K47"/>
      <c r="L47"/>
      <c r="M47"/>
      <c r="N47"/>
    </row>
    <row r="48" spans="1:14" s="1" customFormat="1" ht="15.75">
      <c r="A48" s="230" t="s">
        <v>45</v>
      </c>
      <c r="B48" s="211" t="s">
        <v>46</v>
      </c>
      <c r="C48" s="212"/>
      <c r="D48" s="196">
        <v>0</v>
      </c>
      <c r="E48" s="110"/>
      <c r="F48" s="110"/>
      <c r="G48" s="110"/>
      <c r="H48" s="110"/>
      <c r="I48" s="110"/>
      <c r="K48"/>
      <c r="L48"/>
      <c r="M48"/>
      <c r="N48"/>
    </row>
    <row r="49" spans="1:14" s="1" customFormat="1" ht="15.75">
      <c r="A49" s="230" t="s">
        <v>47</v>
      </c>
      <c r="B49" s="211" t="s">
        <v>46</v>
      </c>
      <c r="C49" s="212"/>
      <c r="D49" s="196">
        <v>0</v>
      </c>
      <c r="E49" s="110"/>
      <c r="F49" s="110"/>
      <c r="G49" s="110"/>
      <c r="H49" s="110"/>
      <c r="I49" s="110"/>
      <c r="K49"/>
      <c r="L49"/>
      <c r="M49"/>
      <c r="N49"/>
    </row>
    <row r="50" spans="1:14" s="1" customFormat="1" ht="26.25">
      <c r="A50" s="232" t="s">
        <v>48</v>
      </c>
      <c r="B50" s="211" t="s">
        <v>46</v>
      </c>
      <c r="C50" s="212"/>
      <c r="D50" s="196">
        <v>0</v>
      </c>
      <c r="E50" s="110"/>
      <c r="F50" s="110"/>
      <c r="G50" s="110"/>
      <c r="H50" s="110"/>
      <c r="I50" s="110"/>
      <c r="K50"/>
      <c r="L50"/>
      <c r="M50"/>
      <c r="N50"/>
    </row>
    <row r="51" spans="1:14" s="1" customFormat="1" ht="15.75">
      <c r="A51" s="230" t="s">
        <v>49</v>
      </c>
      <c r="B51" s="211" t="s">
        <v>11</v>
      </c>
      <c r="C51" s="212"/>
      <c r="D51" s="196">
        <v>0</v>
      </c>
      <c r="E51" s="110"/>
      <c r="F51" s="110"/>
      <c r="G51" s="110"/>
      <c r="H51" s="110"/>
      <c r="I51" s="110"/>
      <c r="K51"/>
      <c r="L51"/>
      <c r="M51"/>
      <c r="N51"/>
    </row>
    <row r="52" spans="1:9" ht="20.25" customHeight="1">
      <c r="A52" s="493" t="s">
        <v>50</v>
      </c>
      <c r="B52" s="493"/>
      <c r="C52" s="493"/>
      <c r="D52" s="493"/>
      <c r="E52" s="110"/>
      <c r="F52" s="110"/>
      <c r="G52" s="110"/>
      <c r="H52" s="110"/>
      <c r="I52" s="110"/>
    </row>
    <row r="53" spans="1:9" ht="26.25">
      <c r="A53" s="232" t="s">
        <v>51</v>
      </c>
      <c r="B53" s="211" t="s">
        <v>11</v>
      </c>
      <c r="C53" s="212"/>
      <c r="D53" s="196">
        <v>0</v>
      </c>
      <c r="E53" s="110"/>
      <c r="F53" s="110"/>
      <c r="G53" s="110"/>
      <c r="H53" s="110"/>
      <c r="I53" s="110"/>
    </row>
    <row r="54" spans="1:9" ht="15.75">
      <c r="A54" s="230" t="s">
        <v>12</v>
      </c>
      <c r="B54" s="211" t="s">
        <v>11</v>
      </c>
      <c r="C54" s="212"/>
      <c r="D54" s="196">
        <v>0</v>
      </c>
      <c r="E54" s="110"/>
      <c r="F54" s="110"/>
      <c r="G54" s="110"/>
      <c r="H54" s="110"/>
      <c r="I54" s="110"/>
    </row>
    <row r="55" spans="1:9" ht="15.75">
      <c r="A55" s="230" t="s">
        <v>13</v>
      </c>
      <c r="B55" s="211" t="s">
        <v>11</v>
      </c>
      <c r="C55" s="212"/>
      <c r="D55" s="233">
        <f>D58-D61-D62-D63-D64</f>
        <v>31039.379335999987</v>
      </c>
      <c r="E55" s="110"/>
      <c r="F55" s="110"/>
      <c r="G55" s="110"/>
      <c r="H55" s="114"/>
      <c r="I55" s="110"/>
    </row>
    <row r="56" spans="1:9" ht="26.25">
      <c r="A56" s="234" t="s">
        <v>52</v>
      </c>
      <c r="B56" s="211" t="s">
        <v>11</v>
      </c>
      <c r="C56" s="235"/>
      <c r="D56" s="236">
        <v>0</v>
      </c>
      <c r="E56" s="110"/>
      <c r="F56" s="110"/>
      <c r="G56" s="110"/>
      <c r="H56" s="110"/>
      <c r="I56" s="110"/>
    </row>
    <row r="57" spans="1:10" ht="17.25" customHeight="1">
      <c r="A57" s="257" t="s">
        <v>12</v>
      </c>
      <c r="B57" s="211" t="s">
        <v>11</v>
      </c>
      <c r="C57" s="279"/>
      <c r="D57" s="55">
        <v>0</v>
      </c>
      <c r="E57" s="110"/>
      <c r="F57" s="110"/>
      <c r="G57" s="110"/>
      <c r="H57" s="110"/>
      <c r="I57" s="114"/>
      <c r="J57" s="49"/>
    </row>
    <row r="58" spans="1:14" ht="15.75">
      <c r="A58" s="238" t="s">
        <v>13</v>
      </c>
      <c r="B58" s="211" t="s">
        <v>11</v>
      </c>
      <c r="C58" s="239"/>
      <c r="D58" s="240">
        <v>24790.31</v>
      </c>
      <c r="E58" s="110"/>
      <c r="F58" s="110"/>
      <c r="G58" s="110"/>
      <c r="H58" s="110" t="s">
        <v>26</v>
      </c>
      <c r="I58" s="125"/>
      <c r="J58" s="60"/>
      <c r="K58" s="61"/>
      <c r="L58" s="61"/>
      <c r="M58" s="61"/>
      <c r="N58" s="61"/>
    </row>
    <row r="59" spans="1:14" ht="18" customHeight="1">
      <c r="A59" s="494" t="s">
        <v>53</v>
      </c>
      <c r="B59" s="494"/>
      <c r="C59" s="494"/>
      <c r="D59" s="494"/>
      <c r="E59" s="115"/>
      <c r="F59" s="116"/>
      <c r="G59" s="117"/>
      <c r="H59" s="110"/>
      <c r="I59" s="121"/>
      <c r="J59" s="65"/>
      <c r="K59" s="66"/>
      <c r="L59" s="66"/>
      <c r="M59" s="66"/>
      <c r="N59" s="66"/>
    </row>
    <row r="60" spans="1:14" ht="38.25">
      <c r="A60" s="67" t="s">
        <v>54</v>
      </c>
      <c r="B60" s="68" t="s">
        <v>55</v>
      </c>
      <c r="C60" s="159" t="s">
        <v>56</v>
      </c>
      <c r="D60" s="160" t="s">
        <v>57</v>
      </c>
      <c r="E60" s="115"/>
      <c r="F60" s="116"/>
      <c r="G60" s="117"/>
      <c r="H60" s="110"/>
      <c r="I60" s="121"/>
      <c r="J60" s="71"/>
      <c r="K60" s="66"/>
      <c r="L60" s="66"/>
      <c r="M60" s="66"/>
      <c r="N60" s="66"/>
    </row>
    <row r="61" spans="1:14" ht="15.75">
      <c r="A61" s="241" t="s">
        <v>58</v>
      </c>
      <c r="B61" s="280">
        <v>21979.51</v>
      </c>
      <c r="C61" s="281">
        <f>B61*1.0249</f>
        <v>22526.799798999997</v>
      </c>
      <c r="D61" s="282">
        <f>B61-C61</f>
        <v>-547.2897989999983</v>
      </c>
      <c r="E61" s="118"/>
      <c r="F61" s="116"/>
      <c r="G61" s="117"/>
      <c r="H61" s="110"/>
      <c r="I61" s="121"/>
      <c r="J61" s="65"/>
      <c r="K61" s="66"/>
      <c r="L61" s="66"/>
      <c r="M61" s="66"/>
      <c r="N61" s="66"/>
    </row>
    <row r="62" spans="1:14" ht="15.75">
      <c r="A62" s="241" t="s">
        <v>59</v>
      </c>
      <c r="B62" s="280">
        <v>25152.64</v>
      </c>
      <c r="C62" s="281">
        <f>B62*1.0249</f>
        <v>25778.940735999997</v>
      </c>
      <c r="D62" s="282">
        <f>B62-C62</f>
        <v>-626.3007359999974</v>
      </c>
      <c r="E62" s="115"/>
      <c r="F62" s="116"/>
      <c r="G62" s="117"/>
      <c r="H62" s="110"/>
      <c r="I62" s="121"/>
      <c r="J62" s="65"/>
      <c r="K62" s="66"/>
      <c r="L62" s="66"/>
      <c r="M62" s="66"/>
      <c r="N62" s="66"/>
    </row>
    <row r="63" spans="1:14" ht="15.75">
      <c r="A63" s="241" t="s">
        <v>60</v>
      </c>
      <c r="B63" s="283">
        <v>203834.49</v>
      </c>
      <c r="C63" s="281">
        <f>B63*1.0249</f>
        <v>208909.96880099998</v>
      </c>
      <c r="D63" s="282">
        <f>B63-C63</f>
        <v>-5075.47880099999</v>
      </c>
      <c r="E63" s="115"/>
      <c r="F63" s="119"/>
      <c r="G63" s="120"/>
      <c r="H63" s="115"/>
      <c r="I63" s="121"/>
      <c r="J63" s="65"/>
      <c r="K63" s="66"/>
      <c r="L63" s="66"/>
      <c r="M63" s="66"/>
      <c r="N63" s="66"/>
    </row>
    <row r="64" spans="1:14" ht="16.5" thickBot="1">
      <c r="A64" s="264" t="s">
        <v>318</v>
      </c>
      <c r="B64" s="291">
        <v>28783.08</v>
      </c>
      <c r="C64" s="459">
        <f>B64</f>
        <v>28783.08</v>
      </c>
      <c r="D64" s="292">
        <f>B64-C64</f>
        <v>0</v>
      </c>
      <c r="E64" s="115"/>
      <c r="F64" s="119"/>
      <c r="G64" s="120"/>
      <c r="H64" s="110"/>
      <c r="I64" s="121"/>
      <c r="J64" s="65"/>
      <c r="K64" s="66"/>
      <c r="L64" s="66"/>
      <c r="M64" s="66"/>
      <c r="N64" s="66"/>
    </row>
    <row r="65" spans="1:14" ht="63.75">
      <c r="A65" s="130" t="s">
        <v>62</v>
      </c>
      <c r="B65" s="142" t="s">
        <v>63</v>
      </c>
      <c r="C65" s="163" t="s">
        <v>64</v>
      </c>
      <c r="D65" s="164" t="s">
        <v>65</v>
      </c>
      <c r="E65" s="115"/>
      <c r="F65" s="119"/>
      <c r="G65" s="110"/>
      <c r="H65" s="121"/>
      <c r="I65" s="121"/>
      <c r="J65" s="65"/>
      <c r="K65" s="66"/>
      <c r="L65" s="66"/>
      <c r="M65" s="66"/>
      <c r="N65" s="66"/>
    </row>
    <row r="66" spans="1:14" ht="15.75">
      <c r="A66" s="268" t="s">
        <v>58</v>
      </c>
      <c r="B66" s="285">
        <f aca="true" t="shared" si="0" ref="B66:C68">B61</f>
        <v>21979.51</v>
      </c>
      <c r="C66" s="286">
        <f t="shared" si="0"/>
        <v>22526.799798999997</v>
      </c>
      <c r="D66" s="293">
        <f>B66-C66</f>
        <v>-547.2897989999983</v>
      </c>
      <c r="E66" s="115"/>
      <c r="F66" s="119"/>
      <c r="G66" s="110"/>
      <c r="H66" s="121"/>
      <c r="I66" s="121"/>
      <c r="J66" s="65" t="s">
        <v>26</v>
      </c>
      <c r="K66" s="66"/>
      <c r="L66" s="66"/>
      <c r="M66" s="66"/>
      <c r="N66" s="66"/>
    </row>
    <row r="67" spans="1:14" ht="15.75">
      <c r="A67" s="268" t="s">
        <v>59</v>
      </c>
      <c r="B67" s="285">
        <f t="shared" si="0"/>
        <v>25152.64</v>
      </c>
      <c r="C67" s="286">
        <f t="shared" si="0"/>
        <v>25778.940735999997</v>
      </c>
      <c r="D67" s="293">
        <f>B67-C67</f>
        <v>-626.3007359999974</v>
      </c>
      <c r="E67" s="115"/>
      <c r="F67" s="119"/>
      <c r="G67" s="110"/>
      <c r="H67" s="121"/>
      <c r="I67" s="121"/>
      <c r="J67" s="65"/>
      <c r="K67" s="66"/>
      <c r="L67" s="66"/>
      <c r="M67" s="66"/>
      <c r="N67" s="66"/>
    </row>
    <row r="68" spans="1:14" ht="15.75">
      <c r="A68" s="268" t="s">
        <v>60</v>
      </c>
      <c r="B68" s="285">
        <f t="shared" si="0"/>
        <v>203834.49</v>
      </c>
      <c r="C68" s="286">
        <f t="shared" si="0"/>
        <v>208909.96880099998</v>
      </c>
      <c r="D68" s="293">
        <f>B68-C68</f>
        <v>-5075.47880099999</v>
      </c>
      <c r="E68" s="115"/>
      <c r="F68" s="119"/>
      <c r="G68" s="110"/>
      <c r="H68" s="121"/>
      <c r="I68" s="121"/>
      <c r="J68" s="65"/>
      <c r="K68" s="66"/>
      <c r="L68" s="66"/>
      <c r="M68" s="66"/>
      <c r="N68" s="66"/>
    </row>
    <row r="69" spans="1:14" ht="16.5" thickBot="1">
      <c r="A69" s="270" t="s">
        <v>318</v>
      </c>
      <c r="B69" s="433">
        <v>28783.08</v>
      </c>
      <c r="C69" s="460">
        <f>B69</f>
        <v>28783.08</v>
      </c>
      <c r="D69" s="294">
        <f>B69-C69</f>
        <v>0</v>
      </c>
      <c r="E69" s="115"/>
      <c r="F69" s="119"/>
      <c r="G69" s="110"/>
      <c r="H69" s="121" t="s">
        <v>26</v>
      </c>
      <c r="I69" s="121"/>
      <c r="J69" s="65"/>
      <c r="K69" s="66"/>
      <c r="L69" s="66"/>
      <c r="M69" s="66"/>
      <c r="N69" s="66"/>
    </row>
    <row r="70" spans="1:14" ht="15.75">
      <c r="A70" s="250"/>
      <c r="B70" s="251"/>
      <c r="C70" s="252"/>
      <c r="D70" s="253"/>
      <c r="E70" s="62"/>
      <c r="F70" s="74"/>
      <c r="H70" s="65"/>
      <c r="I70" s="65"/>
      <c r="J70" s="65"/>
      <c r="K70" s="66"/>
      <c r="L70" s="66"/>
      <c r="M70" s="66"/>
      <c r="N70" s="66"/>
    </row>
    <row r="71" spans="1:14" ht="26.25">
      <c r="A71" s="254" t="s">
        <v>66</v>
      </c>
      <c r="B71" s="251" t="s">
        <v>11</v>
      </c>
      <c r="C71" s="255"/>
      <c r="D71" s="256">
        <v>5247.37</v>
      </c>
      <c r="E71" s="62"/>
      <c r="F71" s="74"/>
      <c r="H71" s="65"/>
      <c r="I71" s="65"/>
      <c r="J71" s="65" t="s">
        <v>26</v>
      </c>
      <c r="K71" s="66"/>
      <c r="L71" s="66"/>
      <c r="M71" s="66"/>
      <c r="N71" s="66"/>
    </row>
    <row r="72" spans="1:14" ht="17.25" customHeight="1">
      <c r="A72" s="495" t="s">
        <v>67</v>
      </c>
      <c r="B72" s="495"/>
      <c r="C72" s="495"/>
      <c r="D72" s="495"/>
      <c r="E72" s="84"/>
      <c r="F72" s="65"/>
      <c r="H72" s="85" t="e">
        <f>E72-B18</f>
        <v>#VALUE!</v>
      </c>
      <c r="I72" s="65"/>
      <c r="J72" s="65"/>
      <c r="K72" s="66"/>
      <c r="L72" s="66"/>
      <c r="M72" s="66"/>
      <c r="N72" s="66"/>
    </row>
    <row r="73" spans="1:5" ht="21" customHeight="1">
      <c r="A73" s="87" t="s">
        <v>45</v>
      </c>
      <c r="B73" s="87" t="s">
        <v>46</v>
      </c>
      <c r="C73" s="87"/>
      <c r="D73" s="179">
        <v>0</v>
      </c>
      <c r="E73" s="89"/>
    </row>
    <row r="74" spans="1:5" ht="21" customHeight="1">
      <c r="A74" s="87" t="s">
        <v>47</v>
      </c>
      <c r="B74" s="87" t="s">
        <v>46</v>
      </c>
      <c r="C74" s="87"/>
      <c r="D74" s="179">
        <v>0</v>
      </c>
      <c r="E74" s="89"/>
    </row>
    <row r="75" spans="1:5" ht="18" customHeight="1">
      <c r="A75" s="87" t="s">
        <v>48</v>
      </c>
      <c r="B75" s="87" t="s">
        <v>46</v>
      </c>
      <c r="C75" s="87"/>
      <c r="D75" s="179">
        <v>0</v>
      </c>
      <c r="E75" s="89"/>
    </row>
    <row r="76" spans="1:5" ht="16.5" customHeight="1">
      <c r="A76" s="87" t="s">
        <v>49</v>
      </c>
      <c r="B76" s="87" t="s">
        <v>11</v>
      </c>
      <c r="C76" s="87"/>
      <c r="D76" s="179">
        <v>0</v>
      </c>
      <c r="E76" s="89"/>
    </row>
    <row r="77" spans="1:5" ht="15.75" customHeight="1">
      <c r="A77" s="489" t="s">
        <v>68</v>
      </c>
      <c r="B77" s="489"/>
      <c r="C77" s="489"/>
      <c r="D77" s="489"/>
      <c r="E77" s="89"/>
    </row>
    <row r="78" spans="1:5" ht="18.75" customHeight="1">
      <c r="A78" s="87" t="s">
        <v>69</v>
      </c>
      <c r="B78" s="87" t="s">
        <v>46</v>
      </c>
      <c r="C78" s="87"/>
      <c r="D78" s="179">
        <v>0</v>
      </c>
      <c r="E78" s="89"/>
    </row>
    <row r="79" spans="1:5" ht="21.75" customHeight="1">
      <c r="A79" s="87" t="s">
        <v>70</v>
      </c>
      <c r="B79" s="257" t="s">
        <v>46</v>
      </c>
      <c r="C79" s="257"/>
      <c r="D79" s="179">
        <v>0</v>
      </c>
      <c r="E79" s="89"/>
    </row>
    <row r="80" spans="1:5" ht="36" customHeight="1">
      <c r="A80" s="258" t="s">
        <v>71</v>
      </c>
      <c r="B80" s="87" t="s">
        <v>11</v>
      </c>
      <c r="C80" s="87"/>
      <c r="D80" s="179">
        <v>0</v>
      </c>
      <c r="E80" s="89"/>
    </row>
    <row r="81" spans="1:4" ht="15.75">
      <c r="A81" s="259"/>
      <c r="B81" s="259"/>
      <c r="C81" s="259"/>
      <c r="D81" s="260"/>
    </row>
    <row r="82" spans="1:14" s="1" customFormat="1" ht="12.75">
      <c r="A82" s="180"/>
      <c r="B82" s="180"/>
      <c r="C82" s="180"/>
      <c r="D82" s="180"/>
      <c r="H82" s="1" t="s">
        <v>26</v>
      </c>
      <c r="K82"/>
      <c r="L82"/>
      <c r="M82"/>
      <c r="N82"/>
    </row>
    <row r="83" spans="1:14" s="1" customFormat="1" ht="12.75">
      <c r="A83" s="180" t="s">
        <v>72</v>
      </c>
      <c r="B83" s="180"/>
      <c r="C83" s="180" t="s">
        <v>146</v>
      </c>
      <c r="D83" s="180"/>
      <c r="K83"/>
      <c r="L83"/>
      <c r="M83"/>
      <c r="N83"/>
    </row>
    <row r="84" spans="1:14" s="1" customFormat="1" ht="12.75">
      <c r="A84" s="180"/>
      <c r="B84" s="180"/>
      <c r="C84" s="180"/>
      <c r="D84" s="180"/>
      <c r="H84" s="1" t="s">
        <v>26</v>
      </c>
      <c r="K84"/>
      <c r="L84"/>
      <c r="M84"/>
      <c r="N84"/>
    </row>
    <row r="85" spans="1:14" s="1" customFormat="1" ht="12.75">
      <c r="A85" s="180" t="s">
        <v>73</v>
      </c>
      <c r="B85" s="180"/>
      <c r="C85" s="180"/>
      <c r="D85" s="180"/>
      <c r="K85"/>
      <c r="L85"/>
      <c r="M85"/>
      <c r="N85"/>
    </row>
    <row r="86" spans="1:4" ht="12.75">
      <c r="A86" s="180"/>
      <c r="B86" s="180"/>
      <c r="C86" s="180"/>
      <c r="D86" s="180"/>
    </row>
    <row r="89" spans="1:14" s="1" customFormat="1" ht="12.75">
      <c r="A89"/>
      <c r="B89"/>
      <c r="C89"/>
      <c r="D89"/>
      <c r="E89" s="1" t="s">
        <v>26</v>
      </c>
      <c r="K89"/>
      <c r="L89"/>
      <c r="M89"/>
      <c r="N89"/>
    </row>
  </sheetData>
  <sheetProtection selectLockedCells="1" selectUnlockedCells="1"/>
  <mergeCells count="13">
    <mergeCell ref="A77:D77"/>
    <mergeCell ref="A14:D14"/>
    <mergeCell ref="A28:D28"/>
    <mergeCell ref="A47:D47"/>
    <mergeCell ref="A52:D52"/>
    <mergeCell ref="A59:D59"/>
    <mergeCell ref="A72:D7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">
      <selection activeCell="E17" sqref="E17:H5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129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8" ht="12.75">
      <c r="A8" s="146" t="s">
        <v>341</v>
      </c>
      <c r="C8" s="3"/>
      <c r="E8" s="110"/>
      <c r="F8" s="110"/>
      <c r="G8" s="110"/>
      <c r="H8" s="110"/>
    </row>
    <row r="9" spans="1:8" ht="12.75">
      <c r="A9" s="4" t="s">
        <v>3</v>
      </c>
      <c r="B9" s="4" t="s">
        <v>4</v>
      </c>
      <c r="C9" s="4" t="s">
        <v>5</v>
      </c>
      <c r="D9" s="5"/>
      <c r="E9" s="110"/>
      <c r="F9" s="110"/>
      <c r="G9" s="110"/>
      <c r="H9" s="110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10"/>
      <c r="F10" s="110"/>
      <c r="G10" s="110"/>
      <c r="H10" s="110"/>
    </row>
    <row r="11" spans="1:8" ht="12.75">
      <c r="A11" s="8" t="s">
        <v>6</v>
      </c>
      <c r="B11" s="9"/>
      <c r="C11" s="145" t="s">
        <v>242</v>
      </c>
      <c r="D11" s="10"/>
      <c r="E11" s="110"/>
      <c r="F11" s="110"/>
      <c r="G11" s="110"/>
      <c r="H11" s="110"/>
    </row>
    <row r="12" spans="1:8" ht="12.75">
      <c r="A12" s="8" t="s">
        <v>7</v>
      </c>
      <c r="B12" s="9"/>
      <c r="C12" s="145" t="s">
        <v>243</v>
      </c>
      <c r="D12" s="10"/>
      <c r="E12" s="110"/>
      <c r="F12" s="110"/>
      <c r="G12" s="110"/>
      <c r="H12" s="110"/>
    </row>
    <row r="13" spans="1:8" ht="12.75">
      <c r="A13" s="8" t="s">
        <v>8</v>
      </c>
      <c r="B13" s="9"/>
      <c r="C13" s="145" t="s">
        <v>244</v>
      </c>
      <c r="D13" s="10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5.5">
      <c r="A15" s="11" t="s">
        <v>10</v>
      </c>
      <c r="B15" s="12" t="s">
        <v>11</v>
      </c>
      <c r="C15" s="15">
        <v>2936.51</v>
      </c>
      <c r="D15" s="14"/>
      <c r="E15" s="110"/>
      <c r="F15" s="110"/>
      <c r="G15" s="110"/>
      <c r="H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56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7103.92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12404.82+2993.76</f>
        <v>15398.58</v>
      </c>
      <c r="D18" s="16"/>
      <c r="E18" s="111">
        <f>C18-C20</f>
        <v>12143.526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6225.569999999999</v>
      </c>
      <c r="D19" s="16"/>
      <c r="E19" s="111">
        <f>E18-E38</f>
        <v>-0.000800000001618173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(0.14+0.23)*6*117.7+2993.76</f>
        <v>3255.054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117.7*4.19*12</f>
        <v>5917.956000000001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13116.510444</v>
      </c>
      <c r="D22" s="16" t="s">
        <v>19</v>
      </c>
      <c r="E22" s="111"/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C18*0.8518</f>
        <v>13116.510444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/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/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/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16053.020444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(0.85+0.81)*6*117.7</f>
        <v>1172.2920000000001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0.24*12*117.71</f>
        <v>339.0048</v>
      </c>
      <c r="E32" s="110"/>
      <c r="F32" s="110"/>
      <c r="G32" s="110"/>
      <c r="H32" s="110"/>
    </row>
    <row r="33" spans="1:8" ht="15">
      <c r="A33" s="154" t="s">
        <v>336</v>
      </c>
      <c r="B33" s="30" t="s">
        <v>33</v>
      </c>
      <c r="C33" s="31" t="s">
        <v>34</v>
      </c>
      <c r="D33" s="94">
        <f>(0.83+1)*6*117.7</f>
        <v>1292.346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1.33*12*117.7</f>
        <v>1878.4920000000002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4.19*117.7*12</f>
        <v>5917.956000000001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32" t="s">
        <v>37</v>
      </c>
      <c r="D36" s="94">
        <f>117.7*6*(1.12+1.06)+3.92</f>
        <v>1543.4360000000004</v>
      </c>
      <c r="E36" s="110"/>
      <c r="F36" s="110"/>
      <c r="G36" s="110"/>
      <c r="H36" s="110"/>
    </row>
    <row r="37" spans="1:14" s="1" customFormat="1" ht="45">
      <c r="A37" s="148" t="s">
        <v>229</v>
      </c>
      <c r="B37" s="34" t="s">
        <v>41</v>
      </c>
      <c r="C37" s="31" t="s">
        <v>34</v>
      </c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12143.526800000001</v>
      </c>
      <c r="E38" s="113">
        <f>D38-D37</f>
        <v>12143.526800000001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3909.4936439999983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8912.9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5.5">
      <c r="A48" s="47" t="s">
        <v>51</v>
      </c>
      <c r="B48" s="30" t="s">
        <v>11</v>
      </c>
      <c r="C48" s="31"/>
      <c r="D48" s="14">
        <v>0</v>
      </c>
      <c r="E48" s="110"/>
      <c r="F48" s="110"/>
      <c r="G48" s="110"/>
      <c r="H48" s="110"/>
    </row>
    <row r="49" spans="1:8" ht="15">
      <c r="A49" s="45" t="s">
        <v>12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13</v>
      </c>
      <c r="B50" s="30" t="s">
        <v>11</v>
      </c>
      <c r="C50" s="31"/>
      <c r="D50" s="58">
        <f>D53-D56-D57-D58-D59</f>
        <v>33213.498058000005</v>
      </c>
      <c r="E50" s="110"/>
      <c r="F50" s="110"/>
      <c r="G50" s="110"/>
      <c r="H50" s="114"/>
    </row>
    <row r="51" spans="1:8" ht="25.5">
      <c r="A51" s="50" t="s">
        <v>52</v>
      </c>
      <c r="B51" s="30" t="s">
        <v>11</v>
      </c>
      <c r="C51" s="51"/>
      <c r="D51" s="52">
        <v>0</v>
      </c>
      <c r="E51" s="110"/>
      <c r="F51" s="110"/>
      <c r="G51" s="110"/>
      <c r="H51" s="110"/>
    </row>
    <row r="52" spans="1:10" ht="17.25" customHeight="1">
      <c r="A52" s="53" t="s">
        <v>12</v>
      </c>
      <c r="B52" s="30" t="s">
        <v>11</v>
      </c>
      <c r="C52" s="31"/>
      <c r="D52" s="182">
        <f>D50+D56+D57+D58</f>
        <v>43512.53998</v>
      </c>
      <c r="E52" s="110"/>
      <c r="F52" s="110"/>
      <c r="G52" s="110"/>
      <c r="H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44644.21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6564.81</v>
      </c>
      <c r="C56" s="101">
        <f>B56*0.8518</f>
        <v>5591.9051580000005</v>
      </c>
      <c r="D56" s="102">
        <f>B56-C56</f>
        <v>972.9048419999999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7660.46</v>
      </c>
      <c r="C57" s="101">
        <f>B57*0.8518</f>
        <v>6525.179828</v>
      </c>
      <c r="D57" s="102">
        <f>B57-C57</f>
        <v>1135.2801719999998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55268.94</v>
      </c>
      <c r="C58" s="101">
        <f>B58*0.8518</f>
        <v>47078.083092</v>
      </c>
      <c r="D58" s="102">
        <f>B58-C58</f>
        <v>8190.856908000002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7636.1</v>
      </c>
      <c r="C59" s="101">
        <f>B59*0.8518</f>
        <v>6504.42998</v>
      </c>
      <c r="D59" s="129">
        <f>B59-C59</f>
        <v>1131.6700200000005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 aca="true" t="shared" si="0" ref="B61:C63">B56</f>
        <v>6564.81</v>
      </c>
      <c r="C61" s="106">
        <f t="shared" si="0"/>
        <v>5591.9051580000005</v>
      </c>
      <c r="D61" s="135">
        <f>B61-C61</f>
        <v>972.9048419999999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f t="shared" si="0"/>
        <v>7660.46</v>
      </c>
      <c r="C62" s="106">
        <f t="shared" si="0"/>
        <v>6525.179828</v>
      </c>
      <c r="D62" s="135">
        <f>B62-C62</f>
        <v>1135.2801719999998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f t="shared" si="0"/>
        <v>55268.94</v>
      </c>
      <c r="C63" s="106">
        <f t="shared" si="0"/>
        <v>47078.083092</v>
      </c>
      <c r="D63" s="135">
        <f>B63-C63</f>
        <v>8190.856908000002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">
      <c r="A64" s="126" t="s">
        <v>318</v>
      </c>
      <c r="B64" s="127">
        <v>7636.1</v>
      </c>
      <c r="C64" s="101">
        <f>B64*0.8518</f>
        <v>6504.42998</v>
      </c>
      <c r="D64" s="129">
        <f>B64-C64</f>
        <v>1131.6700200000005</v>
      </c>
      <c r="E64" s="115"/>
      <c r="F64" s="119"/>
      <c r="G64" s="110"/>
      <c r="H64" s="121"/>
      <c r="I64" s="65"/>
      <c r="J64" s="65"/>
      <c r="K64" s="66"/>
      <c r="L64" s="66"/>
      <c r="M64" s="66"/>
      <c r="N64" s="66"/>
    </row>
    <row r="65" spans="1:14" ht="15">
      <c r="A65" s="79"/>
      <c r="B65" s="79"/>
      <c r="C65" s="79"/>
      <c r="D65" s="80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89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89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89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6" t="s">
        <v>69</v>
      </c>
      <c r="B73" s="86" t="s">
        <v>46</v>
      </c>
      <c r="C73" s="86"/>
      <c r="D73" s="179">
        <v>1</v>
      </c>
      <c r="E73" s="89"/>
    </row>
    <row r="74" spans="1:5" ht="21.75" customHeight="1">
      <c r="A74" s="86" t="s">
        <v>70</v>
      </c>
      <c r="B74" s="53" t="s">
        <v>46</v>
      </c>
      <c r="C74" s="53"/>
      <c r="D74" s="179">
        <v>1</v>
      </c>
      <c r="E74" s="89"/>
    </row>
    <row r="75" spans="1:5" ht="36" customHeight="1">
      <c r="A75" s="90" t="s">
        <v>71</v>
      </c>
      <c r="B75" s="86" t="s">
        <v>11</v>
      </c>
      <c r="C75" s="86"/>
      <c r="D75" s="179">
        <v>12000</v>
      </c>
      <c r="E75" s="89"/>
    </row>
    <row r="76" spans="1:4" ht="15">
      <c r="A76" s="66"/>
      <c r="B76" s="66"/>
      <c r="C76" s="66"/>
      <c r="D76" s="91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7">
      <selection activeCell="E16" sqref="E16:H37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130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193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4" ht="12.75">
      <c r="A13" s="8" t="s">
        <v>8</v>
      </c>
      <c r="B13" s="9"/>
      <c r="C13" s="145" t="s">
        <v>244</v>
      </c>
      <c r="D13" s="10"/>
    </row>
    <row r="14" spans="1:4" ht="31.5" customHeight="1">
      <c r="A14" s="490" t="s">
        <v>9</v>
      </c>
      <c r="B14" s="490"/>
      <c r="C14" s="490"/>
      <c r="D14" s="490"/>
    </row>
    <row r="15" spans="1:5" ht="25.5">
      <c r="A15" s="11" t="s">
        <v>10</v>
      </c>
      <c r="B15" s="12" t="s">
        <v>11</v>
      </c>
      <c r="C15" s="13">
        <v>18180.73</v>
      </c>
      <c r="D15" s="14"/>
      <c r="E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4014.19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10675.8+1276.56</f>
        <v>11952.359999999999</v>
      </c>
      <c r="D18" s="16"/>
      <c r="E18" s="111">
        <f>C18-C20</f>
        <v>7616.783999999998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3654.7199999999975</v>
      </c>
      <c r="D19" s="16"/>
      <c r="E19" s="111">
        <f>E18-E39</f>
        <v>-0.024000000003070454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(3.1+3.37)*6*78.8+1276.56</f>
        <v>4335.576000000001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78.8*4.19*12</f>
        <v>3962.0640000000003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15338.463588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C18*1.2833</f>
        <v>15338.463588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33519.193588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(0.85+0.81)*6*78.8</f>
        <v>784.8480000000001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0.24*12*78.8</f>
        <v>226.944</v>
      </c>
      <c r="E32" s="110"/>
      <c r="F32" s="110"/>
      <c r="G32" s="110"/>
      <c r="H32" s="110"/>
    </row>
    <row r="33" spans="1:8" ht="15">
      <c r="A33" s="154" t="s">
        <v>181</v>
      </c>
      <c r="B33" s="30" t="s">
        <v>33</v>
      </c>
      <c r="C33" s="31" t="s">
        <v>34</v>
      </c>
      <c r="D33" s="94">
        <f>78.8*(0.83+1)*6</f>
        <v>865.224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1.33*12*78.8</f>
        <v>1257.648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4.19*78.8*12</f>
        <v>3962.0640000000003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78.8*6*(0.29+0.81)</f>
        <v>520.08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109" t="s">
        <v>77</v>
      </c>
      <c r="D37" s="381">
        <f>D38</f>
        <v>827</v>
      </c>
      <c r="E37" s="110"/>
      <c r="F37" s="110"/>
      <c r="G37" s="110"/>
      <c r="H37" s="110"/>
      <c r="K37"/>
      <c r="L37"/>
      <c r="M37"/>
      <c r="N37"/>
    </row>
    <row r="38" spans="1:14" s="1" customFormat="1" ht="15">
      <c r="A38" s="149" t="s">
        <v>304</v>
      </c>
      <c r="B38" s="96" t="s">
        <v>159</v>
      </c>
      <c r="C38" s="173" t="s">
        <v>34</v>
      </c>
      <c r="D38" s="147">
        <v>827</v>
      </c>
      <c r="E38" s="110"/>
      <c r="F38" s="110"/>
      <c r="G38" s="110"/>
      <c r="H38" s="110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8">
        <f>D31+D32+D33+D34+D35+D36+D37</f>
        <v>8443.808</v>
      </c>
      <c r="E39" s="113">
        <f>D39-D37</f>
        <v>7616.808000000001</v>
      </c>
      <c r="F39" s="110"/>
      <c r="G39" s="110"/>
      <c r="H39" s="110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25075.385588</v>
      </c>
      <c r="E40" s="113"/>
      <c r="F40" s="110"/>
      <c r="G40" s="110"/>
      <c r="H40" s="110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10"/>
      <c r="F41" s="110"/>
      <c r="G41" s="110"/>
      <c r="H41" s="110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4">
        <v>892</v>
      </c>
      <c r="E42" s="110"/>
      <c r="F42" s="110"/>
      <c r="G42" s="110"/>
      <c r="H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110"/>
      <c r="F47" s="110"/>
      <c r="G47" s="110"/>
      <c r="H47" s="110"/>
      <c r="K47"/>
      <c r="L47"/>
      <c r="M47"/>
      <c r="N47"/>
    </row>
    <row r="48" spans="1:8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</row>
    <row r="49" spans="1:8" ht="25.5">
      <c r="A49" s="47" t="s">
        <v>51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12</v>
      </c>
      <c r="B50" s="30" t="s">
        <v>11</v>
      </c>
      <c r="C50" s="31"/>
      <c r="D50" s="14">
        <v>0</v>
      </c>
      <c r="E50" s="110"/>
      <c r="F50" s="110"/>
      <c r="G50" s="110"/>
      <c r="H50" s="110"/>
    </row>
    <row r="51" spans="1:8" ht="15">
      <c r="A51" s="45" t="s">
        <v>13</v>
      </c>
      <c r="B51" s="30" t="s">
        <v>11</v>
      </c>
      <c r="C51" s="31"/>
      <c r="D51" s="58">
        <f>D53-D57-D58-D59-D60</f>
        <v>16997.671036000003</v>
      </c>
      <c r="E51" s="110"/>
      <c r="F51" s="110"/>
      <c r="G51" s="110"/>
      <c r="H51" s="114"/>
    </row>
    <row r="52" spans="1:8" ht="25.5">
      <c r="A52" s="50" t="s">
        <v>52</v>
      </c>
      <c r="B52" s="30" t="s">
        <v>11</v>
      </c>
      <c r="C52" s="51"/>
      <c r="D52" s="52">
        <v>0</v>
      </c>
      <c r="E52" s="110"/>
      <c r="F52" s="110"/>
      <c r="G52" s="110"/>
      <c r="H52" s="110"/>
    </row>
    <row r="53" spans="1:10" ht="17.25" customHeight="1">
      <c r="A53" s="53" t="s">
        <v>12</v>
      </c>
      <c r="B53" s="30" t="s">
        <v>11</v>
      </c>
      <c r="C53" s="31"/>
      <c r="D53" s="48">
        <v>3544.06</v>
      </c>
      <c r="E53" s="110"/>
      <c r="F53" s="110"/>
      <c r="G53" s="110"/>
      <c r="H53" s="110"/>
      <c r="I53" s="49"/>
      <c r="J53" s="49"/>
    </row>
    <row r="54" spans="1:14" ht="15">
      <c r="A54" s="56" t="s">
        <v>13</v>
      </c>
      <c r="B54" s="30" t="s">
        <v>11</v>
      </c>
      <c r="C54" s="57"/>
      <c r="D54" s="58"/>
      <c r="E54" s="110"/>
      <c r="H54" s="1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63"/>
      <c r="G55" s="64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63"/>
      <c r="G56" s="64"/>
      <c r="I56" s="65"/>
      <c r="J56" s="71"/>
      <c r="K56" s="66"/>
      <c r="L56" s="66"/>
      <c r="M56" s="66"/>
      <c r="N56" s="66"/>
    </row>
    <row r="57" spans="1:14" ht="15">
      <c r="A57" s="72" t="s">
        <v>58</v>
      </c>
      <c r="B57" s="100">
        <v>5377.68</v>
      </c>
      <c r="C57" s="101">
        <f>B57*1.2833</f>
        <v>6901.176744000001</v>
      </c>
      <c r="D57" s="102">
        <f>B57-C57</f>
        <v>-1523.496744000001</v>
      </c>
      <c r="E57" s="118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59</v>
      </c>
      <c r="B58" s="100">
        <v>0</v>
      </c>
      <c r="C58" s="101">
        <f>B58*0.9705</f>
        <v>0</v>
      </c>
      <c r="D58" s="102">
        <f>B58-C58</f>
        <v>0</v>
      </c>
      <c r="E58" s="115"/>
      <c r="F58" s="63"/>
      <c r="G58" s="64"/>
      <c r="I58" s="65"/>
      <c r="J58" s="65"/>
      <c r="K58" s="66"/>
      <c r="L58" s="66"/>
      <c r="M58" s="66"/>
      <c r="N58" s="66"/>
    </row>
    <row r="59" spans="1:14" ht="15">
      <c r="A59" s="72" t="s">
        <v>60</v>
      </c>
      <c r="B59" s="103">
        <v>36996.96</v>
      </c>
      <c r="C59" s="101">
        <f>B59*1.2833</f>
        <v>47478.198768</v>
      </c>
      <c r="D59" s="102">
        <f>B59-C59</f>
        <v>-10481.238768000003</v>
      </c>
      <c r="E59" s="115">
        <f>(2.07+1.8)*6*2301.2-0.37*2301.2*6</f>
        <v>48325.2</v>
      </c>
      <c r="F59" s="74"/>
      <c r="G59" s="75"/>
      <c r="H59" s="62"/>
      <c r="I59" s="65"/>
      <c r="J59" s="65"/>
      <c r="K59" s="66"/>
      <c r="L59" s="66"/>
      <c r="M59" s="66"/>
      <c r="N59" s="66"/>
    </row>
    <row r="60" spans="1:14" ht="15.75" thickBot="1">
      <c r="A60" s="126" t="s">
        <v>318</v>
      </c>
      <c r="B60" s="127">
        <v>5114.28</v>
      </c>
      <c r="C60" s="101">
        <f>B60*1.2833</f>
        <v>6563.155524</v>
      </c>
      <c r="D60" s="129">
        <f>B60-C60</f>
        <v>-1448.875524</v>
      </c>
      <c r="E60" s="115"/>
      <c r="F60" s="74"/>
      <c r="G60" s="75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115"/>
      <c r="F61" s="74"/>
      <c r="H61" s="65"/>
      <c r="I61" s="65"/>
      <c r="J61" s="65"/>
      <c r="K61" s="66"/>
      <c r="L61" s="66"/>
      <c r="M61" s="66"/>
      <c r="N61" s="66"/>
    </row>
    <row r="62" spans="1:14" ht="15">
      <c r="A62" s="134" t="s">
        <v>58</v>
      </c>
      <c r="B62" s="105">
        <f>B57</f>
        <v>5377.68</v>
      </c>
      <c r="C62" s="106">
        <f>C57</f>
        <v>6901.176744000001</v>
      </c>
      <c r="D62" s="135">
        <f>B62-C62</f>
        <v>-1523.496744000001</v>
      </c>
      <c r="E62" s="115"/>
      <c r="F62" s="74"/>
      <c r="H62" s="65"/>
      <c r="I62" s="65"/>
      <c r="J62" s="65" t="s">
        <v>26</v>
      </c>
      <c r="K62" s="66"/>
      <c r="L62" s="66"/>
      <c r="M62" s="66"/>
      <c r="N62" s="66"/>
    </row>
    <row r="63" spans="1:14" ht="15">
      <c r="A63" s="134" t="s">
        <v>59</v>
      </c>
      <c r="B63" s="105">
        <f>B58</f>
        <v>0</v>
      </c>
      <c r="C63" s="106">
        <f>C58*1.0063</f>
        <v>0</v>
      </c>
      <c r="D63" s="135">
        <f>B63-C63</f>
        <v>0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5">
      <c r="A64" s="134" t="s">
        <v>60</v>
      </c>
      <c r="B64" s="105">
        <f>B59</f>
        <v>36996.96</v>
      </c>
      <c r="C64" s="106">
        <f>C59</f>
        <v>47478.198768</v>
      </c>
      <c r="D64" s="135">
        <f>B64-C64</f>
        <v>-10481.238768000003</v>
      </c>
      <c r="E64" s="115"/>
      <c r="F64" s="74"/>
      <c r="H64" s="65"/>
      <c r="I64" s="65"/>
      <c r="J64" s="65"/>
      <c r="K64" s="66"/>
      <c r="L64" s="66"/>
      <c r="M64" s="66"/>
      <c r="N64" s="66"/>
    </row>
    <row r="65" spans="1:14" ht="15.75" thickBot="1">
      <c r="A65" s="136" t="s">
        <v>318</v>
      </c>
      <c r="B65" s="137">
        <v>5114.28</v>
      </c>
      <c r="C65" s="138">
        <v>6563.155524</v>
      </c>
      <c r="D65" s="139">
        <v>-1448.875524</v>
      </c>
      <c r="E65" s="62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8"/>
      <c r="B66" s="77"/>
      <c r="C66" s="79"/>
      <c r="D66" s="80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25.5">
      <c r="A67" s="81" t="s">
        <v>66</v>
      </c>
      <c r="B67" s="77" t="s">
        <v>11</v>
      </c>
      <c r="C67" s="82"/>
      <c r="D67" s="83">
        <v>0</v>
      </c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84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7"/>
      <c r="D69" s="179">
        <v>0</v>
      </c>
      <c r="E69" s="89"/>
    </row>
    <row r="70" spans="1:5" ht="21" customHeight="1">
      <c r="A70" s="86" t="s">
        <v>47</v>
      </c>
      <c r="B70" s="86" t="s">
        <v>46</v>
      </c>
      <c r="C70" s="86"/>
      <c r="D70" s="179">
        <v>0</v>
      </c>
      <c r="E70" s="89"/>
    </row>
    <row r="71" spans="1:5" ht="18" customHeight="1">
      <c r="A71" s="86" t="s">
        <v>48</v>
      </c>
      <c r="B71" s="86" t="s">
        <v>46</v>
      </c>
      <c r="C71" s="86"/>
      <c r="D71" s="179">
        <v>0</v>
      </c>
      <c r="E71" s="89"/>
    </row>
    <row r="72" spans="1:5" ht="16.5" customHeight="1">
      <c r="A72" s="86" t="s">
        <v>49</v>
      </c>
      <c r="B72" s="86" t="s">
        <v>11</v>
      </c>
      <c r="C72" s="86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6" t="s">
        <v>69</v>
      </c>
      <c r="B74" s="86" t="s">
        <v>46</v>
      </c>
      <c r="C74" s="86"/>
      <c r="D74" s="179">
        <v>0</v>
      </c>
      <c r="E74" s="89"/>
    </row>
    <row r="75" spans="1:5" ht="21.75" customHeight="1">
      <c r="A75" s="86" t="s">
        <v>70</v>
      </c>
      <c r="B75" s="53" t="s">
        <v>46</v>
      </c>
      <c r="C75" s="53"/>
      <c r="D75" s="179">
        <v>0</v>
      </c>
      <c r="E75" s="89"/>
    </row>
    <row r="76" spans="1:5" ht="36" customHeight="1">
      <c r="A76" s="90" t="s">
        <v>71</v>
      </c>
      <c r="B76" s="86" t="s">
        <v>11</v>
      </c>
      <c r="C76" s="86"/>
      <c r="D76" s="179">
        <v>0</v>
      </c>
      <c r="E76" s="89"/>
    </row>
    <row r="77" spans="1:4" ht="15">
      <c r="A77" s="66"/>
      <c r="B77" s="66"/>
      <c r="C77" s="66"/>
      <c r="D77" s="91"/>
    </row>
    <row r="78" spans="1:14" s="1" customFormat="1" ht="12.75">
      <c r="A78"/>
      <c r="B78"/>
      <c r="C78"/>
      <c r="D78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">
      <selection activeCell="E17" sqref="E17:J5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131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146" t="s">
        <v>342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10"/>
    </row>
    <row r="11" spans="1:5" ht="12.75">
      <c r="A11" s="8" t="s">
        <v>6</v>
      </c>
      <c r="B11" s="9"/>
      <c r="C11" s="145" t="s">
        <v>242</v>
      </c>
      <c r="D11" s="10"/>
      <c r="E11" s="110"/>
    </row>
    <row r="12" spans="1:5" ht="12.75">
      <c r="A12" s="8" t="s">
        <v>7</v>
      </c>
      <c r="B12" s="9"/>
      <c r="C12" s="145" t="s">
        <v>243</v>
      </c>
      <c r="D12" s="10"/>
      <c r="E12" s="110"/>
    </row>
    <row r="13" spans="1:5" ht="12.75">
      <c r="A13" s="8" t="s">
        <v>8</v>
      </c>
      <c r="B13" s="9"/>
      <c r="C13" s="145" t="s">
        <v>244</v>
      </c>
      <c r="D13" s="10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5" ht="25.5">
      <c r="A15" s="11" t="s">
        <v>10</v>
      </c>
      <c r="B15" s="12" t="s">
        <v>11</v>
      </c>
      <c r="C15" s="15">
        <v>19699.1</v>
      </c>
      <c r="D15" s="14"/>
      <c r="E15" s="59"/>
    </row>
    <row r="16" spans="1:5" ht="15">
      <c r="A16" s="8" t="s">
        <v>12</v>
      </c>
      <c r="B16" s="12" t="s">
        <v>11</v>
      </c>
      <c r="C16" s="13">
        <v>0</v>
      </c>
      <c r="D16" s="14"/>
      <c r="E16" s="110"/>
    </row>
    <row r="17" spans="1:10" ht="15">
      <c r="A17" s="8" t="s">
        <v>13</v>
      </c>
      <c r="B17" s="12" t="s">
        <v>11</v>
      </c>
      <c r="C17" s="15">
        <v>6755.25</v>
      </c>
      <c r="D17" s="16"/>
      <c r="E17" s="110"/>
      <c r="F17" s="110"/>
      <c r="G17" s="110"/>
      <c r="H17" s="110"/>
      <c r="I17" s="110"/>
      <c r="J17" s="110"/>
    </row>
    <row r="18" spans="1:10" ht="31.5" customHeight="1">
      <c r="A18" s="17" t="s">
        <v>14</v>
      </c>
      <c r="B18" s="12" t="s">
        <v>11</v>
      </c>
      <c r="C18" s="15">
        <f>(-3007.18)+2883.6</f>
        <v>-123.57999999999993</v>
      </c>
      <c r="D18" s="16"/>
      <c r="E18" s="111">
        <f>C18-C20</f>
        <v>-3876.2079999999996</v>
      </c>
      <c r="F18" s="110"/>
      <c r="G18" s="110"/>
      <c r="H18" s="110"/>
      <c r="I18" s="110"/>
      <c r="J18" s="110"/>
    </row>
    <row r="19" spans="1:10" ht="15">
      <c r="A19" s="8" t="s">
        <v>15</v>
      </c>
      <c r="B19" s="12" t="s">
        <v>11</v>
      </c>
      <c r="C19" s="15">
        <f>C18-C20-C21</f>
        <v>-9115.384000000002</v>
      </c>
      <c r="D19" s="16"/>
      <c r="E19" s="111">
        <f>E18-E39</f>
        <v>-14167</v>
      </c>
      <c r="F19" s="110"/>
      <c r="G19" s="110"/>
      <c r="H19" s="110" t="s">
        <v>343</v>
      </c>
      <c r="I19" s="110"/>
      <c r="J19" s="110"/>
    </row>
    <row r="20" spans="1:10" ht="15">
      <c r="A20" s="8" t="s">
        <v>16</v>
      </c>
      <c r="B20" s="12" t="s">
        <v>11</v>
      </c>
      <c r="C20" s="15">
        <f>(0.58+0.81)*6*104.2+2883.6</f>
        <v>3752.6279999999997</v>
      </c>
      <c r="D20" s="16"/>
      <c r="E20" s="112"/>
      <c r="F20" s="110"/>
      <c r="G20" s="110"/>
      <c r="H20" s="110"/>
      <c r="I20" s="110"/>
      <c r="J20" s="110"/>
    </row>
    <row r="21" spans="1:10" ht="15">
      <c r="A21" s="8" t="s">
        <v>17</v>
      </c>
      <c r="B21" s="12" t="s">
        <v>11</v>
      </c>
      <c r="C21" s="19">
        <f>104.2*4.19*12</f>
        <v>5239.176000000001</v>
      </c>
      <c r="D21" s="16"/>
      <c r="E21" s="110"/>
      <c r="F21" s="110"/>
      <c r="G21" s="110"/>
      <c r="H21" s="110"/>
      <c r="I21" s="110"/>
      <c r="J21" s="110"/>
    </row>
    <row r="22" spans="1:10" ht="15">
      <c r="A22" s="20" t="s">
        <v>18</v>
      </c>
      <c r="B22" s="12" t="s">
        <v>11</v>
      </c>
      <c r="C22" s="15">
        <f>C23+C24+C25+C26+C27</f>
        <v>-157.6015739999999</v>
      </c>
      <c r="D22" s="16" t="s">
        <v>19</v>
      </c>
      <c r="E22" s="111" t="e">
        <f>B24+B25+B26+B27+B28</f>
        <v>#VALUE!</v>
      </c>
      <c r="F22" s="110"/>
      <c r="G22" s="110"/>
      <c r="H22" s="110"/>
      <c r="I22" s="110"/>
      <c r="J22" s="110"/>
    </row>
    <row r="23" spans="1:10" ht="15">
      <c r="A23" s="8" t="s">
        <v>20</v>
      </c>
      <c r="B23" s="12" t="s">
        <v>11</v>
      </c>
      <c r="C23" s="15">
        <f>C18*1.2753</f>
        <v>-157.6015739999999</v>
      </c>
      <c r="D23" s="16"/>
      <c r="E23" s="110"/>
      <c r="F23" s="110"/>
      <c r="G23" s="110"/>
      <c r="H23" s="110"/>
      <c r="I23" s="110"/>
      <c r="J23" s="110"/>
    </row>
    <row r="24" spans="1:10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  <c r="I24" s="110"/>
      <c r="J24" s="110"/>
    </row>
    <row r="25" spans="1:10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  <c r="I25" s="110"/>
      <c r="J25" s="110"/>
    </row>
    <row r="26" spans="1:10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  <c r="I26" s="110"/>
      <c r="J26" s="110"/>
    </row>
    <row r="27" spans="1:10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  <c r="I27" s="110"/>
      <c r="J27" s="110"/>
    </row>
    <row r="28" spans="1:10" ht="15">
      <c r="A28" s="8" t="s">
        <v>25</v>
      </c>
      <c r="B28" s="12" t="s">
        <v>11</v>
      </c>
      <c r="C28" s="15">
        <f>C15+C22</f>
        <v>19541.498426</v>
      </c>
      <c r="D28" s="16" t="s">
        <v>26</v>
      </c>
      <c r="E28" s="112" t="e">
        <f>B28/#REF!*1</f>
        <v>#VALUE!</v>
      </c>
      <c r="F28" s="110"/>
      <c r="G28" s="110"/>
      <c r="H28" s="110"/>
      <c r="I28" s="110"/>
      <c r="J28" s="110"/>
    </row>
    <row r="29" spans="1:10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  <c r="J29" s="110"/>
    </row>
    <row r="30" spans="1:10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  <c r="I30" s="110"/>
      <c r="J30" s="110"/>
    </row>
    <row r="31" spans="1:10" ht="15">
      <c r="A31" s="26" t="s">
        <v>32</v>
      </c>
      <c r="B31" s="27" t="s">
        <v>33</v>
      </c>
      <c r="C31" s="28" t="s">
        <v>34</v>
      </c>
      <c r="D31" s="93">
        <f>(0.85+0.81)*6*104.2</f>
        <v>1037.832</v>
      </c>
      <c r="E31" s="110"/>
      <c r="F31" s="110"/>
      <c r="G31" s="110"/>
      <c r="H31" s="110"/>
      <c r="I31" s="110"/>
      <c r="J31" s="110"/>
    </row>
    <row r="32" spans="1:10" ht="15">
      <c r="A32" s="29" t="s">
        <v>36</v>
      </c>
      <c r="B32" s="30" t="s">
        <v>33</v>
      </c>
      <c r="C32" s="31" t="s">
        <v>37</v>
      </c>
      <c r="D32" s="94">
        <f>0.24*12*104.2</f>
        <v>300.096</v>
      </c>
      <c r="E32" s="110"/>
      <c r="F32" s="110"/>
      <c r="G32" s="110"/>
      <c r="H32" s="110"/>
      <c r="I32" s="110"/>
      <c r="J32" s="110"/>
    </row>
    <row r="33" spans="1:10" ht="15">
      <c r="A33" s="154" t="s">
        <v>181</v>
      </c>
      <c r="B33" s="30" t="s">
        <v>33</v>
      </c>
      <c r="C33" s="31" t="s">
        <v>34</v>
      </c>
      <c r="D33" s="94">
        <f>(0.83+1)*6*104.2</f>
        <v>1144.116</v>
      </c>
      <c r="E33" s="110"/>
      <c r="F33" s="110"/>
      <c r="G33" s="110"/>
      <c r="H33" s="110"/>
      <c r="I33" s="110"/>
      <c r="J33" s="110"/>
    </row>
    <row r="34" spans="1:10" ht="15">
      <c r="A34" s="29" t="s">
        <v>81</v>
      </c>
      <c r="B34" s="92" t="s">
        <v>82</v>
      </c>
      <c r="C34" s="31" t="s">
        <v>34</v>
      </c>
      <c r="D34" s="94">
        <f>1.33*12*104.2</f>
        <v>1663.0320000000002</v>
      </c>
      <c r="E34" s="110"/>
      <c r="F34" s="110"/>
      <c r="G34" s="110"/>
      <c r="H34" s="110"/>
      <c r="I34" s="110"/>
      <c r="J34" s="110"/>
    </row>
    <row r="35" spans="1:10" ht="15">
      <c r="A35" s="29" t="s">
        <v>38</v>
      </c>
      <c r="B35" s="30" t="s">
        <v>35</v>
      </c>
      <c r="C35" s="370" t="s">
        <v>237</v>
      </c>
      <c r="D35" s="94">
        <f>4.19*104.2*12</f>
        <v>5239.176000000001</v>
      </c>
      <c r="E35" s="110"/>
      <c r="F35" s="110"/>
      <c r="G35" s="110"/>
      <c r="H35" s="110"/>
      <c r="I35" s="110"/>
      <c r="J35" s="110"/>
    </row>
    <row r="36" spans="1:10" ht="15">
      <c r="A36" s="29" t="s">
        <v>85</v>
      </c>
      <c r="B36" s="30" t="s">
        <v>238</v>
      </c>
      <c r="C36" s="173" t="s">
        <v>37</v>
      </c>
      <c r="D36" s="94">
        <f>104.2*6*(0.53+0.92)</f>
        <v>906.5400000000002</v>
      </c>
      <c r="E36" s="110"/>
      <c r="F36" s="110"/>
      <c r="G36" s="110"/>
      <c r="H36" s="110"/>
      <c r="I36" s="110"/>
      <c r="J36" s="110"/>
    </row>
    <row r="37" spans="1:14" s="1" customFormat="1" ht="45">
      <c r="A37" s="33" t="s">
        <v>40</v>
      </c>
      <c r="B37" s="34" t="s">
        <v>41</v>
      </c>
      <c r="C37" s="109" t="s">
        <v>77</v>
      </c>
      <c r="D37" s="381">
        <f>D38</f>
        <v>14167</v>
      </c>
      <c r="E37" s="110"/>
      <c r="F37" s="110"/>
      <c r="G37" s="110"/>
      <c r="H37" s="110"/>
      <c r="I37" s="110"/>
      <c r="J37" s="110"/>
      <c r="K37"/>
      <c r="L37"/>
      <c r="M37"/>
      <c r="N37"/>
    </row>
    <row r="38" spans="1:14" s="1" customFormat="1" ht="15">
      <c r="A38" s="95" t="s">
        <v>305</v>
      </c>
      <c r="B38" s="96" t="s">
        <v>167</v>
      </c>
      <c r="C38" s="394" t="s">
        <v>34</v>
      </c>
      <c r="D38" s="147">
        <v>14167</v>
      </c>
      <c r="E38" s="110"/>
      <c r="F38" s="110"/>
      <c r="G38" s="110"/>
      <c r="H38" s="110"/>
      <c r="I38" s="110"/>
      <c r="J38" s="110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8">
        <f>SUM(D31:D37)</f>
        <v>24457.792</v>
      </c>
      <c r="E39" s="113">
        <f>D39-D37</f>
        <v>10290.792000000001</v>
      </c>
      <c r="F39" s="110"/>
      <c r="G39" s="110"/>
      <c r="H39" s="110"/>
      <c r="I39" s="110"/>
      <c r="J39" s="110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-4916.293574000003</v>
      </c>
      <c r="E40" s="113"/>
      <c r="F40" s="110"/>
      <c r="G40" s="110"/>
      <c r="H40" s="110"/>
      <c r="I40" s="110"/>
      <c r="J40" s="110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10"/>
      <c r="F41" s="110"/>
      <c r="G41" s="110"/>
      <c r="H41" s="110"/>
      <c r="I41" s="110"/>
      <c r="J41" s="110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0</v>
      </c>
      <c r="E42" s="110"/>
      <c r="F42" s="110"/>
      <c r="G42" s="110"/>
      <c r="H42" s="110"/>
      <c r="I42" s="110"/>
      <c r="J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I43" s="110"/>
      <c r="J43" s="110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I44" s="110"/>
      <c r="J44" s="110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I45" s="110"/>
      <c r="J45" s="110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110"/>
      <c r="F46" s="110"/>
      <c r="G46" s="110"/>
      <c r="H46" s="110"/>
      <c r="I46" s="110"/>
      <c r="J46" s="110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110"/>
      <c r="F47" s="110"/>
      <c r="G47" s="110"/>
      <c r="H47" s="110"/>
      <c r="I47" s="110"/>
      <c r="J47" s="110"/>
      <c r="K47"/>
      <c r="L47"/>
      <c r="M47"/>
      <c r="N47"/>
    </row>
    <row r="48" spans="1:10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  <c r="I48" s="110"/>
      <c r="J48" s="110"/>
    </row>
    <row r="49" spans="1:10" ht="25.5">
      <c r="A49" s="47" t="s">
        <v>51</v>
      </c>
      <c r="B49" s="30" t="s">
        <v>11</v>
      </c>
      <c r="C49" s="31"/>
      <c r="D49" s="14">
        <v>0</v>
      </c>
      <c r="E49" s="110"/>
      <c r="F49" s="110"/>
      <c r="G49" s="110"/>
      <c r="H49" s="110"/>
      <c r="I49" s="110"/>
      <c r="J49" s="110"/>
    </row>
    <row r="50" spans="1:10" ht="15">
      <c r="A50" s="45" t="s">
        <v>12</v>
      </c>
      <c r="B50" s="30" t="s">
        <v>11</v>
      </c>
      <c r="C50" s="31"/>
      <c r="D50" s="14">
        <v>0</v>
      </c>
      <c r="E50" s="110"/>
      <c r="F50" s="110"/>
      <c r="G50" s="110"/>
      <c r="H50" s="110"/>
      <c r="I50" s="110"/>
      <c r="J50" s="110"/>
    </row>
    <row r="51" spans="1:10" ht="15">
      <c r="A51" s="45" t="s">
        <v>13</v>
      </c>
      <c r="B51" s="30" t="s">
        <v>11</v>
      </c>
      <c r="C51" s="31"/>
      <c r="D51" s="58">
        <f>D53-D57-D59-D60</f>
        <v>33281.09397800001</v>
      </c>
      <c r="E51" s="110"/>
      <c r="F51" s="110"/>
      <c r="G51" s="110"/>
      <c r="H51" s="114"/>
      <c r="I51" s="110"/>
      <c r="J51" s="110"/>
    </row>
    <row r="52" spans="1:10" ht="25.5">
      <c r="A52" s="50" t="s">
        <v>52</v>
      </c>
      <c r="B52" s="30" t="s">
        <v>11</v>
      </c>
      <c r="C52" s="51"/>
      <c r="D52" s="52">
        <v>0</v>
      </c>
      <c r="E52" s="110"/>
      <c r="F52" s="110"/>
      <c r="G52" s="110"/>
      <c r="H52" s="110"/>
      <c r="I52" s="110"/>
      <c r="J52" s="110"/>
    </row>
    <row r="53" spans="1:10" ht="17.25" customHeight="1">
      <c r="A53" s="53" t="s">
        <v>12</v>
      </c>
      <c r="B53" s="30" t="s">
        <v>11</v>
      </c>
      <c r="C53" s="31"/>
      <c r="D53" s="48">
        <v>14420.77</v>
      </c>
      <c r="E53" s="110"/>
      <c r="I53" s="49"/>
      <c r="J53" s="49"/>
    </row>
    <row r="54" spans="1:14" ht="15">
      <c r="A54" s="56" t="s">
        <v>13</v>
      </c>
      <c r="B54" s="30" t="s">
        <v>11</v>
      </c>
      <c r="C54" s="57"/>
      <c r="D54" s="58"/>
      <c r="E54" s="110"/>
      <c r="H54" s="1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63"/>
      <c r="G55" s="64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63"/>
      <c r="G56" s="64"/>
      <c r="I56" s="65"/>
      <c r="J56" s="71"/>
      <c r="K56" s="66"/>
      <c r="L56" s="66"/>
      <c r="M56" s="66"/>
      <c r="N56" s="66"/>
    </row>
    <row r="57" spans="1:14" ht="15">
      <c r="A57" s="72" t="s">
        <v>58</v>
      </c>
      <c r="B57" s="100">
        <v>14214.6</v>
      </c>
      <c r="C57" s="101">
        <f>B57*1.2753</f>
        <v>18127.879380000002</v>
      </c>
      <c r="D57" s="102">
        <f>B57-C57</f>
        <v>-3913.2793800000018</v>
      </c>
      <c r="E57" s="118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59</v>
      </c>
      <c r="B58" s="100">
        <v>0</v>
      </c>
      <c r="C58" s="101">
        <f>B58*1.2753</f>
        <v>0</v>
      </c>
      <c r="D58" s="102">
        <f>B58-C58</f>
        <v>0</v>
      </c>
      <c r="E58" s="115"/>
      <c r="F58" s="63"/>
      <c r="G58" s="64"/>
      <c r="I58" s="65"/>
      <c r="J58" s="65"/>
      <c r="K58" s="66"/>
      <c r="L58" s="66"/>
      <c r="M58" s="66"/>
      <c r="N58" s="66"/>
    </row>
    <row r="59" spans="1:14" ht="15">
      <c r="A59" s="72" t="s">
        <v>60</v>
      </c>
      <c r="B59" s="103">
        <v>48922.26</v>
      </c>
      <c r="C59" s="101">
        <f>B59*1.2753</f>
        <v>62390.55817800001</v>
      </c>
      <c r="D59" s="102">
        <f>B59-C59</f>
        <v>-13468.298178000005</v>
      </c>
      <c r="E59" s="115">
        <f>(2.07+1.8)*6*2301.2-0.37*2301.2*6</f>
        <v>48325.2</v>
      </c>
      <c r="F59" s="74"/>
      <c r="G59" s="75"/>
      <c r="H59" s="62"/>
      <c r="I59" s="65"/>
      <c r="J59" s="65"/>
      <c r="K59" s="66"/>
      <c r="L59" s="66"/>
      <c r="M59" s="66"/>
      <c r="N59" s="66"/>
    </row>
    <row r="60" spans="1:14" ht="15.75" thickBot="1">
      <c r="A60" s="126" t="s">
        <v>318</v>
      </c>
      <c r="B60" s="127">
        <v>5371.4</v>
      </c>
      <c r="C60" s="101">
        <f>B60*1.2753</f>
        <v>6850.14642</v>
      </c>
      <c r="D60" s="129">
        <f>B60-C60</f>
        <v>-1478.7464200000004</v>
      </c>
      <c r="E60" s="115"/>
      <c r="F60" s="74"/>
      <c r="G60" s="75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115"/>
      <c r="F61" s="74"/>
      <c r="H61" s="65"/>
      <c r="I61" s="65"/>
      <c r="J61" s="65"/>
      <c r="K61" s="66"/>
      <c r="L61" s="66"/>
      <c r="M61" s="66"/>
      <c r="N61" s="66"/>
    </row>
    <row r="62" spans="1:14" ht="15">
      <c r="A62" s="134" t="s">
        <v>58</v>
      </c>
      <c r="B62" s="105">
        <f>B57</f>
        <v>14214.6</v>
      </c>
      <c r="C62" s="106">
        <f>C57</f>
        <v>18127.879380000002</v>
      </c>
      <c r="D62" s="135">
        <f>B62-C62</f>
        <v>-3913.2793800000018</v>
      </c>
      <c r="E62" s="115"/>
      <c r="F62" s="74"/>
      <c r="H62" s="65"/>
      <c r="I62" s="65"/>
      <c r="J62" s="65" t="s">
        <v>26</v>
      </c>
      <c r="K62" s="66"/>
      <c r="L62" s="66"/>
      <c r="M62" s="66"/>
      <c r="N62" s="66"/>
    </row>
    <row r="63" spans="1:14" ht="15">
      <c r="A63" s="134" t="s">
        <v>59</v>
      </c>
      <c r="B63" s="105">
        <f>B58</f>
        <v>0</v>
      </c>
      <c r="C63" s="106">
        <f>C58*1.0063</f>
        <v>0</v>
      </c>
      <c r="D63" s="135">
        <f>B63-C63</f>
        <v>0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5">
      <c r="A64" s="134" t="s">
        <v>60</v>
      </c>
      <c r="B64" s="105">
        <f>B59</f>
        <v>48922.26</v>
      </c>
      <c r="C64" s="106">
        <f>C59</f>
        <v>62390.55817800001</v>
      </c>
      <c r="D64" s="135">
        <f>B64-C64</f>
        <v>-13468.298178000005</v>
      </c>
      <c r="E64" s="115"/>
      <c r="F64" s="74"/>
      <c r="H64" s="65"/>
      <c r="I64" s="65"/>
      <c r="J64" s="65"/>
      <c r="K64" s="66"/>
      <c r="L64" s="66"/>
      <c r="M64" s="66"/>
      <c r="N64" s="66"/>
    </row>
    <row r="65" spans="1:14" ht="15.75" thickBot="1">
      <c r="A65" s="136" t="s">
        <v>318</v>
      </c>
      <c r="B65" s="137">
        <v>5371.4</v>
      </c>
      <c r="C65" s="140">
        <v>6850.14642</v>
      </c>
      <c r="D65" s="139">
        <v>-1478.7464200000004</v>
      </c>
      <c r="E65" s="115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8"/>
      <c r="B66" s="77"/>
      <c r="C66" s="79"/>
      <c r="D66" s="80"/>
      <c r="E66" s="115"/>
      <c r="F66" s="74"/>
      <c r="H66" s="65"/>
      <c r="I66" s="65"/>
      <c r="J66" s="65"/>
      <c r="K66" s="66"/>
      <c r="L66" s="66"/>
      <c r="M66" s="66"/>
      <c r="N66" s="66"/>
    </row>
    <row r="67" spans="1:14" ht="25.5">
      <c r="A67" s="81" t="s">
        <v>66</v>
      </c>
      <c r="B67" s="77" t="s">
        <v>11</v>
      </c>
      <c r="C67" s="82"/>
      <c r="D67" s="83">
        <v>0</v>
      </c>
      <c r="E67" s="115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122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7"/>
      <c r="D69" s="179">
        <v>0</v>
      </c>
      <c r="E69" s="124"/>
    </row>
    <row r="70" spans="1:5" ht="21" customHeight="1">
      <c r="A70" s="86" t="s">
        <v>47</v>
      </c>
      <c r="B70" s="86" t="s">
        <v>46</v>
      </c>
      <c r="C70" s="86"/>
      <c r="D70" s="179">
        <v>0</v>
      </c>
      <c r="E70" s="124"/>
    </row>
    <row r="71" spans="1:5" ht="18" customHeight="1">
      <c r="A71" s="86" t="s">
        <v>48</v>
      </c>
      <c r="B71" s="86" t="s">
        <v>46</v>
      </c>
      <c r="C71" s="86"/>
      <c r="D71" s="179">
        <v>0</v>
      </c>
      <c r="E71" s="124"/>
    </row>
    <row r="72" spans="1:5" ht="16.5" customHeight="1">
      <c r="A72" s="86" t="s">
        <v>49</v>
      </c>
      <c r="B72" s="86" t="s">
        <v>11</v>
      </c>
      <c r="C72" s="86"/>
      <c r="D72" s="179">
        <v>0</v>
      </c>
      <c r="E72" s="124"/>
    </row>
    <row r="73" spans="1:5" ht="15.75" customHeight="1">
      <c r="A73" s="489" t="s">
        <v>68</v>
      </c>
      <c r="B73" s="489"/>
      <c r="C73" s="489"/>
      <c r="D73" s="489"/>
      <c r="E73" s="124"/>
    </row>
    <row r="74" spans="1:5" ht="18.75" customHeight="1">
      <c r="A74" s="86" t="s">
        <v>69</v>
      </c>
      <c r="B74" s="86" t="s">
        <v>46</v>
      </c>
      <c r="C74" s="86"/>
      <c r="D74" s="179">
        <v>4</v>
      </c>
      <c r="E74" s="124"/>
    </row>
    <row r="75" spans="1:5" ht="21.75" customHeight="1">
      <c r="A75" s="86" t="s">
        <v>70</v>
      </c>
      <c r="B75" s="53" t="s">
        <v>46</v>
      </c>
      <c r="C75" s="53"/>
      <c r="D75" s="179">
        <v>4</v>
      </c>
      <c r="E75" s="124"/>
    </row>
    <row r="76" spans="1:5" ht="36" customHeight="1">
      <c r="A76" s="90" t="s">
        <v>71</v>
      </c>
      <c r="B76" s="86" t="s">
        <v>11</v>
      </c>
      <c r="C76" s="86"/>
      <c r="D76" s="179">
        <v>17000</v>
      </c>
      <c r="E76" s="124"/>
    </row>
    <row r="77" spans="1:5" ht="15">
      <c r="A77" s="66"/>
      <c r="B77" s="66"/>
      <c r="C77" s="66"/>
      <c r="D77" s="91"/>
      <c r="E77" s="110"/>
    </row>
    <row r="78" spans="1:14" s="1" customFormat="1" ht="12.75">
      <c r="A78"/>
      <c r="B78"/>
      <c r="C78"/>
      <c r="D78"/>
      <c r="E78" s="110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E79" s="110"/>
      <c r="K79"/>
      <c r="L79"/>
      <c r="M79"/>
      <c r="N79"/>
    </row>
    <row r="80" spans="1:14" s="1" customFormat="1" ht="12.75">
      <c r="A80"/>
      <c r="B80"/>
      <c r="C80"/>
      <c r="D80"/>
      <c r="E80" s="110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E81" s="110"/>
      <c r="K81"/>
      <c r="L81"/>
      <c r="M81"/>
      <c r="N81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">
      <selection activeCell="E17" sqref="E17:H47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132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15.75" customHeight="1">
      <c r="A6" s="2" t="s">
        <v>194</v>
      </c>
    </row>
    <row r="7" spans="1:4" ht="18" customHeight="1">
      <c r="A7" s="488" t="s">
        <v>2</v>
      </c>
      <c r="B7" s="488"/>
      <c r="C7" s="488"/>
      <c r="D7" s="488"/>
    </row>
    <row r="8" spans="1:3" ht="12.75">
      <c r="A8" s="2"/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4" ht="12.75">
      <c r="A13" s="8" t="s">
        <v>8</v>
      </c>
      <c r="B13" s="9"/>
      <c r="C13" s="145" t="s">
        <v>244</v>
      </c>
      <c r="D13" s="10"/>
    </row>
    <row r="14" spans="1:4" ht="31.5" customHeight="1">
      <c r="A14" s="490" t="s">
        <v>9</v>
      </c>
      <c r="B14" s="490"/>
      <c r="C14" s="490"/>
      <c r="D14" s="490"/>
    </row>
    <row r="15" spans="1:5" ht="25.5">
      <c r="A15" s="11" t="s">
        <v>10</v>
      </c>
      <c r="B15" s="12" t="s">
        <v>11</v>
      </c>
      <c r="C15" s="15">
        <v>-22723.54</v>
      </c>
      <c r="D15" s="14"/>
      <c r="E15" s="59"/>
    </row>
    <row r="16" spans="1:5" ht="15">
      <c r="A16" s="8" t="s">
        <v>12</v>
      </c>
      <c r="B16" s="12" t="s">
        <v>11</v>
      </c>
      <c r="C16" s="13">
        <v>0</v>
      </c>
      <c r="D16" s="14"/>
      <c r="E16" s="59"/>
    </row>
    <row r="17" spans="1:8" ht="15">
      <c r="A17" s="8" t="s">
        <v>13</v>
      </c>
      <c r="B17" s="12" t="s">
        <v>11</v>
      </c>
      <c r="C17" s="15">
        <v>1606.83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13648.02+1872.72</f>
        <v>15520.74</v>
      </c>
      <c r="D18" s="16"/>
      <c r="E18" s="111">
        <f>C18-C20</f>
        <v>11676.564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5602.74</v>
      </c>
      <c r="D19" s="16"/>
      <c r="E19" s="111">
        <f>E18-E38</f>
        <v>0.03600000000005821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(1.25+1.47)*6*120.8+1872.72</f>
        <v>3844.176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120.8*4.19*12</f>
        <v>6073.8240000000005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8713.343436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C18*0.5614</f>
        <v>8713.343436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-14010.196564000002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(0.85+0.81)*6*120.8</f>
        <v>1203.1680000000001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0.24*12*120.8</f>
        <v>347.904</v>
      </c>
      <c r="E32" s="110"/>
      <c r="F32" s="110"/>
      <c r="G32" s="110"/>
      <c r="H32" s="110"/>
    </row>
    <row r="33" spans="1:8" ht="15">
      <c r="A33" s="29" t="s">
        <v>107</v>
      </c>
      <c r="B33" s="30" t="s">
        <v>33</v>
      </c>
      <c r="C33" s="31" t="s">
        <v>34</v>
      </c>
      <c r="D33" s="94">
        <f>(0.83+1)*6*120.8</f>
        <v>1326.384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1.33*12*120.8</f>
        <v>1927.968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4.19*120.8*12</f>
        <v>6073.8240000000005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120.8*6*(0.53+0.57)</f>
        <v>797.28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109"/>
      <c r="D37" s="157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D31+D32+D33+D34+D35+D36+D37</f>
        <v>11676.528</v>
      </c>
      <c r="E38" s="113">
        <f>D38-D37</f>
        <v>11676.528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-25686.724564000004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8330.8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5" ht="25.5">
      <c r="A48" s="47" t="s">
        <v>51</v>
      </c>
      <c r="B48" s="30" t="s">
        <v>11</v>
      </c>
      <c r="C48" s="31"/>
      <c r="D48" s="14">
        <v>0</v>
      </c>
      <c r="E48" s="110"/>
    </row>
    <row r="49" spans="1:5" ht="15">
      <c r="A49" s="45" t="s">
        <v>12</v>
      </c>
      <c r="B49" s="30" t="s">
        <v>11</v>
      </c>
      <c r="C49" s="31"/>
      <c r="D49" s="14">
        <v>0</v>
      </c>
      <c r="E49" s="110"/>
    </row>
    <row r="50" spans="1:8" ht="15">
      <c r="A50" s="45" t="s">
        <v>13</v>
      </c>
      <c r="B50" s="30" t="s">
        <v>11</v>
      </c>
      <c r="C50" s="31"/>
      <c r="D50" s="48">
        <f>D52-D56-D58-D59</f>
        <v>7370.720892000001</v>
      </c>
      <c r="E50" s="110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10"/>
    </row>
    <row r="52" spans="1:10" ht="17.25" customHeight="1">
      <c r="A52" s="53" t="s">
        <v>12</v>
      </c>
      <c r="B52" s="30" t="s">
        <v>11</v>
      </c>
      <c r="C52" s="31"/>
      <c r="D52" s="48">
        <v>40307.73</v>
      </c>
      <c r="E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/>
      <c r="E53" s="110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13008.36</v>
      </c>
      <c r="C56" s="101">
        <f>B56*0.5614</f>
        <v>7302.893304</v>
      </c>
      <c r="D56" s="102">
        <f>B56-C56</f>
        <v>5705.466696</v>
      </c>
      <c r="E56" s="118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B57*0.5614</f>
        <v>0</v>
      </c>
      <c r="D57" s="102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56716.02</v>
      </c>
      <c r="C58" s="101">
        <f>B58*0.5614</f>
        <v>31840.373627999998</v>
      </c>
      <c r="D58" s="102">
        <f>B58-C58</f>
        <v>24875.646372</v>
      </c>
      <c r="E58" s="115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5371.4</v>
      </c>
      <c r="C59" s="101">
        <f>B59*0.5614</f>
        <v>3015.50396</v>
      </c>
      <c r="D59" s="129">
        <f>B59-C59</f>
        <v>2355.8960399999996</v>
      </c>
      <c r="E59" s="115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74"/>
      <c r="H60" s="65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13008.36</v>
      </c>
      <c r="C61" s="106">
        <f>C56</f>
        <v>7302.893304</v>
      </c>
      <c r="D61" s="135">
        <f>B61-C61</f>
        <v>5705.466696</v>
      </c>
      <c r="E61" s="115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f>B57</f>
        <v>0</v>
      </c>
      <c r="C62" s="106">
        <f>C57*1.0063</f>
        <v>0</v>
      </c>
      <c r="D62" s="135">
        <f>B62-C62</f>
        <v>0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f>B58</f>
        <v>56716.02</v>
      </c>
      <c r="C63" s="106">
        <f>C58</f>
        <v>31840.373627999998</v>
      </c>
      <c r="D63" s="135">
        <f>B63-C63</f>
        <v>24875.646372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5371.4</v>
      </c>
      <c r="C64" s="138">
        <v>3015.50396</v>
      </c>
      <c r="D64" s="139">
        <v>2355.8960399999996</v>
      </c>
      <c r="E64" s="115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105"/>
      <c r="C65" s="107"/>
      <c r="D65" s="108"/>
      <c r="E65" s="115"/>
      <c r="F65" s="74"/>
      <c r="H65" s="65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115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124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124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124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124"/>
    </row>
    <row r="72" spans="1:5" ht="15.75" customHeight="1">
      <c r="A72" s="489" t="s">
        <v>68</v>
      </c>
      <c r="B72" s="489"/>
      <c r="C72" s="489"/>
      <c r="D72" s="489"/>
      <c r="E72" s="124"/>
    </row>
    <row r="73" spans="1:5" ht="18.75" customHeight="1">
      <c r="A73" s="86" t="s">
        <v>69</v>
      </c>
      <c r="B73" s="86" t="s">
        <v>46</v>
      </c>
      <c r="C73" s="86"/>
      <c r="D73" s="179">
        <v>0</v>
      </c>
      <c r="E73" s="124"/>
    </row>
    <row r="74" spans="1:5" ht="21.75" customHeight="1">
      <c r="A74" s="86" t="s">
        <v>70</v>
      </c>
      <c r="B74" s="53" t="s">
        <v>46</v>
      </c>
      <c r="C74" s="53"/>
      <c r="D74" s="179">
        <v>0</v>
      </c>
      <c r="E74" s="124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124"/>
    </row>
    <row r="76" spans="1:5" ht="15">
      <c r="A76" s="66"/>
      <c r="B76" s="66"/>
      <c r="C76" s="66"/>
      <c r="D76" s="91"/>
      <c r="E76" s="110"/>
    </row>
    <row r="77" spans="1:14" s="1" customFormat="1" ht="12.75">
      <c r="A77"/>
      <c r="B77"/>
      <c r="C77"/>
      <c r="D77"/>
      <c r="E77" s="110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10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4">
      <selection activeCell="E18" sqref="E18:H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133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195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8" ht="12.75">
      <c r="A12" s="8" t="s">
        <v>7</v>
      </c>
      <c r="B12" s="9"/>
      <c r="C12" s="145" t="s">
        <v>243</v>
      </c>
      <c r="D12" s="10"/>
      <c r="E12" s="110"/>
      <c r="F12" s="110"/>
      <c r="G12" s="110"/>
      <c r="H12" s="110"/>
    </row>
    <row r="13" spans="1:8" ht="12.75">
      <c r="A13" s="8" t="s">
        <v>8</v>
      </c>
      <c r="B13" s="9"/>
      <c r="C13" s="145" t="s">
        <v>244</v>
      </c>
      <c r="D13" s="10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5.5">
      <c r="A15" s="11" t="s">
        <v>10</v>
      </c>
      <c r="B15" s="12" t="s">
        <v>11</v>
      </c>
      <c r="C15" s="15">
        <v>43724.65</v>
      </c>
      <c r="D15" s="14"/>
      <c r="E15" s="110"/>
      <c r="F15" s="110"/>
      <c r="G15" s="110"/>
      <c r="H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288.21</v>
      </c>
      <c r="D17" s="16"/>
      <c r="E17" s="59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14263.74+4202.28</f>
        <v>18466.02</v>
      </c>
      <c r="D18" s="16"/>
      <c r="E18" s="111">
        <f>C18-C20</f>
        <v>11088.684000000001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4567.368000000001</v>
      </c>
      <c r="D19" s="16"/>
      <c r="E19" s="111">
        <f>E18-E38</f>
        <v>0.004000000002633897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(2.17+1.91)*6*129.7+4202.28</f>
        <v>7377.335999999999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129.7*4.19*12</f>
        <v>6521.316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13081.328568</v>
      </c>
      <c r="D22" s="16" t="s">
        <v>19</v>
      </c>
      <c r="E22" s="111"/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C18*0.7084</f>
        <v>13081.328568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56805.978568000006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(0.85+0.81)*6*129.7</f>
        <v>1291.812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0.24*12*129.7</f>
        <v>373.53599999999994</v>
      </c>
      <c r="E32" s="110"/>
      <c r="F32" s="110"/>
      <c r="G32" s="110"/>
      <c r="H32" s="110"/>
    </row>
    <row r="33" spans="1:8" ht="15">
      <c r="A33" s="154" t="s">
        <v>181</v>
      </c>
      <c r="B33" s="30" t="s">
        <v>33</v>
      </c>
      <c r="C33" s="31" t="s">
        <v>34</v>
      </c>
      <c r="D33" s="94">
        <v>116.06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1.33*12*129.7</f>
        <v>2070.0119999999997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4.19*129.7*12</f>
        <v>6521.316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129.7*6*(0.43+0.49)</f>
        <v>715.9439999999998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109"/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11088.679999999998</v>
      </c>
      <c r="E38" s="113">
        <f>D38-D37</f>
        <v>11088.679999999998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45717.298568000006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6232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5.5">
      <c r="A48" s="47" t="s">
        <v>51</v>
      </c>
      <c r="B48" s="30" t="s">
        <v>11</v>
      </c>
      <c r="C48" s="31"/>
      <c r="D48" s="14">
        <v>0</v>
      </c>
      <c r="E48" s="110"/>
      <c r="F48" s="110"/>
      <c r="G48" s="110"/>
      <c r="H48" s="110"/>
    </row>
    <row r="49" spans="1:8" ht="15">
      <c r="A49" s="45" t="s">
        <v>12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13</v>
      </c>
      <c r="B50" s="30" t="s">
        <v>11</v>
      </c>
      <c r="C50" s="31"/>
      <c r="D50" s="58">
        <f>D53-D56-D59</f>
        <v>627.6118400000005</v>
      </c>
      <c r="E50" s="110"/>
      <c r="F50" s="110"/>
      <c r="G50" s="110"/>
      <c r="H50" s="114"/>
    </row>
    <row r="51" spans="1:8" ht="25.5">
      <c r="A51" s="50" t="s">
        <v>52</v>
      </c>
      <c r="B51" s="30" t="s">
        <v>11</v>
      </c>
      <c r="C51" s="51"/>
      <c r="D51" s="52">
        <v>0</v>
      </c>
      <c r="E51" s="110"/>
      <c r="F51" s="110"/>
      <c r="G51" s="110"/>
      <c r="H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F52" s="110"/>
      <c r="G52" s="110"/>
      <c r="H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4616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5259.66</v>
      </c>
      <c r="C56" s="101">
        <f>B56*0.7084</f>
        <v>3725.943144</v>
      </c>
      <c r="D56" s="102">
        <f>B56-C56</f>
        <v>1533.716856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B57*0.7476</f>
        <v>0</v>
      </c>
      <c r="D57" s="102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B58*0.7699</f>
        <v>0</v>
      </c>
      <c r="D58" s="102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8417.94</v>
      </c>
      <c r="C59" s="101">
        <f>B59*0.7084</f>
        <v>5963.268696000001</v>
      </c>
      <c r="D59" s="129">
        <f>B59-C59</f>
        <v>2454.6713039999995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5259.66</v>
      </c>
      <c r="C61" s="106">
        <f>C56</f>
        <v>3725.943144</v>
      </c>
      <c r="D61" s="135">
        <f>B61-C61</f>
        <v>1533.716856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8417.94</v>
      </c>
      <c r="C64" s="138">
        <v>5963.268696000001</v>
      </c>
      <c r="D64" s="139">
        <v>2454.6713039999995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115"/>
      <c r="F65" s="119"/>
      <c r="G65" s="110"/>
      <c r="H65" s="121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115"/>
      <c r="F66" s="119"/>
      <c r="G66" s="110"/>
      <c r="H66" s="121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121"/>
      <c r="G67" s="110"/>
      <c r="H67" s="123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6" t="s">
        <v>45</v>
      </c>
      <c r="B68" s="86" t="s">
        <v>46</v>
      </c>
      <c r="C68" s="87"/>
      <c r="D68" s="179">
        <v>0</v>
      </c>
      <c r="E68" s="124"/>
      <c r="F68" s="110"/>
      <c r="G68" s="110"/>
      <c r="H68" s="110"/>
    </row>
    <row r="69" spans="1:8" ht="21" customHeight="1">
      <c r="A69" s="86" t="s">
        <v>47</v>
      </c>
      <c r="B69" s="86" t="s">
        <v>46</v>
      </c>
      <c r="C69" s="86"/>
      <c r="D69" s="179">
        <v>0</v>
      </c>
      <c r="E69" s="124"/>
      <c r="F69" s="110"/>
      <c r="G69" s="110"/>
      <c r="H69" s="110"/>
    </row>
    <row r="70" spans="1:8" ht="18" customHeight="1">
      <c r="A70" s="86" t="s">
        <v>48</v>
      </c>
      <c r="B70" s="86" t="s">
        <v>46</v>
      </c>
      <c r="C70" s="86"/>
      <c r="D70" s="179">
        <v>0</v>
      </c>
      <c r="E70" s="124"/>
      <c r="F70" s="110"/>
      <c r="G70" s="110"/>
      <c r="H70" s="110"/>
    </row>
    <row r="71" spans="1:8" ht="16.5" customHeight="1">
      <c r="A71" s="86" t="s">
        <v>49</v>
      </c>
      <c r="B71" s="86" t="s">
        <v>11</v>
      </c>
      <c r="C71" s="86"/>
      <c r="D71" s="179">
        <v>0</v>
      </c>
      <c r="E71" s="124"/>
      <c r="F71" s="110"/>
      <c r="G71" s="110"/>
      <c r="H71" s="110"/>
    </row>
    <row r="72" spans="1:8" ht="15.75" customHeight="1">
      <c r="A72" s="489" t="s">
        <v>68</v>
      </c>
      <c r="B72" s="489"/>
      <c r="C72" s="489"/>
      <c r="D72" s="489"/>
      <c r="E72" s="124"/>
      <c r="F72" s="110"/>
      <c r="G72" s="110"/>
      <c r="H72" s="110"/>
    </row>
    <row r="73" spans="1:8" ht="18.75" customHeight="1">
      <c r="A73" s="86" t="s">
        <v>69</v>
      </c>
      <c r="B73" s="86" t="s">
        <v>46</v>
      </c>
      <c r="C73" s="86"/>
      <c r="D73" s="179">
        <v>0</v>
      </c>
      <c r="E73" s="124"/>
      <c r="F73" s="110"/>
      <c r="G73" s="110"/>
      <c r="H73" s="110"/>
    </row>
    <row r="74" spans="1:8" ht="21.75" customHeight="1">
      <c r="A74" s="86" t="s">
        <v>70</v>
      </c>
      <c r="B74" s="53" t="s">
        <v>46</v>
      </c>
      <c r="C74" s="53"/>
      <c r="D74" s="179">
        <v>0</v>
      </c>
      <c r="E74" s="124"/>
      <c r="F74" s="110"/>
      <c r="G74" s="110"/>
      <c r="H74" s="110"/>
    </row>
    <row r="75" spans="1:8" ht="36" customHeight="1">
      <c r="A75" s="90" t="s">
        <v>71</v>
      </c>
      <c r="B75" s="86" t="s">
        <v>11</v>
      </c>
      <c r="C75" s="86"/>
      <c r="D75" s="179">
        <v>0</v>
      </c>
      <c r="E75" s="124"/>
      <c r="F75" s="110"/>
      <c r="G75" s="110"/>
      <c r="H75" s="110"/>
    </row>
    <row r="76" spans="1:8" ht="15">
      <c r="A76" s="66"/>
      <c r="B76" s="66"/>
      <c r="C76" s="66"/>
      <c r="D76" s="91"/>
      <c r="E76" s="110"/>
      <c r="F76" s="110"/>
      <c r="G76" s="110"/>
      <c r="H76" s="110"/>
    </row>
    <row r="77" spans="1:14" s="1" customFormat="1" ht="12.75">
      <c r="A77"/>
      <c r="B77"/>
      <c r="C77"/>
      <c r="D77"/>
      <c r="E77" s="110"/>
      <c r="F77" s="110"/>
      <c r="G77" s="110"/>
      <c r="H77" s="110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10"/>
      <c r="F78" s="110"/>
      <c r="G78" s="110"/>
      <c r="H78" s="110"/>
      <c r="K78"/>
      <c r="L78"/>
      <c r="M78"/>
      <c r="N78"/>
    </row>
    <row r="79" spans="1:14" s="1" customFormat="1" ht="12.75">
      <c r="A79"/>
      <c r="B79"/>
      <c r="C79"/>
      <c r="D79"/>
      <c r="E79" s="110"/>
      <c r="F79" s="110"/>
      <c r="G79" s="110"/>
      <c r="H79" s="110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E80" s="110"/>
      <c r="F80" s="110"/>
      <c r="G80" s="110"/>
      <c r="H80" s="110"/>
      <c r="K80"/>
      <c r="L80"/>
      <c r="M80"/>
      <c r="N80"/>
    </row>
    <row r="81" spans="5:8" ht="12.75">
      <c r="E81" s="110"/>
      <c r="F81" s="110"/>
      <c r="G81" s="110"/>
      <c r="H81" s="110"/>
    </row>
    <row r="82" spans="5:8" ht="12.75">
      <c r="E82" s="110"/>
      <c r="F82" s="110"/>
      <c r="G82" s="110"/>
      <c r="H82" s="110"/>
    </row>
    <row r="83" spans="5:8" ht="12.75">
      <c r="E83" s="110"/>
      <c r="F83" s="110"/>
      <c r="G83" s="110"/>
      <c r="H83" s="11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3">
      <selection activeCell="E18" sqref="E18:H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240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134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196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4" ht="12.75">
      <c r="A13" s="8" t="s">
        <v>8</v>
      </c>
      <c r="B13" s="9"/>
      <c r="C13" s="145" t="s">
        <v>244</v>
      </c>
      <c r="D13" s="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5.5">
      <c r="A15" s="11" t="s">
        <v>10</v>
      </c>
      <c r="B15" s="12" t="s">
        <v>11</v>
      </c>
      <c r="C15" s="13">
        <v>19474.88</v>
      </c>
      <c r="D15" s="14"/>
      <c r="E15" s="110"/>
      <c r="F15" s="110"/>
      <c r="G15" s="110"/>
      <c r="H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59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1463.71</v>
      </c>
      <c r="D17" s="16"/>
      <c r="E17" s="59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8083.8+1603.8</f>
        <v>9687.6</v>
      </c>
      <c r="D18" s="16"/>
      <c r="E18" s="111">
        <f>C18-C20</f>
        <v>7954.902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2811.258</v>
      </c>
      <c r="D19" s="16"/>
      <c r="E19" s="111">
        <f>E18-E38</f>
        <v>0.05400000000008731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102.3*0.21*6+1603.8</f>
        <v>1732.6979999999999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102.3*4.19*12</f>
        <v>5143.644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9636.255720000001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C18*0.9947</f>
        <v>9636.255720000001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29111.135720000002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(0.6+0.56)*6*102.3</f>
        <v>712.008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0.24*12*102.3</f>
        <v>294.62399999999997</v>
      </c>
      <c r="E32" s="110"/>
      <c r="F32" s="110"/>
      <c r="G32" s="110"/>
      <c r="H32" s="110"/>
    </row>
    <row r="33" spans="1:8" ht="15">
      <c r="A33" s="154" t="s">
        <v>181</v>
      </c>
      <c r="B33" s="30" t="s">
        <v>33</v>
      </c>
      <c r="C33" s="31" t="s">
        <v>34</v>
      </c>
      <c r="D33" s="94">
        <f>(0.14+0.16)*6*102.3</f>
        <v>184.14000000000001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102.3*(0.57+0.36)*6</f>
        <v>570.834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4.19*102.3*12</f>
        <v>5143.644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102.3*(0.96+0.75)*6</f>
        <v>1049.598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109"/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7954.848</v>
      </c>
      <c r="E38" s="113">
        <f>D38-D37</f>
        <v>7954.848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21156.28772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1272.2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5.5">
      <c r="A48" s="47" t="s">
        <v>51</v>
      </c>
      <c r="B48" s="30" t="s">
        <v>11</v>
      </c>
      <c r="C48" s="31"/>
      <c r="D48" s="14">
        <v>0</v>
      </c>
      <c r="E48" s="110"/>
      <c r="F48" s="110"/>
      <c r="G48" s="110"/>
      <c r="H48" s="110"/>
    </row>
    <row r="49" spans="1:8" ht="15">
      <c r="A49" s="45" t="s">
        <v>12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13</v>
      </c>
      <c r="B50" s="30" t="s">
        <v>11</v>
      </c>
      <c r="C50" s="31"/>
      <c r="D50" s="58">
        <f>D52-D56-D59</f>
        <v>1464.0269320000002</v>
      </c>
      <c r="E50" s="110"/>
      <c r="F50" s="110"/>
      <c r="G50" s="110"/>
      <c r="H50" s="114"/>
    </row>
    <row r="51" spans="1:8" ht="25.5">
      <c r="A51" s="50" t="s">
        <v>52</v>
      </c>
      <c r="B51" s="30" t="s">
        <v>11</v>
      </c>
      <c r="C51" s="51"/>
      <c r="D51" s="52">
        <v>0</v>
      </c>
      <c r="E51" s="110"/>
      <c r="F51" s="110"/>
      <c r="G51" s="110"/>
      <c r="H51" s="110"/>
    </row>
    <row r="52" spans="1:10" ht="17.25" customHeight="1">
      <c r="A52" s="53" t="s">
        <v>12</v>
      </c>
      <c r="B52" s="30" t="s">
        <v>11</v>
      </c>
      <c r="C52" s="54"/>
      <c r="D52" s="384">
        <v>1525.6</v>
      </c>
      <c r="E52" s="110"/>
      <c r="F52" s="110"/>
      <c r="G52" s="110"/>
      <c r="H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/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4978.02</v>
      </c>
      <c r="C56" s="101">
        <f>B56*0.9947</f>
        <v>4951.636494</v>
      </c>
      <c r="D56" s="102">
        <f>B56-C56</f>
        <v>26.383506000000125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B57*0.9685</f>
        <v>0</v>
      </c>
      <c r="D57" s="102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B58*0.9685</f>
        <v>0</v>
      </c>
      <c r="D58" s="102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6639.54</v>
      </c>
      <c r="C59" s="128">
        <f>B59*0.9947</f>
        <v>6604.350438</v>
      </c>
      <c r="D59" s="129">
        <f>B59-C59</f>
        <v>35.18956199999957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4978.02</v>
      </c>
      <c r="C61" s="106">
        <f>C56</f>
        <v>4951.636494</v>
      </c>
      <c r="D61" s="135">
        <f>B61-C61</f>
        <v>26.383506000000125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.75" thickBot="1">
      <c r="A64" s="126" t="s">
        <v>318</v>
      </c>
      <c r="B64" s="127">
        <v>6639.54</v>
      </c>
      <c r="C64" s="128">
        <f>B64*0.9947</f>
        <v>6604.350438</v>
      </c>
      <c r="D64" s="139">
        <f>B64-C64</f>
        <v>35.18956199999957</v>
      </c>
      <c r="E64" s="62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89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89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89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6" t="s">
        <v>69</v>
      </c>
      <c r="B73" s="86" t="s">
        <v>46</v>
      </c>
      <c r="C73" s="86"/>
      <c r="D73" s="179">
        <v>0</v>
      </c>
      <c r="E73" s="89"/>
    </row>
    <row r="74" spans="1:5" ht="21.75" customHeight="1">
      <c r="A74" s="86" t="s">
        <v>70</v>
      </c>
      <c r="B74" s="53" t="s">
        <v>46</v>
      </c>
      <c r="C74" s="53"/>
      <c r="D74" s="179">
        <v>0</v>
      </c>
      <c r="E74" s="89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89"/>
    </row>
    <row r="76" spans="1:4" ht="15">
      <c r="A76" s="66"/>
      <c r="B76" s="66"/>
      <c r="C76" s="66"/>
      <c r="D76" s="91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34">
      <selection activeCell="J32" sqref="J32"/>
    </sheetView>
  </sheetViews>
  <sheetFormatPr defaultColWidth="11.57421875" defaultRowHeight="12.75"/>
  <cols>
    <col min="1" max="1" width="58.140625" style="0" customWidth="1"/>
    <col min="2" max="2" width="18.8515625" style="0" customWidth="1"/>
    <col min="3" max="3" width="21.7109375" style="0" customWidth="1"/>
    <col min="4" max="4" width="15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485" t="s">
        <v>0</v>
      </c>
      <c r="B1" s="485"/>
      <c r="C1" s="485"/>
      <c r="D1" s="485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5.75">
      <c r="A4" s="485" t="s">
        <v>135</v>
      </c>
      <c r="B4" s="485"/>
      <c r="C4" s="485"/>
      <c r="D4" s="485"/>
    </row>
    <row r="5" spans="1:4" ht="15.75">
      <c r="A5" s="484" t="s">
        <v>302</v>
      </c>
      <c r="B5" s="485"/>
      <c r="C5" s="485"/>
      <c r="D5" s="485"/>
    </row>
    <row r="6" spans="1:4" ht="9" customHeight="1">
      <c r="A6" s="329"/>
      <c r="B6" s="330"/>
      <c r="C6" s="330"/>
      <c r="D6" s="330"/>
    </row>
    <row r="7" spans="1:4" ht="18" customHeight="1">
      <c r="A7" s="496" t="s">
        <v>2</v>
      </c>
      <c r="B7" s="496"/>
      <c r="C7" s="496"/>
      <c r="D7" s="496"/>
    </row>
    <row r="8" spans="1:4" ht="15">
      <c r="A8" s="329" t="s">
        <v>197</v>
      </c>
      <c r="B8" s="330"/>
      <c r="C8" s="331"/>
      <c r="D8" s="330"/>
    </row>
    <row r="9" spans="1:4" ht="15">
      <c r="A9" s="332" t="s">
        <v>3</v>
      </c>
      <c r="B9" s="332" t="s">
        <v>4</v>
      </c>
      <c r="C9" s="332" t="s">
        <v>5</v>
      </c>
      <c r="D9" s="333"/>
    </row>
    <row r="10" spans="1:4" ht="15">
      <c r="A10" s="334">
        <v>1</v>
      </c>
      <c r="B10" s="334">
        <v>2</v>
      </c>
      <c r="C10" s="334">
        <v>3</v>
      </c>
      <c r="D10" s="335">
        <v>4</v>
      </c>
    </row>
    <row r="11" spans="1:4" ht="15">
      <c r="A11" s="336" t="s">
        <v>6</v>
      </c>
      <c r="B11" s="328"/>
      <c r="C11" s="337" t="s">
        <v>242</v>
      </c>
      <c r="D11" s="14"/>
    </row>
    <row r="12" spans="1:4" ht="15">
      <c r="A12" s="336" t="s">
        <v>7</v>
      </c>
      <c r="B12" s="328"/>
      <c r="C12" s="337" t="s">
        <v>243</v>
      </c>
      <c r="D12" s="14"/>
    </row>
    <row r="13" spans="1:4" ht="15">
      <c r="A13" s="336" t="s">
        <v>8</v>
      </c>
      <c r="B13" s="328"/>
      <c r="C13" s="337" t="s">
        <v>244</v>
      </c>
      <c r="D13" s="14"/>
    </row>
    <row r="14" spans="1:4" ht="31.5" customHeight="1">
      <c r="A14" s="490" t="s">
        <v>9</v>
      </c>
      <c r="B14" s="490"/>
      <c r="C14" s="490"/>
      <c r="D14" s="490"/>
    </row>
    <row r="15" spans="1:8" ht="30">
      <c r="A15" s="338" t="s">
        <v>10</v>
      </c>
      <c r="B15" s="339" t="s">
        <v>11</v>
      </c>
      <c r="C15" s="13">
        <v>22677.92</v>
      </c>
      <c r="D15" s="14"/>
      <c r="E15" s="110"/>
      <c r="F15" s="110"/>
      <c r="G15" s="110"/>
      <c r="H15" s="110"/>
    </row>
    <row r="16" spans="1:8" ht="15">
      <c r="A16" s="336" t="s">
        <v>12</v>
      </c>
      <c r="B16" s="339" t="s">
        <v>11</v>
      </c>
      <c r="C16" s="13">
        <v>0</v>
      </c>
      <c r="D16" s="14"/>
      <c r="E16" s="59"/>
      <c r="F16" s="59"/>
      <c r="G16" s="59"/>
      <c r="H16" s="59"/>
    </row>
    <row r="17" spans="1:8" ht="15">
      <c r="A17" s="336" t="s">
        <v>13</v>
      </c>
      <c r="B17" s="339" t="s">
        <v>11</v>
      </c>
      <c r="C17" s="15">
        <v>48.02</v>
      </c>
      <c r="D17" s="16"/>
      <c r="E17" s="325"/>
      <c r="F17" s="325"/>
      <c r="G17" s="325"/>
      <c r="H17" s="325"/>
    </row>
    <row r="18" spans="1:8" ht="31.5" customHeight="1">
      <c r="A18" s="340" t="s">
        <v>14</v>
      </c>
      <c r="B18" s="339" t="s">
        <v>11</v>
      </c>
      <c r="C18" s="15">
        <f>10733.34+3068.28</f>
        <v>13801.62</v>
      </c>
      <c r="D18" s="16"/>
      <c r="E18" s="326">
        <f>C18-C20</f>
        <v>9153.744</v>
      </c>
      <c r="F18" s="325"/>
      <c r="G18" s="325"/>
      <c r="H18" s="325"/>
    </row>
    <row r="19" spans="1:8" ht="15">
      <c r="A19" s="336" t="s">
        <v>15</v>
      </c>
      <c r="B19" s="339" t="s">
        <v>11</v>
      </c>
      <c r="C19" s="15">
        <f>C18-C20-C21</f>
        <v>4392.228</v>
      </c>
      <c r="D19" s="16"/>
      <c r="E19" s="326">
        <f>E18-E38</f>
        <v>0.04199999999946158</v>
      </c>
      <c r="F19" s="325"/>
      <c r="G19" s="325"/>
      <c r="H19" s="325"/>
    </row>
    <row r="20" spans="1:8" ht="15">
      <c r="A20" s="336" t="s">
        <v>16</v>
      </c>
      <c r="B20" s="339" t="s">
        <v>11</v>
      </c>
      <c r="C20" s="15">
        <f>(1.42+1.36)*6*94.7+3068.28</f>
        <v>4647.876</v>
      </c>
      <c r="D20" s="16"/>
      <c r="E20" s="327"/>
      <c r="F20" s="325"/>
      <c r="G20" s="325"/>
      <c r="H20" s="325"/>
    </row>
    <row r="21" spans="1:8" ht="15">
      <c r="A21" s="336" t="s">
        <v>17</v>
      </c>
      <c r="B21" s="339" t="s">
        <v>11</v>
      </c>
      <c r="C21" s="19">
        <f>94.7*4.19*12</f>
        <v>4761.5160000000005</v>
      </c>
      <c r="D21" s="16"/>
      <c r="E21" s="325"/>
      <c r="F21" s="325"/>
      <c r="G21" s="325"/>
      <c r="H21" s="325"/>
    </row>
    <row r="22" spans="1:8" ht="15.75">
      <c r="A22" s="341" t="s">
        <v>18</v>
      </c>
      <c r="B22" s="339" t="s">
        <v>11</v>
      </c>
      <c r="C22" s="15">
        <f>C23+C24+C25+C26+C27</f>
        <v>13801.62</v>
      </c>
      <c r="D22" s="16" t="s">
        <v>19</v>
      </c>
      <c r="E22" s="326" t="e">
        <f>B24+B25+B26+B27+B28</f>
        <v>#VALUE!</v>
      </c>
      <c r="F22" s="325"/>
      <c r="G22" s="325"/>
      <c r="H22" s="325"/>
    </row>
    <row r="23" spans="1:8" ht="15">
      <c r="A23" s="336" t="s">
        <v>20</v>
      </c>
      <c r="B23" s="339" t="s">
        <v>11</v>
      </c>
      <c r="C23" s="15">
        <f>C18*1</f>
        <v>13801.62</v>
      </c>
      <c r="D23" s="16"/>
      <c r="E23" s="325"/>
      <c r="F23" s="325"/>
      <c r="G23" s="325"/>
      <c r="H23" s="325"/>
    </row>
    <row r="24" spans="1:8" ht="15">
      <c r="A24" s="336" t="s">
        <v>21</v>
      </c>
      <c r="B24" s="339" t="s">
        <v>11</v>
      </c>
      <c r="C24" s="15">
        <v>0</v>
      </c>
      <c r="D24" s="21">
        <v>65.21</v>
      </c>
      <c r="E24" s="327" t="e">
        <f>B24/#REF!*1</f>
        <v>#VALUE!</v>
      </c>
      <c r="F24" s="325"/>
      <c r="G24" s="325"/>
      <c r="H24" s="325" t="s">
        <v>22</v>
      </c>
    </row>
    <row r="25" spans="1:8" ht="15">
      <c r="A25" s="336" t="s">
        <v>23</v>
      </c>
      <c r="B25" s="339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328" t="s">
        <v>24</v>
      </c>
      <c r="B26" s="339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342" t="s">
        <v>97</v>
      </c>
      <c r="B27" s="339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336" t="s">
        <v>25</v>
      </c>
      <c r="B28" s="339" t="s">
        <v>11</v>
      </c>
      <c r="C28" s="15">
        <f>C15+C22</f>
        <v>36479.54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343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30">
      <c r="A31" s="344" t="s">
        <v>32</v>
      </c>
      <c r="B31" s="27" t="s">
        <v>33</v>
      </c>
      <c r="C31" s="28" t="s">
        <v>34</v>
      </c>
      <c r="D31" s="93">
        <f>(0.81+0.85)*6*94.7</f>
        <v>943.2120000000001</v>
      </c>
      <c r="E31" s="110"/>
      <c r="F31" s="110"/>
      <c r="G31" s="110"/>
      <c r="H31" s="110"/>
    </row>
    <row r="32" spans="1:8" ht="15">
      <c r="A32" s="345" t="s">
        <v>36</v>
      </c>
      <c r="B32" s="30" t="s">
        <v>78</v>
      </c>
      <c r="C32" s="31" t="s">
        <v>37</v>
      </c>
      <c r="D32" s="94">
        <f>0.48*12*94.7</f>
        <v>545.472</v>
      </c>
      <c r="E32" s="110"/>
      <c r="F32" s="110"/>
      <c r="G32" s="110"/>
      <c r="H32" s="110"/>
    </row>
    <row r="33" spans="1:8" ht="15">
      <c r="A33" s="346" t="s">
        <v>181</v>
      </c>
      <c r="B33" s="30" t="s">
        <v>33</v>
      </c>
      <c r="C33" s="31" t="s">
        <v>34</v>
      </c>
      <c r="D33" s="94">
        <f>(0.14+0.69)*6*94.7</f>
        <v>471.606</v>
      </c>
      <c r="E33" s="110"/>
      <c r="F33" s="110"/>
      <c r="G33" s="110"/>
      <c r="H33" s="110"/>
    </row>
    <row r="34" spans="1:8" ht="15">
      <c r="A34" s="345" t="s">
        <v>81</v>
      </c>
      <c r="B34" s="92" t="s">
        <v>82</v>
      </c>
      <c r="C34" s="31" t="s">
        <v>34</v>
      </c>
      <c r="D34" s="94">
        <f>1.33*12*94.7</f>
        <v>1511.412</v>
      </c>
      <c r="E34" s="110"/>
      <c r="F34" s="110"/>
      <c r="G34" s="110"/>
      <c r="H34" s="110"/>
    </row>
    <row r="35" spans="1:8" ht="15">
      <c r="A35" s="345" t="s">
        <v>38</v>
      </c>
      <c r="B35" s="30" t="s">
        <v>35</v>
      </c>
      <c r="C35" s="370" t="s">
        <v>237</v>
      </c>
      <c r="D35" s="94">
        <f>4.19*94.7*12</f>
        <v>4761.5160000000005</v>
      </c>
      <c r="E35" s="110"/>
      <c r="F35" s="110"/>
      <c r="G35" s="110"/>
      <c r="H35" s="110"/>
    </row>
    <row r="36" spans="1:8" ht="15">
      <c r="A36" s="345" t="s">
        <v>85</v>
      </c>
      <c r="B36" s="30" t="s">
        <v>238</v>
      </c>
      <c r="C36" s="173" t="s">
        <v>37</v>
      </c>
      <c r="D36" s="94">
        <f>94.7*(0.94+0.68)*6</f>
        <v>920.4840000000002</v>
      </c>
      <c r="E36" s="110"/>
      <c r="F36" s="110"/>
      <c r="G36" s="110"/>
      <c r="H36" s="110"/>
    </row>
    <row r="37" spans="1:14" s="1" customFormat="1" ht="45">
      <c r="A37" s="347" t="s">
        <v>40</v>
      </c>
      <c r="B37" s="34" t="s">
        <v>41</v>
      </c>
      <c r="C37" s="109"/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48" t="s">
        <v>42</v>
      </c>
      <c r="B38" s="38"/>
      <c r="C38" s="39"/>
      <c r="D38" s="98">
        <f>SUM(D31:D37)</f>
        <v>9153.702000000001</v>
      </c>
      <c r="E38" s="184">
        <f>D38-D37</f>
        <v>9153.702000000001</v>
      </c>
      <c r="F38" s="110"/>
      <c r="G38" s="110"/>
      <c r="H38" s="110"/>
      <c r="K38"/>
      <c r="L38"/>
      <c r="M38"/>
      <c r="N38"/>
    </row>
    <row r="39" spans="1:14" s="1" customFormat="1" ht="15.75">
      <c r="A39" s="262" t="s">
        <v>43</v>
      </c>
      <c r="B39" s="349" t="s">
        <v>11</v>
      </c>
      <c r="C39" s="42"/>
      <c r="D39" s="43">
        <f>C28-D38</f>
        <v>27325.838</v>
      </c>
      <c r="E39" s="184"/>
      <c r="F39" s="110"/>
      <c r="G39" s="110"/>
      <c r="H39" s="110"/>
      <c r="K39"/>
      <c r="L39"/>
      <c r="M39"/>
      <c r="N39"/>
    </row>
    <row r="40" spans="1:14" s="1" customFormat="1" ht="15">
      <c r="A40" s="31" t="s">
        <v>12</v>
      </c>
      <c r="B40" s="30" t="s">
        <v>11</v>
      </c>
      <c r="C40" s="31"/>
      <c r="D40" s="14"/>
      <c r="E40" s="325"/>
      <c r="F40" s="110"/>
      <c r="G40" s="110"/>
      <c r="H40" s="110"/>
      <c r="K40"/>
      <c r="L40"/>
      <c r="M40"/>
      <c r="N40"/>
    </row>
    <row r="41" spans="1:14" s="1" customFormat="1" ht="15">
      <c r="A41" s="31" t="s">
        <v>13</v>
      </c>
      <c r="B41" s="30" t="s">
        <v>11</v>
      </c>
      <c r="C41" s="31"/>
      <c r="D41" s="16">
        <v>1193.9</v>
      </c>
      <c r="E41" s="325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31" t="s">
        <v>45</v>
      </c>
      <c r="B43" s="30" t="s">
        <v>46</v>
      </c>
      <c r="C43" s="31">
        <v>0</v>
      </c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31" t="s">
        <v>47</v>
      </c>
      <c r="B44" s="30" t="s">
        <v>46</v>
      </c>
      <c r="C44" s="31">
        <v>0</v>
      </c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30">
      <c r="A45" s="35" t="s">
        <v>48</v>
      </c>
      <c r="B45" s="30" t="s">
        <v>46</v>
      </c>
      <c r="C45" s="31">
        <v>0</v>
      </c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31" t="s">
        <v>49</v>
      </c>
      <c r="B46" s="30" t="s">
        <v>11</v>
      </c>
      <c r="C46" s="31">
        <v>0</v>
      </c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30">
      <c r="A48" s="35" t="s">
        <v>51</v>
      </c>
      <c r="B48" s="30" t="s">
        <v>11</v>
      </c>
      <c r="C48" s="31"/>
      <c r="D48" s="14">
        <v>0</v>
      </c>
      <c r="E48" s="110"/>
      <c r="F48" s="110"/>
      <c r="G48" s="110"/>
      <c r="H48" s="110"/>
    </row>
    <row r="49" spans="1:8" ht="15">
      <c r="A49" s="31" t="s">
        <v>12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31" t="s">
        <v>13</v>
      </c>
      <c r="B50" s="30" t="s">
        <v>11</v>
      </c>
      <c r="C50" s="31"/>
      <c r="D50" s="48">
        <v>4712.24</v>
      </c>
      <c r="E50" s="110"/>
      <c r="F50" s="110"/>
      <c r="G50" s="110"/>
      <c r="H50" s="114"/>
    </row>
    <row r="51" spans="1:8" ht="30">
      <c r="A51" s="350" t="s">
        <v>52</v>
      </c>
      <c r="B51" s="30" t="s">
        <v>11</v>
      </c>
      <c r="C51" s="51"/>
      <c r="D51" s="52">
        <v>0</v>
      </c>
      <c r="E51" s="110"/>
      <c r="F51" s="110"/>
      <c r="G51" s="110"/>
      <c r="H51" s="110"/>
    </row>
    <row r="52" spans="1:10" ht="17.25" customHeight="1">
      <c r="A52" s="351" t="s">
        <v>12</v>
      </c>
      <c r="B52" s="30" t="s">
        <v>11</v>
      </c>
      <c r="C52" s="31"/>
      <c r="D52" s="14">
        <v>0</v>
      </c>
      <c r="E52" s="110"/>
      <c r="F52" s="110"/>
      <c r="G52" s="110"/>
      <c r="H52" s="110"/>
      <c r="I52" s="49"/>
      <c r="J52" s="49"/>
    </row>
    <row r="53" spans="1:14" ht="15">
      <c r="A53" s="352" t="s">
        <v>13</v>
      </c>
      <c r="B53" s="30" t="s">
        <v>11</v>
      </c>
      <c r="C53" s="353"/>
      <c r="D53" s="58">
        <v>4712.24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78.75">
      <c r="A55" s="354" t="s">
        <v>54</v>
      </c>
      <c r="B55" s="355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">
      <c r="A56" s="356" t="s">
        <v>58</v>
      </c>
      <c r="B56" s="100">
        <v>3993.3</v>
      </c>
      <c r="C56" s="101">
        <f>B56*1</f>
        <v>3993.3</v>
      </c>
      <c r="D56" s="102">
        <f>B56-C56</f>
        <v>0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">
      <c r="A57" s="356" t="s">
        <v>59</v>
      </c>
      <c r="B57" s="100">
        <v>0</v>
      </c>
      <c r="C57" s="101">
        <f>B57*1.0015</f>
        <v>0</v>
      </c>
      <c r="D57" s="102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356" t="s">
        <v>60</v>
      </c>
      <c r="B58" s="357">
        <v>44461.98</v>
      </c>
      <c r="C58" s="101">
        <f>B58*1</f>
        <v>44461.98</v>
      </c>
      <c r="D58" s="102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5.75" thickBot="1">
      <c r="A59" s="358" t="s">
        <v>318</v>
      </c>
      <c r="B59" s="127">
        <v>6017.03</v>
      </c>
      <c r="C59" s="101">
        <f>B59*1</f>
        <v>6017.03</v>
      </c>
      <c r="D59" s="129">
        <f>B59-C59</f>
        <v>0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126">
      <c r="A60" s="359" t="s">
        <v>62</v>
      </c>
      <c r="B60" s="132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">
      <c r="A61" s="360" t="s">
        <v>58</v>
      </c>
      <c r="B61" s="357">
        <f>B56</f>
        <v>3993.3</v>
      </c>
      <c r="C61" s="101">
        <f>B61*1</f>
        <v>3993.3</v>
      </c>
      <c r="D61" s="135">
        <f>B61-C61</f>
        <v>0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">
      <c r="A62" s="360" t="s">
        <v>59</v>
      </c>
      <c r="B62" s="357">
        <f>B57</f>
        <v>0</v>
      </c>
      <c r="C62" s="101">
        <f>B62*1.0015</f>
        <v>0</v>
      </c>
      <c r="D62" s="135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">
      <c r="A63" s="360" t="s">
        <v>60</v>
      </c>
      <c r="B63" s="357">
        <v>41105.22</v>
      </c>
      <c r="C63" s="101">
        <f>B63*1</f>
        <v>41105.22</v>
      </c>
      <c r="D63" s="135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">
      <c r="A64" s="358" t="s">
        <v>318</v>
      </c>
      <c r="B64" s="127">
        <v>6017.03</v>
      </c>
      <c r="C64" s="101">
        <f>B64*1</f>
        <v>6017.03</v>
      </c>
      <c r="D64" s="129">
        <f>B64-C64</f>
        <v>0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">
      <c r="A65" s="361"/>
      <c r="B65" s="362"/>
      <c r="C65" s="79"/>
      <c r="D65" s="80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30">
      <c r="A66" s="363" t="s">
        <v>66</v>
      </c>
      <c r="B66" s="362" t="s">
        <v>11</v>
      </c>
      <c r="C66" s="82"/>
      <c r="D66" s="83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364" t="s">
        <v>45</v>
      </c>
      <c r="B68" s="364" t="s">
        <v>46</v>
      </c>
      <c r="C68" s="365"/>
      <c r="D68" s="179">
        <v>0</v>
      </c>
      <c r="E68" s="89"/>
    </row>
    <row r="69" spans="1:5" ht="21" customHeight="1">
      <c r="A69" s="364" t="s">
        <v>47</v>
      </c>
      <c r="B69" s="364" t="s">
        <v>46</v>
      </c>
      <c r="C69" s="364"/>
      <c r="D69" s="179">
        <v>0</v>
      </c>
      <c r="E69" s="89"/>
    </row>
    <row r="70" spans="1:5" ht="18" customHeight="1">
      <c r="A70" s="364" t="s">
        <v>48</v>
      </c>
      <c r="B70" s="364" t="s">
        <v>46</v>
      </c>
      <c r="C70" s="364"/>
      <c r="D70" s="179">
        <v>0</v>
      </c>
      <c r="E70" s="89"/>
    </row>
    <row r="71" spans="1:5" ht="16.5" customHeight="1">
      <c r="A71" s="364" t="s">
        <v>49</v>
      </c>
      <c r="B71" s="364" t="s">
        <v>11</v>
      </c>
      <c r="C71" s="364"/>
      <c r="D71" s="179">
        <v>0</v>
      </c>
      <c r="E71" s="89"/>
    </row>
    <row r="72" spans="1:5" ht="15.75" customHeight="1">
      <c r="A72" s="497" t="s">
        <v>68</v>
      </c>
      <c r="B72" s="497"/>
      <c r="C72" s="497"/>
      <c r="D72" s="497"/>
      <c r="E72" s="89"/>
    </row>
    <row r="73" spans="1:5" ht="18.75" customHeight="1">
      <c r="A73" s="364" t="s">
        <v>69</v>
      </c>
      <c r="B73" s="364" t="s">
        <v>46</v>
      </c>
      <c r="C73" s="364"/>
      <c r="D73" s="179">
        <v>0</v>
      </c>
      <c r="E73" s="89"/>
    </row>
    <row r="74" spans="1:5" ht="21.75" customHeight="1">
      <c r="A74" s="364" t="s">
        <v>70</v>
      </c>
      <c r="B74" s="351" t="s">
        <v>46</v>
      </c>
      <c r="C74" s="351"/>
      <c r="D74" s="179">
        <v>0</v>
      </c>
      <c r="E74" s="89"/>
    </row>
    <row r="75" spans="1:5" ht="36" customHeight="1">
      <c r="A75" s="366" t="s">
        <v>71</v>
      </c>
      <c r="B75" s="364" t="s">
        <v>11</v>
      </c>
      <c r="C75" s="364"/>
      <c r="D75" s="179">
        <v>0</v>
      </c>
      <c r="E75" s="89"/>
    </row>
    <row r="76" spans="1:4" ht="15">
      <c r="A76" s="367"/>
      <c r="B76" s="367"/>
      <c r="C76" s="367"/>
      <c r="D76" s="91"/>
    </row>
    <row r="77" spans="1:14" s="1" customFormat="1" ht="15">
      <c r="A77" s="330"/>
      <c r="B77" s="330"/>
      <c r="C77" s="330"/>
      <c r="D77" s="330"/>
      <c r="H77" s="1" t="s">
        <v>26</v>
      </c>
      <c r="K77"/>
      <c r="L77"/>
      <c r="M77"/>
      <c r="N77"/>
    </row>
    <row r="78" spans="1:14" s="1" customFormat="1" ht="15">
      <c r="A78" s="330" t="s">
        <v>72</v>
      </c>
      <c r="B78" s="330"/>
      <c r="C78" s="330"/>
      <c r="D78" s="330"/>
      <c r="K78"/>
      <c r="L78"/>
      <c r="M78"/>
      <c r="N78"/>
    </row>
    <row r="79" spans="1:14" s="1" customFormat="1" ht="15">
      <c r="A79" s="330"/>
      <c r="B79" s="330"/>
      <c r="C79" s="330"/>
      <c r="D79" s="330"/>
      <c r="H79" s="1" t="s">
        <v>26</v>
      </c>
      <c r="K79"/>
      <c r="L79"/>
      <c r="M79"/>
      <c r="N79"/>
    </row>
    <row r="80" spans="1:14" s="1" customFormat="1" ht="15">
      <c r="A80" s="330" t="s">
        <v>73</v>
      </c>
      <c r="B80" s="330"/>
      <c r="C80" s="330"/>
      <c r="D80" s="330"/>
      <c r="K80"/>
      <c r="L80"/>
      <c r="M80"/>
      <c r="N80"/>
    </row>
    <row r="81" spans="1:4" ht="15">
      <c r="A81" s="330"/>
      <c r="B81" s="330"/>
      <c r="C81" s="330"/>
      <c r="D81" s="330"/>
    </row>
    <row r="82" spans="1:4" ht="15">
      <c r="A82" s="330"/>
      <c r="B82" s="330"/>
      <c r="C82" s="330"/>
      <c r="D82" s="330"/>
    </row>
    <row r="83" spans="1:4" ht="15">
      <c r="A83" s="330"/>
      <c r="B83" s="330"/>
      <c r="C83" s="330"/>
      <c r="D83" s="33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6">
      <selection activeCell="E17" sqref="E17:H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136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198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8" ht="12.75">
      <c r="A10" s="189">
        <v>1</v>
      </c>
      <c r="B10" s="189">
        <v>2</v>
      </c>
      <c r="C10" s="189">
        <v>3</v>
      </c>
      <c r="D10" s="190">
        <v>4</v>
      </c>
      <c r="E10" s="110"/>
      <c r="F10" s="110"/>
      <c r="G10" s="110"/>
      <c r="H10" s="110"/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35129.01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200.63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16349.88+6347.16</f>
        <v>22697.04</v>
      </c>
      <c r="D18" s="198"/>
      <c r="E18" s="111">
        <f>C18-C20</f>
        <v>16138.308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6288.455999999998</v>
      </c>
      <c r="D19" s="198"/>
      <c r="E19" s="111">
        <f>E18-E38</f>
        <v>0.06599999999889405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195.9*12*0.09+6347.16</f>
        <v>6558.732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195.9*4.19*12</f>
        <v>9849.852000000003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C23+C24+C25+C26+C27</f>
        <v>22801.446384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C18*1.0046</f>
        <v>22801.446384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57930.456384000005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(0.58+0.56)*6*195.9</f>
        <v>1339.9560000000001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0.24*12*195.9</f>
        <v>564.192</v>
      </c>
      <c r="E32" s="110"/>
      <c r="F32" s="110"/>
      <c r="G32" s="110"/>
      <c r="H32" s="110"/>
    </row>
    <row r="33" spans="1:8" ht="15.75">
      <c r="A33" s="296" t="s">
        <v>181</v>
      </c>
      <c r="B33" s="211" t="s">
        <v>33</v>
      </c>
      <c r="C33" s="212" t="s">
        <v>34</v>
      </c>
      <c r="D33" s="213">
        <f>(0.14+0.16)*6*195.9</f>
        <v>352.62000000000006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(1.06+0.83)*6*195.9</f>
        <v>2221.506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4.19*195.9*12</f>
        <v>9849.852000000003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62" t="s">
        <v>37</v>
      </c>
      <c r="D36" s="213">
        <f>195.9*6*(0.76+0.78)</f>
        <v>1810.1160000000002</v>
      </c>
      <c r="E36" s="110"/>
      <c r="F36" s="110"/>
      <c r="G36" s="110"/>
      <c r="H36" s="110"/>
    </row>
    <row r="37" spans="1:14" s="1" customFormat="1" ht="47.25">
      <c r="A37" s="371" t="s">
        <v>40</v>
      </c>
      <c r="B37" s="218" t="s">
        <v>41</v>
      </c>
      <c r="C37" s="321" t="s">
        <v>77</v>
      </c>
      <c r="D37" s="177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SUM(D31:D37)</f>
        <v>16138.242000000002</v>
      </c>
      <c r="E38" s="113">
        <f>D38-D37</f>
        <v>16138.242000000002</v>
      </c>
      <c r="F38" s="110"/>
      <c r="G38" s="110"/>
      <c r="H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41792.214384000006</v>
      </c>
      <c r="E39" s="113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/>
      <c r="E40" s="110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1034.4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/>
      <c r="D43" s="196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/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/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/>
      <c r="D46" s="196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13</v>
      </c>
      <c r="B50" s="211" t="s">
        <v>11</v>
      </c>
      <c r="C50" s="212"/>
      <c r="D50" s="380">
        <f>D53-D56-D57-D58-D59</f>
        <v>3077.6003839999967</v>
      </c>
      <c r="E50" s="110"/>
      <c r="F50" s="110"/>
      <c r="G50" s="110"/>
      <c r="H50" s="114"/>
    </row>
    <row r="51" spans="1:8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</row>
    <row r="52" spans="1:10" ht="17.25" customHeight="1">
      <c r="A52" s="257" t="s">
        <v>12</v>
      </c>
      <c r="B52" s="211" t="s">
        <v>11</v>
      </c>
      <c r="C52" s="212"/>
      <c r="D52" s="380"/>
      <c r="E52" s="110"/>
      <c r="F52" s="110"/>
      <c r="G52" s="110"/>
      <c r="H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2795.45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11551.9</v>
      </c>
      <c r="C56" s="243">
        <f>B56*1.0046</f>
        <v>11605.038739999998</v>
      </c>
      <c r="D56" s="244">
        <f>B56-C56</f>
        <v>-53.138739999998506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5">
        <v>13219.82</v>
      </c>
      <c r="C57" s="243">
        <f>B57*1.0046</f>
        <v>13280.631172</v>
      </c>
      <c r="D57" s="244">
        <f>B57-C57</f>
        <v>-60.811171999999715</v>
      </c>
      <c r="E57" s="118"/>
      <c r="F57" s="119"/>
      <c r="G57" s="120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23850.78</v>
      </c>
      <c r="C58" s="243">
        <f>B58*1.0046</f>
        <v>23960.493587999998</v>
      </c>
      <c r="D58" s="244">
        <f>B58-C58</f>
        <v>-109.71358799999871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12714.54</v>
      </c>
      <c r="C59" s="243">
        <f>B59*1.0046</f>
        <v>12773.026884</v>
      </c>
      <c r="D59" s="267">
        <f>B59-C59</f>
        <v>-58.48688399999992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11551.9</v>
      </c>
      <c r="C61" s="243">
        <f>B61*1.0046</f>
        <v>11605.038739999998</v>
      </c>
      <c r="D61" s="269">
        <f>B61-C61</f>
        <v>-53.138739999998506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f>B57</f>
        <v>13219.82</v>
      </c>
      <c r="C62" s="243">
        <f>B62*1.0046</f>
        <v>13280.631172</v>
      </c>
      <c r="D62" s="269">
        <f>B62-C62</f>
        <v>-60.811171999999715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f>B58</f>
        <v>23850.78</v>
      </c>
      <c r="C63" s="243">
        <f>B63*1.0046</f>
        <v>23960.493587999998</v>
      </c>
      <c r="D63" s="269">
        <f>B63-C63</f>
        <v>-109.71358799999871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12714.54</v>
      </c>
      <c r="C64" s="406">
        <f>B64*1.0046</f>
        <v>12773.026884</v>
      </c>
      <c r="D64" s="273">
        <v>-58.48688399999992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7" t="s">
        <v>45</v>
      </c>
      <c r="B68" s="87" t="s">
        <v>46</v>
      </c>
      <c r="C68" s="87"/>
      <c r="D68" s="179">
        <v>0</v>
      </c>
      <c r="E68" s="89"/>
    </row>
    <row r="69" spans="1:5" ht="21" customHeight="1">
      <c r="A69" s="87" t="s">
        <v>47</v>
      </c>
      <c r="B69" s="87" t="s">
        <v>46</v>
      </c>
      <c r="C69" s="87"/>
      <c r="D69" s="179">
        <v>0</v>
      </c>
      <c r="E69" s="89"/>
    </row>
    <row r="70" spans="1:5" ht="18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6.5" customHeight="1">
      <c r="A71" s="87" t="s">
        <v>49</v>
      </c>
      <c r="B71" s="87" t="s">
        <v>11</v>
      </c>
      <c r="C71" s="87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7" t="s">
        <v>69</v>
      </c>
      <c r="B73" s="87" t="s">
        <v>46</v>
      </c>
      <c r="C73" s="87"/>
      <c r="D73" s="179">
        <v>0</v>
      </c>
      <c r="E73" s="89"/>
    </row>
    <row r="74" spans="1:5" ht="21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">
      <selection activeCell="E15" sqref="E15:H5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137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146" t="s">
        <v>344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6</v>
      </c>
      <c r="B11" s="9"/>
      <c r="C11" s="145" t="s">
        <v>242</v>
      </c>
      <c r="D11" s="10"/>
      <c r="E11" s="110"/>
      <c r="F11" s="110"/>
      <c r="G11" s="110"/>
      <c r="H11" s="110"/>
    </row>
    <row r="12" spans="1:8" ht="12.75">
      <c r="A12" s="8" t="s">
        <v>7</v>
      </c>
      <c r="B12" s="9"/>
      <c r="C12" s="145" t="s">
        <v>243</v>
      </c>
      <c r="D12" s="10"/>
      <c r="E12" s="110"/>
      <c r="F12" s="110"/>
      <c r="G12" s="110"/>
      <c r="H12" s="110"/>
    </row>
    <row r="13" spans="1:8" ht="12.75">
      <c r="A13" s="8" t="s">
        <v>8</v>
      </c>
      <c r="B13" s="9"/>
      <c r="C13" s="145" t="s">
        <v>244</v>
      </c>
      <c r="D13" s="10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5.5">
      <c r="A15" s="11" t="s">
        <v>10</v>
      </c>
      <c r="B15" s="12" t="s">
        <v>11</v>
      </c>
      <c r="C15" s="15">
        <v>11815.78</v>
      </c>
      <c r="D15" s="14"/>
      <c r="E15" s="110"/>
      <c r="F15" s="110"/>
      <c r="G15" s="110"/>
      <c r="H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1087.79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27286.02+2498.04</f>
        <v>29784.06</v>
      </c>
      <c r="D18" s="16"/>
      <c r="E18" s="111">
        <f>C18-C20</f>
        <v>17524.884000000002</v>
      </c>
      <c r="F18" s="110"/>
      <c r="G18" s="110"/>
      <c r="H18" s="110"/>
    </row>
    <row r="19" spans="1:10" ht="15">
      <c r="A19" s="8" t="s">
        <v>15</v>
      </c>
      <c r="B19" s="12" t="s">
        <v>11</v>
      </c>
      <c r="C19" s="15">
        <f>C18-C20-C21</f>
        <v>7740.396000000001</v>
      </c>
      <c r="D19" s="16"/>
      <c r="E19" s="111">
        <f>E18-E39</f>
        <v>-0.0039999999971769284</v>
      </c>
      <c r="F19" s="110"/>
      <c r="G19" s="110"/>
      <c r="H19" s="385"/>
      <c r="I19" s="59"/>
      <c r="J19" s="59"/>
    </row>
    <row r="20" spans="1:8" ht="15">
      <c r="A20" s="8" t="s">
        <v>16</v>
      </c>
      <c r="B20" s="12" t="s">
        <v>11</v>
      </c>
      <c r="C20" s="15">
        <f>(4.45+3.91)*6*194.6+2498.04</f>
        <v>12259.176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194.6*4.19*12</f>
        <v>9784.488000000001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30335.06511</v>
      </c>
      <c r="D22" s="16" t="s">
        <v>19</v>
      </c>
      <c r="E22" s="111"/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C18*1.0185</f>
        <v>30335.06511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/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/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/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/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42150.84511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(0.85+0.81)*6*194.6</f>
        <v>1938.2160000000001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0.24*12*194.6</f>
        <v>560.448</v>
      </c>
      <c r="E32" s="110"/>
      <c r="F32" s="110"/>
      <c r="G32" s="110"/>
      <c r="H32" s="110"/>
    </row>
    <row r="33" spans="1:8" ht="15">
      <c r="A33" s="154" t="s">
        <v>336</v>
      </c>
      <c r="B33" s="30" t="s">
        <v>33</v>
      </c>
      <c r="C33" s="31" t="s">
        <v>34</v>
      </c>
      <c r="D33" s="94">
        <v>151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1.33*12*194.6</f>
        <v>3105.8160000000003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4.19*194.6*12</f>
        <v>9784.488000000001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7">
        <f>194.6*6*(0.79+0.91)</f>
        <v>1984.92</v>
      </c>
      <c r="E36" s="110"/>
      <c r="F36" s="110"/>
      <c r="G36" s="110"/>
      <c r="H36" s="110"/>
    </row>
    <row r="37" spans="1:14" s="1" customFormat="1" ht="45">
      <c r="A37" s="148" t="s">
        <v>231</v>
      </c>
      <c r="B37" s="34" t="s">
        <v>41</v>
      </c>
      <c r="C37" s="109"/>
      <c r="D37" s="387">
        <f>D38</f>
        <v>16718</v>
      </c>
      <c r="E37" s="110"/>
      <c r="F37" s="110"/>
      <c r="G37" s="110"/>
      <c r="H37" s="110"/>
      <c r="K37"/>
      <c r="L37"/>
      <c r="M37"/>
      <c r="N37"/>
    </row>
    <row r="38" spans="1:14" s="1" customFormat="1" ht="15">
      <c r="A38" s="149" t="s">
        <v>306</v>
      </c>
      <c r="B38" s="96" t="s">
        <v>151</v>
      </c>
      <c r="C38" s="109" t="s">
        <v>249</v>
      </c>
      <c r="D38" s="147">
        <v>16718</v>
      </c>
      <c r="E38" s="110"/>
      <c r="F38" s="110"/>
      <c r="G38" s="110"/>
      <c r="H38" s="110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8">
        <f>D31+D32+D33+D34+D35+D36+D37</f>
        <v>34242.888</v>
      </c>
      <c r="E39" s="113">
        <f>D39-D37</f>
        <v>17524.888</v>
      </c>
      <c r="F39" s="110"/>
      <c r="G39" s="110"/>
      <c r="H39" s="110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7907.957110000003</v>
      </c>
      <c r="E40" s="113"/>
      <c r="F40" s="110"/>
      <c r="G40" s="110"/>
      <c r="H40" s="110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10"/>
      <c r="F41" s="110"/>
      <c r="G41" s="110"/>
      <c r="H41" s="110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2246.8</v>
      </c>
      <c r="E42" s="110"/>
      <c r="F42" s="110"/>
      <c r="G42" s="110"/>
      <c r="H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/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/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/>
      <c r="D46" s="14">
        <v>0</v>
      </c>
      <c r="E46" s="110"/>
      <c r="F46" s="110"/>
      <c r="G46" s="110"/>
      <c r="H46" s="110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/>
      <c r="D47" s="14">
        <v>0</v>
      </c>
      <c r="E47" s="110"/>
      <c r="F47" s="110"/>
      <c r="G47" s="110"/>
      <c r="H47" s="110"/>
      <c r="K47"/>
      <c r="L47"/>
      <c r="M47"/>
      <c r="N47"/>
    </row>
    <row r="48" spans="1:8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</row>
    <row r="49" spans="1:8" ht="25.5">
      <c r="A49" s="47" t="s">
        <v>51</v>
      </c>
      <c r="B49" s="30" t="s">
        <v>11</v>
      </c>
      <c r="C49" s="31"/>
      <c r="D49" s="182">
        <f>D53-D57-D58-D60</f>
        <v>3320.1949150000005</v>
      </c>
      <c r="E49" s="110"/>
      <c r="F49" s="110"/>
      <c r="G49" s="110"/>
      <c r="H49" s="110"/>
    </row>
    <row r="50" spans="1:8" ht="15">
      <c r="A50" s="45" t="s">
        <v>12</v>
      </c>
      <c r="B50" s="30" t="s">
        <v>11</v>
      </c>
      <c r="C50" s="31"/>
      <c r="D50" s="14">
        <v>0</v>
      </c>
      <c r="E50" s="110"/>
      <c r="F50" s="110"/>
      <c r="G50" s="110"/>
      <c r="H50" s="110"/>
    </row>
    <row r="51" spans="1:8" ht="15">
      <c r="A51" s="45" t="s">
        <v>13</v>
      </c>
      <c r="B51" s="30" t="s">
        <v>11</v>
      </c>
      <c r="C51" s="31"/>
      <c r="D51" s="48">
        <v>0</v>
      </c>
      <c r="E51" s="110"/>
      <c r="F51" s="110"/>
      <c r="G51" s="110"/>
      <c r="H51" s="114"/>
    </row>
    <row r="52" spans="1:8" ht="25.5">
      <c r="A52" s="50" t="s">
        <v>52</v>
      </c>
      <c r="B52" s="30" t="s">
        <v>11</v>
      </c>
      <c r="C52" s="51"/>
      <c r="D52" s="52">
        <v>0</v>
      </c>
      <c r="E52" s="110"/>
      <c r="F52" s="110"/>
      <c r="G52" s="110"/>
      <c r="H52" s="110"/>
    </row>
    <row r="53" spans="1:10" ht="17.25" customHeight="1">
      <c r="A53" s="53" t="s">
        <v>12</v>
      </c>
      <c r="B53" s="30" t="s">
        <v>11</v>
      </c>
      <c r="C53" s="31"/>
      <c r="D53" s="182">
        <v>2666.32</v>
      </c>
      <c r="E53" s="110"/>
      <c r="F53" s="110"/>
      <c r="G53" s="110"/>
      <c r="H53" s="110"/>
      <c r="I53" s="49"/>
      <c r="J53" s="49"/>
    </row>
    <row r="54" spans="1:14" ht="15">
      <c r="A54" s="56" t="s">
        <v>13</v>
      </c>
      <c r="B54" s="30" t="s">
        <v>11</v>
      </c>
      <c r="C54" s="57"/>
      <c r="D54" s="58"/>
      <c r="E54" s="110"/>
      <c r="F54" s="110"/>
      <c r="G54" s="110"/>
      <c r="H54" s="110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116"/>
      <c r="G55" s="117"/>
      <c r="H55" s="110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116"/>
      <c r="G56" s="117"/>
      <c r="H56" s="110"/>
      <c r="I56" s="65"/>
      <c r="J56" s="71"/>
      <c r="K56" s="66"/>
      <c r="L56" s="66"/>
      <c r="M56" s="66"/>
      <c r="N56" s="66"/>
    </row>
    <row r="57" spans="1:14" ht="15">
      <c r="A57" s="72" t="s">
        <v>58</v>
      </c>
      <c r="B57" s="100">
        <v>10592.57</v>
      </c>
      <c r="C57" s="101">
        <f>B57*1.0185</f>
        <v>10788.532545</v>
      </c>
      <c r="D57" s="102">
        <f>B57-C57</f>
        <v>-195.96254500000032</v>
      </c>
      <c r="E57" s="118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59</v>
      </c>
      <c r="B58" s="100">
        <v>12121.96</v>
      </c>
      <c r="C58" s="101">
        <f>B58*1.0185</f>
        <v>12346.21626</v>
      </c>
      <c r="D58" s="102">
        <f>B58-C58</f>
        <v>-224.2562600000001</v>
      </c>
      <c r="E58" s="115"/>
      <c r="F58" s="116"/>
      <c r="G58" s="117"/>
      <c r="H58" s="110"/>
      <c r="I58" s="65"/>
      <c r="J58" s="65"/>
      <c r="K58" s="66"/>
      <c r="L58" s="66"/>
      <c r="M58" s="66"/>
      <c r="N58" s="66"/>
    </row>
    <row r="59" spans="1:14" ht="15">
      <c r="A59" s="72" t="s">
        <v>60</v>
      </c>
      <c r="B59" s="103">
        <v>0</v>
      </c>
      <c r="C59" s="101">
        <f>B59*1.0185</f>
        <v>0</v>
      </c>
      <c r="D59" s="102">
        <f>B59-C59</f>
        <v>0</v>
      </c>
      <c r="E59" s="115">
        <f>(2.07+1.8)*6*2301.2-0.37*2301.2*6</f>
        <v>48325.2</v>
      </c>
      <c r="F59" s="119"/>
      <c r="G59" s="120"/>
      <c r="H59" s="115"/>
      <c r="I59" s="65"/>
      <c r="J59" s="65"/>
      <c r="K59" s="66"/>
      <c r="L59" s="66"/>
      <c r="M59" s="66"/>
      <c r="N59" s="66"/>
    </row>
    <row r="60" spans="1:14" ht="15.75" thickBot="1">
      <c r="A60" s="126" t="s">
        <v>318</v>
      </c>
      <c r="B60" s="127">
        <v>12630.06</v>
      </c>
      <c r="C60" s="101">
        <f>B60*1.0185</f>
        <v>12863.71611</v>
      </c>
      <c r="D60" s="129">
        <f>B60-C60</f>
        <v>-233.6561099999999</v>
      </c>
      <c r="E60" s="115"/>
      <c r="F60" s="119"/>
      <c r="G60" s="120"/>
      <c r="H60" s="110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115"/>
      <c r="F61" s="119"/>
      <c r="G61" s="110"/>
      <c r="H61" s="121"/>
      <c r="I61" s="65"/>
      <c r="J61" s="65"/>
      <c r="K61" s="66"/>
      <c r="L61" s="66"/>
      <c r="M61" s="66"/>
      <c r="N61" s="66"/>
    </row>
    <row r="62" spans="1:14" ht="15">
      <c r="A62" s="134" t="s">
        <v>58</v>
      </c>
      <c r="B62" s="105">
        <f>B57</f>
        <v>10592.57</v>
      </c>
      <c r="C62" s="106">
        <f>C57</f>
        <v>10788.532545</v>
      </c>
      <c r="D62" s="135">
        <f>B62-C62</f>
        <v>-195.96254500000032</v>
      </c>
      <c r="E62" s="115"/>
      <c r="F62" s="119"/>
      <c r="G62" s="110"/>
      <c r="H62" s="121"/>
      <c r="I62" s="65"/>
      <c r="J62" s="65" t="s">
        <v>26</v>
      </c>
      <c r="K62" s="66"/>
      <c r="L62" s="66"/>
      <c r="M62" s="66"/>
      <c r="N62" s="66"/>
    </row>
    <row r="63" spans="1:14" ht="15">
      <c r="A63" s="134" t="s">
        <v>59</v>
      </c>
      <c r="B63" s="105">
        <f>B58</f>
        <v>12121.96</v>
      </c>
      <c r="C63" s="106">
        <f>C58</f>
        <v>12346.21626</v>
      </c>
      <c r="D63" s="135">
        <f>B63-C63</f>
        <v>-224.2562600000001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">
      <c r="A64" s="134" t="s">
        <v>60</v>
      </c>
      <c r="B64" s="105">
        <v>0</v>
      </c>
      <c r="C64" s="106">
        <v>0</v>
      </c>
      <c r="D64" s="135">
        <f>B64-C64</f>
        <v>0</v>
      </c>
      <c r="E64" s="115"/>
      <c r="F64" s="119"/>
      <c r="G64" s="110"/>
      <c r="H64" s="121"/>
      <c r="I64" s="65"/>
      <c r="J64" s="65"/>
      <c r="K64" s="66"/>
      <c r="L64" s="66"/>
      <c r="M64" s="66"/>
      <c r="N64" s="66"/>
    </row>
    <row r="65" spans="1:14" ht="15.75" thickBot="1">
      <c r="A65" s="136" t="s">
        <v>318</v>
      </c>
      <c r="B65" s="137">
        <v>12630.06</v>
      </c>
      <c r="C65" s="138">
        <v>12863.71611</v>
      </c>
      <c r="D65" s="139">
        <v>-233.6561099999999</v>
      </c>
      <c r="E65" s="62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8"/>
      <c r="B66" s="77"/>
      <c r="C66" s="79"/>
      <c r="D66" s="80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25.5">
      <c r="A67" s="81" t="s">
        <v>66</v>
      </c>
      <c r="B67" s="77" t="s">
        <v>11</v>
      </c>
      <c r="C67" s="82"/>
      <c r="D67" s="83">
        <v>0</v>
      </c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84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7"/>
      <c r="D69" s="179">
        <v>0</v>
      </c>
      <c r="E69" s="89"/>
    </row>
    <row r="70" spans="1:5" ht="21" customHeight="1">
      <c r="A70" s="86" t="s">
        <v>47</v>
      </c>
      <c r="B70" s="86" t="s">
        <v>46</v>
      </c>
      <c r="C70" s="86"/>
      <c r="D70" s="179">
        <v>0</v>
      </c>
      <c r="E70" s="89"/>
    </row>
    <row r="71" spans="1:5" ht="18" customHeight="1">
      <c r="A71" s="86" t="s">
        <v>48</v>
      </c>
      <c r="B71" s="86" t="s">
        <v>46</v>
      </c>
      <c r="C71" s="86"/>
      <c r="D71" s="179">
        <v>0</v>
      </c>
      <c r="E71" s="89"/>
    </row>
    <row r="72" spans="1:5" ht="16.5" customHeight="1">
      <c r="A72" s="86" t="s">
        <v>49</v>
      </c>
      <c r="B72" s="86" t="s">
        <v>11</v>
      </c>
      <c r="C72" s="86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6" t="s">
        <v>69</v>
      </c>
      <c r="B74" s="86" t="s">
        <v>46</v>
      </c>
      <c r="C74" s="86"/>
      <c r="D74" s="179">
        <v>0</v>
      </c>
      <c r="E74" s="89"/>
    </row>
    <row r="75" spans="1:5" ht="21.75" customHeight="1">
      <c r="A75" s="86" t="s">
        <v>70</v>
      </c>
      <c r="B75" s="53" t="s">
        <v>46</v>
      </c>
      <c r="C75" s="53"/>
      <c r="D75" s="179">
        <v>0</v>
      </c>
      <c r="E75" s="89"/>
    </row>
    <row r="76" spans="1:5" ht="36" customHeight="1">
      <c r="A76" s="90" t="s">
        <v>71</v>
      </c>
      <c r="B76" s="86" t="s">
        <v>11</v>
      </c>
      <c r="C76" s="86"/>
      <c r="D76" s="179">
        <v>0</v>
      </c>
      <c r="E76" s="89"/>
    </row>
    <row r="77" spans="1:4" ht="15">
      <c r="A77" s="66"/>
      <c r="B77" s="66"/>
      <c r="C77" s="66"/>
      <c r="D77" s="91"/>
    </row>
    <row r="78" spans="1:14" s="1" customFormat="1" ht="12.75">
      <c r="A78"/>
      <c r="B78"/>
      <c r="C78"/>
      <c r="D78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34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138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199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4" ht="12.75">
      <c r="A12" s="8" t="s">
        <v>7</v>
      </c>
      <c r="B12" s="9"/>
      <c r="C12" s="145" t="s">
        <v>243</v>
      </c>
      <c r="D12" s="10"/>
    </row>
    <row r="13" spans="1:8" ht="12.75">
      <c r="A13" s="8" t="s">
        <v>8</v>
      </c>
      <c r="B13" s="9"/>
      <c r="C13" s="145" t="s">
        <v>244</v>
      </c>
      <c r="D13" s="10"/>
      <c r="E13" s="110"/>
      <c r="F13" s="110"/>
      <c r="G13" s="110"/>
      <c r="H13" s="110"/>
    </row>
    <row r="14" spans="1:9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  <c r="I14" s="110"/>
    </row>
    <row r="15" spans="1:9" ht="25.5">
      <c r="A15" s="11" t="s">
        <v>10</v>
      </c>
      <c r="B15" s="12" t="s">
        <v>11</v>
      </c>
      <c r="C15" s="181">
        <v>36393.63</v>
      </c>
      <c r="D15" s="14"/>
      <c r="E15" s="110"/>
      <c r="F15" s="110"/>
      <c r="G15" s="110"/>
      <c r="H15" s="110"/>
      <c r="I15" s="110"/>
    </row>
    <row r="16" spans="1:9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  <c r="I16" s="110"/>
    </row>
    <row r="17" spans="1:9" ht="15">
      <c r="A17" s="8" t="s">
        <v>13</v>
      </c>
      <c r="B17" s="12" t="s">
        <v>11</v>
      </c>
      <c r="C17" s="15">
        <v>15319.09</v>
      </c>
      <c r="D17" s="16"/>
      <c r="E17" s="110"/>
      <c r="F17" s="110"/>
      <c r="G17" s="110"/>
      <c r="H17" s="110"/>
      <c r="I17" s="110"/>
    </row>
    <row r="18" spans="1:9" ht="31.5" customHeight="1">
      <c r="A18" s="17" t="s">
        <v>14</v>
      </c>
      <c r="B18" s="12" t="s">
        <v>11</v>
      </c>
      <c r="C18" s="15">
        <f>25895.76-392.31</f>
        <v>25503.449999999997</v>
      </c>
      <c r="D18" s="16"/>
      <c r="E18" s="111">
        <f>C18-C20</f>
        <v>15346.415999999997</v>
      </c>
      <c r="F18" s="110"/>
      <c r="G18" s="110"/>
      <c r="H18" s="110"/>
      <c r="I18" s="110"/>
    </row>
    <row r="19" spans="1:9" ht="15">
      <c r="A19" s="8" t="s">
        <v>15</v>
      </c>
      <c r="B19" s="12" t="s">
        <v>11</v>
      </c>
      <c r="C19" s="15">
        <f>C18-C20-C21</f>
        <v>6738.479999999998</v>
      </c>
      <c r="D19" s="16"/>
      <c r="E19" s="111">
        <f>E18-E39</f>
        <v>0.04799999999704596</v>
      </c>
      <c r="F19" s="110"/>
      <c r="G19" s="110"/>
      <c r="H19" s="110"/>
      <c r="I19" s="110"/>
    </row>
    <row r="20" spans="1:9" ht="15">
      <c r="A20" s="8" t="s">
        <v>16</v>
      </c>
      <c r="B20" s="12" t="s">
        <v>11</v>
      </c>
      <c r="C20" s="15">
        <f>(4.95+5.32)*6*171.2-392.31</f>
        <v>10157.034</v>
      </c>
      <c r="D20" s="16"/>
      <c r="E20" s="112"/>
      <c r="F20" s="110"/>
      <c r="G20" s="110"/>
      <c r="H20" s="110"/>
      <c r="I20" s="110"/>
    </row>
    <row r="21" spans="1:9" ht="15">
      <c r="A21" s="8" t="s">
        <v>17</v>
      </c>
      <c r="B21" s="12" t="s">
        <v>11</v>
      </c>
      <c r="C21" s="19">
        <f>171.2*4.19*12</f>
        <v>8607.936</v>
      </c>
      <c r="D21" s="16"/>
      <c r="E21" s="110"/>
      <c r="F21" s="110"/>
      <c r="G21" s="110"/>
      <c r="H21" s="110"/>
      <c r="I21" s="110"/>
    </row>
    <row r="22" spans="1:9" ht="15">
      <c r="A22" s="20" t="s">
        <v>18</v>
      </c>
      <c r="B22" s="12" t="s">
        <v>11</v>
      </c>
      <c r="C22" s="15">
        <f>C23+C24+C25+C26+C27</f>
        <v>28392.990884999996</v>
      </c>
      <c r="D22" s="16" t="s">
        <v>19</v>
      </c>
      <c r="E22" s="111" t="e">
        <f>B24+B25+B26+B27+B28</f>
        <v>#VALUE!</v>
      </c>
      <c r="F22" s="110"/>
      <c r="G22" s="110"/>
      <c r="H22" s="110"/>
      <c r="I22" s="110"/>
    </row>
    <row r="23" spans="1:9" ht="15">
      <c r="A23" s="8" t="s">
        <v>20</v>
      </c>
      <c r="B23" s="12" t="s">
        <v>11</v>
      </c>
      <c r="C23" s="15">
        <f>C18*1.1133</f>
        <v>28392.990884999996</v>
      </c>
      <c r="D23" s="16"/>
      <c r="E23" s="110"/>
      <c r="F23" s="110"/>
      <c r="G23" s="110"/>
      <c r="H23" s="110"/>
      <c r="I23" s="110"/>
    </row>
    <row r="24" spans="1:9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  <c r="I24" s="110"/>
    </row>
    <row r="25" spans="1:9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  <c r="I25" s="110"/>
    </row>
    <row r="26" spans="1:9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  <c r="I26" s="110"/>
    </row>
    <row r="27" spans="1:9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  <c r="I27" s="110"/>
    </row>
    <row r="28" spans="1:9" ht="15">
      <c r="A28" s="8" t="s">
        <v>25</v>
      </c>
      <c r="B28" s="12" t="s">
        <v>11</v>
      </c>
      <c r="C28" s="15">
        <f>C15+C22</f>
        <v>64786.620885</v>
      </c>
      <c r="D28" s="16" t="s">
        <v>26</v>
      </c>
      <c r="E28" s="112" t="e">
        <f>B28/#REF!*1</f>
        <v>#VALUE!</v>
      </c>
      <c r="F28" s="110"/>
      <c r="G28" s="110"/>
      <c r="H28" s="110"/>
      <c r="I28" s="110"/>
    </row>
    <row r="29" spans="1:9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</row>
    <row r="30" spans="1:9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  <c r="I30" s="110"/>
    </row>
    <row r="31" spans="1:9" ht="15">
      <c r="A31" s="26" t="s">
        <v>32</v>
      </c>
      <c r="B31" s="27" t="s">
        <v>33</v>
      </c>
      <c r="C31" s="28" t="s">
        <v>34</v>
      </c>
      <c r="D31" s="93">
        <f>(0.85+0.65)*6*171.2</f>
        <v>1540.8</v>
      </c>
      <c r="E31" s="110"/>
      <c r="F31" s="110"/>
      <c r="G31" s="110"/>
      <c r="H31" s="110"/>
      <c r="I31" s="110"/>
    </row>
    <row r="32" spans="1:9" ht="15">
      <c r="A32" s="29" t="s">
        <v>36</v>
      </c>
      <c r="B32" s="30" t="s">
        <v>33</v>
      </c>
      <c r="C32" s="31" t="s">
        <v>37</v>
      </c>
      <c r="D32" s="94">
        <f>0.24*12*171.2</f>
        <v>493.0559999999999</v>
      </c>
      <c r="E32" s="110"/>
      <c r="F32" s="110"/>
      <c r="G32" s="110"/>
      <c r="H32" s="110"/>
      <c r="I32" s="110"/>
    </row>
    <row r="33" spans="1:9" ht="15">
      <c r="A33" s="154" t="s">
        <v>181</v>
      </c>
      <c r="B33" s="30" t="s">
        <v>33</v>
      </c>
      <c r="C33" s="31" t="s">
        <v>34</v>
      </c>
      <c r="D33" s="94">
        <v>0</v>
      </c>
      <c r="E33" s="110"/>
      <c r="F33" s="110"/>
      <c r="G33" s="110"/>
      <c r="H33" s="110"/>
      <c r="I33" s="110"/>
    </row>
    <row r="34" spans="1:9" ht="15">
      <c r="A34" s="29" t="s">
        <v>81</v>
      </c>
      <c r="B34" s="92" t="s">
        <v>82</v>
      </c>
      <c r="C34" s="31" t="s">
        <v>34</v>
      </c>
      <c r="D34" s="94">
        <f>1.33*12*171.2</f>
        <v>2732.352</v>
      </c>
      <c r="E34" s="110"/>
      <c r="F34" s="110"/>
      <c r="G34" s="110"/>
      <c r="H34" s="110"/>
      <c r="I34" s="110"/>
    </row>
    <row r="35" spans="1:9" ht="15">
      <c r="A35" s="29" t="s">
        <v>38</v>
      </c>
      <c r="B35" s="30" t="s">
        <v>35</v>
      </c>
      <c r="C35" s="370" t="s">
        <v>237</v>
      </c>
      <c r="D35" s="94">
        <f>4.19*171.2*12</f>
        <v>8607.936</v>
      </c>
      <c r="E35" s="110"/>
      <c r="F35" s="110"/>
      <c r="G35" s="110"/>
      <c r="H35" s="110"/>
      <c r="I35" s="110"/>
    </row>
    <row r="36" spans="1:9" ht="15">
      <c r="A36" s="29" t="s">
        <v>85</v>
      </c>
      <c r="B36" s="30" t="s">
        <v>238</v>
      </c>
      <c r="C36" s="32" t="s">
        <v>37</v>
      </c>
      <c r="D36" s="94">
        <f>171.2*(1.02+0.9)*6</f>
        <v>1972.2239999999997</v>
      </c>
      <c r="E36" s="110"/>
      <c r="F36" s="110"/>
      <c r="G36" s="110"/>
      <c r="H36" s="110"/>
      <c r="I36" s="110"/>
    </row>
    <row r="37" spans="1:14" s="1" customFormat="1" ht="45">
      <c r="A37" s="148" t="s">
        <v>229</v>
      </c>
      <c r="B37" s="34" t="s">
        <v>41</v>
      </c>
      <c r="C37" s="31" t="s">
        <v>34</v>
      </c>
      <c r="D37" s="381">
        <f>D38</f>
        <v>486</v>
      </c>
      <c r="E37" s="110"/>
      <c r="F37" s="110"/>
      <c r="G37" s="110"/>
      <c r="H37" s="110"/>
      <c r="I37" s="110"/>
      <c r="K37"/>
      <c r="L37"/>
      <c r="M37"/>
      <c r="N37"/>
    </row>
    <row r="38" spans="1:14" s="1" customFormat="1" ht="15">
      <c r="A38" s="149" t="s">
        <v>307</v>
      </c>
      <c r="B38" s="96" t="s">
        <v>156</v>
      </c>
      <c r="C38" s="31" t="s">
        <v>34</v>
      </c>
      <c r="D38" s="147">
        <v>486</v>
      </c>
      <c r="E38" s="110"/>
      <c r="F38" s="110"/>
      <c r="G38" s="110"/>
      <c r="H38" s="110"/>
      <c r="I38" s="110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8">
        <f>D31+D32+D33+D34+D35+D36+D37</f>
        <v>15832.368</v>
      </c>
      <c r="E39" s="113">
        <f>D39-D37</f>
        <v>15346.368</v>
      </c>
      <c r="F39" s="110"/>
      <c r="G39" s="110"/>
      <c r="H39" s="110"/>
      <c r="I39" s="110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48954.252884999994</v>
      </c>
      <c r="E40" s="113"/>
      <c r="F40" s="110"/>
      <c r="G40" s="110"/>
      <c r="H40" s="110"/>
      <c r="I40" s="110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10"/>
      <c r="F41" s="110"/>
      <c r="G41" s="110"/>
      <c r="H41" s="110"/>
      <c r="I41" s="110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9315.6</v>
      </c>
      <c r="E42" s="110"/>
      <c r="F42" s="110"/>
      <c r="G42" s="110"/>
      <c r="H42" s="110"/>
      <c r="I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I43" s="110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/>
      <c r="D44" s="14">
        <v>0</v>
      </c>
      <c r="E44" s="110"/>
      <c r="F44" s="110"/>
      <c r="G44" s="110"/>
      <c r="H44" s="110"/>
      <c r="I44" s="110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/>
      <c r="D45" s="14">
        <v>0</v>
      </c>
      <c r="E45" s="110"/>
      <c r="F45" s="110"/>
      <c r="G45" s="110"/>
      <c r="H45" s="110"/>
      <c r="I45" s="110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/>
      <c r="D46" s="14">
        <v>0</v>
      </c>
      <c r="E46" s="110"/>
      <c r="F46" s="110"/>
      <c r="G46" s="110"/>
      <c r="H46" s="110"/>
      <c r="I46" s="110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/>
      <c r="D47" s="14">
        <v>0</v>
      </c>
      <c r="E47" s="110"/>
      <c r="F47" s="110"/>
      <c r="G47" s="110"/>
      <c r="H47" s="110"/>
      <c r="I47" s="110"/>
      <c r="K47"/>
      <c r="L47"/>
      <c r="M47"/>
      <c r="N47"/>
    </row>
    <row r="48" spans="1:9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  <c r="I48" s="110"/>
    </row>
    <row r="49" spans="1:9" ht="25.5">
      <c r="A49" s="47" t="s">
        <v>51</v>
      </c>
      <c r="B49" s="30" t="s">
        <v>11</v>
      </c>
      <c r="C49" s="31"/>
      <c r="D49" s="14">
        <v>0</v>
      </c>
      <c r="E49" s="110"/>
      <c r="F49" s="110"/>
      <c r="G49" s="110"/>
      <c r="H49" s="110"/>
      <c r="I49" s="110"/>
    </row>
    <row r="50" spans="1:9" ht="15">
      <c r="A50" s="45" t="s">
        <v>12</v>
      </c>
      <c r="B50" s="30" t="s">
        <v>11</v>
      </c>
      <c r="C50" s="31"/>
      <c r="D50" s="14">
        <v>0</v>
      </c>
      <c r="E50" s="110"/>
      <c r="F50" s="110"/>
      <c r="G50" s="110"/>
      <c r="H50" s="110"/>
      <c r="I50" s="110"/>
    </row>
    <row r="51" spans="1:9" ht="15">
      <c r="A51" s="45" t="s">
        <v>13</v>
      </c>
      <c r="B51" s="30" t="s">
        <v>11</v>
      </c>
      <c r="C51" s="31"/>
      <c r="D51" s="58">
        <f>D54-D57-D58-D60</f>
        <v>18175.009665999998</v>
      </c>
      <c r="E51" s="110"/>
      <c r="F51" s="110"/>
      <c r="G51" s="110"/>
      <c r="H51" s="114"/>
      <c r="I51" s="110"/>
    </row>
    <row r="52" spans="1:9" ht="25.5">
      <c r="A52" s="50" t="s">
        <v>52</v>
      </c>
      <c r="B52" s="30" t="s">
        <v>11</v>
      </c>
      <c r="C52" s="51"/>
      <c r="D52" s="52">
        <v>0</v>
      </c>
      <c r="E52" s="110"/>
      <c r="F52" s="110"/>
      <c r="G52" s="110"/>
      <c r="H52" s="110"/>
      <c r="I52" s="110"/>
    </row>
    <row r="53" spans="1:10" ht="17.25" customHeight="1">
      <c r="A53" s="53" t="s">
        <v>12</v>
      </c>
      <c r="B53" s="30" t="s">
        <v>11</v>
      </c>
      <c r="C53" s="31"/>
      <c r="D53" s="14">
        <v>0</v>
      </c>
      <c r="E53" s="110"/>
      <c r="F53" s="110"/>
      <c r="G53" s="110"/>
      <c r="H53" s="110"/>
      <c r="I53" s="114"/>
      <c r="J53" s="49"/>
    </row>
    <row r="54" spans="1:14" ht="15">
      <c r="A54" s="56" t="s">
        <v>13</v>
      </c>
      <c r="B54" s="30" t="s">
        <v>11</v>
      </c>
      <c r="C54" s="57"/>
      <c r="D54" s="58">
        <v>13872.1</v>
      </c>
      <c r="E54" s="110"/>
      <c r="F54" s="110"/>
      <c r="G54" s="110"/>
      <c r="H54" s="110" t="s">
        <v>26</v>
      </c>
      <c r="I54" s="125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116"/>
      <c r="G55" s="117"/>
      <c r="H55" s="110"/>
      <c r="I55" s="121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116"/>
      <c r="G56" s="117"/>
      <c r="H56" s="110"/>
      <c r="I56" s="121"/>
      <c r="J56" s="71"/>
      <c r="K56" s="66"/>
      <c r="L56" s="66"/>
      <c r="M56" s="66"/>
      <c r="N56" s="66"/>
    </row>
    <row r="57" spans="1:14" ht="15">
      <c r="A57" s="72" t="s">
        <v>58</v>
      </c>
      <c r="B57" s="100">
        <v>17841.98</v>
      </c>
      <c r="C57" s="101">
        <f>B57*1.1133</f>
        <v>19863.476334</v>
      </c>
      <c r="D57" s="102">
        <f>B57-C57</f>
        <v>-2021.4963339999995</v>
      </c>
      <c r="E57" s="118"/>
      <c r="F57" s="116"/>
      <c r="G57" s="117"/>
      <c r="H57" s="110"/>
      <c r="I57" s="121"/>
      <c r="J57" s="65"/>
      <c r="K57" s="66"/>
      <c r="L57" s="66"/>
      <c r="M57" s="66"/>
      <c r="N57" s="66"/>
    </row>
    <row r="58" spans="1:14" ht="15">
      <c r="A58" s="72" t="s">
        <v>59</v>
      </c>
      <c r="B58" s="100">
        <v>9024.58</v>
      </c>
      <c r="C58" s="101">
        <f>B58*1.1133</f>
        <v>10047.064913999999</v>
      </c>
      <c r="D58" s="102">
        <f>B58-C58</f>
        <v>-1022.4849139999988</v>
      </c>
      <c r="E58" s="115"/>
      <c r="F58" s="116"/>
      <c r="G58" s="117"/>
      <c r="H58" s="110"/>
      <c r="I58" s="121"/>
      <c r="J58" s="65"/>
      <c r="K58" s="66"/>
      <c r="L58" s="66"/>
      <c r="M58" s="66"/>
      <c r="N58" s="66"/>
    </row>
    <row r="59" spans="1:14" ht="15">
      <c r="A59" s="72" t="s">
        <v>60</v>
      </c>
      <c r="B59" s="103">
        <v>0</v>
      </c>
      <c r="C59" s="101">
        <f>B59*1.1133</f>
        <v>0</v>
      </c>
      <c r="D59" s="102">
        <f>B59-C59</f>
        <v>0</v>
      </c>
      <c r="E59" s="115">
        <f>(2.07+1.8)*6*2301.2-0.37*2301.2*6</f>
        <v>48325.2</v>
      </c>
      <c r="F59" s="119"/>
      <c r="G59" s="120"/>
      <c r="H59" s="115"/>
      <c r="I59" s="121"/>
      <c r="J59" s="65"/>
      <c r="K59" s="66"/>
      <c r="L59" s="66"/>
      <c r="M59" s="66"/>
      <c r="N59" s="66"/>
    </row>
    <row r="60" spans="1:14" ht="15.75" thickBot="1">
      <c r="A60" s="126" t="s">
        <v>318</v>
      </c>
      <c r="B60" s="127">
        <v>11111.46</v>
      </c>
      <c r="C60" s="101">
        <f>B60*1.1133</f>
        <v>12370.388417999999</v>
      </c>
      <c r="D60" s="129">
        <f>B60-C60</f>
        <v>-1258.9284179999995</v>
      </c>
      <c r="E60" s="115"/>
      <c r="F60" s="119"/>
      <c r="G60" s="120"/>
      <c r="H60" s="110"/>
      <c r="I60" s="121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62"/>
      <c r="F61" s="74"/>
      <c r="H61" s="65"/>
      <c r="I61" s="65"/>
      <c r="J61" s="65"/>
      <c r="K61" s="66"/>
      <c r="L61" s="66"/>
      <c r="M61" s="66"/>
      <c r="N61" s="66"/>
    </row>
    <row r="62" spans="1:14" ht="15">
      <c r="A62" s="134" t="s">
        <v>58</v>
      </c>
      <c r="B62" s="105">
        <f>B57</f>
        <v>17841.98</v>
      </c>
      <c r="C62" s="106">
        <f>C57</f>
        <v>19863.476334</v>
      </c>
      <c r="D62" s="135">
        <f>B62-C62</f>
        <v>-2021.4963339999995</v>
      </c>
      <c r="E62" s="62"/>
      <c r="F62" s="74"/>
      <c r="H62" s="65"/>
      <c r="I62" s="65"/>
      <c r="J62" s="65" t="s">
        <v>26</v>
      </c>
      <c r="K62" s="66"/>
      <c r="L62" s="66"/>
      <c r="M62" s="66"/>
      <c r="N62" s="66"/>
    </row>
    <row r="63" spans="1:14" ht="15">
      <c r="A63" s="134" t="s">
        <v>59</v>
      </c>
      <c r="B63" s="105">
        <f>B58</f>
        <v>9024.58</v>
      </c>
      <c r="C63" s="106">
        <f>C58</f>
        <v>10047.064913999999</v>
      </c>
      <c r="D63" s="135">
        <f>B63-C63</f>
        <v>-1022.4849139999988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5">
      <c r="A64" s="134" t="s">
        <v>60</v>
      </c>
      <c r="B64" s="105">
        <v>0</v>
      </c>
      <c r="C64" s="106">
        <v>0</v>
      </c>
      <c r="D64" s="135">
        <f>B64-C64</f>
        <v>0</v>
      </c>
      <c r="E64" s="62"/>
      <c r="F64" s="74"/>
      <c r="H64" s="65"/>
      <c r="I64" s="65"/>
      <c r="J64" s="65"/>
      <c r="K64" s="66"/>
      <c r="L64" s="66"/>
      <c r="M64" s="66"/>
      <c r="N64" s="66"/>
    </row>
    <row r="65" spans="1:14" ht="15.75" thickBot="1">
      <c r="A65" s="136" t="s">
        <v>318</v>
      </c>
      <c r="B65" s="137">
        <v>11111.46</v>
      </c>
      <c r="C65" s="138">
        <v>12370.388417999999</v>
      </c>
      <c r="D65" s="139">
        <v>-1258.9284179999995</v>
      </c>
      <c r="E65" s="62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8"/>
      <c r="B66" s="77"/>
      <c r="C66" s="79"/>
      <c r="D66" s="80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25.5">
      <c r="A67" s="81" t="s">
        <v>66</v>
      </c>
      <c r="B67" s="77" t="s">
        <v>11</v>
      </c>
      <c r="C67" s="82"/>
      <c r="D67" s="83">
        <v>0</v>
      </c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84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7"/>
      <c r="D69" s="179">
        <v>0</v>
      </c>
      <c r="E69" s="89"/>
    </row>
    <row r="70" spans="1:5" ht="21" customHeight="1">
      <c r="A70" s="86" t="s">
        <v>47</v>
      </c>
      <c r="B70" s="86" t="s">
        <v>46</v>
      </c>
      <c r="C70" s="86"/>
      <c r="D70" s="179">
        <v>0</v>
      </c>
      <c r="E70" s="89"/>
    </row>
    <row r="71" spans="1:5" ht="18" customHeight="1">
      <c r="A71" s="86" t="s">
        <v>48</v>
      </c>
      <c r="B71" s="86" t="s">
        <v>46</v>
      </c>
      <c r="C71" s="86"/>
      <c r="D71" s="179">
        <v>0</v>
      </c>
      <c r="E71" s="89"/>
    </row>
    <row r="72" spans="1:5" ht="16.5" customHeight="1">
      <c r="A72" s="86" t="s">
        <v>49</v>
      </c>
      <c r="B72" s="86" t="s">
        <v>11</v>
      </c>
      <c r="C72" s="86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6" t="s">
        <v>69</v>
      </c>
      <c r="B74" s="86" t="s">
        <v>46</v>
      </c>
      <c r="C74" s="86"/>
      <c r="D74" s="179">
        <v>0</v>
      </c>
      <c r="E74" s="89"/>
    </row>
    <row r="75" spans="1:5" ht="21.75" customHeight="1">
      <c r="A75" s="86" t="s">
        <v>70</v>
      </c>
      <c r="B75" s="53" t="s">
        <v>46</v>
      </c>
      <c r="C75" s="53"/>
      <c r="D75" s="179">
        <v>0</v>
      </c>
      <c r="E75" s="89"/>
    </row>
    <row r="76" spans="1:5" ht="36" customHeight="1">
      <c r="A76" s="90" t="s">
        <v>71</v>
      </c>
      <c r="B76" s="86" t="s">
        <v>11</v>
      </c>
      <c r="C76" s="86"/>
      <c r="D76" s="179">
        <v>0</v>
      </c>
      <c r="E76" s="89"/>
    </row>
    <row r="77" spans="1:4" ht="15">
      <c r="A77" s="66"/>
      <c r="B77" s="66"/>
      <c r="C77" s="66"/>
      <c r="D77" s="91"/>
    </row>
    <row r="78" spans="1:14" s="1" customFormat="1" ht="12.75">
      <c r="A78"/>
      <c r="B78"/>
      <c r="C78"/>
      <c r="D78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93" zoomScaleNormal="93" zoomScalePageLayoutView="0" workbookViewId="0" topLeftCell="A42">
      <selection activeCell="C67" sqref="C67"/>
    </sheetView>
  </sheetViews>
  <sheetFormatPr defaultColWidth="11.57421875" defaultRowHeight="12.75"/>
  <cols>
    <col min="1" max="1" width="52.140625" style="0" customWidth="1"/>
    <col min="2" max="2" width="17.28125" style="0" customWidth="1"/>
    <col min="3" max="3" width="22.57421875" style="0" customWidth="1"/>
    <col min="4" max="4" width="20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86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10.5" customHeight="1">
      <c r="A6" s="261"/>
      <c r="B6" s="180"/>
      <c r="C6" s="180"/>
      <c r="D6" s="180"/>
    </row>
    <row r="7" spans="1:4" ht="32.25" customHeight="1">
      <c r="A7" s="488" t="s">
        <v>2</v>
      </c>
      <c r="B7" s="488"/>
      <c r="C7" s="488"/>
      <c r="D7" s="488"/>
    </row>
    <row r="8" spans="1:4" ht="21" customHeight="1">
      <c r="A8" s="261" t="s">
        <v>158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5" ht="31.5" customHeight="1">
      <c r="A14" s="490" t="s">
        <v>9</v>
      </c>
      <c r="B14" s="490"/>
      <c r="C14" s="490"/>
      <c r="D14" s="490"/>
      <c r="E14" s="110"/>
    </row>
    <row r="15" spans="1:10" ht="39">
      <c r="A15" s="17" t="s">
        <v>10</v>
      </c>
      <c r="B15" s="194" t="s">
        <v>11</v>
      </c>
      <c r="C15" s="197">
        <v>6428.17</v>
      </c>
      <c r="D15" s="196"/>
      <c r="E15" s="110"/>
      <c r="F15" s="110"/>
      <c r="G15" s="110"/>
      <c r="H15" s="110"/>
      <c r="I15" s="110"/>
      <c r="J15" s="110"/>
    </row>
    <row r="16" spans="1:10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  <c r="I16" s="110"/>
      <c r="J16" s="110"/>
    </row>
    <row r="17" spans="1:10" ht="15.75">
      <c r="A17" s="20" t="s">
        <v>13</v>
      </c>
      <c r="B17" s="194" t="s">
        <v>11</v>
      </c>
      <c r="C17" s="197">
        <v>83268.54</v>
      </c>
      <c r="D17" s="198"/>
      <c r="E17" s="110" t="e">
        <f>B17/12/1022.6</f>
        <v>#VALUE!</v>
      </c>
      <c r="F17" s="110"/>
      <c r="G17" s="110"/>
      <c r="H17" s="110"/>
      <c r="I17" s="110"/>
      <c r="J17" s="110"/>
    </row>
    <row r="18" spans="1:10" ht="31.5" customHeight="1">
      <c r="A18" s="17" t="s">
        <v>14</v>
      </c>
      <c r="B18" s="194" t="s">
        <v>11</v>
      </c>
      <c r="C18" s="197">
        <f>63747.06+5294.88</f>
        <v>69041.94</v>
      </c>
      <c r="D18" s="198"/>
      <c r="E18" s="111">
        <f>C18-C20</f>
        <v>57732.339</v>
      </c>
      <c r="F18" s="110"/>
      <c r="G18" s="110"/>
      <c r="H18" s="110"/>
      <c r="I18" s="110"/>
      <c r="J18" s="110"/>
    </row>
    <row r="19" spans="1:10" ht="15.75">
      <c r="A19" s="20" t="s">
        <v>15</v>
      </c>
      <c r="B19" s="194" t="s">
        <v>11</v>
      </c>
      <c r="C19" s="197">
        <f>C18-C20-C21</f>
        <v>38271.465</v>
      </c>
      <c r="D19" s="198"/>
      <c r="E19" s="111">
        <f>E18-E45</f>
        <v>5294.877000000015</v>
      </c>
      <c r="F19" s="110"/>
      <c r="G19" s="110"/>
      <c r="H19" s="110"/>
      <c r="I19" s="110"/>
      <c r="J19" s="110"/>
    </row>
    <row r="20" spans="1:10" ht="15.75">
      <c r="A20" s="20" t="s">
        <v>16</v>
      </c>
      <c r="B20" s="194" t="s">
        <v>11</v>
      </c>
      <c r="C20" s="197">
        <f>(2.39+2.48)*6*387.05</f>
        <v>11309.601</v>
      </c>
      <c r="D20" s="198"/>
      <c r="E20" s="112"/>
      <c r="F20" s="110"/>
      <c r="G20" s="110"/>
      <c r="H20" s="110"/>
      <c r="I20" s="110"/>
      <c r="J20" s="110"/>
    </row>
    <row r="21" spans="1:10" ht="15.75">
      <c r="A21" s="20" t="s">
        <v>17</v>
      </c>
      <c r="B21" s="194" t="s">
        <v>11</v>
      </c>
      <c r="C21" s="199">
        <f>387.05*4.19*12</f>
        <v>19460.874000000003</v>
      </c>
      <c r="D21" s="198"/>
      <c r="E21" s="110"/>
      <c r="F21" s="110"/>
      <c r="G21" s="110"/>
      <c r="H21" s="110"/>
      <c r="I21" s="110"/>
      <c r="J21" s="110"/>
    </row>
    <row r="22" spans="1:10" ht="15.75">
      <c r="A22" s="20" t="s">
        <v>18</v>
      </c>
      <c r="B22" s="194" t="s">
        <v>11</v>
      </c>
      <c r="C22" s="197">
        <f>C23+C24+C25+C26</f>
        <v>72079.78536000001</v>
      </c>
      <c r="D22" s="198" t="s">
        <v>19</v>
      </c>
      <c r="E22" s="111" t="e">
        <f>B24+B25+B26+#REF!+B27</f>
        <v>#VALUE!</v>
      </c>
      <c r="F22" s="110"/>
      <c r="G22" s="110"/>
      <c r="H22" s="110"/>
      <c r="I22" s="110"/>
      <c r="J22" s="110"/>
    </row>
    <row r="23" spans="1:10" ht="15.75">
      <c r="A23" s="20" t="s">
        <v>20</v>
      </c>
      <c r="B23" s="194" t="s">
        <v>11</v>
      </c>
      <c r="C23" s="197">
        <f>C18*1.044</f>
        <v>72079.78536000001</v>
      </c>
      <c r="D23" s="198"/>
      <c r="E23" s="110"/>
      <c r="F23" s="110"/>
      <c r="G23" s="110"/>
      <c r="H23" s="110"/>
      <c r="I23" s="110"/>
      <c r="J23" s="110"/>
    </row>
    <row r="24" spans="1:10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  <c r="I24" s="110"/>
      <c r="J24" s="110"/>
    </row>
    <row r="25" spans="1:10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  <c r="I25" s="110"/>
      <c r="J25" s="110"/>
    </row>
    <row r="26" spans="1:10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  <c r="I26" s="110"/>
      <c r="J26" s="110"/>
    </row>
    <row r="27" spans="1:10" ht="15.75">
      <c r="A27" s="20" t="s">
        <v>25</v>
      </c>
      <c r="B27" s="194" t="s">
        <v>11</v>
      </c>
      <c r="C27" s="197">
        <f>C15+C22</f>
        <v>78507.95536</v>
      </c>
      <c r="D27" s="198" t="s">
        <v>26</v>
      </c>
      <c r="E27" s="112" t="e">
        <f>B27/#REF!*1</f>
        <v>#VALUE!</v>
      </c>
      <c r="F27" s="110"/>
      <c r="G27" s="110"/>
      <c r="H27" s="110"/>
      <c r="I27" s="110"/>
      <c r="J27" s="110"/>
    </row>
    <row r="28" spans="1:10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  <c r="I28" s="110"/>
      <c r="J28" s="110"/>
    </row>
    <row r="29" spans="1:10" ht="63">
      <c r="A29" s="202" t="s">
        <v>28</v>
      </c>
      <c r="B29" s="288" t="s">
        <v>29</v>
      </c>
      <c r="C29" s="289" t="s">
        <v>30</v>
      </c>
      <c r="D29" s="290" t="s">
        <v>31</v>
      </c>
      <c r="E29" s="110"/>
      <c r="F29" s="110"/>
      <c r="G29" s="110"/>
      <c r="H29" s="110"/>
      <c r="I29" s="110"/>
      <c r="J29" s="110"/>
    </row>
    <row r="30" spans="1:10" ht="31.5">
      <c r="A30" s="206" t="s">
        <v>32</v>
      </c>
      <c r="B30" s="207" t="s">
        <v>33</v>
      </c>
      <c r="C30" s="208" t="s">
        <v>34</v>
      </c>
      <c r="D30" s="209">
        <f>0.6*12*387.05</f>
        <v>2786.7599999999998</v>
      </c>
      <c r="E30" s="110"/>
      <c r="F30" s="110"/>
      <c r="G30" s="110"/>
      <c r="H30" s="110"/>
      <c r="I30" s="110"/>
      <c r="J30" s="110"/>
    </row>
    <row r="31" spans="1:10" ht="15.75">
      <c r="A31" s="210" t="s">
        <v>75</v>
      </c>
      <c r="B31" s="211" t="s">
        <v>76</v>
      </c>
      <c r="C31" s="212" t="s">
        <v>34</v>
      </c>
      <c r="D31" s="213">
        <f>2.4*12*387.05</f>
        <v>11147.039999999999</v>
      </c>
      <c r="E31" s="110"/>
      <c r="F31" s="110"/>
      <c r="G31" s="110"/>
      <c r="H31" s="110"/>
      <c r="I31" s="110"/>
      <c r="J31" s="110"/>
    </row>
    <row r="32" spans="1:10" ht="15.75">
      <c r="A32" s="210" t="s">
        <v>36</v>
      </c>
      <c r="B32" s="211" t="s">
        <v>33</v>
      </c>
      <c r="C32" s="212" t="s">
        <v>37</v>
      </c>
      <c r="D32" s="213">
        <f>0.24*12*387.05</f>
        <v>1114.704</v>
      </c>
      <c r="E32" s="110"/>
      <c r="F32" s="110"/>
      <c r="G32" s="110"/>
      <c r="H32" s="110"/>
      <c r="I32" s="110"/>
      <c r="J32" s="110"/>
    </row>
    <row r="33" spans="1:10" ht="15.75">
      <c r="A33" s="210" t="s">
        <v>79</v>
      </c>
      <c r="B33" s="369" t="s">
        <v>33</v>
      </c>
      <c r="C33" s="212" t="s">
        <v>34</v>
      </c>
      <c r="D33" s="213">
        <f>0.73*12*387.05</f>
        <v>3390.558</v>
      </c>
      <c r="E33" s="110"/>
      <c r="F33" s="110"/>
      <c r="G33" s="110"/>
      <c r="H33" s="110"/>
      <c r="I33" s="110"/>
      <c r="J33" s="110"/>
    </row>
    <row r="34" spans="1:10" ht="15.75">
      <c r="A34" s="210" t="s">
        <v>80</v>
      </c>
      <c r="B34" s="211" t="s">
        <v>33</v>
      </c>
      <c r="C34" s="212" t="s">
        <v>34</v>
      </c>
      <c r="D34" s="213">
        <f>1.38*12*387.05</f>
        <v>6409.548</v>
      </c>
      <c r="E34" s="110"/>
      <c r="F34" s="110"/>
      <c r="G34" s="110"/>
      <c r="H34" s="110"/>
      <c r="I34" s="110"/>
      <c r="J34" s="110"/>
    </row>
    <row r="35" spans="1:10" ht="31.5">
      <c r="A35" s="210" t="s">
        <v>81</v>
      </c>
      <c r="B35" s="216" t="s">
        <v>82</v>
      </c>
      <c r="C35" s="212" t="s">
        <v>34</v>
      </c>
      <c r="D35" s="213">
        <f>1.33*12*387.05</f>
        <v>6177.318</v>
      </c>
      <c r="E35" s="110"/>
      <c r="F35" s="110"/>
      <c r="G35" s="110"/>
      <c r="H35" s="110"/>
      <c r="I35" s="110"/>
      <c r="J35" s="110"/>
    </row>
    <row r="36" spans="1:10" ht="15.75">
      <c r="A36" s="210" t="s">
        <v>38</v>
      </c>
      <c r="B36" s="211" t="s">
        <v>35</v>
      </c>
      <c r="C36" s="368" t="s">
        <v>237</v>
      </c>
      <c r="D36" s="214">
        <f>4.19*387.05*12</f>
        <v>19460.874000000003</v>
      </c>
      <c r="E36" s="110"/>
      <c r="F36" s="110"/>
      <c r="G36" s="110"/>
      <c r="H36" s="110"/>
      <c r="I36" s="110"/>
      <c r="J36" s="110"/>
    </row>
    <row r="37" spans="1:10" ht="15.75">
      <c r="A37" s="210" t="s">
        <v>315</v>
      </c>
      <c r="B37" s="211" t="s">
        <v>238</v>
      </c>
      <c r="C37" s="278" t="s">
        <v>37</v>
      </c>
      <c r="D37" s="213">
        <v>1950.66</v>
      </c>
      <c r="E37" s="110"/>
      <c r="F37" s="110"/>
      <c r="G37" s="110"/>
      <c r="H37" s="110"/>
      <c r="I37" s="110"/>
      <c r="J37" s="110"/>
    </row>
    <row r="38" spans="1:10" ht="15.75">
      <c r="A38" s="210" t="s">
        <v>219</v>
      </c>
      <c r="B38" s="211"/>
      <c r="C38" s="217"/>
      <c r="D38" s="213"/>
      <c r="E38" s="110"/>
      <c r="F38" s="110"/>
      <c r="G38" s="110"/>
      <c r="H38" s="110"/>
      <c r="I38" s="110"/>
      <c r="J38" s="110"/>
    </row>
    <row r="39" spans="1:10" ht="47.25">
      <c r="A39" s="210" t="s">
        <v>223</v>
      </c>
      <c r="B39" s="211" t="s">
        <v>35</v>
      </c>
      <c r="C39" s="278" t="s">
        <v>220</v>
      </c>
      <c r="D39" s="213">
        <v>464.52</v>
      </c>
      <c r="E39" s="110"/>
      <c r="F39" s="110"/>
      <c r="G39" s="110"/>
      <c r="H39" s="110"/>
      <c r="I39" s="110"/>
      <c r="J39" s="110"/>
    </row>
    <row r="40" spans="1:10" ht="15.75">
      <c r="A40" s="210" t="s">
        <v>221</v>
      </c>
      <c r="B40" s="211" t="s">
        <v>35</v>
      </c>
      <c r="C40" s="217" t="s">
        <v>222</v>
      </c>
      <c r="D40" s="213">
        <v>33934.16</v>
      </c>
      <c r="E40" s="110"/>
      <c r="F40" s="110"/>
      <c r="G40" s="110"/>
      <c r="H40" s="110"/>
      <c r="I40" s="110"/>
      <c r="J40" s="110"/>
    </row>
    <row r="41" spans="1:14" s="1" customFormat="1" ht="78.75">
      <c r="A41" s="263" t="s">
        <v>213</v>
      </c>
      <c r="B41" s="218" t="s">
        <v>41</v>
      </c>
      <c r="C41" s="224"/>
      <c r="D41" s="387">
        <f>D42+D43+D44</f>
        <v>15991</v>
      </c>
      <c r="E41" s="110"/>
      <c r="F41" s="110"/>
      <c r="G41" s="110"/>
      <c r="H41" s="110"/>
      <c r="I41" s="110"/>
      <c r="J41" s="110"/>
      <c r="K41"/>
      <c r="L41"/>
      <c r="M41"/>
      <c r="N41"/>
    </row>
    <row r="42" spans="1:14" s="1" customFormat="1" ht="15.75">
      <c r="A42" s="222" t="s">
        <v>258</v>
      </c>
      <c r="B42" s="298" t="s">
        <v>235</v>
      </c>
      <c r="C42" s="212" t="s">
        <v>34</v>
      </c>
      <c r="D42" s="178">
        <v>1603</v>
      </c>
      <c r="E42" s="110"/>
      <c r="F42" s="110"/>
      <c r="G42" s="110"/>
      <c r="H42" s="110"/>
      <c r="I42" s="110"/>
      <c r="J42" s="110"/>
      <c r="K42"/>
      <c r="L42"/>
      <c r="M42"/>
      <c r="N42"/>
    </row>
    <row r="43" spans="1:14" s="1" customFormat="1" ht="15.75">
      <c r="A43" s="222" t="s">
        <v>259</v>
      </c>
      <c r="B43" s="298" t="s">
        <v>159</v>
      </c>
      <c r="C43" s="212" t="s">
        <v>34</v>
      </c>
      <c r="D43" s="178">
        <v>924</v>
      </c>
      <c r="E43" s="110"/>
      <c r="F43" s="110"/>
      <c r="G43" s="110"/>
      <c r="H43" s="110"/>
      <c r="I43" s="110"/>
      <c r="J43" s="110"/>
      <c r="K43"/>
      <c r="L43"/>
      <c r="M43"/>
      <c r="N43"/>
    </row>
    <row r="44" spans="1:14" s="1" customFormat="1" ht="15.75">
      <c r="A44" s="222" t="s">
        <v>260</v>
      </c>
      <c r="B44" s="220" t="s">
        <v>151</v>
      </c>
      <c r="C44" s="212" t="s">
        <v>249</v>
      </c>
      <c r="D44" s="178">
        <v>13464</v>
      </c>
      <c r="E44" s="110"/>
      <c r="F44" s="110"/>
      <c r="G44" s="110"/>
      <c r="H44" s="110"/>
      <c r="I44" s="110"/>
      <c r="J44" s="110"/>
      <c r="K44"/>
      <c r="L44"/>
      <c r="M44"/>
      <c r="N44"/>
    </row>
    <row r="45" spans="1:14" s="1" customFormat="1" ht="15.75">
      <c r="A45" s="37" t="s">
        <v>42</v>
      </c>
      <c r="B45" s="225"/>
      <c r="C45" s="226"/>
      <c r="D45" s="98">
        <f>D30+D31+D32+D33+D34+D35+D36+D37+D39+D40+D41</f>
        <v>102827.14199999999</v>
      </c>
      <c r="E45" s="113">
        <f>D45-D41-D39-D40</f>
        <v>52437.461999999985</v>
      </c>
      <c r="F45" s="110"/>
      <c r="G45" s="110"/>
      <c r="H45" s="110"/>
      <c r="I45" s="110"/>
      <c r="J45" s="110"/>
      <c r="K45"/>
      <c r="L45"/>
      <c r="M45"/>
      <c r="N45"/>
    </row>
    <row r="46" spans="1:14" s="1" customFormat="1" ht="15.75">
      <c r="A46" s="40" t="s">
        <v>43</v>
      </c>
      <c r="B46" s="227" t="s">
        <v>11</v>
      </c>
      <c r="C46" s="228"/>
      <c r="D46" s="229">
        <f>C27-D45</f>
        <v>-24319.186639999985</v>
      </c>
      <c r="E46" s="113"/>
      <c r="F46" s="110"/>
      <c r="G46" s="110"/>
      <c r="H46" s="110"/>
      <c r="I46" s="110"/>
      <c r="J46" s="110"/>
      <c r="K46"/>
      <c r="L46"/>
      <c r="M46"/>
      <c r="N46"/>
    </row>
    <row r="47" spans="1:14" s="1" customFormat="1" ht="15.75">
      <c r="A47" s="230" t="s">
        <v>12</v>
      </c>
      <c r="B47" s="231" t="s">
        <v>11</v>
      </c>
      <c r="C47" s="212"/>
      <c r="D47" s="196">
        <v>0</v>
      </c>
      <c r="E47" s="110"/>
      <c r="F47" s="110"/>
      <c r="G47" s="110"/>
      <c r="H47" s="110"/>
      <c r="I47" s="110"/>
      <c r="J47" s="110"/>
      <c r="K47"/>
      <c r="L47"/>
      <c r="M47"/>
      <c r="N47"/>
    </row>
    <row r="48" spans="1:14" s="1" customFormat="1" ht="15.75">
      <c r="A48" s="230" t="s">
        <v>13</v>
      </c>
      <c r="B48" s="231" t="s">
        <v>11</v>
      </c>
      <c r="C48" s="212"/>
      <c r="D48" s="198">
        <v>66571.5</v>
      </c>
      <c r="E48" s="110"/>
      <c r="F48" s="110"/>
      <c r="G48" s="110"/>
      <c r="H48" s="110"/>
      <c r="I48" s="110"/>
      <c r="J48" s="110"/>
      <c r="K48"/>
      <c r="L48"/>
      <c r="M48"/>
      <c r="N48"/>
    </row>
    <row r="49" spans="1:14" s="1" customFormat="1" ht="24" customHeight="1">
      <c r="A49" s="492" t="s">
        <v>44</v>
      </c>
      <c r="B49" s="492"/>
      <c r="C49" s="492"/>
      <c r="D49" s="492"/>
      <c r="E49" s="110"/>
      <c r="F49" s="110"/>
      <c r="G49" s="110"/>
      <c r="H49" s="110"/>
      <c r="I49" s="110"/>
      <c r="J49" s="110"/>
      <c r="K49"/>
      <c r="L49"/>
      <c r="M49"/>
      <c r="N49"/>
    </row>
    <row r="50" spans="1:14" s="1" customFormat="1" ht="15.75">
      <c r="A50" s="230" t="s">
        <v>45</v>
      </c>
      <c r="B50" s="211" t="s">
        <v>46</v>
      </c>
      <c r="C50" s="212"/>
      <c r="D50" s="196">
        <v>0</v>
      </c>
      <c r="E50" s="110"/>
      <c r="F50" s="110"/>
      <c r="G50" s="110"/>
      <c r="H50" s="110"/>
      <c r="I50" s="110"/>
      <c r="J50" s="110"/>
      <c r="K50"/>
      <c r="L50"/>
      <c r="M50"/>
      <c r="N50"/>
    </row>
    <row r="51" spans="1:14" s="1" customFormat="1" ht="15.75">
      <c r="A51" s="230" t="s">
        <v>47</v>
      </c>
      <c r="B51" s="211" t="s">
        <v>46</v>
      </c>
      <c r="C51" s="212"/>
      <c r="D51" s="196">
        <v>0</v>
      </c>
      <c r="E51" s="110"/>
      <c r="F51" s="110"/>
      <c r="G51" s="110"/>
      <c r="H51" s="110"/>
      <c r="I51" s="110"/>
      <c r="J51" s="110"/>
      <c r="K51"/>
      <c r="L51"/>
      <c r="M51"/>
      <c r="N51"/>
    </row>
    <row r="52" spans="1:14" s="1" customFormat="1" ht="26.25">
      <c r="A52" s="232" t="s">
        <v>48</v>
      </c>
      <c r="B52" s="211" t="s">
        <v>46</v>
      </c>
      <c r="C52" s="212"/>
      <c r="D52" s="196">
        <v>0</v>
      </c>
      <c r="E52" s="110"/>
      <c r="F52" s="110"/>
      <c r="G52" s="110"/>
      <c r="H52" s="110"/>
      <c r="I52" s="110"/>
      <c r="J52" s="110"/>
      <c r="K52"/>
      <c r="L52"/>
      <c r="M52"/>
      <c r="N52"/>
    </row>
    <row r="53" spans="1:14" s="1" customFormat="1" ht="15.75">
      <c r="A53" s="230" t="s">
        <v>49</v>
      </c>
      <c r="B53" s="211" t="s">
        <v>11</v>
      </c>
      <c r="C53" s="212"/>
      <c r="D53" s="196">
        <v>0</v>
      </c>
      <c r="E53" s="110"/>
      <c r="F53" s="110"/>
      <c r="G53" s="110"/>
      <c r="H53" s="110"/>
      <c r="I53" s="110"/>
      <c r="J53" s="110"/>
      <c r="K53"/>
      <c r="L53"/>
      <c r="M53"/>
      <c r="N53"/>
    </row>
    <row r="54" spans="1:10" ht="20.25" customHeight="1">
      <c r="A54" s="493" t="s">
        <v>50</v>
      </c>
      <c r="B54" s="493"/>
      <c r="C54" s="493"/>
      <c r="D54" s="493"/>
      <c r="E54" s="110"/>
      <c r="F54" s="110"/>
      <c r="G54" s="110"/>
      <c r="H54" s="110"/>
      <c r="I54" s="110"/>
      <c r="J54" s="110"/>
    </row>
    <row r="55" spans="1:10" ht="26.25">
      <c r="A55" s="232" t="s">
        <v>51</v>
      </c>
      <c r="B55" s="211" t="s">
        <v>11</v>
      </c>
      <c r="C55" s="212"/>
      <c r="D55" s="196">
        <v>0</v>
      </c>
      <c r="E55" s="110"/>
      <c r="F55" s="110"/>
      <c r="G55" s="110"/>
      <c r="H55" s="110"/>
      <c r="I55" s="110"/>
      <c r="J55" s="110"/>
    </row>
    <row r="56" spans="1:10" ht="15.75">
      <c r="A56" s="230" t="s">
        <v>12</v>
      </c>
      <c r="B56" s="211" t="s">
        <v>11</v>
      </c>
      <c r="C56" s="212"/>
      <c r="D56" s="196">
        <v>0</v>
      </c>
      <c r="E56" s="110"/>
      <c r="F56" s="110"/>
      <c r="G56" s="110"/>
      <c r="H56" s="110"/>
      <c r="I56" s="110"/>
      <c r="J56" s="110"/>
    </row>
    <row r="57" spans="1:10" ht="15.75">
      <c r="A57" s="230" t="s">
        <v>13</v>
      </c>
      <c r="B57" s="211" t="s">
        <v>11</v>
      </c>
      <c r="C57" s="212"/>
      <c r="D57" s="233">
        <f>D60-D63-D64-D65-D66</f>
        <v>263776.57552</v>
      </c>
      <c r="E57" s="110"/>
      <c r="F57" s="110"/>
      <c r="G57" s="110"/>
      <c r="H57" s="114"/>
      <c r="I57" s="110"/>
      <c r="J57" s="110"/>
    </row>
    <row r="58" spans="1:8" ht="26.25">
      <c r="A58" s="234" t="s">
        <v>52</v>
      </c>
      <c r="B58" s="211" t="s">
        <v>11</v>
      </c>
      <c r="C58" s="235"/>
      <c r="D58" s="236">
        <v>0</v>
      </c>
      <c r="E58" s="110"/>
      <c r="F58" s="110"/>
      <c r="G58" s="110"/>
      <c r="H58" s="110"/>
    </row>
    <row r="59" spans="1:10" ht="17.25" customHeight="1">
      <c r="A59" s="257" t="s">
        <v>12</v>
      </c>
      <c r="B59" s="211" t="s">
        <v>11</v>
      </c>
      <c r="C59" s="279"/>
      <c r="D59" s="55">
        <v>0</v>
      </c>
      <c r="E59" s="110"/>
      <c r="F59" s="110"/>
      <c r="G59" s="110"/>
      <c r="H59" s="110"/>
      <c r="I59" s="49"/>
      <c r="J59" s="49"/>
    </row>
    <row r="60" spans="1:14" ht="15.75">
      <c r="A60" s="238" t="s">
        <v>13</v>
      </c>
      <c r="B60" s="211" t="s">
        <v>11</v>
      </c>
      <c r="C60" s="239"/>
      <c r="D60" s="240">
        <v>253298.5</v>
      </c>
      <c r="E60" s="110"/>
      <c r="F60" s="110"/>
      <c r="G60" s="110"/>
      <c r="H60" s="110" t="s">
        <v>26</v>
      </c>
      <c r="I60" s="60"/>
      <c r="J60" s="60"/>
      <c r="K60" s="61"/>
      <c r="L60" s="61"/>
      <c r="M60" s="61"/>
      <c r="N60" s="61"/>
    </row>
    <row r="61" spans="1:14" ht="18" customHeight="1" thickBot="1">
      <c r="A61" s="494" t="s">
        <v>53</v>
      </c>
      <c r="B61" s="494"/>
      <c r="C61" s="494"/>
      <c r="D61" s="494"/>
      <c r="E61" s="115"/>
      <c r="F61" s="116"/>
      <c r="G61" s="117"/>
      <c r="H61" s="110"/>
      <c r="I61" s="65"/>
      <c r="J61" s="65"/>
      <c r="K61" s="66"/>
      <c r="L61" s="66"/>
      <c r="M61" s="66"/>
      <c r="N61" s="66"/>
    </row>
    <row r="62" spans="1:14" ht="38.25">
      <c r="A62" s="162" t="s">
        <v>54</v>
      </c>
      <c r="B62" s="68" t="s">
        <v>55</v>
      </c>
      <c r="C62" s="159" t="s">
        <v>56</v>
      </c>
      <c r="D62" s="160" t="s">
        <v>57</v>
      </c>
      <c r="E62" s="115"/>
      <c r="F62" s="116"/>
      <c r="G62" s="117"/>
      <c r="H62" s="110"/>
      <c r="I62" s="65"/>
      <c r="J62" s="71"/>
      <c r="K62" s="66"/>
      <c r="L62" s="66"/>
      <c r="M62" s="66"/>
      <c r="N62" s="66"/>
    </row>
    <row r="63" spans="1:14" ht="15.75">
      <c r="A63" s="241" t="s">
        <v>58</v>
      </c>
      <c r="B63" s="280">
        <v>26309.09</v>
      </c>
      <c r="C63" s="454">
        <f>B63*1.044</f>
        <v>27466.68996</v>
      </c>
      <c r="D63" s="455">
        <f>B63-C63</f>
        <v>-1157.5999599999996</v>
      </c>
      <c r="E63" s="118"/>
      <c r="F63" s="63"/>
      <c r="G63" s="64"/>
      <c r="I63" s="65"/>
      <c r="J63" s="65"/>
      <c r="K63" s="66"/>
      <c r="L63" s="66"/>
      <c r="M63" s="66"/>
      <c r="N63" s="66"/>
    </row>
    <row r="64" spans="1:14" ht="15.75">
      <c r="A64" s="241" t="s">
        <v>59</v>
      </c>
      <c r="B64" s="280">
        <v>30107.65</v>
      </c>
      <c r="C64" s="454">
        <f>B64*1.044</f>
        <v>31432.3866</v>
      </c>
      <c r="D64" s="455">
        <f>B64-C64</f>
        <v>-1324.7366000000002</v>
      </c>
      <c r="E64" s="115"/>
      <c r="F64" s="63"/>
      <c r="G64" s="64"/>
      <c r="I64" s="65"/>
      <c r="J64" s="65"/>
      <c r="K64" s="66"/>
      <c r="L64" s="66"/>
      <c r="M64" s="66"/>
      <c r="N64" s="66"/>
    </row>
    <row r="65" spans="1:14" ht="15.75">
      <c r="A65" s="241" t="s">
        <v>60</v>
      </c>
      <c r="B65" s="283">
        <v>181721.34</v>
      </c>
      <c r="C65" s="454">
        <f>B65*1.044</f>
        <v>189717.07896</v>
      </c>
      <c r="D65" s="455">
        <f>B65-C65</f>
        <v>-7995.738960000017</v>
      </c>
      <c r="E65" s="115">
        <f>(2.07+1.8)*6*2301.2-0.37*2301.2*6</f>
        <v>48325.2</v>
      </c>
      <c r="F65" s="74"/>
      <c r="G65" s="75"/>
      <c r="H65" s="62"/>
      <c r="I65" s="65"/>
      <c r="J65" s="65"/>
      <c r="K65" s="66"/>
      <c r="L65" s="66"/>
      <c r="M65" s="66"/>
      <c r="N65" s="66"/>
    </row>
    <row r="66" spans="1:14" ht="16.5" thickBot="1">
      <c r="A66" s="264" t="s">
        <v>318</v>
      </c>
      <c r="B66" s="291">
        <v>24560.16</v>
      </c>
      <c r="C66" s="454">
        <f>B66</f>
        <v>24560.16</v>
      </c>
      <c r="D66" s="461">
        <f>B66-C66</f>
        <v>0</v>
      </c>
      <c r="E66" s="115"/>
      <c r="F66" s="74"/>
      <c r="G66" s="75"/>
      <c r="I66" s="65"/>
      <c r="J66" s="65"/>
      <c r="K66" s="66"/>
      <c r="L66" s="66"/>
      <c r="M66" s="66"/>
      <c r="N66" s="66"/>
    </row>
    <row r="67" spans="1:14" ht="78.75">
      <c r="A67" s="130" t="s">
        <v>62</v>
      </c>
      <c r="B67" s="142" t="s">
        <v>63</v>
      </c>
      <c r="C67" s="143" t="s">
        <v>64</v>
      </c>
      <c r="D67" s="144" t="s">
        <v>65</v>
      </c>
      <c r="E67" s="115"/>
      <c r="F67" s="74"/>
      <c r="H67" s="65"/>
      <c r="I67" s="65"/>
      <c r="J67" s="65"/>
      <c r="K67" s="66"/>
      <c r="L67" s="66"/>
      <c r="M67" s="66"/>
      <c r="N67" s="66"/>
    </row>
    <row r="68" spans="1:14" ht="15.75">
      <c r="A68" s="268" t="s">
        <v>58</v>
      </c>
      <c r="B68" s="251">
        <f aca="true" t="shared" si="0" ref="B68:C70">B63</f>
        <v>26309.09</v>
      </c>
      <c r="C68" s="457">
        <f t="shared" si="0"/>
        <v>27466.68996</v>
      </c>
      <c r="D68" s="462">
        <f>B68-C68</f>
        <v>-1157.5999599999996</v>
      </c>
      <c r="E68" s="115"/>
      <c r="F68" s="74"/>
      <c r="H68" s="65"/>
      <c r="I68" s="65"/>
      <c r="J68" s="65" t="s">
        <v>26</v>
      </c>
      <c r="K68" s="66"/>
      <c r="L68" s="66"/>
      <c r="M68" s="66"/>
      <c r="N68" s="66"/>
    </row>
    <row r="69" spans="1:14" ht="15.75">
      <c r="A69" s="268" t="s">
        <v>59</v>
      </c>
      <c r="B69" s="251">
        <f t="shared" si="0"/>
        <v>30107.65</v>
      </c>
      <c r="C69" s="457">
        <f t="shared" si="0"/>
        <v>31432.3866</v>
      </c>
      <c r="D69" s="462">
        <f>B69-C69</f>
        <v>-1324.7366000000002</v>
      </c>
      <c r="E69" s="115"/>
      <c r="F69" s="74"/>
      <c r="H69" s="65"/>
      <c r="I69" s="65"/>
      <c r="J69" s="65"/>
      <c r="K69" s="66"/>
      <c r="L69" s="66"/>
      <c r="M69" s="66"/>
      <c r="N69" s="66"/>
    </row>
    <row r="70" spans="1:14" ht="15.75">
      <c r="A70" s="268" t="s">
        <v>60</v>
      </c>
      <c r="B70" s="251">
        <f t="shared" si="0"/>
        <v>181721.34</v>
      </c>
      <c r="C70" s="457">
        <f t="shared" si="0"/>
        <v>189717.07896</v>
      </c>
      <c r="D70" s="462">
        <f>B70-C70</f>
        <v>-7995.738960000017</v>
      </c>
      <c r="E70" s="115"/>
      <c r="F70" s="74"/>
      <c r="H70" s="65"/>
      <c r="I70" s="65"/>
      <c r="J70" s="65"/>
      <c r="K70" s="66"/>
      <c r="L70" s="66"/>
      <c r="M70" s="66"/>
      <c r="N70" s="66"/>
    </row>
    <row r="71" spans="1:14" ht="15.75">
      <c r="A71" s="399" t="s">
        <v>318</v>
      </c>
      <c r="B71" s="400">
        <v>24560.16</v>
      </c>
      <c r="C71" s="463">
        <f>B71</f>
        <v>24560.16</v>
      </c>
      <c r="D71" s="464">
        <f>B71-C71</f>
        <v>0</v>
      </c>
      <c r="E71" s="115"/>
      <c r="F71" s="74"/>
      <c r="H71" s="65"/>
      <c r="I71" s="65"/>
      <c r="J71" s="65"/>
      <c r="K71" s="66"/>
      <c r="L71" s="66"/>
      <c r="M71" s="66"/>
      <c r="N71" s="66"/>
    </row>
    <row r="72" spans="1:14" ht="15.75">
      <c r="A72" s="250"/>
      <c r="B72" s="251"/>
      <c r="C72" s="447"/>
      <c r="D72" s="448"/>
      <c r="E72" s="115"/>
      <c r="F72" s="74"/>
      <c r="H72" s="65"/>
      <c r="I72" s="65"/>
      <c r="J72" s="65"/>
      <c r="K72" s="66"/>
      <c r="L72" s="66"/>
      <c r="M72" s="66"/>
      <c r="N72" s="66"/>
    </row>
    <row r="73" spans="1:14" ht="26.25">
      <c r="A73" s="254" t="s">
        <v>66</v>
      </c>
      <c r="B73" s="251" t="s">
        <v>11</v>
      </c>
      <c r="C73" s="449"/>
      <c r="D73" s="450">
        <v>53127.36</v>
      </c>
      <c r="E73" s="115"/>
      <c r="F73" s="74"/>
      <c r="H73" s="65"/>
      <c r="I73" s="65"/>
      <c r="J73" s="65" t="s">
        <v>26</v>
      </c>
      <c r="K73" s="66"/>
      <c r="L73" s="66"/>
      <c r="M73" s="66"/>
      <c r="N73" s="66"/>
    </row>
    <row r="74" spans="1:14" ht="17.25" customHeight="1">
      <c r="A74" s="495" t="s">
        <v>67</v>
      </c>
      <c r="B74" s="495"/>
      <c r="C74" s="495"/>
      <c r="D74" s="495"/>
      <c r="E74" s="122" t="e">
        <f>D74+B19</f>
        <v>#VALUE!</v>
      </c>
      <c r="F74" s="65"/>
      <c r="H74" s="85" t="e">
        <f>E74-B18</f>
        <v>#VALUE!</v>
      </c>
      <c r="I74" s="65"/>
      <c r="J74" s="65"/>
      <c r="K74" s="66"/>
      <c r="L74" s="66"/>
      <c r="M74" s="66"/>
      <c r="N74" s="66"/>
    </row>
    <row r="75" spans="1:5" ht="21" customHeight="1">
      <c r="A75" s="87" t="s">
        <v>45</v>
      </c>
      <c r="B75" s="87" t="s">
        <v>46</v>
      </c>
      <c r="C75" s="87"/>
      <c r="D75" s="179">
        <v>0</v>
      </c>
      <c r="E75" s="124"/>
    </row>
    <row r="76" spans="1:5" ht="21" customHeight="1">
      <c r="A76" s="87" t="s">
        <v>47</v>
      </c>
      <c r="B76" s="87" t="s">
        <v>46</v>
      </c>
      <c r="C76" s="87"/>
      <c r="D76" s="179">
        <v>0</v>
      </c>
      <c r="E76" s="124"/>
    </row>
    <row r="77" spans="1:5" ht="18" customHeight="1">
      <c r="A77" s="87" t="s">
        <v>48</v>
      </c>
      <c r="B77" s="87" t="s">
        <v>46</v>
      </c>
      <c r="C77" s="87"/>
      <c r="D77" s="179">
        <v>0</v>
      </c>
      <c r="E77" s="124"/>
    </row>
    <row r="78" spans="1:5" ht="16.5" customHeight="1">
      <c r="A78" s="87" t="s">
        <v>49</v>
      </c>
      <c r="B78" s="87" t="s">
        <v>11</v>
      </c>
      <c r="C78" s="87"/>
      <c r="D78" s="179">
        <v>0</v>
      </c>
      <c r="E78" s="124"/>
    </row>
    <row r="79" spans="1:5" ht="15.75" customHeight="1">
      <c r="A79" s="489" t="s">
        <v>68</v>
      </c>
      <c r="B79" s="489"/>
      <c r="C79" s="489"/>
      <c r="D79" s="489"/>
      <c r="E79" s="89"/>
    </row>
    <row r="80" spans="1:5" ht="18.75" customHeight="1">
      <c r="A80" s="87" t="s">
        <v>69</v>
      </c>
      <c r="B80" s="87" t="s">
        <v>46</v>
      </c>
      <c r="C80" s="87"/>
      <c r="D80" s="179">
        <v>1</v>
      </c>
      <c r="E80" s="89"/>
    </row>
    <row r="81" spans="1:5" ht="21.75" customHeight="1">
      <c r="A81" s="87" t="s">
        <v>70</v>
      </c>
      <c r="B81" s="257" t="s">
        <v>46</v>
      </c>
      <c r="C81" s="257"/>
      <c r="D81" s="179">
        <v>1</v>
      </c>
      <c r="E81" s="89"/>
    </row>
    <row r="82" spans="1:5" ht="36" customHeight="1">
      <c r="A82" s="258" t="s">
        <v>71</v>
      </c>
      <c r="B82" s="87" t="s">
        <v>11</v>
      </c>
      <c r="C82" s="87"/>
      <c r="D82" s="179">
        <v>18000</v>
      </c>
      <c r="E82" s="89"/>
    </row>
    <row r="83" spans="1:4" ht="15.75">
      <c r="A83" s="259"/>
      <c r="B83" s="259"/>
      <c r="C83" s="259"/>
      <c r="D83" s="260"/>
    </row>
    <row r="84" spans="1:14" s="1" customFormat="1" ht="12.75">
      <c r="A84" s="180"/>
      <c r="B84" s="180"/>
      <c r="C84" s="180"/>
      <c r="D84" s="180"/>
      <c r="H84" s="1" t="s">
        <v>26</v>
      </c>
      <c r="K84"/>
      <c r="L84"/>
      <c r="M84"/>
      <c r="N84"/>
    </row>
    <row r="85" spans="1:14" s="1" customFormat="1" ht="12.75">
      <c r="A85" s="180" t="s">
        <v>72</v>
      </c>
      <c r="B85" s="180"/>
      <c r="C85" s="180" t="s">
        <v>146</v>
      </c>
      <c r="D85" s="180"/>
      <c r="K85"/>
      <c r="L85"/>
      <c r="M85"/>
      <c r="N85"/>
    </row>
    <row r="86" spans="1:14" s="1" customFormat="1" ht="12.75">
      <c r="A86" s="180"/>
      <c r="B86" s="180"/>
      <c r="C86" s="180"/>
      <c r="D86" s="180"/>
      <c r="H86" s="1" t="s">
        <v>26</v>
      </c>
      <c r="K86"/>
      <c r="L86"/>
      <c r="M86"/>
      <c r="N86"/>
    </row>
    <row r="87" spans="1:14" s="1" customFormat="1" ht="12.75">
      <c r="A87" s="180" t="s">
        <v>73</v>
      </c>
      <c r="B87" s="180"/>
      <c r="C87" s="180"/>
      <c r="D87" s="180"/>
      <c r="K87"/>
      <c r="L87"/>
      <c r="M87"/>
      <c r="N87"/>
    </row>
    <row r="88" spans="1:4" ht="12.75">
      <c r="A88" s="180"/>
      <c r="B88" s="180"/>
      <c r="C88" s="180"/>
      <c r="D88" s="180"/>
    </row>
    <row r="89" spans="1:4" ht="12.75">
      <c r="A89" s="180"/>
      <c r="B89" s="180"/>
      <c r="C89" s="180"/>
      <c r="D89" s="180"/>
    </row>
    <row r="91" spans="1:14" s="1" customFormat="1" ht="12.75">
      <c r="A91"/>
      <c r="B91"/>
      <c r="C91"/>
      <c r="D91"/>
      <c r="E91" s="1" t="s">
        <v>26</v>
      </c>
      <c r="K91"/>
      <c r="L91"/>
      <c r="M91"/>
      <c r="N91"/>
    </row>
  </sheetData>
  <sheetProtection selectLockedCells="1" selectUnlockedCells="1"/>
  <mergeCells count="13">
    <mergeCell ref="A79:D79"/>
    <mergeCell ref="A14:D14"/>
    <mergeCell ref="A28:D28"/>
    <mergeCell ref="A49:D49"/>
    <mergeCell ref="A54:D54"/>
    <mergeCell ref="A61:D61"/>
    <mergeCell ref="A74:D74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6">
      <selection activeCell="E17" sqref="E17:H4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139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200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5" ht="12.75">
      <c r="A12" s="8" t="s">
        <v>7</v>
      </c>
      <c r="B12" s="9"/>
      <c r="C12" s="145" t="s">
        <v>243</v>
      </c>
      <c r="D12" s="10"/>
      <c r="E12" s="110"/>
    </row>
    <row r="13" spans="1:5" ht="12.75">
      <c r="A13" s="8" t="s">
        <v>8</v>
      </c>
      <c r="B13" s="9"/>
      <c r="C13" s="145" t="s">
        <v>244</v>
      </c>
      <c r="D13" s="10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5" ht="25.5">
      <c r="A15" s="11" t="s">
        <v>10</v>
      </c>
      <c r="B15" s="12" t="s">
        <v>11</v>
      </c>
      <c r="C15" s="15">
        <v>354.1</v>
      </c>
      <c r="D15" s="14"/>
      <c r="E15" s="110"/>
    </row>
    <row r="16" spans="1:5" ht="15">
      <c r="A16" s="8" t="s">
        <v>12</v>
      </c>
      <c r="B16" s="12" t="s">
        <v>11</v>
      </c>
      <c r="C16" s="13"/>
      <c r="D16" s="14"/>
      <c r="E16" s="110"/>
    </row>
    <row r="17" spans="1:8" ht="15">
      <c r="A17" s="8" t="s">
        <v>13</v>
      </c>
      <c r="B17" s="12" t="s">
        <v>11</v>
      </c>
      <c r="C17" s="15">
        <v>6463.43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7859.4</f>
        <v>7859.4</v>
      </c>
      <c r="D18" s="16"/>
      <c r="E18" s="111">
        <f>C18-C20</f>
        <v>4706.664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2021.7119999999995</v>
      </c>
      <c r="D19" s="16"/>
      <c r="E19" s="111">
        <f>E18-E38</f>
        <v>-0.012000000000625732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(5.13+4.71)*6*53.4</f>
        <v>3152.736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53.4*4.19*12</f>
        <v>2684.952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4295.948039999999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C18*0.5466</f>
        <v>4295.948039999999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4650.04804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(0.85+0.4)*6*53.4</f>
        <v>400.5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0.24*12*53.4</f>
        <v>153.792</v>
      </c>
      <c r="E32" s="110"/>
      <c r="F32" s="110"/>
      <c r="G32" s="110"/>
      <c r="H32" s="110"/>
    </row>
    <row r="33" spans="1:8" ht="15">
      <c r="A33" s="154" t="s">
        <v>186</v>
      </c>
      <c r="B33" s="30" t="s">
        <v>33</v>
      </c>
      <c r="C33" s="31" t="s">
        <v>34</v>
      </c>
      <c r="D33" s="94">
        <v>0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(1.11+1.33)*6*53.4</f>
        <v>781.7760000000001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4.19*53.4*12</f>
        <v>2684.952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53.4*(0.72+1.42)*6</f>
        <v>685.656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109" t="s">
        <v>77</v>
      </c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D31+D32+D33+D34+D35+D36+D37</f>
        <v>4706.676</v>
      </c>
      <c r="E38" s="113">
        <f>D38-D37</f>
        <v>4706.676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-56.62796000000071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9585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/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/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/>
      <c r="D45" s="14">
        <v>0</v>
      </c>
      <c r="E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/>
      <c r="D46" s="14">
        <v>0</v>
      </c>
      <c r="E46" s="110"/>
      <c r="K46"/>
      <c r="L46"/>
      <c r="M46"/>
      <c r="N46"/>
    </row>
    <row r="47" spans="1:5" ht="20.25" customHeight="1">
      <c r="A47" s="493" t="s">
        <v>50</v>
      </c>
      <c r="B47" s="493"/>
      <c r="C47" s="493"/>
      <c r="D47" s="493"/>
      <c r="E47" s="110"/>
    </row>
    <row r="48" spans="1:5" ht="25.5">
      <c r="A48" s="47" t="s">
        <v>51</v>
      </c>
      <c r="B48" s="30" t="s">
        <v>11</v>
      </c>
      <c r="C48" s="31"/>
      <c r="D48" s="14">
        <v>0</v>
      </c>
      <c r="E48" s="110"/>
    </row>
    <row r="49" spans="1:5" ht="15">
      <c r="A49" s="45" t="s">
        <v>12</v>
      </c>
      <c r="B49" s="30" t="s">
        <v>11</v>
      </c>
      <c r="C49" s="31"/>
      <c r="D49" s="58">
        <f>D53-D56-D59</f>
        <v>3322.0712019999996</v>
      </c>
      <c r="E49" s="110"/>
    </row>
    <row r="50" spans="1:8" ht="15">
      <c r="A50" s="45" t="s">
        <v>13</v>
      </c>
      <c r="B50" s="30" t="s">
        <v>11</v>
      </c>
      <c r="C50" s="31"/>
      <c r="D50" s="48"/>
      <c r="E50" s="110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5288</v>
      </c>
      <c r="E53" s="110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870.19</v>
      </c>
      <c r="C56" s="101">
        <f>B56*0.5466</f>
        <v>475.645854</v>
      </c>
      <c r="D56" s="102">
        <f>B56-C56</f>
        <v>394.54414600000007</v>
      </c>
      <c r="E56" s="118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B57*0.8954</f>
        <v>0</v>
      </c>
      <c r="D57" s="102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B58*0.8954</f>
        <v>0</v>
      </c>
      <c r="D58" s="102">
        <f>B58-C58</f>
        <v>0</v>
      </c>
      <c r="E58" s="115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3465.78</v>
      </c>
      <c r="C59" s="128">
        <f>B59*0.5466</f>
        <v>1894.395348</v>
      </c>
      <c r="D59" s="129">
        <f>B59-C59</f>
        <v>1571.3846520000002</v>
      </c>
      <c r="E59" s="115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74"/>
      <c r="H60" s="65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870.19</v>
      </c>
      <c r="C61" s="106">
        <f>C56</f>
        <v>475.645854</v>
      </c>
      <c r="D61" s="135">
        <f>B61-C61</f>
        <v>394.54414600000007</v>
      </c>
      <c r="E61" s="115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3465.78</v>
      </c>
      <c r="C64" s="138">
        <v>1894.395348</v>
      </c>
      <c r="D64" s="139">
        <v>1571.3846520000002</v>
      </c>
      <c r="E64" s="115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115"/>
      <c r="F65" s="74"/>
      <c r="H65" s="65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115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7"/>
      <c r="D68" s="179">
        <v>0</v>
      </c>
      <c r="E68" s="124"/>
    </row>
    <row r="69" spans="1:5" ht="21" customHeight="1">
      <c r="A69" s="86" t="s">
        <v>47</v>
      </c>
      <c r="B69" s="86" t="s">
        <v>46</v>
      </c>
      <c r="C69" s="86"/>
      <c r="D69" s="179">
        <v>0</v>
      </c>
      <c r="E69" s="124"/>
    </row>
    <row r="70" spans="1:5" ht="18" customHeight="1">
      <c r="A70" s="86" t="s">
        <v>48</v>
      </c>
      <c r="B70" s="86" t="s">
        <v>46</v>
      </c>
      <c r="C70" s="86"/>
      <c r="D70" s="179">
        <v>0</v>
      </c>
      <c r="E70" s="124"/>
    </row>
    <row r="71" spans="1:5" ht="16.5" customHeight="1">
      <c r="A71" s="86" t="s">
        <v>49</v>
      </c>
      <c r="B71" s="86" t="s">
        <v>11</v>
      </c>
      <c r="C71" s="86"/>
      <c r="D71" s="179">
        <v>0</v>
      </c>
      <c r="E71" s="124"/>
    </row>
    <row r="72" spans="1:5" ht="15.75" customHeight="1">
      <c r="A72" s="489" t="s">
        <v>68</v>
      </c>
      <c r="B72" s="489"/>
      <c r="C72" s="489"/>
      <c r="D72" s="489"/>
      <c r="E72" s="124"/>
    </row>
    <row r="73" spans="1:5" ht="18.75" customHeight="1">
      <c r="A73" s="86" t="s">
        <v>69</v>
      </c>
      <c r="B73" s="86" t="s">
        <v>46</v>
      </c>
      <c r="C73" s="86"/>
      <c r="D73" s="179">
        <v>1</v>
      </c>
      <c r="E73" s="124"/>
    </row>
    <row r="74" spans="1:5" ht="21.75" customHeight="1">
      <c r="A74" s="86" t="s">
        <v>70</v>
      </c>
      <c r="B74" s="53" t="s">
        <v>46</v>
      </c>
      <c r="C74" s="53"/>
      <c r="D74" s="179">
        <v>1</v>
      </c>
      <c r="E74" s="124"/>
    </row>
    <row r="75" spans="1:5" ht="36" customHeight="1">
      <c r="A75" s="90" t="s">
        <v>71</v>
      </c>
      <c r="B75" s="86" t="s">
        <v>11</v>
      </c>
      <c r="C75" s="86"/>
      <c r="D75" s="179">
        <v>0</v>
      </c>
      <c r="E75" s="124"/>
    </row>
    <row r="76" spans="1:5" ht="15">
      <c r="A76" s="66"/>
      <c r="B76" s="66"/>
      <c r="C76" s="66"/>
      <c r="D76" s="91"/>
      <c r="E76" s="110"/>
    </row>
    <row r="77" spans="1:14" s="1" customFormat="1" ht="12.75">
      <c r="A77"/>
      <c r="B77"/>
      <c r="C77"/>
      <c r="D77"/>
      <c r="E77" s="110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10"/>
      <c r="K78"/>
      <c r="L78"/>
      <c r="M78"/>
      <c r="N78"/>
    </row>
    <row r="79" spans="1:14" s="1" customFormat="1" ht="12.75">
      <c r="A79"/>
      <c r="B79"/>
      <c r="C79"/>
      <c r="D79"/>
      <c r="E79" s="110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E80" s="11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">
      <selection activeCell="E14" sqref="E14:H4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140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18" customHeight="1">
      <c r="A7" s="488" t="s">
        <v>2</v>
      </c>
      <c r="B7" s="488"/>
      <c r="C7" s="488"/>
      <c r="D7" s="488"/>
    </row>
    <row r="8" spans="1:3" ht="12.75">
      <c r="A8" s="2" t="s">
        <v>201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5" t="s">
        <v>242</v>
      </c>
      <c r="D11" s="10"/>
    </row>
    <row r="12" spans="1:8" ht="12.75">
      <c r="A12" s="8" t="s">
        <v>7</v>
      </c>
      <c r="B12" s="9"/>
      <c r="C12" s="145" t="s">
        <v>243</v>
      </c>
      <c r="D12" s="10"/>
      <c r="E12" s="110"/>
      <c r="F12" s="110"/>
      <c r="G12" s="110"/>
      <c r="H12" s="110"/>
    </row>
    <row r="13" spans="1:8" ht="12.75">
      <c r="A13" s="8" t="s">
        <v>8</v>
      </c>
      <c r="B13" s="9"/>
      <c r="C13" s="145" t="s">
        <v>244</v>
      </c>
      <c r="D13" s="10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5.5">
      <c r="A15" s="11" t="s">
        <v>10</v>
      </c>
      <c r="B15" s="12" t="s">
        <v>11</v>
      </c>
      <c r="C15" s="15">
        <v>15350.67</v>
      </c>
      <c r="D15" s="14"/>
      <c r="E15" s="110"/>
      <c r="F15" s="110"/>
      <c r="G15" s="110"/>
      <c r="H15" s="110"/>
    </row>
    <row r="16" spans="1:8" ht="15">
      <c r="A16" s="8" t="s">
        <v>12</v>
      </c>
      <c r="B16" s="12" t="s">
        <v>11</v>
      </c>
      <c r="C16" s="13">
        <v>0</v>
      </c>
      <c r="D16" s="14"/>
      <c r="E16" s="110"/>
      <c r="F16" s="110"/>
      <c r="G16" s="110"/>
      <c r="H16" s="110"/>
    </row>
    <row r="17" spans="1:8" ht="15">
      <c r="A17" s="8" t="s">
        <v>13</v>
      </c>
      <c r="B17" s="12" t="s">
        <v>11</v>
      </c>
      <c r="C17" s="15">
        <v>89.12</v>
      </c>
      <c r="D17" s="16"/>
      <c r="E17" s="110"/>
      <c r="F17" s="110"/>
      <c r="G17" s="110"/>
      <c r="H17" s="110"/>
    </row>
    <row r="18" spans="1:8" ht="31.5" customHeight="1">
      <c r="A18" s="17" t="s">
        <v>14</v>
      </c>
      <c r="B18" s="12" t="s">
        <v>11</v>
      </c>
      <c r="C18" s="15">
        <f>10753.86+1283.04</f>
        <v>12036.900000000001</v>
      </c>
      <c r="D18" s="16"/>
      <c r="E18" s="111">
        <f>C18-C20</f>
        <v>7737.420000000002</v>
      </c>
      <c r="F18" s="110"/>
      <c r="G18" s="110"/>
      <c r="H18" s="110"/>
    </row>
    <row r="19" spans="1:8" ht="15">
      <c r="A19" s="8" t="s">
        <v>15</v>
      </c>
      <c r="B19" s="12" t="s">
        <v>11</v>
      </c>
      <c r="C19" s="15">
        <f>C18-C20-C21</f>
        <v>3725.076000000002</v>
      </c>
      <c r="D19" s="16"/>
      <c r="E19" s="111">
        <f>E18-E38</f>
        <v>0.012000000002444722</v>
      </c>
      <c r="F19" s="110"/>
      <c r="G19" s="110"/>
      <c r="H19" s="110"/>
    </row>
    <row r="20" spans="1:8" ht="15">
      <c r="A20" s="8" t="s">
        <v>16</v>
      </c>
      <c r="B20" s="12" t="s">
        <v>11</v>
      </c>
      <c r="C20" s="15">
        <f>(3.73+2.57)*6*79.8+1283.04</f>
        <v>4299.48</v>
      </c>
      <c r="D20" s="16"/>
      <c r="E20" s="112"/>
      <c r="F20" s="110"/>
      <c r="G20" s="110"/>
      <c r="H20" s="110"/>
    </row>
    <row r="21" spans="1:8" ht="15">
      <c r="A21" s="8" t="s">
        <v>17</v>
      </c>
      <c r="B21" s="12" t="s">
        <v>11</v>
      </c>
      <c r="C21" s="19">
        <f>79.8*4.19*12</f>
        <v>4012.344</v>
      </c>
      <c r="D21" s="16"/>
      <c r="E21" s="110"/>
      <c r="F21" s="110"/>
      <c r="G21" s="110"/>
      <c r="H21" s="110"/>
    </row>
    <row r="22" spans="1:8" ht="15">
      <c r="A22" s="20" t="s">
        <v>18</v>
      </c>
      <c r="B22" s="12" t="s">
        <v>11</v>
      </c>
      <c r="C22" s="15">
        <f>C23+C24+C25+C26+C27</f>
        <v>12036.900000000001</v>
      </c>
      <c r="D22" s="16" t="s">
        <v>19</v>
      </c>
      <c r="E22" s="111" t="e">
        <f>B24+B25+B26+B27+B28</f>
        <v>#VALUE!</v>
      </c>
      <c r="F22" s="110"/>
      <c r="G22" s="110"/>
      <c r="H22" s="110"/>
    </row>
    <row r="23" spans="1:8" ht="15">
      <c r="A23" s="8" t="s">
        <v>20</v>
      </c>
      <c r="B23" s="12" t="s">
        <v>11</v>
      </c>
      <c r="C23" s="15">
        <f>C18*1</f>
        <v>12036.900000000001</v>
      </c>
      <c r="D23" s="16"/>
      <c r="E23" s="110"/>
      <c r="F23" s="110"/>
      <c r="G23" s="110"/>
      <c r="H23" s="110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2" t="e">
        <f>B25/#REF!*1</f>
        <v>#VALUE!</v>
      </c>
      <c r="F25" s="110"/>
      <c r="G25" s="110"/>
      <c r="H25" s="110"/>
    </row>
    <row r="26" spans="1:8" ht="15">
      <c r="A26" s="9" t="s">
        <v>24</v>
      </c>
      <c r="B26" s="12" t="s">
        <v>11</v>
      </c>
      <c r="C26" s="15">
        <v>0</v>
      </c>
      <c r="D26" s="21"/>
      <c r="E26" s="112" t="e">
        <f>B26/#REF!*1</f>
        <v>#VALUE!</v>
      </c>
      <c r="F26" s="110"/>
      <c r="G26" s="110"/>
      <c r="H26" s="110"/>
    </row>
    <row r="27" spans="1:8" ht="16.5" customHeight="1">
      <c r="A27" s="99" t="s">
        <v>97</v>
      </c>
      <c r="B27" s="12" t="s">
        <v>11</v>
      </c>
      <c r="C27" s="15">
        <v>0</v>
      </c>
      <c r="D27" s="21">
        <v>139.18</v>
      </c>
      <c r="E27" s="112" t="e">
        <f>B27/#REF!*1</f>
        <v>#VALUE!</v>
      </c>
      <c r="F27" s="110"/>
      <c r="G27" s="110"/>
      <c r="H27" s="110"/>
    </row>
    <row r="28" spans="1:8" ht="15">
      <c r="A28" s="8" t="s">
        <v>25</v>
      </c>
      <c r="B28" s="12" t="s">
        <v>11</v>
      </c>
      <c r="C28" s="15">
        <f>C15+C22</f>
        <v>27387.57</v>
      </c>
      <c r="D28" s="16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10"/>
      <c r="F30" s="110"/>
      <c r="G30" s="110"/>
      <c r="H30" s="110"/>
    </row>
    <row r="31" spans="1:8" ht="15">
      <c r="A31" s="26" t="s">
        <v>32</v>
      </c>
      <c r="B31" s="27" t="s">
        <v>33</v>
      </c>
      <c r="C31" s="28" t="s">
        <v>34</v>
      </c>
      <c r="D31" s="93">
        <f>(0.85+0.81)*6*79.8</f>
        <v>794.808</v>
      </c>
      <c r="E31" s="110"/>
      <c r="F31" s="110"/>
      <c r="G31" s="110"/>
      <c r="H31" s="110"/>
    </row>
    <row r="32" spans="1:8" ht="15">
      <c r="A32" s="29" t="s">
        <v>36</v>
      </c>
      <c r="B32" s="30" t="s">
        <v>33</v>
      </c>
      <c r="C32" s="31" t="s">
        <v>37</v>
      </c>
      <c r="D32" s="94">
        <f>0.24*12*79.8</f>
        <v>229.82399999999998</v>
      </c>
      <c r="E32" s="110"/>
      <c r="F32" s="110"/>
      <c r="G32" s="110"/>
      <c r="H32" s="110"/>
    </row>
    <row r="33" spans="1:8" ht="15">
      <c r="A33" s="154" t="s">
        <v>181</v>
      </c>
      <c r="B33" s="30" t="s">
        <v>33</v>
      </c>
      <c r="C33" s="31" t="s">
        <v>34</v>
      </c>
      <c r="D33" s="94">
        <f>(0.14+0.16)*6*79.8</f>
        <v>143.64000000000001</v>
      </c>
      <c r="E33" s="110"/>
      <c r="F33" s="110"/>
      <c r="G33" s="110"/>
      <c r="H33" s="110"/>
    </row>
    <row r="34" spans="1:8" ht="15">
      <c r="A34" s="29" t="s">
        <v>81</v>
      </c>
      <c r="B34" s="92" t="s">
        <v>82</v>
      </c>
      <c r="C34" s="31" t="s">
        <v>34</v>
      </c>
      <c r="D34" s="94">
        <f>1.33*12*79.8</f>
        <v>1273.608</v>
      </c>
      <c r="E34" s="110"/>
      <c r="F34" s="110"/>
      <c r="G34" s="110"/>
      <c r="H34" s="110"/>
    </row>
    <row r="35" spans="1:8" ht="15">
      <c r="A35" s="29" t="s">
        <v>38</v>
      </c>
      <c r="B35" s="30" t="s">
        <v>35</v>
      </c>
      <c r="C35" s="370" t="s">
        <v>237</v>
      </c>
      <c r="D35" s="94">
        <f>4.19*79.8*12</f>
        <v>4012.344</v>
      </c>
      <c r="E35" s="110"/>
      <c r="F35" s="110"/>
      <c r="G35" s="110"/>
      <c r="H35" s="110"/>
    </row>
    <row r="36" spans="1:8" ht="15">
      <c r="A36" s="29" t="s">
        <v>85</v>
      </c>
      <c r="B36" s="30" t="s">
        <v>238</v>
      </c>
      <c r="C36" s="173" t="s">
        <v>37</v>
      </c>
      <c r="D36" s="94">
        <f>79.8*6*(0.96+1.72)</f>
        <v>1283.1839999999997</v>
      </c>
      <c r="E36" s="110"/>
      <c r="F36" s="110"/>
      <c r="G36" s="110"/>
      <c r="H36" s="110"/>
    </row>
    <row r="37" spans="1:14" s="1" customFormat="1" ht="45">
      <c r="A37" s="33" t="s">
        <v>40</v>
      </c>
      <c r="B37" s="34" t="s">
        <v>41</v>
      </c>
      <c r="C37" s="109" t="s">
        <v>77</v>
      </c>
      <c r="D37" s="36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8">
        <f>SUM(D31:D37)</f>
        <v>7737.407999999999</v>
      </c>
      <c r="E38" s="113">
        <f>D38-D37</f>
        <v>7737.407999999999</v>
      </c>
      <c r="F38" s="110"/>
      <c r="G38" s="110"/>
      <c r="H38" s="110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19650.162</v>
      </c>
      <c r="E39" s="113"/>
      <c r="F39" s="110"/>
      <c r="G39" s="110"/>
      <c r="H39" s="110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6"/>
      <c r="E40" s="110"/>
      <c r="F40" s="110"/>
      <c r="G40" s="110"/>
      <c r="H40" s="110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4">
        <v>1043.1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/>
      <c r="D43" s="14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/>
      <c r="D44" s="14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/>
      <c r="D45" s="14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/>
      <c r="D46" s="14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5.5">
      <c r="A48" s="47" t="s">
        <v>51</v>
      </c>
      <c r="B48" s="30" t="s">
        <v>11</v>
      </c>
      <c r="C48" s="31"/>
      <c r="D48" s="14">
        <v>0</v>
      </c>
      <c r="E48" s="110"/>
      <c r="F48" s="110"/>
      <c r="G48" s="110"/>
      <c r="H48" s="110"/>
    </row>
    <row r="49" spans="1:8" ht="15">
      <c r="A49" s="45" t="s">
        <v>12</v>
      </c>
      <c r="B49" s="30" t="s">
        <v>11</v>
      </c>
      <c r="C49" s="31"/>
      <c r="D49" s="14">
        <v>0</v>
      </c>
      <c r="E49" s="110"/>
      <c r="F49" s="110"/>
      <c r="G49" s="110"/>
      <c r="H49" s="110"/>
    </row>
    <row r="50" spans="1:8" ht="15">
      <c r="A50" s="45" t="s">
        <v>13</v>
      </c>
      <c r="B50" s="30" t="s">
        <v>11</v>
      </c>
      <c r="C50" s="31"/>
      <c r="D50" s="48">
        <v>893.47</v>
      </c>
      <c r="E50" s="110"/>
      <c r="F50" s="110"/>
      <c r="G50" s="110"/>
      <c r="H50" s="114"/>
    </row>
    <row r="51" spans="1:8" ht="25.5">
      <c r="A51" s="50" t="s">
        <v>52</v>
      </c>
      <c r="B51" s="30" t="s">
        <v>11</v>
      </c>
      <c r="C51" s="51"/>
      <c r="D51" s="52">
        <v>0</v>
      </c>
      <c r="E51" s="110"/>
      <c r="F51" s="110"/>
      <c r="G51" s="110"/>
      <c r="H51" s="110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10"/>
      <c r="F52" s="110"/>
      <c r="G52" s="110"/>
      <c r="H52" s="110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893.47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100">
        <v>5130.68</v>
      </c>
      <c r="C56" s="101">
        <f>B56*1</f>
        <v>5130.68</v>
      </c>
      <c r="D56" s="102">
        <f>B56-C56</f>
        <v>0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100">
        <v>0</v>
      </c>
      <c r="C57" s="101">
        <f>B57*0.8954</f>
        <v>0</v>
      </c>
      <c r="D57" s="102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3">
        <v>0</v>
      </c>
      <c r="C58" s="101">
        <f>B58*0.8954</f>
        <v>0</v>
      </c>
      <c r="D58" s="102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5.75" thickBot="1">
      <c r="A59" s="126" t="s">
        <v>318</v>
      </c>
      <c r="B59" s="127">
        <v>5179.26</v>
      </c>
      <c r="C59" s="128">
        <f>B59*1</f>
        <v>5179.26</v>
      </c>
      <c r="D59" s="129">
        <f>B59-C59</f>
        <v>0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">
      <c r="A61" s="134" t="s">
        <v>58</v>
      </c>
      <c r="B61" s="105">
        <f>B56</f>
        <v>5130.68</v>
      </c>
      <c r="C61" s="106">
        <f>C56</f>
        <v>5130.68</v>
      </c>
      <c r="D61" s="135">
        <f>B61-C61</f>
        <v>0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">
      <c r="A62" s="134" t="s">
        <v>59</v>
      </c>
      <c r="B62" s="105">
        <v>0</v>
      </c>
      <c r="C62" s="106">
        <v>0</v>
      </c>
      <c r="D62" s="135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">
      <c r="A63" s="134" t="s">
        <v>60</v>
      </c>
      <c r="B63" s="105">
        <v>0</v>
      </c>
      <c r="C63" s="106">
        <v>0</v>
      </c>
      <c r="D63" s="135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5.75" thickBot="1">
      <c r="A64" s="136" t="s">
        <v>318</v>
      </c>
      <c r="B64" s="137">
        <v>5179.26</v>
      </c>
      <c r="C64" s="138">
        <v>5179.26</v>
      </c>
      <c r="D64" s="139">
        <v>0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5">
      <c r="A65" s="78"/>
      <c r="B65" s="77"/>
      <c r="C65" s="79"/>
      <c r="D65" s="80"/>
      <c r="E65" s="115"/>
      <c r="F65" s="119"/>
      <c r="G65" s="110"/>
      <c r="H65" s="121"/>
      <c r="I65" s="65"/>
      <c r="J65" s="65"/>
      <c r="K65" s="66"/>
      <c r="L65" s="66"/>
      <c r="M65" s="66"/>
      <c r="N65" s="66"/>
    </row>
    <row r="66" spans="1:14" ht="25.5">
      <c r="A66" s="81" t="s">
        <v>66</v>
      </c>
      <c r="B66" s="77" t="s">
        <v>11</v>
      </c>
      <c r="C66" s="82"/>
      <c r="D66" s="83">
        <v>0</v>
      </c>
      <c r="E66" s="115"/>
      <c r="F66" s="119"/>
      <c r="G66" s="110"/>
      <c r="H66" s="121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121"/>
      <c r="G67" s="110"/>
      <c r="H67" s="123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6" t="s">
        <v>45</v>
      </c>
      <c r="B68" s="86" t="s">
        <v>46</v>
      </c>
      <c r="C68" s="87"/>
      <c r="D68" s="179">
        <v>0</v>
      </c>
      <c r="E68" s="124"/>
      <c r="F68" s="110"/>
      <c r="G68" s="110"/>
      <c r="H68" s="110"/>
    </row>
    <row r="69" spans="1:8" ht="21" customHeight="1">
      <c r="A69" s="86" t="s">
        <v>47</v>
      </c>
      <c r="B69" s="86" t="s">
        <v>46</v>
      </c>
      <c r="C69" s="86"/>
      <c r="D69" s="179">
        <v>0</v>
      </c>
      <c r="E69" s="124"/>
      <c r="F69" s="110"/>
      <c r="G69" s="110"/>
      <c r="H69" s="110"/>
    </row>
    <row r="70" spans="1:8" ht="18" customHeight="1">
      <c r="A70" s="86" t="s">
        <v>48</v>
      </c>
      <c r="B70" s="86" t="s">
        <v>46</v>
      </c>
      <c r="C70" s="86"/>
      <c r="D70" s="179">
        <v>0</v>
      </c>
      <c r="E70" s="124"/>
      <c r="F70" s="110"/>
      <c r="G70" s="110"/>
      <c r="H70" s="110"/>
    </row>
    <row r="71" spans="1:8" ht="16.5" customHeight="1">
      <c r="A71" s="86" t="s">
        <v>49</v>
      </c>
      <c r="B71" s="86" t="s">
        <v>11</v>
      </c>
      <c r="C71" s="86"/>
      <c r="D71" s="179">
        <v>0</v>
      </c>
      <c r="E71" s="124"/>
      <c r="F71" s="110"/>
      <c r="G71" s="110"/>
      <c r="H71" s="110"/>
    </row>
    <row r="72" spans="1:8" ht="15.75" customHeight="1">
      <c r="A72" s="489" t="s">
        <v>68</v>
      </c>
      <c r="B72" s="489"/>
      <c r="C72" s="489"/>
      <c r="D72" s="489"/>
      <c r="E72" s="124"/>
      <c r="F72" s="110"/>
      <c r="G72" s="110"/>
      <c r="H72" s="110"/>
    </row>
    <row r="73" spans="1:8" ht="18.75" customHeight="1">
      <c r="A73" s="86" t="s">
        <v>69</v>
      </c>
      <c r="B73" s="86" t="s">
        <v>46</v>
      </c>
      <c r="C73" s="86"/>
      <c r="D73" s="179">
        <v>0</v>
      </c>
      <c r="E73" s="124"/>
      <c r="F73" s="110"/>
      <c r="G73" s="110"/>
      <c r="H73" s="110"/>
    </row>
    <row r="74" spans="1:8" ht="21.75" customHeight="1">
      <c r="A74" s="86" t="s">
        <v>70</v>
      </c>
      <c r="B74" s="53" t="s">
        <v>46</v>
      </c>
      <c r="C74" s="53"/>
      <c r="D74" s="179">
        <v>0</v>
      </c>
      <c r="E74" s="124"/>
      <c r="F74" s="110"/>
      <c r="G74" s="110"/>
      <c r="H74" s="110"/>
    </row>
    <row r="75" spans="1:8" ht="36" customHeight="1">
      <c r="A75" s="90" t="s">
        <v>71</v>
      </c>
      <c r="B75" s="86" t="s">
        <v>11</v>
      </c>
      <c r="C75" s="86"/>
      <c r="D75" s="179">
        <v>0</v>
      </c>
      <c r="E75" s="124"/>
      <c r="F75" s="110"/>
      <c r="G75" s="110"/>
      <c r="H75" s="110"/>
    </row>
    <row r="76" spans="1:8" ht="15">
      <c r="A76" s="66"/>
      <c r="B76" s="66"/>
      <c r="C76" s="66"/>
      <c r="D76" s="91"/>
      <c r="E76" s="110"/>
      <c r="F76" s="110"/>
      <c r="G76" s="110"/>
      <c r="H76" s="110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112" zoomScaleNormal="112" zoomScalePageLayoutView="0" workbookViewId="0" topLeftCell="A11">
      <selection activeCell="D51" sqref="D51"/>
    </sheetView>
  </sheetViews>
  <sheetFormatPr defaultColWidth="11.57421875" defaultRowHeight="12.75"/>
  <cols>
    <col min="1" max="1" width="54.28125" style="0" customWidth="1"/>
    <col min="2" max="2" width="17.8515625" style="0" customWidth="1"/>
    <col min="3" max="3" width="24.57421875" style="0" customWidth="1"/>
    <col min="4" max="4" width="16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141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32.25" customHeight="1">
      <c r="A7" s="488" t="s">
        <v>2</v>
      </c>
      <c r="B7" s="488"/>
      <c r="C7" s="488"/>
      <c r="D7" s="488"/>
    </row>
    <row r="8" spans="1:4" ht="12.75">
      <c r="A8" s="261" t="s">
        <v>173</v>
      </c>
      <c r="B8" s="180"/>
      <c r="C8" s="186"/>
      <c r="D8" s="180"/>
    </row>
    <row r="9" spans="1:5" ht="12.75">
      <c r="A9" s="187" t="s">
        <v>3</v>
      </c>
      <c r="B9" s="187" t="s">
        <v>4</v>
      </c>
      <c r="C9" s="187" t="s">
        <v>5</v>
      </c>
      <c r="D9" s="188"/>
      <c r="E9" s="110"/>
    </row>
    <row r="10" spans="1:8" ht="12.75">
      <c r="A10" s="189">
        <v>1</v>
      </c>
      <c r="B10" s="189">
        <v>2</v>
      </c>
      <c r="C10" s="189">
        <v>3</v>
      </c>
      <c r="D10" s="190">
        <v>4</v>
      </c>
      <c r="E10" s="110"/>
      <c r="F10" s="110"/>
      <c r="G10" s="110"/>
      <c r="H10" s="110"/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59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-16214.77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59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46091.32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226559.64+12220.8</f>
        <v>238780.44</v>
      </c>
      <c r="D18" s="198"/>
      <c r="E18" s="111">
        <f>C18-C20</f>
        <v>201510.594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137901.366</v>
      </c>
      <c r="D19" s="198"/>
      <c r="E19" s="111">
        <f>E18-E51</f>
        <v>12220.801999999996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(2.68+2.23)*6*1265.1</f>
        <v>37269.846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1265.1*4.19*12</f>
        <v>63609.228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</f>
        <v>262913.9790708</v>
      </c>
      <c r="D22" s="198" t="s">
        <v>19</v>
      </c>
      <c r="E22" s="111" t="e">
        <f>B24+B25+B26+#REF!+B27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C18*1.10107</f>
        <v>262913.9790708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5.75">
      <c r="A27" s="20" t="s">
        <v>25</v>
      </c>
      <c r="B27" s="194" t="s">
        <v>11</v>
      </c>
      <c r="C27" s="197">
        <f>C15+C22</f>
        <v>246699.20907080002</v>
      </c>
      <c r="D27" s="198" t="s">
        <v>26</v>
      </c>
      <c r="E27" s="112" t="e">
        <f>B27/#REF!*1</f>
        <v>#VALUE!</v>
      </c>
      <c r="F27" s="110"/>
      <c r="G27" s="110"/>
      <c r="H27" s="110"/>
    </row>
    <row r="28" spans="1:8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</row>
    <row r="29" spans="1:8" ht="51">
      <c r="A29" s="202" t="s">
        <v>28</v>
      </c>
      <c r="B29" s="203" t="s">
        <v>29</v>
      </c>
      <c r="C29" s="204" t="s">
        <v>30</v>
      </c>
      <c r="D29" s="205" t="s">
        <v>31</v>
      </c>
      <c r="E29" s="110"/>
      <c r="F29" s="110"/>
      <c r="G29" s="110"/>
      <c r="H29" s="110"/>
    </row>
    <row r="30" spans="1:8" ht="15.75">
      <c r="A30" s="206" t="s">
        <v>32</v>
      </c>
      <c r="B30" s="207" t="s">
        <v>33</v>
      </c>
      <c r="C30" s="208" t="s">
        <v>34</v>
      </c>
      <c r="D30" s="209">
        <f>(0.81+0.57)*6*1265.1</f>
        <v>10475.027999999998</v>
      </c>
      <c r="E30" s="110"/>
      <c r="F30" s="110"/>
      <c r="G30" s="110"/>
      <c r="H30" s="110"/>
    </row>
    <row r="31" spans="1:8" ht="15.75">
      <c r="A31" s="210" t="s">
        <v>75</v>
      </c>
      <c r="B31" s="211" t="s">
        <v>76</v>
      </c>
      <c r="C31" s="208" t="s">
        <v>34</v>
      </c>
      <c r="D31" s="213">
        <f>2.4*12*1265.1</f>
        <v>36434.88</v>
      </c>
      <c r="E31" s="110"/>
      <c r="F31" s="110"/>
      <c r="G31" s="110"/>
      <c r="H31" s="110"/>
    </row>
    <row r="32" spans="1:8" ht="15.75">
      <c r="A32" s="210" t="s">
        <v>319</v>
      </c>
      <c r="B32" s="211" t="s">
        <v>78</v>
      </c>
      <c r="C32" s="368" t="s">
        <v>321</v>
      </c>
      <c r="D32" s="214">
        <f>0.15*12*1265.1</f>
        <v>2277.18</v>
      </c>
      <c r="E32" s="110"/>
      <c r="F32" s="110"/>
      <c r="G32" s="110"/>
      <c r="H32" s="110"/>
    </row>
    <row r="33" spans="1:8" ht="15.75">
      <c r="A33" s="210" t="s">
        <v>36</v>
      </c>
      <c r="B33" s="211" t="s">
        <v>33</v>
      </c>
      <c r="C33" s="212" t="s">
        <v>37</v>
      </c>
      <c r="D33" s="213">
        <f>0.24*12*1265.1</f>
        <v>3643.488</v>
      </c>
      <c r="E33" s="110"/>
      <c r="F33" s="110"/>
      <c r="G33" s="110"/>
      <c r="H33" s="110"/>
    </row>
    <row r="34" spans="1:8" ht="15.75">
      <c r="A34" s="210" t="s">
        <v>79</v>
      </c>
      <c r="B34" s="369" t="s">
        <v>33</v>
      </c>
      <c r="C34" s="212" t="s">
        <v>34</v>
      </c>
      <c r="D34" s="213">
        <f>0.71*12*1265.1</f>
        <v>10778.651999999998</v>
      </c>
      <c r="E34" s="110"/>
      <c r="F34" s="110"/>
      <c r="G34" s="110"/>
      <c r="H34" s="110"/>
    </row>
    <row r="35" spans="1:8" ht="26.25">
      <c r="A35" s="320" t="s">
        <v>174</v>
      </c>
      <c r="B35" s="211" t="s">
        <v>33</v>
      </c>
      <c r="C35" s="212" t="s">
        <v>34</v>
      </c>
      <c r="D35" s="213">
        <v>34669.27</v>
      </c>
      <c r="E35" s="110"/>
      <c r="F35" s="110"/>
      <c r="G35" s="110"/>
      <c r="H35" s="110"/>
    </row>
    <row r="36" spans="1:8" ht="31.5">
      <c r="A36" s="210" t="s">
        <v>81</v>
      </c>
      <c r="B36" s="216" t="s">
        <v>82</v>
      </c>
      <c r="C36" s="212" t="s">
        <v>34</v>
      </c>
      <c r="D36" s="213">
        <f>1.33*12*1265.1</f>
        <v>20190.996</v>
      </c>
      <c r="E36" s="110"/>
      <c r="F36" s="110"/>
      <c r="G36" s="110"/>
      <c r="H36" s="110"/>
    </row>
    <row r="37" spans="1:8" ht="15.75">
      <c r="A37" s="210" t="s">
        <v>38</v>
      </c>
      <c r="B37" s="211" t="s">
        <v>35</v>
      </c>
      <c r="C37" s="368" t="s">
        <v>237</v>
      </c>
      <c r="D37" s="213">
        <f>4.19*1265.1*12</f>
        <v>63609.228</v>
      </c>
      <c r="E37" s="110"/>
      <c r="F37" s="110"/>
      <c r="G37" s="110"/>
      <c r="H37" s="110"/>
    </row>
    <row r="38" spans="1:8" ht="19.5" customHeight="1">
      <c r="A38" s="210" t="s">
        <v>85</v>
      </c>
      <c r="B38" s="211" t="s">
        <v>238</v>
      </c>
      <c r="C38" s="319" t="s">
        <v>37</v>
      </c>
      <c r="D38" s="213">
        <f>1265.1*6*(0.42+0.53)</f>
        <v>7211.069999999999</v>
      </c>
      <c r="E38" s="110"/>
      <c r="F38" s="110"/>
      <c r="G38" s="110"/>
      <c r="H38" s="110"/>
    </row>
    <row r="39" spans="1:8" ht="19.5" customHeight="1">
      <c r="A39" s="210" t="s">
        <v>219</v>
      </c>
      <c r="B39" s="211"/>
      <c r="C39" s="319"/>
      <c r="D39" s="213"/>
      <c r="E39" s="110"/>
      <c r="F39" s="110"/>
      <c r="G39" s="110"/>
      <c r="H39" s="110"/>
    </row>
    <row r="40" spans="1:8" ht="27.75" customHeight="1">
      <c r="A40" s="210" t="s">
        <v>223</v>
      </c>
      <c r="B40" s="211" t="s">
        <v>35</v>
      </c>
      <c r="C40" s="319" t="s">
        <v>220</v>
      </c>
      <c r="D40" s="213">
        <v>1519.76</v>
      </c>
      <c r="E40" s="110"/>
      <c r="F40" s="110"/>
      <c r="G40" s="110"/>
      <c r="H40" s="110"/>
    </row>
    <row r="41" spans="1:8" ht="19.5" customHeight="1">
      <c r="A41" s="210" t="s">
        <v>221</v>
      </c>
      <c r="B41" s="211" t="s">
        <v>35</v>
      </c>
      <c r="C41" s="319" t="s">
        <v>222</v>
      </c>
      <c r="D41" s="213">
        <v>12510.34</v>
      </c>
      <c r="E41" s="110"/>
      <c r="F41" s="110"/>
      <c r="G41" s="110"/>
      <c r="H41" s="110"/>
    </row>
    <row r="42" spans="1:14" s="1" customFormat="1" ht="67.5" customHeight="1">
      <c r="A42" s="263" t="s">
        <v>211</v>
      </c>
      <c r="B42" s="218" t="s">
        <v>41</v>
      </c>
      <c r="C42" s="321"/>
      <c r="D42" s="387">
        <f>D43+D44+D45+D46+D47+D48+D49</f>
        <v>22216</v>
      </c>
      <c r="E42" s="110"/>
      <c r="F42" s="110"/>
      <c r="G42" s="110"/>
      <c r="H42" s="110"/>
      <c r="K42"/>
      <c r="L42"/>
      <c r="M42"/>
      <c r="N42"/>
    </row>
    <row r="43" spans="1:14" s="1" customFormat="1" ht="33.75" customHeight="1">
      <c r="A43" s="223" t="s">
        <v>308</v>
      </c>
      <c r="B43" s="220" t="s">
        <v>309</v>
      </c>
      <c r="C43" s="395" t="s">
        <v>273</v>
      </c>
      <c r="D43" s="178">
        <f>1320+4398</f>
        <v>5718</v>
      </c>
      <c r="E43" s="110"/>
      <c r="F43" s="110"/>
      <c r="G43" s="110"/>
      <c r="H43" s="110"/>
      <c r="K43"/>
      <c r="L43"/>
      <c r="M43"/>
      <c r="N43"/>
    </row>
    <row r="44" spans="1:14" s="1" customFormat="1" ht="36.75" customHeight="1">
      <c r="A44" s="223" t="s">
        <v>253</v>
      </c>
      <c r="B44" s="220" t="s">
        <v>159</v>
      </c>
      <c r="C44" s="395" t="s">
        <v>77</v>
      </c>
      <c r="D44" s="178">
        <v>180</v>
      </c>
      <c r="E44" s="110"/>
      <c r="F44" s="110"/>
      <c r="G44" s="110"/>
      <c r="H44" s="110"/>
      <c r="K44"/>
      <c r="L44"/>
      <c r="M44"/>
      <c r="N44"/>
    </row>
    <row r="45" spans="1:14" s="1" customFormat="1" ht="18" customHeight="1">
      <c r="A45" s="223" t="s">
        <v>310</v>
      </c>
      <c r="B45" s="220" t="s">
        <v>149</v>
      </c>
      <c r="C45" s="395" t="s">
        <v>249</v>
      </c>
      <c r="D45" s="178">
        <v>7305</v>
      </c>
      <c r="E45" s="110"/>
      <c r="F45" s="110"/>
      <c r="G45" s="110"/>
      <c r="H45" s="110"/>
      <c r="K45"/>
      <c r="L45"/>
      <c r="M45"/>
      <c r="N45"/>
    </row>
    <row r="46" spans="1:14" s="1" customFormat="1" ht="20.25" customHeight="1">
      <c r="A46" s="223" t="s">
        <v>311</v>
      </c>
      <c r="B46" s="220" t="s">
        <v>156</v>
      </c>
      <c r="C46" s="319" t="s">
        <v>34</v>
      </c>
      <c r="D46" s="178">
        <v>125</v>
      </c>
      <c r="E46" s="110"/>
      <c r="F46" s="110"/>
      <c r="G46" s="110"/>
      <c r="H46" s="110"/>
      <c r="K46"/>
      <c r="L46"/>
      <c r="M46"/>
      <c r="N46"/>
    </row>
    <row r="47" spans="1:14" s="1" customFormat="1" ht="18.75" customHeight="1">
      <c r="A47" s="223" t="s">
        <v>312</v>
      </c>
      <c r="B47" s="220" t="s">
        <v>154</v>
      </c>
      <c r="C47" s="319" t="s">
        <v>34</v>
      </c>
      <c r="D47" s="178">
        <v>2673</v>
      </c>
      <c r="E47" s="110"/>
      <c r="F47" s="110"/>
      <c r="G47" s="110"/>
      <c r="H47" s="110"/>
      <c r="K47"/>
      <c r="L47"/>
      <c r="M47"/>
      <c r="N47"/>
    </row>
    <row r="48" spans="1:14" s="1" customFormat="1" ht="18" customHeight="1">
      <c r="A48" s="223" t="s">
        <v>313</v>
      </c>
      <c r="B48" s="220"/>
      <c r="C48" s="322"/>
      <c r="D48" s="178">
        <v>3076</v>
      </c>
      <c r="E48" s="110"/>
      <c r="F48" s="110"/>
      <c r="G48" s="110"/>
      <c r="H48" s="110"/>
      <c r="K48"/>
      <c r="L48"/>
      <c r="M48"/>
      <c r="N48"/>
    </row>
    <row r="49" spans="1:14" s="1" customFormat="1" ht="15.75">
      <c r="A49" s="222" t="s">
        <v>314</v>
      </c>
      <c r="B49" s="220"/>
      <c r="C49" s="368"/>
      <c r="D49" s="178">
        <v>3139</v>
      </c>
      <c r="E49" s="110"/>
      <c r="F49" s="110"/>
      <c r="G49" s="110"/>
      <c r="H49" s="110"/>
      <c r="K49"/>
      <c r="L49"/>
      <c r="M49"/>
      <c r="N49"/>
    </row>
    <row r="50" spans="1:14" s="1" customFormat="1" ht="15.75">
      <c r="A50" s="223"/>
      <c r="B50" s="220"/>
      <c r="C50" s="319"/>
      <c r="D50" s="178"/>
      <c r="E50" s="110"/>
      <c r="F50" s="110"/>
      <c r="G50" s="110"/>
      <c r="H50" s="110"/>
      <c r="K50"/>
      <c r="L50"/>
      <c r="M50"/>
      <c r="N50"/>
    </row>
    <row r="51" spans="1:14" s="1" customFormat="1" ht="15.75">
      <c r="A51" s="37" t="s">
        <v>42</v>
      </c>
      <c r="B51" s="225"/>
      <c r="C51" s="226"/>
      <c r="D51" s="98">
        <f>D30+D31+D32+D33+D34+D35+D36+D37+D38+D40+D41+D42</f>
        <v>225535.89200000002</v>
      </c>
      <c r="E51" s="113">
        <f>D51-D40-D41-D42</f>
        <v>189289.79200000002</v>
      </c>
      <c r="F51" s="110"/>
      <c r="G51" s="110"/>
      <c r="H51" s="110"/>
      <c r="K51"/>
      <c r="L51"/>
      <c r="M51"/>
      <c r="N51"/>
    </row>
    <row r="52" spans="1:14" s="1" customFormat="1" ht="15.75">
      <c r="A52" s="40" t="s">
        <v>43</v>
      </c>
      <c r="B52" s="227" t="s">
        <v>11</v>
      </c>
      <c r="C52" s="228"/>
      <c r="D52" s="229">
        <f>C27-D51</f>
        <v>21163.317070799996</v>
      </c>
      <c r="E52" s="113"/>
      <c r="F52" s="110"/>
      <c r="G52" s="110"/>
      <c r="H52" s="110"/>
      <c r="K52"/>
      <c r="L52"/>
      <c r="M52"/>
      <c r="N52"/>
    </row>
    <row r="53" spans="1:14" s="1" customFormat="1" ht="15.75">
      <c r="A53" s="230" t="s">
        <v>12</v>
      </c>
      <c r="B53" s="231" t="s">
        <v>11</v>
      </c>
      <c r="C53" s="212"/>
      <c r="D53" s="196"/>
      <c r="E53" s="110"/>
      <c r="F53" s="110"/>
      <c r="G53" s="110"/>
      <c r="H53" s="110"/>
      <c r="K53"/>
      <c r="L53"/>
      <c r="M53"/>
      <c r="N53"/>
    </row>
    <row r="54" spans="1:14" s="1" customFormat="1" ht="15.75">
      <c r="A54" s="230" t="s">
        <v>13</v>
      </c>
      <c r="B54" s="231" t="s">
        <v>11</v>
      </c>
      <c r="C54" s="212"/>
      <c r="D54" s="198">
        <v>48415.3</v>
      </c>
      <c r="E54" s="110"/>
      <c r="F54" s="110"/>
      <c r="G54" s="110"/>
      <c r="H54" s="110"/>
      <c r="K54"/>
      <c r="L54"/>
      <c r="M54"/>
      <c r="N54"/>
    </row>
    <row r="55" spans="1:14" s="1" customFormat="1" ht="24" customHeight="1">
      <c r="A55" s="492" t="s">
        <v>44</v>
      </c>
      <c r="B55" s="492"/>
      <c r="C55" s="492"/>
      <c r="D55" s="492"/>
      <c r="E55" s="110"/>
      <c r="F55" s="110"/>
      <c r="G55" s="110"/>
      <c r="H55" s="110"/>
      <c r="K55"/>
      <c r="L55"/>
      <c r="M55"/>
      <c r="N55"/>
    </row>
    <row r="56" spans="1:14" s="1" customFormat="1" ht="15.75">
      <c r="A56" s="230" t="s">
        <v>45</v>
      </c>
      <c r="B56" s="211" t="s">
        <v>46</v>
      </c>
      <c r="C56" s="212"/>
      <c r="D56" s="196">
        <v>0</v>
      </c>
      <c r="E56" s="110"/>
      <c r="F56" s="110"/>
      <c r="G56" s="110"/>
      <c r="H56" s="110"/>
      <c r="K56"/>
      <c r="L56"/>
      <c r="M56"/>
      <c r="N56"/>
    </row>
    <row r="57" spans="1:14" s="1" customFormat="1" ht="15.75">
      <c r="A57" s="230" t="s">
        <v>47</v>
      </c>
      <c r="B57" s="211" t="s">
        <v>46</v>
      </c>
      <c r="C57" s="212"/>
      <c r="D57" s="196">
        <v>0</v>
      </c>
      <c r="E57" s="110"/>
      <c r="F57" s="110"/>
      <c r="G57" s="110"/>
      <c r="H57" s="110"/>
      <c r="K57"/>
      <c r="L57"/>
      <c r="M57"/>
      <c r="N57"/>
    </row>
    <row r="58" spans="1:14" s="1" customFormat="1" ht="26.25">
      <c r="A58" s="232" t="s">
        <v>48</v>
      </c>
      <c r="B58" s="211" t="s">
        <v>46</v>
      </c>
      <c r="C58" s="212"/>
      <c r="D58" s="196">
        <v>0</v>
      </c>
      <c r="E58" s="110"/>
      <c r="F58" s="110"/>
      <c r="G58" s="110"/>
      <c r="H58" s="110"/>
      <c r="K58"/>
      <c r="L58"/>
      <c r="M58"/>
      <c r="N58"/>
    </row>
    <row r="59" spans="1:14" s="1" customFormat="1" ht="15.75">
      <c r="A59" s="230" t="s">
        <v>49</v>
      </c>
      <c r="B59" s="211" t="s">
        <v>11</v>
      </c>
      <c r="C59" s="212"/>
      <c r="D59" s="196">
        <v>0</v>
      </c>
      <c r="E59" s="110"/>
      <c r="F59" s="110"/>
      <c r="G59" s="110"/>
      <c r="H59" s="110"/>
      <c r="K59"/>
      <c r="L59"/>
      <c r="M59"/>
      <c r="N59"/>
    </row>
    <row r="60" spans="1:8" ht="20.25" customHeight="1">
      <c r="A60" s="493" t="s">
        <v>50</v>
      </c>
      <c r="B60" s="493"/>
      <c r="C60" s="493"/>
      <c r="D60" s="493"/>
      <c r="E60" s="110"/>
      <c r="F60" s="110"/>
      <c r="G60" s="110"/>
      <c r="H60" s="110"/>
    </row>
    <row r="61" spans="1:8" ht="26.25">
      <c r="A61" s="232" t="s">
        <v>51</v>
      </c>
      <c r="B61" s="211" t="s">
        <v>11</v>
      </c>
      <c r="C61" s="212"/>
      <c r="D61" s="196">
        <v>0</v>
      </c>
      <c r="E61" s="110"/>
      <c r="F61" s="110"/>
      <c r="G61" s="110"/>
      <c r="H61" s="110"/>
    </row>
    <row r="62" spans="1:8" ht="15.75">
      <c r="A62" s="230" t="s">
        <v>12</v>
      </c>
      <c r="B62" s="211" t="s">
        <v>11</v>
      </c>
      <c r="C62" s="212"/>
      <c r="D62" s="196">
        <v>0</v>
      </c>
      <c r="E62" s="110"/>
      <c r="F62" s="110"/>
      <c r="G62" s="110"/>
      <c r="H62" s="110"/>
    </row>
    <row r="63" spans="1:8" ht="15.75">
      <c r="A63" s="230" t="s">
        <v>13</v>
      </c>
      <c r="B63" s="211" t="s">
        <v>11</v>
      </c>
      <c r="C63" s="212"/>
      <c r="D63" s="233">
        <f>D66-D69-D70-D71-D72</f>
        <v>204061.57362190002</v>
      </c>
      <c r="E63" s="110"/>
      <c r="F63" s="110"/>
      <c r="G63" s="110"/>
      <c r="H63" s="114"/>
    </row>
    <row r="64" spans="1:8" ht="26.25">
      <c r="A64" s="234" t="s">
        <v>52</v>
      </c>
      <c r="B64" s="211" t="s">
        <v>11</v>
      </c>
      <c r="C64" s="235"/>
      <c r="D64" s="236">
        <v>0</v>
      </c>
      <c r="E64" s="110"/>
      <c r="F64" s="110"/>
      <c r="G64" s="110"/>
      <c r="H64" s="110"/>
    </row>
    <row r="65" spans="1:10" ht="17.25" customHeight="1">
      <c r="A65" s="257" t="s">
        <v>12</v>
      </c>
      <c r="B65" s="211" t="s">
        <v>11</v>
      </c>
      <c r="C65" s="212"/>
      <c r="D65" s="196">
        <v>0</v>
      </c>
      <c r="E65" s="110"/>
      <c r="F65" s="110"/>
      <c r="G65" s="110"/>
      <c r="H65" s="110"/>
      <c r="I65" s="49"/>
      <c r="J65" s="49"/>
    </row>
    <row r="66" spans="1:14" ht="15.75">
      <c r="A66" s="238" t="s">
        <v>13</v>
      </c>
      <c r="B66" s="211" t="s">
        <v>11</v>
      </c>
      <c r="C66" s="239"/>
      <c r="D66" s="240">
        <v>141651.64</v>
      </c>
      <c r="E66" s="110"/>
      <c r="F66" s="110"/>
      <c r="G66" s="110"/>
      <c r="H66" s="110" t="s">
        <v>26</v>
      </c>
      <c r="I66" s="60"/>
      <c r="J66" s="60"/>
      <c r="K66" s="61"/>
      <c r="L66" s="61"/>
      <c r="M66" s="61"/>
      <c r="N66" s="61"/>
    </row>
    <row r="67" spans="1:14" ht="18" customHeight="1">
      <c r="A67" s="494" t="s">
        <v>53</v>
      </c>
      <c r="B67" s="494"/>
      <c r="C67" s="494"/>
      <c r="D67" s="494"/>
      <c r="E67" s="115"/>
      <c r="F67" s="116"/>
      <c r="G67" s="117"/>
      <c r="H67" s="110"/>
      <c r="I67" s="65"/>
      <c r="J67" s="65"/>
      <c r="K67" s="66"/>
      <c r="L67" s="66"/>
      <c r="M67" s="66"/>
      <c r="N67" s="66"/>
    </row>
    <row r="68" spans="1:14" ht="38.25">
      <c r="A68" s="67" t="s">
        <v>54</v>
      </c>
      <c r="B68" s="68" t="s">
        <v>55</v>
      </c>
      <c r="C68" s="159" t="s">
        <v>56</v>
      </c>
      <c r="D68" s="160" t="s">
        <v>57</v>
      </c>
      <c r="E68" s="115"/>
      <c r="F68" s="116"/>
      <c r="G68" s="117"/>
      <c r="H68" s="110"/>
      <c r="I68" s="65"/>
      <c r="J68" s="71"/>
      <c r="K68" s="66"/>
      <c r="L68" s="66"/>
      <c r="M68" s="66"/>
      <c r="N68" s="66"/>
    </row>
    <row r="69" spans="1:14" ht="15.75">
      <c r="A69" s="241" t="s">
        <v>58</v>
      </c>
      <c r="B69" s="242">
        <v>142741.6</v>
      </c>
      <c r="C69" s="440">
        <f>B69*1.10107</f>
        <v>157168.49351200002</v>
      </c>
      <c r="D69" s="441">
        <f>B69-C69</f>
        <v>-14426.89351200001</v>
      </c>
      <c r="E69" s="118"/>
      <c r="F69" s="116"/>
      <c r="G69" s="117"/>
      <c r="H69" s="110"/>
      <c r="I69" s="65"/>
      <c r="J69" s="65"/>
      <c r="K69" s="66"/>
      <c r="L69" s="66"/>
      <c r="M69" s="66"/>
      <c r="N69" s="66"/>
    </row>
    <row r="70" spans="1:14" ht="15.75">
      <c r="A70" s="241" t="s">
        <v>59</v>
      </c>
      <c r="B70" s="242">
        <v>126815.87</v>
      </c>
      <c r="C70" s="440">
        <f>B70*1.10107</f>
        <v>139633.1499809</v>
      </c>
      <c r="D70" s="441">
        <f>B70-C70</f>
        <v>-12817.279980899999</v>
      </c>
      <c r="E70" s="115"/>
      <c r="F70" s="116"/>
      <c r="G70" s="117"/>
      <c r="H70" s="110"/>
      <c r="I70" s="65"/>
      <c r="J70" s="65"/>
      <c r="K70" s="66"/>
      <c r="L70" s="66"/>
      <c r="M70" s="66"/>
      <c r="N70" s="66"/>
    </row>
    <row r="71" spans="1:14" ht="15.75">
      <c r="A71" s="241" t="s">
        <v>60</v>
      </c>
      <c r="B71" s="245">
        <v>347934.7</v>
      </c>
      <c r="C71" s="440">
        <f>B71*1.10107</f>
        <v>383100.460129</v>
      </c>
      <c r="D71" s="441">
        <f>B71-C71</f>
        <v>-35165.760129</v>
      </c>
      <c r="E71" s="115">
        <f>(2.07+1.8)*6*2301.2-0.37*2301.2*6</f>
        <v>48325.2</v>
      </c>
      <c r="F71" s="119"/>
      <c r="G71" s="120"/>
      <c r="H71" s="115"/>
      <c r="I71" s="65"/>
      <c r="J71" s="65"/>
      <c r="K71" s="66"/>
      <c r="L71" s="66"/>
      <c r="M71" s="66"/>
      <c r="N71" s="66"/>
    </row>
    <row r="72" spans="1:14" ht="16.5" thickBot="1">
      <c r="A72" s="264" t="s">
        <v>318</v>
      </c>
      <c r="B72" s="265">
        <v>81122.16</v>
      </c>
      <c r="C72" s="440">
        <f>B72</f>
        <v>81122.16</v>
      </c>
      <c r="D72" s="442">
        <f>B72-C72</f>
        <v>0</v>
      </c>
      <c r="E72" s="115"/>
      <c r="F72" s="119"/>
      <c r="G72" s="120"/>
      <c r="H72" s="110"/>
      <c r="I72" s="65"/>
      <c r="J72" s="65"/>
      <c r="K72" s="66"/>
      <c r="L72" s="66"/>
      <c r="M72" s="66"/>
      <c r="N72" s="66"/>
    </row>
    <row r="73" spans="1:14" ht="63.75">
      <c r="A73" s="130" t="s">
        <v>62</v>
      </c>
      <c r="B73" s="131" t="s">
        <v>63</v>
      </c>
      <c r="C73" s="131" t="s">
        <v>64</v>
      </c>
      <c r="D73" s="161" t="s">
        <v>65</v>
      </c>
      <c r="E73" s="115"/>
      <c r="F73" s="119"/>
      <c r="G73" s="110"/>
      <c r="H73" s="121"/>
      <c r="I73" s="65"/>
      <c r="J73" s="65"/>
      <c r="K73" s="66"/>
      <c r="L73" s="66"/>
      <c r="M73" s="66"/>
      <c r="N73" s="66"/>
    </row>
    <row r="74" spans="1:14" ht="15.75">
      <c r="A74" s="268" t="s">
        <v>58</v>
      </c>
      <c r="B74" s="247">
        <f>B69</f>
        <v>142741.6</v>
      </c>
      <c r="C74" s="443">
        <f>C69</f>
        <v>157168.49351200002</v>
      </c>
      <c r="D74" s="444">
        <f>B74-C74</f>
        <v>-14426.89351200001</v>
      </c>
      <c r="E74" s="115"/>
      <c r="F74" s="119"/>
      <c r="G74" s="110"/>
      <c r="H74" s="121"/>
      <c r="I74" s="65"/>
      <c r="J74" s="65" t="s">
        <v>26</v>
      </c>
      <c r="K74" s="66"/>
      <c r="L74" s="66"/>
      <c r="M74" s="66"/>
      <c r="N74" s="66"/>
    </row>
    <row r="75" spans="1:14" ht="15.75">
      <c r="A75" s="268" t="s">
        <v>59</v>
      </c>
      <c r="B75" s="247">
        <f>B70</f>
        <v>126815.87</v>
      </c>
      <c r="C75" s="443">
        <f>C70</f>
        <v>139633.1499809</v>
      </c>
      <c r="D75" s="444">
        <f>B75-C75</f>
        <v>-12817.279980899999</v>
      </c>
      <c r="E75" s="115"/>
      <c r="F75" s="119"/>
      <c r="G75" s="110"/>
      <c r="H75" s="121"/>
      <c r="I75" s="65"/>
      <c r="J75" s="65"/>
      <c r="K75" s="66"/>
      <c r="L75" s="66"/>
      <c r="M75" s="66"/>
      <c r="N75" s="66"/>
    </row>
    <row r="76" spans="1:14" ht="15.75">
      <c r="A76" s="268" t="s">
        <v>60</v>
      </c>
      <c r="B76" s="247">
        <v>297120.41</v>
      </c>
      <c r="C76" s="443">
        <f>C71</f>
        <v>383100.460129</v>
      </c>
      <c r="D76" s="444">
        <f>B76-C76</f>
        <v>-85980.05012900004</v>
      </c>
      <c r="E76" s="115"/>
      <c r="F76" s="119"/>
      <c r="G76" s="110"/>
      <c r="H76" s="121"/>
      <c r="I76" s="65"/>
      <c r="J76" s="65"/>
      <c r="K76" s="66"/>
      <c r="L76" s="66"/>
      <c r="M76" s="66"/>
      <c r="N76" s="66"/>
    </row>
    <row r="77" spans="1:14" ht="15.75">
      <c r="A77" s="264" t="s">
        <v>318</v>
      </c>
      <c r="B77" s="437">
        <v>81122.16</v>
      </c>
      <c r="C77" s="482">
        <f>B77</f>
        <v>81122.16</v>
      </c>
      <c r="D77" s="442">
        <f>B77-C77</f>
        <v>0</v>
      </c>
      <c r="E77" s="115"/>
      <c r="F77" s="119"/>
      <c r="G77" s="110"/>
      <c r="H77" s="121" t="s">
        <v>26</v>
      </c>
      <c r="I77" s="65"/>
      <c r="J77" s="65"/>
      <c r="K77" s="66"/>
      <c r="L77" s="66"/>
      <c r="M77" s="66"/>
      <c r="N77" s="66"/>
    </row>
    <row r="78" spans="1:14" ht="15.75">
      <c r="A78" s="250"/>
      <c r="B78" s="306"/>
      <c r="C78" s="476"/>
      <c r="D78" s="477"/>
      <c r="E78" s="115"/>
      <c r="F78" s="119"/>
      <c r="G78" s="110"/>
      <c r="H78" s="121"/>
      <c r="I78" s="65"/>
      <c r="J78" s="65"/>
      <c r="K78" s="66"/>
      <c r="L78" s="66"/>
      <c r="M78" s="66"/>
      <c r="N78" s="66"/>
    </row>
    <row r="79" spans="1:14" ht="26.25">
      <c r="A79" s="254" t="s">
        <v>66</v>
      </c>
      <c r="B79" s="251" t="s">
        <v>11</v>
      </c>
      <c r="C79" s="449"/>
      <c r="D79" s="450">
        <v>32031.39</v>
      </c>
      <c r="E79" s="115"/>
      <c r="F79" s="119"/>
      <c r="G79" s="110"/>
      <c r="H79" s="121"/>
      <c r="I79" s="65"/>
      <c r="J79" s="65" t="s">
        <v>26</v>
      </c>
      <c r="K79" s="66"/>
      <c r="L79" s="66"/>
      <c r="M79" s="66"/>
      <c r="N79" s="66"/>
    </row>
    <row r="80" spans="1:14" ht="17.25" customHeight="1">
      <c r="A80" s="495" t="s">
        <v>67</v>
      </c>
      <c r="B80" s="495"/>
      <c r="C80" s="495"/>
      <c r="D80" s="495"/>
      <c r="E80" s="122" t="e">
        <f>D80+B19</f>
        <v>#VALUE!</v>
      </c>
      <c r="F80" s="121"/>
      <c r="G80" s="110"/>
      <c r="H80" s="123" t="e">
        <f>E80-B18</f>
        <v>#VALUE!</v>
      </c>
      <c r="I80" s="65"/>
      <c r="J80" s="65"/>
      <c r="K80" s="66"/>
      <c r="L80" s="66"/>
      <c r="M80" s="66"/>
      <c r="N80" s="66"/>
    </row>
    <row r="81" spans="1:8" ht="21" customHeight="1">
      <c r="A81" s="87" t="s">
        <v>45</v>
      </c>
      <c r="B81" s="87" t="s">
        <v>46</v>
      </c>
      <c r="C81" s="87"/>
      <c r="D81" s="179">
        <v>0</v>
      </c>
      <c r="E81" s="124"/>
      <c r="F81" s="110"/>
      <c r="G81" s="110"/>
      <c r="H81" s="110"/>
    </row>
    <row r="82" spans="1:8" ht="21" customHeight="1">
      <c r="A82" s="87" t="s">
        <v>47</v>
      </c>
      <c r="B82" s="87" t="s">
        <v>46</v>
      </c>
      <c r="C82" s="87"/>
      <c r="D82" s="179">
        <v>0</v>
      </c>
      <c r="E82" s="124"/>
      <c r="F82" s="110"/>
      <c r="G82" s="110"/>
      <c r="H82" s="110"/>
    </row>
    <row r="83" spans="1:8" ht="18" customHeight="1">
      <c r="A83" s="87" t="s">
        <v>48</v>
      </c>
      <c r="B83" s="87" t="s">
        <v>46</v>
      </c>
      <c r="C83" s="87"/>
      <c r="D83" s="179">
        <v>0</v>
      </c>
      <c r="E83" s="124"/>
      <c r="F83" s="110"/>
      <c r="G83" s="110"/>
      <c r="H83" s="110"/>
    </row>
    <row r="84" spans="1:8" ht="16.5" customHeight="1">
      <c r="A84" s="87" t="s">
        <v>49</v>
      </c>
      <c r="B84" s="87" t="s">
        <v>11</v>
      </c>
      <c r="C84" s="87"/>
      <c r="D84" s="179">
        <v>0</v>
      </c>
      <c r="E84" s="124"/>
      <c r="F84" s="110"/>
      <c r="G84" s="110"/>
      <c r="H84" s="110"/>
    </row>
    <row r="85" spans="1:8" ht="15.75" customHeight="1">
      <c r="A85" s="489" t="s">
        <v>68</v>
      </c>
      <c r="B85" s="489"/>
      <c r="C85" s="489"/>
      <c r="D85" s="489"/>
      <c r="E85" s="124"/>
      <c r="F85" s="110"/>
      <c r="G85" s="110"/>
      <c r="H85" s="110"/>
    </row>
    <row r="86" spans="1:8" ht="18.75" customHeight="1">
      <c r="A86" s="87" t="s">
        <v>69</v>
      </c>
      <c r="B86" s="87" t="s">
        <v>46</v>
      </c>
      <c r="C86" s="87"/>
      <c r="D86" s="179">
        <v>1</v>
      </c>
      <c r="E86" s="124"/>
      <c r="F86" s="110"/>
      <c r="G86" s="110"/>
      <c r="H86" s="110"/>
    </row>
    <row r="87" spans="1:8" ht="21.75" customHeight="1">
      <c r="A87" s="87" t="s">
        <v>70</v>
      </c>
      <c r="B87" s="257" t="s">
        <v>46</v>
      </c>
      <c r="C87" s="257"/>
      <c r="D87" s="179">
        <v>0</v>
      </c>
      <c r="E87" s="124"/>
      <c r="F87" s="110"/>
      <c r="G87" s="110"/>
      <c r="H87" s="110"/>
    </row>
    <row r="88" spans="1:8" ht="36" customHeight="1">
      <c r="A88" s="258" t="s">
        <v>71</v>
      </c>
      <c r="B88" s="87" t="s">
        <v>11</v>
      </c>
      <c r="C88" s="87"/>
      <c r="D88" s="179">
        <v>9000</v>
      </c>
      <c r="E88" s="124"/>
      <c r="F88" s="110"/>
      <c r="G88" s="110"/>
      <c r="H88" s="110"/>
    </row>
    <row r="89" spans="1:8" ht="15.75">
      <c r="A89" s="259"/>
      <c r="B89" s="259"/>
      <c r="C89" s="259"/>
      <c r="D89" s="260"/>
      <c r="E89" s="110"/>
      <c r="F89" s="110"/>
      <c r="G89" s="110"/>
      <c r="H89" s="110"/>
    </row>
    <row r="90" spans="1:14" s="1" customFormat="1" ht="12.75">
      <c r="A90" s="180"/>
      <c r="B90" s="180"/>
      <c r="C90" s="180"/>
      <c r="D90" s="180"/>
      <c r="E90" s="110"/>
      <c r="F90" s="110"/>
      <c r="G90" s="110"/>
      <c r="H90" s="110" t="s">
        <v>26</v>
      </c>
      <c r="K90"/>
      <c r="L90"/>
      <c r="M90"/>
      <c r="N90"/>
    </row>
    <row r="91" spans="1:14" s="1" customFormat="1" ht="12.75">
      <c r="A91" s="180" t="s">
        <v>72</v>
      </c>
      <c r="B91" s="180"/>
      <c r="C91" s="180" t="s">
        <v>146</v>
      </c>
      <c r="D91" s="180"/>
      <c r="E91" s="110"/>
      <c r="F91" s="110"/>
      <c r="G91" s="110"/>
      <c r="H91" s="110"/>
      <c r="K91"/>
      <c r="L91"/>
      <c r="M91"/>
      <c r="N91"/>
    </row>
    <row r="92" spans="1:14" s="1" customFormat="1" ht="12.75">
      <c r="A92" s="180"/>
      <c r="B92" s="180"/>
      <c r="C92" s="180"/>
      <c r="D92" s="180"/>
      <c r="E92" s="110"/>
      <c r="F92" s="110"/>
      <c r="G92" s="110"/>
      <c r="H92" s="110" t="s">
        <v>26</v>
      </c>
      <c r="K92"/>
      <c r="L92"/>
      <c r="M92"/>
      <c r="N92"/>
    </row>
    <row r="93" spans="1:14" s="1" customFormat="1" ht="12.75">
      <c r="A93" s="180" t="s">
        <v>73</v>
      </c>
      <c r="B93" s="180"/>
      <c r="C93" s="180"/>
      <c r="D93" s="180"/>
      <c r="E93" s="110"/>
      <c r="F93" s="110"/>
      <c r="G93" s="110"/>
      <c r="H93" s="110"/>
      <c r="K93"/>
      <c r="L93"/>
      <c r="M93"/>
      <c r="N93"/>
    </row>
    <row r="94" spans="1:4" ht="12.75">
      <c r="A94" s="180"/>
      <c r="B94" s="180"/>
      <c r="C94" s="180"/>
      <c r="D94" s="180"/>
    </row>
    <row r="97" spans="1:14" s="1" customFormat="1" ht="12.75">
      <c r="A97"/>
      <c r="B97"/>
      <c r="C97"/>
      <c r="D97"/>
      <c r="E97" s="1" t="s">
        <v>26</v>
      </c>
      <c r="K97"/>
      <c r="L97"/>
      <c r="M97"/>
      <c r="N97"/>
    </row>
  </sheetData>
  <sheetProtection selectLockedCells="1" selectUnlockedCells="1"/>
  <mergeCells count="13">
    <mergeCell ref="A85:D85"/>
    <mergeCell ref="A14:D14"/>
    <mergeCell ref="A28:D28"/>
    <mergeCell ref="A55:D55"/>
    <mergeCell ref="A60:D60"/>
    <mergeCell ref="A67:D67"/>
    <mergeCell ref="A80:D8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0" zoomScaleNormal="80" zoomScalePageLayoutView="0" workbookViewId="0" topLeftCell="A1">
      <selection activeCell="E15" sqref="E15:I4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143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202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5" ht="12.75">
      <c r="A10" s="189">
        <v>1</v>
      </c>
      <c r="B10" s="189">
        <v>2</v>
      </c>
      <c r="C10" s="189">
        <v>3</v>
      </c>
      <c r="D10" s="190">
        <v>4</v>
      </c>
      <c r="E10" s="110"/>
    </row>
    <row r="11" spans="1:5" ht="12.75">
      <c r="A11" s="20" t="s">
        <v>6</v>
      </c>
      <c r="B11" s="191"/>
      <c r="C11" s="192" t="s">
        <v>242</v>
      </c>
      <c r="D11" s="193"/>
      <c r="E11" s="110"/>
    </row>
    <row r="12" spans="1:5" ht="12.75">
      <c r="A12" s="20" t="s">
        <v>7</v>
      </c>
      <c r="B12" s="191"/>
      <c r="C12" s="192" t="s">
        <v>243</v>
      </c>
      <c r="D12" s="193"/>
      <c r="E12" s="110"/>
    </row>
    <row r="13" spans="1:5" ht="12.75">
      <c r="A13" s="20" t="s">
        <v>8</v>
      </c>
      <c r="B13" s="191"/>
      <c r="C13" s="192" t="s">
        <v>244</v>
      </c>
      <c r="D13" s="193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9" ht="26.25">
      <c r="A15" s="17" t="s">
        <v>10</v>
      </c>
      <c r="B15" s="194" t="s">
        <v>11</v>
      </c>
      <c r="C15" s="197">
        <v>17431.92</v>
      </c>
      <c r="D15" s="196"/>
      <c r="E15" s="110"/>
      <c r="F15" s="110"/>
      <c r="G15" s="110"/>
      <c r="H15" s="110"/>
      <c r="I15" s="110"/>
    </row>
    <row r="16" spans="1:9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  <c r="I16" s="110"/>
    </row>
    <row r="17" spans="1:9" ht="15.75">
      <c r="A17" s="20" t="s">
        <v>13</v>
      </c>
      <c r="B17" s="194" t="s">
        <v>11</v>
      </c>
      <c r="C17" s="197">
        <v>1072.4</v>
      </c>
      <c r="D17" s="198"/>
      <c r="E17" s="110"/>
      <c r="F17" s="110"/>
      <c r="G17" s="110"/>
      <c r="H17" s="110"/>
      <c r="I17" s="110"/>
    </row>
    <row r="18" spans="1:9" ht="31.5" customHeight="1">
      <c r="A18" s="17" t="s">
        <v>14</v>
      </c>
      <c r="B18" s="194" t="s">
        <v>11</v>
      </c>
      <c r="C18" s="197">
        <f>12777.84</f>
        <v>12777.84</v>
      </c>
      <c r="D18" s="198"/>
      <c r="E18" s="111">
        <f>C18-C20</f>
        <v>8620.152</v>
      </c>
      <c r="F18" s="110"/>
      <c r="G18" s="110"/>
      <c r="H18" s="110"/>
      <c r="I18" s="110"/>
    </row>
    <row r="19" spans="1:9" ht="15.75">
      <c r="A19" s="20" t="s">
        <v>15</v>
      </c>
      <c r="B19" s="194" t="s">
        <v>11</v>
      </c>
      <c r="C19" s="197">
        <f>C18-C20-C21</f>
        <v>4059.7559999999994</v>
      </c>
      <c r="D19" s="198"/>
      <c r="E19" s="111">
        <f>E18-E38</f>
        <v>0.023999999999432475</v>
      </c>
      <c r="F19" s="110"/>
      <c r="G19" s="110"/>
      <c r="H19" s="110"/>
      <c r="I19" s="110"/>
    </row>
    <row r="20" spans="1:9" ht="15.75">
      <c r="A20" s="20" t="s">
        <v>16</v>
      </c>
      <c r="B20" s="194" t="s">
        <v>11</v>
      </c>
      <c r="C20" s="197">
        <f>(4.36+3.28)*6*90.7</f>
        <v>4157.688</v>
      </c>
      <c r="D20" s="198"/>
      <c r="E20" s="112"/>
      <c r="F20" s="110"/>
      <c r="G20" s="110"/>
      <c r="H20" s="110"/>
      <c r="I20" s="110"/>
    </row>
    <row r="21" spans="1:9" ht="15.75">
      <c r="A21" s="20" t="s">
        <v>17</v>
      </c>
      <c r="B21" s="194" t="s">
        <v>11</v>
      </c>
      <c r="C21" s="199">
        <f>90.7*4.19*12</f>
        <v>4560.396000000001</v>
      </c>
      <c r="D21" s="198"/>
      <c r="E21" s="110"/>
      <c r="F21" s="110"/>
      <c r="G21" s="110"/>
      <c r="H21" s="110"/>
      <c r="I21" s="110"/>
    </row>
    <row r="22" spans="1:9" ht="15.75">
      <c r="A22" s="20" t="s">
        <v>18</v>
      </c>
      <c r="B22" s="194" t="s">
        <v>11</v>
      </c>
      <c r="C22" s="197">
        <f>C23</f>
        <v>12777.84</v>
      </c>
      <c r="D22" s="198" t="s">
        <v>19</v>
      </c>
      <c r="E22" s="111" t="e">
        <f>B24+B25+B26+B27+B28</f>
        <v>#VALUE!</v>
      </c>
      <c r="F22" s="110"/>
      <c r="G22" s="110"/>
      <c r="H22" s="110"/>
      <c r="I22" s="110"/>
    </row>
    <row r="23" spans="1:9" ht="15.75">
      <c r="A23" s="20" t="s">
        <v>20</v>
      </c>
      <c r="B23" s="194" t="s">
        <v>11</v>
      </c>
      <c r="C23" s="197">
        <f>C18*1</f>
        <v>12777.84</v>
      </c>
      <c r="D23" s="198"/>
      <c r="E23" s="110"/>
      <c r="F23" s="110"/>
      <c r="G23" s="110"/>
      <c r="H23" s="110"/>
      <c r="I23" s="110"/>
    </row>
    <row r="24" spans="1:9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  <c r="I24" s="110"/>
    </row>
    <row r="25" spans="1:9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  <c r="I25" s="110"/>
    </row>
    <row r="26" spans="1:9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  <c r="I26" s="110"/>
    </row>
    <row r="27" spans="1:9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  <c r="I27" s="110"/>
    </row>
    <row r="28" spans="1:9" ht="15.75">
      <c r="A28" s="20" t="s">
        <v>25</v>
      </c>
      <c r="B28" s="194" t="s">
        <v>11</v>
      </c>
      <c r="C28" s="197">
        <f>C15+C22</f>
        <v>30209.76</v>
      </c>
      <c r="D28" s="198" t="s">
        <v>26</v>
      </c>
      <c r="E28" s="112" t="e">
        <f>B28/#REF!*1</f>
        <v>#VALUE!</v>
      </c>
      <c r="F28" s="110"/>
      <c r="G28" s="110"/>
      <c r="H28" s="110"/>
      <c r="I28" s="110"/>
    </row>
    <row r="29" spans="1:9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  <c r="I29" s="110"/>
    </row>
    <row r="30" spans="1:9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  <c r="I30" s="110"/>
    </row>
    <row r="31" spans="1:9" ht="15.75">
      <c r="A31" s="206" t="s">
        <v>32</v>
      </c>
      <c r="B31" s="207" t="s">
        <v>33</v>
      </c>
      <c r="C31" s="208" t="s">
        <v>34</v>
      </c>
      <c r="D31" s="209">
        <f>(0.81+0.85)*6*90.7</f>
        <v>903.3720000000001</v>
      </c>
      <c r="E31" s="110"/>
      <c r="F31" s="110"/>
      <c r="G31" s="110"/>
      <c r="H31" s="110"/>
      <c r="I31" s="110"/>
    </row>
    <row r="32" spans="1:9" ht="15.75">
      <c r="A32" s="210" t="s">
        <v>36</v>
      </c>
      <c r="B32" s="211" t="s">
        <v>33</v>
      </c>
      <c r="C32" s="212" t="s">
        <v>37</v>
      </c>
      <c r="D32" s="213">
        <f>0.24*12*90.7</f>
        <v>261.216</v>
      </c>
      <c r="E32" s="110"/>
      <c r="F32" s="110"/>
      <c r="G32" s="110"/>
      <c r="H32" s="110"/>
      <c r="I32" s="110"/>
    </row>
    <row r="33" spans="1:9" ht="15.75">
      <c r="A33" s="296" t="s">
        <v>181</v>
      </c>
      <c r="B33" s="211" t="s">
        <v>33</v>
      </c>
      <c r="C33" s="212" t="s">
        <v>34</v>
      </c>
      <c r="D33" s="213">
        <f>90.7*(0.16+0.14)*6</f>
        <v>163.26000000000002</v>
      </c>
      <c r="E33" s="110"/>
      <c r="F33" s="110"/>
      <c r="G33" s="110"/>
      <c r="H33" s="110"/>
      <c r="I33" s="110"/>
    </row>
    <row r="34" spans="1:9" ht="15.75">
      <c r="A34" s="210" t="s">
        <v>81</v>
      </c>
      <c r="B34" s="216" t="s">
        <v>82</v>
      </c>
      <c r="C34" s="212" t="s">
        <v>34</v>
      </c>
      <c r="D34" s="213">
        <f>1.33*12*90.7</f>
        <v>1447.5720000000001</v>
      </c>
      <c r="E34" s="110"/>
      <c r="F34" s="110"/>
      <c r="G34" s="110"/>
      <c r="H34" s="110"/>
      <c r="I34" s="110"/>
    </row>
    <row r="35" spans="1:9" ht="15.75">
      <c r="A35" s="210" t="s">
        <v>38</v>
      </c>
      <c r="B35" s="211" t="s">
        <v>35</v>
      </c>
      <c r="C35" s="368" t="s">
        <v>237</v>
      </c>
      <c r="D35" s="213">
        <f>4.19*90.7*12</f>
        <v>4560.396000000001</v>
      </c>
      <c r="E35" s="110"/>
      <c r="F35" s="110"/>
      <c r="G35" s="110"/>
      <c r="H35" s="110"/>
      <c r="I35" s="110"/>
    </row>
    <row r="36" spans="1:9" ht="15.75">
      <c r="A36" s="210" t="s">
        <v>85</v>
      </c>
      <c r="B36" s="211" t="s">
        <v>238</v>
      </c>
      <c r="C36" s="262" t="s">
        <v>37</v>
      </c>
      <c r="D36" s="213">
        <f>90.7*(0.85+1.51)*6</f>
        <v>1284.312</v>
      </c>
      <c r="E36" s="110"/>
      <c r="F36" s="110"/>
      <c r="G36" s="110"/>
      <c r="H36" s="110"/>
      <c r="I36" s="110"/>
    </row>
    <row r="37" spans="1:14" s="1" customFormat="1" ht="47.25">
      <c r="A37" s="371" t="s">
        <v>40</v>
      </c>
      <c r="B37" s="218" t="s">
        <v>41</v>
      </c>
      <c r="C37" s="321" t="s">
        <v>142</v>
      </c>
      <c r="D37" s="177">
        <v>0</v>
      </c>
      <c r="E37" s="110"/>
      <c r="F37" s="110"/>
      <c r="G37" s="110"/>
      <c r="H37" s="110"/>
      <c r="I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SUM(D31:D37)</f>
        <v>8620.128</v>
      </c>
      <c r="E38" s="113">
        <f>D38-D37</f>
        <v>8620.128</v>
      </c>
      <c r="F38" s="110"/>
      <c r="G38" s="110"/>
      <c r="H38" s="110"/>
      <c r="I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21589.631999999998</v>
      </c>
      <c r="E39" s="113"/>
      <c r="F39" s="110"/>
      <c r="G39" s="110"/>
      <c r="H39" s="110"/>
      <c r="I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/>
      <c r="E40" s="110"/>
      <c r="F40" s="110"/>
      <c r="G40" s="110"/>
      <c r="H40" s="110"/>
      <c r="I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1072.4</v>
      </c>
      <c r="E41" s="110"/>
      <c r="F41" s="110"/>
      <c r="G41" s="110"/>
      <c r="H41" s="110"/>
      <c r="I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I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>
        <v>0</v>
      </c>
      <c r="D43" s="196">
        <v>0</v>
      </c>
      <c r="E43" s="110"/>
      <c r="F43" s="110"/>
      <c r="G43" s="110"/>
      <c r="H43" s="110"/>
      <c r="I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I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I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>
        <v>0</v>
      </c>
      <c r="D46" s="196">
        <v>0</v>
      </c>
      <c r="E46" s="110"/>
      <c r="F46" s="110"/>
      <c r="G46" s="110"/>
      <c r="H46" s="110"/>
      <c r="I46" s="110"/>
      <c r="K46"/>
      <c r="L46"/>
      <c r="M46"/>
      <c r="N46"/>
    </row>
    <row r="47" spans="1:9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  <c r="I47" s="110"/>
    </row>
    <row r="48" spans="1:9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  <c r="I48" s="110"/>
    </row>
    <row r="49" spans="1:5" ht="15.75">
      <c r="A49" s="230" t="s">
        <v>12</v>
      </c>
      <c r="B49" s="211" t="s">
        <v>11</v>
      </c>
      <c r="C49" s="212"/>
      <c r="D49" s="196">
        <v>0</v>
      </c>
      <c r="E49" s="110"/>
    </row>
    <row r="50" spans="1:8" ht="15.75">
      <c r="A50" s="230" t="s">
        <v>13</v>
      </c>
      <c r="B50" s="211" t="s">
        <v>11</v>
      </c>
      <c r="C50" s="212"/>
      <c r="D50" s="240">
        <v>1229.74</v>
      </c>
      <c r="E50" s="110"/>
      <c r="H50" s="49"/>
    </row>
    <row r="51" spans="1:5" ht="26.25">
      <c r="A51" s="234" t="s">
        <v>52</v>
      </c>
      <c r="B51" s="211" t="s">
        <v>11</v>
      </c>
      <c r="C51" s="235"/>
      <c r="D51" s="236">
        <v>0</v>
      </c>
      <c r="E51" s="110"/>
    </row>
    <row r="52" spans="1:10" ht="17.25" customHeight="1">
      <c r="A52" s="257" t="s">
        <v>12</v>
      </c>
      <c r="B52" s="211" t="s">
        <v>11</v>
      </c>
      <c r="C52" s="279"/>
      <c r="D52" s="55">
        <v>0</v>
      </c>
      <c r="E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1229.74</v>
      </c>
      <c r="E53" s="110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63"/>
      <c r="G55" s="64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8766.12</v>
      </c>
      <c r="C56" s="243">
        <f>B56*1</f>
        <v>8766.12</v>
      </c>
      <c r="D56" s="244">
        <f>B56-C56</f>
        <v>0</v>
      </c>
      <c r="E56" s="118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B57*1.0372</f>
        <v>0</v>
      </c>
      <c r="D57" s="244">
        <f>B57-C57</f>
        <v>0</v>
      </c>
      <c r="E57" s="115"/>
      <c r="F57" s="63"/>
      <c r="G57" s="64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B58*1.0372</f>
        <v>0</v>
      </c>
      <c r="D58" s="244">
        <f>B58-C58</f>
        <v>0</v>
      </c>
      <c r="E58" s="115">
        <f>(2.07+1.8)*6*2301.2-0.37*2301.2*6</f>
        <v>48325.2</v>
      </c>
      <c r="F58" s="74"/>
      <c r="G58" s="75"/>
      <c r="H58" s="62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5886.72</v>
      </c>
      <c r="C59" s="266">
        <f>B59*1</f>
        <v>5886.72</v>
      </c>
      <c r="D59" s="267">
        <f>B59-C59</f>
        <v>0</v>
      </c>
      <c r="E59" s="115"/>
      <c r="F59" s="74"/>
      <c r="G59" s="75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74"/>
      <c r="H60" s="65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8766.12</v>
      </c>
      <c r="C61" s="248">
        <f>C56</f>
        <v>8766.12</v>
      </c>
      <c r="D61" s="269">
        <f>B61-C61</f>
        <v>0</v>
      </c>
      <c r="E61" s="115"/>
      <c r="F61" s="74"/>
      <c r="H61" s="65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v>0</v>
      </c>
      <c r="D62" s="269">
        <f>B62-C62</f>
        <v>0</v>
      </c>
      <c r="E62" s="115"/>
      <c r="F62" s="74"/>
      <c r="H62" s="65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v>0</v>
      </c>
      <c r="D63" s="269">
        <f>B63-C63</f>
        <v>0</v>
      </c>
      <c r="E63" s="115"/>
      <c r="F63" s="74"/>
      <c r="H63" s="65"/>
      <c r="I63" s="65"/>
      <c r="J63" s="65"/>
      <c r="K63" s="66"/>
      <c r="L63" s="66"/>
      <c r="M63" s="66"/>
      <c r="N63" s="66"/>
    </row>
    <row r="64" spans="1:14" ht="16.5" thickBot="1">
      <c r="A64" s="270" t="s">
        <v>318</v>
      </c>
      <c r="B64" s="271">
        <v>5886.72</v>
      </c>
      <c r="C64" s="272">
        <v>5886.72</v>
      </c>
      <c r="D64" s="273">
        <v>0</v>
      </c>
      <c r="E64" s="115"/>
      <c r="F64" s="74"/>
      <c r="H64" s="65" t="s">
        <v>26</v>
      </c>
      <c r="I64" s="65"/>
      <c r="J64" s="65"/>
      <c r="K64" s="66"/>
      <c r="L64" s="66"/>
      <c r="M64" s="66"/>
      <c r="N64" s="66"/>
    </row>
    <row r="65" spans="1:14" ht="15.75">
      <c r="A65" s="250"/>
      <c r="B65" s="251"/>
      <c r="C65" s="252"/>
      <c r="D65" s="253"/>
      <c r="E65" s="62"/>
      <c r="F65" s="74"/>
      <c r="H65" s="65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62"/>
      <c r="F66" s="74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84" t="e">
        <f>D67+B19</f>
        <v>#VALUE!</v>
      </c>
      <c r="F67" s="65"/>
      <c r="H67" s="85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7" t="s">
        <v>45</v>
      </c>
      <c r="B68" s="87" t="s">
        <v>46</v>
      </c>
      <c r="C68" s="87"/>
      <c r="D68" s="179">
        <v>0</v>
      </c>
      <c r="E68" s="89"/>
    </row>
    <row r="69" spans="1:5" ht="21" customHeight="1">
      <c r="A69" s="87" t="s">
        <v>47</v>
      </c>
      <c r="B69" s="87" t="s">
        <v>46</v>
      </c>
      <c r="C69" s="87"/>
      <c r="D69" s="179">
        <v>0</v>
      </c>
      <c r="E69" s="89"/>
    </row>
    <row r="70" spans="1:5" ht="18" customHeight="1">
      <c r="A70" s="87" t="s">
        <v>48</v>
      </c>
      <c r="B70" s="87" t="s">
        <v>46</v>
      </c>
      <c r="C70" s="87"/>
      <c r="D70" s="179">
        <v>0</v>
      </c>
      <c r="E70" s="89"/>
    </row>
    <row r="71" spans="1:5" ht="16.5" customHeight="1">
      <c r="A71" s="87" t="s">
        <v>49</v>
      </c>
      <c r="B71" s="87" t="s">
        <v>11</v>
      </c>
      <c r="C71" s="87"/>
      <c r="D71" s="179">
        <v>0</v>
      </c>
      <c r="E71" s="89"/>
    </row>
    <row r="72" spans="1:5" ht="15.75" customHeight="1">
      <c r="A72" s="489" t="s">
        <v>68</v>
      </c>
      <c r="B72" s="489"/>
      <c r="C72" s="489"/>
      <c r="D72" s="489"/>
      <c r="E72" s="89"/>
    </row>
    <row r="73" spans="1:5" ht="18.75" customHeight="1">
      <c r="A73" s="87" t="s">
        <v>69</v>
      </c>
      <c r="B73" s="87" t="s">
        <v>46</v>
      </c>
      <c r="C73" s="87"/>
      <c r="D73" s="179">
        <v>0</v>
      </c>
      <c r="E73" s="89"/>
    </row>
    <row r="74" spans="1:5" ht="21.75" customHeight="1">
      <c r="A74" s="87" t="s">
        <v>70</v>
      </c>
      <c r="B74" s="257" t="s">
        <v>46</v>
      </c>
      <c r="C74" s="257"/>
      <c r="D74" s="179">
        <v>0</v>
      </c>
      <c r="E74" s="89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14" s="1" customFormat="1" ht="12.75">
      <c r="A84" s="180"/>
      <c r="B84" s="180"/>
      <c r="C84" s="180"/>
      <c r="D84" s="180"/>
      <c r="E84" s="1" t="s">
        <v>26</v>
      </c>
      <c r="K84"/>
      <c r="L84"/>
      <c r="M84"/>
      <c r="N84"/>
    </row>
    <row r="85" spans="1:4" ht="12.75">
      <c r="A85" s="180"/>
      <c r="B85" s="180"/>
      <c r="C85" s="180"/>
      <c r="D85" s="180"/>
    </row>
    <row r="86" spans="1:4" ht="12.75">
      <c r="A86" s="180"/>
      <c r="B86" s="180"/>
      <c r="C86" s="180"/>
      <c r="D86" s="180"/>
    </row>
    <row r="87" spans="1:4" ht="12.75">
      <c r="A87" s="180"/>
      <c r="B87" s="180"/>
      <c r="C87" s="180"/>
      <c r="D87" s="180"/>
    </row>
    <row r="88" spans="1:4" ht="12.75">
      <c r="A88" s="180"/>
      <c r="B88" s="180"/>
      <c r="C88" s="180"/>
      <c r="D88" s="180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">
      <selection activeCell="E17" sqref="E17:H7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144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18" customHeight="1">
      <c r="A6" s="261" t="s">
        <v>203</v>
      </c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/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12588.8</v>
      </c>
      <c r="D15" s="196"/>
      <c r="E15" s="59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59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45383.24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10007.16+1626.48</f>
        <v>11633.64</v>
      </c>
      <c r="D18" s="198"/>
      <c r="E18" s="111">
        <f>C18-C20</f>
        <v>8433.192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3566.087999999999</v>
      </c>
      <c r="D19" s="198"/>
      <c r="E19" s="111">
        <f>E18-E38</f>
        <v>-0.024000000001251465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(1.39+1.32)*6*96.8+1626.48</f>
        <v>3200.448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96.8*4.19*12</f>
        <v>4867.104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</f>
        <v>6876.644603999999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C18*0.5911</f>
        <v>6876.644603999999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19465.444603999997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(0.85+0.65)*6*96.8</f>
        <v>871.1999999999999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0.24*12*96.8</f>
        <v>278.784</v>
      </c>
      <c r="E32" s="110"/>
      <c r="F32" s="110"/>
      <c r="G32" s="110"/>
      <c r="H32" s="110"/>
    </row>
    <row r="33" spans="1:8" ht="15.75">
      <c r="A33" s="296" t="s">
        <v>181</v>
      </c>
      <c r="B33" s="211" t="s">
        <v>33</v>
      </c>
      <c r="C33" s="212" t="s">
        <v>34</v>
      </c>
      <c r="D33" s="213">
        <v>0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1.33*12*96.8</f>
        <v>1544.928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4.19*96.8*12</f>
        <v>4867.104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62" t="s">
        <v>37</v>
      </c>
      <c r="D36" s="213">
        <f>96.8*(0.71+0.79)*6</f>
        <v>871.1999999999999</v>
      </c>
      <c r="E36" s="110"/>
      <c r="F36" s="110"/>
      <c r="G36" s="110"/>
      <c r="H36" s="110"/>
    </row>
    <row r="37" spans="1:14" s="1" customFormat="1" ht="47.25">
      <c r="A37" s="371" t="s">
        <v>40</v>
      </c>
      <c r="B37" s="218" t="s">
        <v>41</v>
      </c>
      <c r="C37" s="321" t="s">
        <v>142</v>
      </c>
      <c r="D37" s="177">
        <v>0</v>
      </c>
      <c r="E37" s="110"/>
      <c r="F37" s="110"/>
      <c r="G37" s="110"/>
      <c r="H37" s="110"/>
      <c r="K37"/>
      <c r="L37"/>
      <c r="M37"/>
      <c r="N37"/>
    </row>
    <row r="38" spans="1:14" s="1" customFormat="1" ht="15.75">
      <c r="A38" s="37" t="s">
        <v>42</v>
      </c>
      <c r="B38" s="225"/>
      <c r="C38" s="226"/>
      <c r="D38" s="98">
        <f>SUM(D31:D37)</f>
        <v>8433.216</v>
      </c>
      <c r="E38" s="113">
        <f>D38-D37</f>
        <v>8433.216</v>
      </c>
      <c r="F38" s="110"/>
      <c r="G38" s="110"/>
      <c r="H38" s="110"/>
      <c r="K38"/>
      <c r="L38"/>
      <c r="M38"/>
      <c r="N38"/>
    </row>
    <row r="39" spans="1:14" s="1" customFormat="1" ht="15.75">
      <c r="A39" s="40" t="s">
        <v>43</v>
      </c>
      <c r="B39" s="227" t="s">
        <v>11</v>
      </c>
      <c r="C39" s="228"/>
      <c r="D39" s="229">
        <f>C28-D38</f>
        <v>11032.228603999996</v>
      </c>
      <c r="E39" s="113"/>
      <c r="F39" s="110"/>
      <c r="G39" s="110"/>
      <c r="H39" s="110"/>
      <c r="K39"/>
      <c r="L39"/>
      <c r="M39"/>
      <c r="N39"/>
    </row>
    <row r="40" spans="1:14" s="1" customFormat="1" ht="15.75">
      <c r="A40" s="230" t="s">
        <v>12</v>
      </c>
      <c r="B40" s="231" t="s">
        <v>11</v>
      </c>
      <c r="C40" s="212"/>
      <c r="D40" s="196"/>
      <c r="E40" s="110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13</v>
      </c>
      <c r="B41" s="231" t="s">
        <v>11</v>
      </c>
      <c r="C41" s="212"/>
      <c r="D41" s="198">
        <v>35694.1</v>
      </c>
      <c r="E41" s="110"/>
      <c r="F41" s="110"/>
      <c r="G41" s="110"/>
      <c r="H41" s="110"/>
      <c r="K41"/>
      <c r="L41"/>
      <c r="M41"/>
      <c r="N41"/>
    </row>
    <row r="42" spans="1:14" s="1" customFormat="1" ht="24" customHeight="1">
      <c r="A42" s="492" t="s">
        <v>44</v>
      </c>
      <c r="B42" s="492"/>
      <c r="C42" s="492"/>
      <c r="D42" s="492"/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230" t="s">
        <v>45</v>
      </c>
      <c r="B43" s="211" t="s">
        <v>46</v>
      </c>
      <c r="C43" s="212">
        <v>0</v>
      </c>
      <c r="D43" s="196">
        <v>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47</v>
      </c>
      <c r="B44" s="211" t="s">
        <v>46</v>
      </c>
      <c r="C44" s="212">
        <v>0</v>
      </c>
      <c r="D44" s="196">
        <v>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2" t="s">
        <v>48</v>
      </c>
      <c r="B45" s="211" t="s">
        <v>46</v>
      </c>
      <c r="C45" s="212">
        <v>0</v>
      </c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49</v>
      </c>
      <c r="B46" s="211" t="s">
        <v>11</v>
      </c>
      <c r="C46" s="212">
        <v>0</v>
      </c>
      <c r="D46" s="196">
        <v>0</v>
      </c>
      <c r="E46" s="110"/>
      <c r="F46" s="110"/>
      <c r="G46" s="110"/>
      <c r="H46" s="110"/>
      <c r="K46"/>
      <c r="L46"/>
      <c r="M46"/>
      <c r="N46"/>
    </row>
    <row r="47" spans="1:8" ht="20.25" customHeight="1">
      <c r="A47" s="493" t="s">
        <v>50</v>
      </c>
      <c r="B47" s="493"/>
      <c r="C47" s="493"/>
      <c r="D47" s="493"/>
      <c r="E47" s="110"/>
      <c r="F47" s="110"/>
      <c r="G47" s="110"/>
      <c r="H47" s="110"/>
    </row>
    <row r="48" spans="1:8" ht="26.25">
      <c r="A48" s="232" t="s">
        <v>51</v>
      </c>
      <c r="B48" s="211" t="s">
        <v>11</v>
      </c>
      <c r="C48" s="212"/>
      <c r="D48" s="196">
        <v>0</v>
      </c>
      <c r="E48" s="110"/>
      <c r="F48" s="110"/>
      <c r="G48" s="110"/>
      <c r="H48" s="110"/>
    </row>
    <row r="49" spans="1:8" ht="15.75">
      <c r="A49" s="230" t="s">
        <v>12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13</v>
      </c>
      <c r="B50" s="211" t="s">
        <v>11</v>
      </c>
      <c r="C50" s="212"/>
      <c r="D50" s="233">
        <f>D53+D56+D59</f>
        <v>27106.847154</v>
      </c>
      <c r="E50" s="110"/>
      <c r="F50" s="110"/>
      <c r="G50" s="110"/>
      <c r="H50" s="114"/>
    </row>
    <row r="51" spans="1:8" ht="26.25">
      <c r="A51" s="234" t="s">
        <v>52</v>
      </c>
      <c r="B51" s="211" t="s">
        <v>11</v>
      </c>
      <c r="C51" s="235"/>
      <c r="D51" s="236">
        <v>0</v>
      </c>
      <c r="E51" s="110"/>
      <c r="F51" s="110"/>
      <c r="G51" s="110"/>
      <c r="H51" s="110"/>
    </row>
    <row r="52" spans="1:10" ht="17.25" customHeight="1">
      <c r="A52" s="257" t="s">
        <v>12</v>
      </c>
      <c r="B52" s="211" t="s">
        <v>11</v>
      </c>
      <c r="C52" s="212"/>
      <c r="D52" s="196">
        <v>0</v>
      </c>
      <c r="E52" s="110"/>
      <c r="F52" s="110"/>
      <c r="G52" s="110"/>
      <c r="H52" s="110"/>
      <c r="I52" s="49"/>
      <c r="J52" s="49"/>
    </row>
    <row r="53" spans="1:14" ht="15.75">
      <c r="A53" s="238" t="s">
        <v>13</v>
      </c>
      <c r="B53" s="211" t="s">
        <v>11</v>
      </c>
      <c r="C53" s="239"/>
      <c r="D53" s="240">
        <v>23919.12</v>
      </c>
      <c r="E53" s="110"/>
      <c r="F53" s="110"/>
      <c r="G53" s="110"/>
      <c r="H53" s="110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494" t="s">
        <v>53</v>
      </c>
      <c r="B54" s="494"/>
      <c r="C54" s="494"/>
      <c r="D54" s="494"/>
      <c r="E54" s="115"/>
      <c r="F54" s="116"/>
      <c r="G54" s="117"/>
      <c r="H54" s="110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5"/>
      <c r="F55" s="116"/>
      <c r="G55" s="117"/>
      <c r="H55" s="110"/>
      <c r="I55" s="65"/>
      <c r="J55" s="71"/>
      <c r="K55" s="66"/>
      <c r="L55" s="66"/>
      <c r="M55" s="66"/>
      <c r="N55" s="66"/>
    </row>
    <row r="56" spans="1:14" ht="15.75">
      <c r="A56" s="241" t="s">
        <v>58</v>
      </c>
      <c r="B56" s="242">
        <v>1513.26</v>
      </c>
      <c r="C56" s="243">
        <f>B56*0.5911</f>
        <v>894.487986</v>
      </c>
      <c r="D56" s="244">
        <f>B56-C56</f>
        <v>618.772014</v>
      </c>
      <c r="E56" s="118"/>
      <c r="F56" s="116"/>
      <c r="G56" s="117"/>
      <c r="H56" s="110"/>
      <c r="I56" s="65"/>
      <c r="J56" s="65"/>
      <c r="K56" s="66"/>
      <c r="L56" s="66"/>
      <c r="M56" s="66"/>
      <c r="N56" s="66"/>
    </row>
    <row r="57" spans="1:14" ht="15.75">
      <c r="A57" s="241" t="s">
        <v>59</v>
      </c>
      <c r="B57" s="242">
        <v>0</v>
      </c>
      <c r="C57" s="243">
        <f>B57*1.0372</f>
        <v>0</v>
      </c>
      <c r="D57" s="244">
        <f>B57-C57</f>
        <v>0</v>
      </c>
      <c r="E57" s="115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60</v>
      </c>
      <c r="B58" s="245">
        <v>0</v>
      </c>
      <c r="C58" s="243">
        <f>B58*1.0372</f>
        <v>0</v>
      </c>
      <c r="D58" s="244">
        <f>B58-C58</f>
        <v>0</v>
      </c>
      <c r="E58" s="115">
        <f>(2.07+1.8)*6*2301.2-0.37*2301.2*6</f>
        <v>48325.2</v>
      </c>
      <c r="F58" s="119"/>
      <c r="G58" s="120"/>
      <c r="H58" s="115"/>
      <c r="I58" s="65"/>
      <c r="J58" s="65"/>
      <c r="K58" s="66"/>
      <c r="L58" s="66"/>
      <c r="M58" s="66"/>
      <c r="N58" s="66"/>
    </row>
    <row r="59" spans="1:14" ht="16.5" thickBot="1">
      <c r="A59" s="264" t="s">
        <v>318</v>
      </c>
      <c r="B59" s="265">
        <v>6282.6</v>
      </c>
      <c r="C59" s="266">
        <f>B59*0.5911</f>
        <v>3713.64486</v>
      </c>
      <c r="D59" s="267">
        <f>B59-C59</f>
        <v>2568.9551400000005</v>
      </c>
      <c r="E59" s="115"/>
      <c r="F59" s="119"/>
      <c r="G59" s="120"/>
      <c r="H59" s="110"/>
      <c r="I59" s="65"/>
      <c r="J59" s="65"/>
      <c r="K59" s="66"/>
      <c r="L59" s="66"/>
      <c r="M59" s="66"/>
      <c r="N59" s="66"/>
    </row>
    <row r="60" spans="1:14" ht="63">
      <c r="A60" s="130" t="s">
        <v>62</v>
      </c>
      <c r="B60" s="131" t="s">
        <v>63</v>
      </c>
      <c r="C60" s="132" t="s">
        <v>64</v>
      </c>
      <c r="D60" s="133" t="s">
        <v>65</v>
      </c>
      <c r="E60" s="115"/>
      <c r="F60" s="119"/>
      <c r="G60" s="110"/>
      <c r="H60" s="121"/>
      <c r="I60" s="65"/>
      <c r="J60" s="65"/>
      <c r="K60" s="66"/>
      <c r="L60" s="66"/>
      <c r="M60" s="66"/>
      <c r="N60" s="66"/>
    </row>
    <row r="61" spans="1:14" ht="15.75">
      <c r="A61" s="268" t="s">
        <v>58</v>
      </c>
      <c r="B61" s="247">
        <f>B56</f>
        <v>1513.26</v>
      </c>
      <c r="C61" s="248">
        <f>C56</f>
        <v>894.487986</v>
      </c>
      <c r="D61" s="269">
        <f>B61-C61</f>
        <v>618.772014</v>
      </c>
      <c r="E61" s="115"/>
      <c r="F61" s="119"/>
      <c r="G61" s="110"/>
      <c r="H61" s="121"/>
      <c r="I61" s="65"/>
      <c r="J61" s="65" t="s">
        <v>26</v>
      </c>
      <c r="K61" s="66"/>
      <c r="L61" s="66"/>
      <c r="M61" s="66"/>
      <c r="N61" s="66"/>
    </row>
    <row r="62" spans="1:14" ht="15.75">
      <c r="A62" s="268" t="s">
        <v>59</v>
      </c>
      <c r="B62" s="247">
        <v>0</v>
      </c>
      <c r="C62" s="248">
        <v>0</v>
      </c>
      <c r="D62" s="269">
        <f>B62-C62</f>
        <v>0</v>
      </c>
      <c r="E62" s="115"/>
      <c r="F62" s="119"/>
      <c r="G62" s="110"/>
      <c r="H62" s="121"/>
      <c r="I62" s="65"/>
      <c r="J62" s="65"/>
      <c r="K62" s="66"/>
      <c r="L62" s="66"/>
      <c r="M62" s="66"/>
      <c r="N62" s="66"/>
    </row>
    <row r="63" spans="1:14" ht="15.75">
      <c r="A63" s="268" t="s">
        <v>60</v>
      </c>
      <c r="B63" s="247">
        <v>0</v>
      </c>
      <c r="C63" s="248">
        <v>0</v>
      </c>
      <c r="D63" s="269">
        <f>B63-C63</f>
        <v>0</v>
      </c>
      <c r="E63" s="115"/>
      <c r="F63" s="119"/>
      <c r="G63" s="110"/>
      <c r="H63" s="121"/>
      <c r="I63" s="65"/>
      <c r="J63" s="65"/>
      <c r="K63" s="66"/>
      <c r="L63" s="66"/>
      <c r="M63" s="66"/>
      <c r="N63" s="66"/>
    </row>
    <row r="64" spans="1:14" ht="13.5" thickBot="1">
      <c r="A64" s="404" t="s">
        <v>318</v>
      </c>
      <c r="B64" s="271">
        <v>6282.6</v>
      </c>
      <c r="C64" s="438">
        <f>B64*0.5911</f>
        <v>3713.64486</v>
      </c>
      <c r="D64" s="439">
        <f>B64-C64</f>
        <v>2568.9551400000005</v>
      </c>
      <c r="E64" s="115"/>
      <c r="F64" s="119"/>
      <c r="G64" s="110"/>
      <c r="H64" s="121" t="s">
        <v>26</v>
      </c>
      <c r="I64" s="65"/>
      <c r="J64" s="65"/>
      <c r="K64" s="66"/>
      <c r="L64" s="66"/>
      <c r="M64" s="66"/>
      <c r="N64" s="66"/>
    </row>
    <row r="65" spans="1:14" ht="1.5" customHeight="1">
      <c r="A65" s="250"/>
      <c r="B65" s="251"/>
      <c r="C65" s="252"/>
      <c r="D65" s="253"/>
      <c r="E65" s="115"/>
      <c r="F65" s="119"/>
      <c r="G65" s="110"/>
      <c r="H65" s="121"/>
      <c r="I65" s="65"/>
      <c r="J65" s="65"/>
      <c r="K65" s="66"/>
      <c r="L65" s="66"/>
      <c r="M65" s="66"/>
      <c r="N65" s="66"/>
    </row>
    <row r="66" spans="1:14" ht="26.25">
      <c r="A66" s="254" t="s">
        <v>66</v>
      </c>
      <c r="B66" s="251" t="s">
        <v>11</v>
      </c>
      <c r="C66" s="255"/>
      <c r="D66" s="256">
        <v>0</v>
      </c>
      <c r="E66" s="115"/>
      <c r="F66" s="119"/>
      <c r="G66" s="110"/>
      <c r="H66" s="121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495" t="s">
        <v>67</v>
      </c>
      <c r="B67" s="495"/>
      <c r="C67" s="495"/>
      <c r="D67" s="495"/>
      <c r="E67" s="122" t="e">
        <f>D67+B19</f>
        <v>#VALUE!</v>
      </c>
      <c r="F67" s="121"/>
      <c r="G67" s="110"/>
      <c r="H67" s="123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7" t="s">
        <v>45</v>
      </c>
      <c r="B68" s="87" t="s">
        <v>46</v>
      </c>
      <c r="C68" s="87"/>
      <c r="D68" s="179">
        <v>0</v>
      </c>
      <c r="E68" s="124"/>
      <c r="F68" s="110"/>
      <c r="G68" s="110"/>
      <c r="H68" s="110"/>
    </row>
    <row r="69" spans="1:8" ht="21" customHeight="1">
      <c r="A69" s="87" t="s">
        <v>47</v>
      </c>
      <c r="B69" s="87" t="s">
        <v>46</v>
      </c>
      <c r="C69" s="87"/>
      <c r="D69" s="179">
        <v>0</v>
      </c>
      <c r="E69" s="124"/>
      <c r="F69" s="110"/>
      <c r="G69" s="110"/>
      <c r="H69" s="110"/>
    </row>
    <row r="70" spans="1:8" ht="18" customHeight="1">
      <c r="A70" s="87" t="s">
        <v>48</v>
      </c>
      <c r="B70" s="87" t="s">
        <v>46</v>
      </c>
      <c r="C70" s="87"/>
      <c r="D70" s="179">
        <v>0</v>
      </c>
      <c r="E70" s="124"/>
      <c r="F70" s="110"/>
      <c r="G70" s="110"/>
      <c r="H70" s="110"/>
    </row>
    <row r="71" spans="1:8" ht="16.5" customHeight="1">
      <c r="A71" s="87" t="s">
        <v>49</v>
      </c>
      <c r="B71" s="87" t="s">
        <v>11</v>
      </c>
      <c r="C71" s="87"/>
      <c r="D71" s="179">
        <v>0</v>
      </c>
      <c r="E71" s="124"/>
      <c r="F71" s="110"/>
      <c r="G71" s="110"/>
      <c r="H71" s="110"/>
    </row>
    <row r="72" spans="1:8" ht="15.75" customHeight="1">
      <c r="A72" s="489" t="s">
        <v>68</v>
      </c>
      <c r="B72" s="489"/>
      <c r="C72" s="489"/>
      <c r="D72" s="489"/>
      <c r="E72" s="124"/>
      <c r="F72" s="110"/>
      <c r="G72" s="110"/>
      <c r="H72" s="110"/>
    </row>
    <row r="73" spans="1:8" ht="18.75" customHeight="1">
      <c r="A73" s="87" t="s">
        <v>69</v>
      </c>
      <c r="B73" s="87" t="s">
        <v>46</v>
      </c>
      <c r="C73" s="87"/>
      <c r="D73" s="179">
        <v>0</v>
      </c>
      <c r="E73" s="124"/>
      <c r="F73" s="110"/>
      <c r="G73" s="110"/>
      <c r="H73" s="110"/>
    </row>
    <row r="74" spans="1:8" ht="21.75" customHeight="1">
      <c r="A74" s="87" t="s">
        <v>70</v>
      </c>
      <c r="B74" s="257" t="s">
        <v>46</v>
      </c>
      <c r="C74" s="257"/>
      <c r="D74" s="179">
        <v>0</v>
      </c>
      <c r="E74" s="124"/>
      <c r="F74" s="110"/>
      <c r="G74" s="110"/>
      <c r="H74" s="110"/>
    </row>
    <row r="75" spans="1:5" ht="36" customHeight="1">
      <c r="A75" s="258" t="s">
        <v>71</v>
      </c>
      <c r="B75" s="87" t="s">
        <v>11</v>
      </c>
      <c r="C75" s="87"/>
      <c r="D75" s="179">
        <v>0</v>
      </c>
      <c r="E75" s="89"/>
    </row>
    <row r="76" spans="1:4" ht="15.75">
      <c r="A76" s="259"/>
      <c r="B76" s="259"/>
      <c r="C76" s="259"/>
      <c r="D76" s="260"/>
    </row>
    <row r="77" spans="1:14" s="1" customFormat="1" ht="12.75">
      <c r="A77" s="180"/>
      <c r="B77" s="180"/>
      <c r="C77" s="180"/>
      <c r="D77" s="180"/>
      <c r="H77" s="1" t="s">
        <v>26</v>
      </c>
      <c r="K77"/>
      <c r="L77"/>
      <c r="M77"/>
      <c r="N77"/>
    </row>
    <row r="78" spans="1:14" s="1" customFormat="1" ht="12.75">
      <c r="A78" s="180" t="s">
        <v>72</v>
      </c>
      <c r="B78" s="180"/>
      <c r="C78" s="180"/>
      <c r="D78" s="180"/>
      <c r="K78"/>
      <c r="L78"/>
      <c r="M78"/>
      <c r="N78"/>
    </row>
    <row r="79" spans="1:14" s="1" customFormat="1" ht="12.75">
      <c r="A79" s="180"/>
      <c r="B79" s="180"/>
      <c r="C79" s="180"/>
      <c r="D79" s="180"/>
      <c r="H79" s="1" t="s">
        <v>26</v>
      </c>
      <c r="K79"/>
      <c r="L79"/>
      <c r="M79"/>
      <c r="N79"/>
    </row>
    <row r="80" spans="1:14" s="1" customFormat="1" ht="12.75">
      <c r="A80" s="180" t="s">
        <v>73</v>
      </c>
      <c r="B80" s="180"/>
      <c r="C80" s="180"/>
      <c r="D80" s="180"/>
      <c r="K80"/>
      <c r="L80"/>
      <c r="M80"/>
      <c r="N80"/>
    </row>
    <row r="81" spans="1:4" ht="12.75">
      <c r="A81" s="180"/>
      <c r="B81" s="180"/>
      <c r="C81" s="180"/>
      <c r="D81" s="180"/>
    </row>
    <row r="82" spans="1:4" ht="12.75">
      <c r="A82" s="180"/>
      <c r="B82" s="180"/>
      <c r="C82" s="180"/>
      <c r="D82" s="180"/>
    </row>
    <row r="83" spans="1:4" ht="12.75">
      <c r="A83" s="180"/>
      <c r="B83" s="180"/>
      <c r="C83" s="180"/>
      <c r="D83" s="180"/>
    </row>
    <row r="84" spans="1:14" s="1" customFormat="1" ht="12.75">
      <c r="A84" s="180"/>
      <c r="B84" s="180"/>
      <c r="C84" s="180"/>
      <c r="D84" s="180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="80" zoomScaleNormal="80" zoomScalePageLayoutView="0" workbookViewId="0" topLeftCell="A1">
      <selection activeCell="E17" sqref="E17:H5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145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9" customHeight="1">
      <c r="A6" s="261"/>
      <c r="B6" s="180"/>
      <c r="C6" s="180"/>
      <c r="D6" s="180"/>
    </row>
    <row r="7" spans="1:4" ht="18" customHeight="1">
      <c r="A7" s="488" t="s">
        <v>2</v>
      </c>
      <c r="B7" s="488"/>
      <c r="C7" s="488"/>
      <c r="D7" s="488"/>
    </row>
    <row r="8" spans="1:4" ht="12.75">
      <c r="A8" s="261" t="s">
        <v>204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8" ht="12.75">
      <c r="A10" s="189">
        <v>1</v>
      </c>
      <c r="B10" s="189">
        <v>2</v>
      </c>
      <c r="C10" s="189">
        <v>3</v>
      </c>
      <c r="D10" s="190">
        <v>4</v>
      </c>
      <c r="E10" s="110"/>
      <c r="F10" s="110"/>
      <c r="G10" s="110"/>
      <c r="H10" s="110"/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15320.68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59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767.49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17851.44+2206.44</f>
        <v>20057.879999999997</v>
      </c>
      <c r="D18" s="198"/>
      <c r="E18" s="111">
        <f>C18-C20</f>
        <v>12737.099999999997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5934.215999999995</v>
      </c>
      <c r="D19" s="198"/>
      <c r="E19" s="111">
        <f>E18-E39</f>
        <v>-0.04200000000673754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(3+3.3)*6*135.3+2206.44</f>
        <v>7320.780000000001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135.3*4.19*12</f>
        <v>6802.884000000002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</f>
        <v>17959.825751999997</v>
      </c>
      <c r="D22" s="198" t="s">
        <v>19</v>
      </c>
      <c r="E22" s="111" t="e">
        <f>B24+B25+B26+B27+B28</f>
        <v>#VALUE!</v>
      </c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C18*0.8954</f>
        <v>17959.825751999997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6.5" customHeight="1">
      <c r="A27" s="201" t="s">
        <v>97</v>
      </c>
      <c r="B27" s="194" t="s">
        <v>11</v>
      </c>
      <c r="C27" s="197">
        <v>0</v>
      </c>
      <c r="D27" s="200">
        <v>139.18</v>
      </c>
      <c r="E27" s="112" t="e">
        <f>B27/#REF!*1</f>
        <v>#VALUE!</v>
      </c>
      <c r="F27" s="110"/>
      <c r="G27" s="110"/>
      <c r="H27" s="110"/>
    </row>
    <row r="28" spans="1:8" ht="15.75">
      <c r="A28" s="20" t="s">
        <v>25</v>
      </c>
      <c r="B28" s="194" t="s">
        <v>11</v>
      </c>
      <c r="C28" s="197">
        <f>C15+C22</f>
        <v>33280.505752</v>
      </c>
      <c r="D28" s="198" t="s">
        <v>26</v>
      </c>
      <c r="E28" s="112" t="e">
        <f>B28/#REF!*1</f>
        <v>#VALUE!</v>
      </c>
      <c r="F28" s="110"/>
      <c r="G28" s="110"/>
      <c r="H28" s="110"/>
    </row>
    <row r="29" spans="1:8" ht="35.25" customHeight="1">
      <c r="A29" s="491" t="s">
        <v>27</v>
      </c>
      <c r="B29" s="491"/>
      <c r="C29" s="491"/>
      <c r="D29" s="491"/>
      <c r="E29" s="110"/>
      <c r="F29" s="110"/>
      <c r="G29" s="110"/>
      <c r="H29" s="110"/>
    </row>
    <row r="30" spans="1:8" ht="63">
      <c r="A30" s="274" t="s">
        <v>28</v>
      </c>
      <c r="B30" s="310" t="s">
        <v>29</v>
      </c>
      <c r="C30" s="289" t="s">
        <v>30</v>
      </c>
      <c r="D30" s="311" t="s">
        <v>31</v>
      </c>
      <c r="E30" s="110"/>
      <c r="F30" s="110"/>
      <c r="G30" s="110"/>
      <c r="H30" s="110"/>
    </row>
    <row r="31" spans="1:8" ht="15.75">
      <c r="A31" s="206" t="s">
        <v>32</v>
      </c>
      <c r="B31" s="207" t="s">
        <v>33</v>
      </c>
      <c r="C31" s="208" t="s">
        <v>34</v>
      </c>
      <c r="D31" s="209">
        <f>(0.71+0.85)*6*135.3</f>
        <v>1266.4080000000001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0.24*12*135.3</f>
        <v>389.66400000000004</v>
      </c>
      <c r="E32" s="110"/>
      <c r="F32" s="110"/>
      <c r="G32" s="110"/>
      <c r="H32" s="110"/>
    </row>
    <row r="33" spans="1:8" ht="15.75">
      <c r="A33" s="210" t="s">
        <v>107</v>
      </c>
      <c r="B33" s="211" t="s">
        <v>33</v>
      </c>
      <c r="C33" s="212" t="s">
        <v>34</v>
      </c>
      <c r="D33" s="213">
        <f>(0.83+1.04)*6*135.3</f>
        <v>1518.0660000000003</v>
      </c>
      <c r="E33" s="110"/>
      <c r="F33" s="110"/>
      <c r="G33" s="110"/>
      <c r="H33" s="110"/>
    </row>
    <row r="34" spans="1:8" ht="15.75">
      <c r="A34" s="210" t="s">
        <v>81</v>
      </c>
      <c r="B34" s="216" t="s">
        <v>82</v>
      </c>
      <c r="C34" s="212" t="s">
        <v>34</v>
      </c>
      <c r="D34" s="213">
        <f>1.33*12*135.3</f>
        <v>2159.3880000000004</v>
      </c>
      <c r="E34" s="110"/>
      <c r="F34" s="110"/>
      <c r="G34" s="110"/>
      <c r="H34" s="110"/>
    </row>
    <row r="35" spans="1:8" ht="15.75">
      <c r="A35" s="210" t="s">
        <v>38</v>
      </c>
      <c r="B35" s="211" t="s">
        <v>35</v>
      </c>
      <c r="C35" s="368" t="s">
        <v>237</v>
      </c>
      <c r="D35" s="213">
        <f>4.19*135.3*12</f>
        <v>6802.884000000002</v>
      </c>
      <c r="E35" s="110"/>
      <c r="F35" s="110"/>
      <c r="G35" s="110"/>
      <c r="H35" s="110"/>
    </row>
    <row r="36" spans="1:8" ht="15.75">
      <c r="A36" s="210" t="s">
        <v>85</v>
      </c>
      <c r="B36" s="211" t="s">
        <v>238</v>
      </c>
      <c r="C36" s="262" t="s">
        <v>37</v>
      </c>
      <c r="D36" s="213">
        <f>135.3*6*(0.57+0.17)</f>
        <v>600.7320000000001</v>
      </c>
      <c r="E36" s="110"/>
      <c r="F36" s="110"/>
      <c r="G36" s="110"/>
      <c r="H36" s="110"/>
    </row>
    <row r="37" spans="1:8" ht="15.75">
      <c r="A37" s="210" t="s">
        <v>255</v>
      </c>
      <c r="B37" s="211"/>
      <c r="C37" s="262"/>
      <c r="D37" s="213">
        <v>400</v>
      </c>
      <c r="E37" s="110"/>
      <c r="F37" s="110"/>
      <c r="G37" s="110"/>
      <c r="H37" s="110"/>
    </row>
    <row r="38" spans="1:14" s="1" customFormat="1" ht="47.25">
      <c r="A38" s="297" t="s">
        <v>229</v>
      </c>
      <c r="B38" s="218" t="s">
        <v>41</v>
      </c>
      <c r="C38" s="321"/>
      <c r="D38" s="177">
        <v>0</v>
      </c>
      <c r="E38" s="110"/>
      <c r="F38" s="110"/>
      <c r="G38" s="110"/>
      <c r="H38" s="110"/>
      <c r="K38"/>
      <c r="L38"/>
      <c r="M38"/>
      <c r="N38"/>
    </row>
    <row r="39" spans="1:14" s="1" customFormat="1" ht="15.75">
      <c r="A39" s="37" t="s">
        <v>42</v>
      </c>
      <c r="B39" s="225"/>
      <c r="C39" s="226"/>
      <c r="D39" s="98">
        <f>SUM(D31:D38)</f>
        <v>13137.142000000003</v>
      </c>
      <c r="E39" s="113">
        <f>D39-D37-D38</f>
        <v>12737.142000000003</v>
      </c>
      <c r="F39" s="110"/>
      <c r="G39" s="110"/>
      <c r="H39" s="110"/>
      <c r="K39"/>
      <c r="L39"/>
      <c r="M39"/>
      <c r="N39"/>
    </row>
    <row r="40" spans="1:14" s="1" customFormat="1" ht="15.75">
      <c r="A40" s="40" t="s">
        <v>43</v>
      </c>
      <c r="B40" s="227" t="s">
        <v>11</v>
      </c>
      <c r="C40" s="228"/>
      <c r="D40" s="229">
        <f>C28-D39</f>
        <v>20143.363751999994</v>
      </c>
      <c r="E40" s="113"/>
      <c r="F40" s="110"/>
      <c r="G40" s="110"/>
      <c r="H40" s="110"/>
      <c r="K40"/>
      <c r="L40"/>
      <c r="M40"/>
      <c r="N40"/>
    </row>
    <row r="41" spans="1:14" s="1" customFormat="1" ht="15.75">
      <c r="A41" s="230" t="s">
        <v>12</v>
      </c>
      <c r="B41" s="231" t="s">
        <v>11</v>
      </c>
      <c r="C41" s="212"/>
      <c r="D41" s="196"/>
      <c r="E41" s="110"/>
      <c r="F41" s="110"/>
      <c r="G41" s="110"/>
      <c r="H41" s="110"/>
      <c r="K41"/>
      <c r="L41"/>
      <c r="M41"/>
      <c r="N41"/>
    </row>
    <row r="42" spans="1:14" s="1" customFormat="1" ht="15.75">
      <c r="A42" s="230" t="s">
        <v>13</v>
      </c>
      <c r="B42" s="231" t="s">
        <v>11</v>
      </c>
      <c r="C42" s="212"/>
      <c r="D42" s="196">
        <v>767.49</v>
      </c>
      <c r="E42" s="110"/>
      <c r="F42" s="110"/>
      <c r="G42" s="110"/>
      <c r="H42" s="110"/>
      <c r="K42"/>
      <c r="L42"/>
      <c r="M42"/>
      <c r="N42"/>
    </row>
    <row r="43" spans="1:14" s="1" customFormat="1" ht="24" customHeight="1">
      <c r="A43" s="492" t="s">
        <v>44</v>
      </c>
      <c r="B43" s="492"/>
      <c r="C43" s="492"/>
      <c r="D43" s="492"/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30" t="s">
        <v>45</v>
      </c>
      <c r="B44" s="211" t="s">
        <v>46</v>
      </c>
      <c r="C44" s="212">
        <v>0</v>
      </c>
      <c r="D44" s="196">
        <v>1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30" t="s">
        <v>47</v>
      </c>
      <c r="B45" s="211" t="s">
        <v>46</v>
      </c>
      <c r="C45" s="212">
        <v>0</v>
      </c>
      <c r="D45" s="196">
        <v>1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2" t="s">
        <v>48</v>
      </c>
      <c r="B46" s="211" t="s">
        <v>46</v>
      </c>
      <c r="C46" s="212">
        <v>0</v>
      </c>
      <c r="D46" s="196">
        <v>0</v>
      </c>
      <c r="E46" s="110"/>
      <c r="F46" s="110"/>
      <c r="G46" s="110"/>
      <c r="H46" s="110"/>
      <c r="K46"/>
      <c r="L46"/>
      <c r="M46"/>
      <c r="N46"/>
    </row>
    <row r="47" spans="1:14" s="1" customFormat="1" ht="15.75">
      <c r="A47" s="230" t="s">
        <v>49</v>
      </c>
      <c r="B47" s="211" t="s">
        <v>11</v>
      </c>
      <c r="C47" s="212">
        <v>0</v>
      </c>
      <c r="D47" s="196">
        <v>807.92</v>
      </c>
      <c r="E47" s="110"/>
      <c r="F47" s="110"/>
      <c r="G47" s="110"/>
      <c r="H47" s="110"/>
      <c r="K47"/>
      <c r="L47"/>
      <c r="M47"/>
      <c r="N47"/>
    </row>
    <row r="48" spans="1:8" ht="20.25" customHeight="1">
      <c r="A48" s="493" t="s">
        <v>50</v>
      </c>
      <c r="B48" s="493"/>
      <c r="C48" s="493"/>
      <c r="D48" s="493"/>
      <c r="E48" s="110"/>
      <c r="F48" s="110"/>
      <c r="G48" s="110"/>
      <c r="H48" s="110"/>
    </row>
    <row r="49" spans="1:8" ht="26.25">
      <c r="A49" s="232" t="s">
        <v>51</v>
      </c>
      <c r="B49" s="211" t="s">
        <v>11</v>
      </c>
      <c r="C49" s="212"/>
      <c r="D49" s="196">
        <v>0</v>
      </c>
      <c r="E49" s="110"/>
      <c r="F49" s="110"/>
      <c r="G49" s="110"/>
      <c r="H49" s="110"/>
    </row>
    <row r="50" spans="1:8" ht="15.75">
      <c r="A50" s="230" t="s">
        <v>12</v>
      </c>
      <c r="B50" s="211" t="s">
        <v>11</v>
      </c>
      <c r="C50" s="212"/>
      <c r="D50" s="196">
        <v>0</v>
      </c>
      <c r="E50" s="110"/>
      <c r="F50" s="110"/>
      <c r="G50" s="110"/>
      <c r="H50" s="110"/>
    </row>
    <row r="51" spans="1:8" ht="15.75">
      <c r="A51" s="230" t="s">
        <v>13</v>
      </c>
      <c r="B51" s="211" t="s">
        <v>11</v>
      </c>
      <c r="C51" s="212"/>
      <c r="D51" s="233">
        <v>0</v>
      </c>
      <c r="E51" s="110"/>
      <c r="F51" s="110"/>
      <c r="G51" s="110"/>
      <c r="H51" s="114"/>
    </row>
    <row r="52" spans="1:8" ht="26.25">
      <c r="A52" s="234" t="s">
        <v>52</v>
      </c>
      <c r="B52" s="211" t="s">
        <v>11</v>
      </c>
      <c r="C52" s="235"/>
      <c r="D52" s="236">
        <v>0</v>
      </c>
      <c r="E52" s="110"/>
      <c r="F52" s="110"/>
      <c r="G52" s="110"/>
      <c r="H52" s="110"/>
    </row>
    <row r="53" spans="1:10" ht="17.25" customHeight="1">
      <c r="A53" s="257" t="s">
        <v>12</v>
      </c>
      <c r="B53" s="211" t="s">
        <v>11</v>
      </c>
      <c r="C53" s="279"/>
      <c r="D53" s="183"/>
      <c r="E53" s="110"/>
      <c r="F53" s="110"/>
      <c r="G53" s="110"/>
      <c r="H53" s="110"/>
      <c r="I53" s="49"/>
      <c r="J53" s="49"/>
    </row>
    <row r="54" spans="1:14" ht="15.75">
      <c r="A54" s="238" t="s">
        <v>13</v>
      </c>
      <c r="B54" s="211" t="s">
        <v>11</v>
      </c>
      <c r="C54" s="239"/>
      <c r="D54" s="240">
        <f>D51+D57+D59+D60</f>
        <v>4881.182012</v>
      </c>
      <c r="E54" s="110"/>
      <c r="F54" s="110"/>
      <c r="G54" s="110"/>
      <c r="H54" s="110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494" t="s">
        <v>53</v>
      </c>
      <c r="B55" s="494"/>
      <c r="C55" s="494"/>
      <c r="D55" s="494"/>
      <c r="E55" s="115"/>
      <c r="F55" s="116"/>
      <c r="G55" s="117"/>
      <c r="H55" s="110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5"/>
      <c r="F56" s="116"/>
      <c r="G56" s="117"/>
      <c r="H56" s="110"/>
      <c r="I56" s="65"/>
      <c r="J56" s="71"/>
      <c r="K56" s="66"/>
      <c r="L56" s="66"/>
      <c r="M56" s="66"/>
      <c r="N56" s="66"/>
    </row>
    <row r="57" spans="1:14" ht="15.75">
      <c r="A57" s="241" t="s">
        <v>58</v>
      </c>
      <c r="B57" s="242">
        <v>7069.78</v>
      </c>
      <c r="C57" s="243">
        <f>B57*0.8954</f>
        <v>6330.2810119999995</v>
      </c>
      <c r="D57" s="244">
        <f>B57-C57</f>
        <v>739.4989880000003</v>
      </c>
      <c r="E57" s="118"/>
      <c r="F57" s="116"/>
      <c r="G57" s="117"/>
      <c r="H57" s="110"/>
      <c r="I57" s="65"/>
      <c r="J57" s="65"/>
      <c r="K57" s="66"/>
      <c r="L57" s="66"/>
      <c r="M57" s="66"/>
      <c r="N57" s="66"/>
    </row>
    <row r="58" spans="1:14" ht="15.75">
      <c r="A58" s="241" t="s">
        <v>59</v>
      </c>
      <c r="B58" s="242">
        <v>0</v>
      </c>
      <c r="C58" s="243">
        <f>B58*0.8954</f>
        <v>0</v>
      </c>
      <c r="D58" s="244">
        <f>B58-C58</f>
        <v>0</v>
      </c>
      <c r="E58" s="115"/>
      <c r="F58" s="116"/>
      <c r="G58" s="117"/>
      <c r="H58" s="110"/>
      <c r="I58" s="65"/>
      <c r="J58" s="65"/>
      <c r="K58" s="66"/>
      <c r="L58" s="66"/>
      <c r="M58" s="66"/>
      <c r="N58" s="66"/>
    </row>
    <row r="59" spans="1:14" ht="15.75">
      <c r="A59" s="241" t="s">
        <v>60</v>
      </c>
      <c r="B59" s="245">
        <v>31550.64</v>
      </c>
      <c r="C59" s="243">
        <f>B59*0.8954</f>
        <v>28250.443056</v>
      </c>
      <c r="D59" s="244">
        <f>B59-C59</f>
        <v>3300.1969439999993</v>
      </c>
      <c r="E59" s="115">
        <f>(2.07+1.8)*6*2301.2-0.37*2301.2*6</f>
        <v>48325.2</v>
      </c>
      <c r="F59" s="119"/>
      <c r="G59" s="120"/>
      <c r="H59" s="115"/>
      <c r="I59" s="65"/>
      <c r="J59" s="65"/>
      <c r="K59" s="66"/>
      <c r="L59" s="66"/>
      <c r="M59" s="66"/>
      <c r="N59" s="66"/>
    </row>
    <row r="60" spans="1:14" ht="16.5" thickBot="1">
      <c r="A60" s="264" t="s">
        <v>318</v>
      </c>
      <c r="B60" s="265">
        <v>8044.8</v>
      </c>
      <c r="C60" s="243">
        <f>B60*0.8954</f>
        <v>7203.31392</v>
      </c>
      <c r="D60" s="267">
        <f>B60-C60</f>
        <v>841.4860800000006</v>
      </c>
      <c r="E60" s="115"/>
      <c r="F60" s="119"/>
      <c r="G60" s="120"/>
      <c r="H60" s="110"/>
      <c r="I60" s="65"/>
      <c r="J60" s="65"/>
      <c r="K60" s="66"/>
      <c r="L60" s="66"/>
      <c r="M60" s="66"/>
      <c r="N60" s="66"/>
    </row>
    <row r="61" spans="1:14" ht="63">
      <c r="A61" s="130" t="s">
        <v>62</v>
      </c>
      <c r="B61" s="131" t="s">
        <v>63</v>
      </c>
      <c r="C61" s="132" t="s">
        <v>64</v>
      </c>
      <c r="D61" s="133" t="s">
        <v>65</v>
      </c>
      <c r="E61" s="115"/>
      <c r="F61" s="119"/>
      <c r="G61" s="110"/>
      <c r="H61" s="121"/>
      <c r="I61" s="65"/>
      <c r="J61" s="65"/>
      <c r="K61" s="66"/>
      <c r="L61" s="66"/>
      <c r="M61" s="66"/>
      <c r="N61" s="66"/>
    </row>
    <row r="62" spans="1:14" ht="15.75">
      <c r="A62" s="268" t="s">
        <v>58</v>
      </c>
      <c r="B62" s="247">
        <f>B57</f>
        <v>7069.78</v>
      </c>
      <c r="C62" s="248">
        <f>C57</f>
        <v>6330.2810119999995</v>
      </c>
      <c r="D62" s="269">
        <f>B62-C62</f>
        <v>739.4989880000003</v>
      </c>
      <c r="E62" s="115"/>
      <c r="F62" s="119"/>
      <c r="G62" s="110"/>
      <c r="H62" s="121"/>
      <c r="I62" s="65"/>
      <c r="J62" s="65" t="s">
        <v>26</v>
      </c>
      <c r="K62" s="66"/>
      <c r="L62" s="66"/>
      <c r="M62" s="66"/>
      <c r="N62" s="66"/>
    </row>
    <row r="63" spans="1:14" ht="15.75">
      <c r="A63" s="268" t="s">
        <v>59</v>
      </c>
      <c r="B63" s="247">
        <f>B58</f>
        <v>0</v>
      </c>
      <c r="C63" s="248">
        <f>C58*1.0063</f>
        <v>0</v>
      </c>
      <c r="D63" s="269">
        <f>B63-C63</f>
        <v>0</v>
      </c>
      <c r="E63" s="62"/>
      <c r="F63" s="74"/>
      <c r="H63" s="65"/>
      <c r="I63" s="65"/>
      <c r="J63" s="65"/>
      <c r="K63" s="66"/>
      <c r="L63" s="66"/>
      <c r="M63" s="66"/>
      <c r="N63" s="66"/>
    </row>
    <row r="64" spans="1:14" ht="15.75">
      <c r="A64" s="268" t="s">
        <v>60</v>
      </c>
      <c r="B64" s="247">
        <f>B59</f>
        <v>31550.64</v>
      </c>
      <c r="C64" s="248">
        <f>C59</f>
        <v>28250.443056</v>
      </c>
      <c r="D64" s="269">
        <f>B64-C64</f>
        <v>3300.1969439999993</v>
      </c>
      <c r="E64" s="62"/>
      <c r="F64" s="74"/>
      <c r="H64" s="65"/>
      <c r="I64" s="65"/>
      <c r="J64" s="65"/>
      <c r="K64" s="66"/>
      <c r="L64" s="66"/>
      <c r="M64" s="66"/>
      <c r="N64" s="66"/>
    </row>
    <row r="65" spans="1:14" ht="16.5" thickBot="1">
      <c r="A65" s="270" t="s">
        <v>318</v>
      </c>
      <c r="B65" s="271">
        <v>8044.8</v>
      </c>
      <c r="C65" s="272">
        <v>7203.31392</v>
      </c>
      <c r="D65" s="273">
        <v>841.4860800000006</v>
      </c>
      <c r="E65" s="62"/>
      <c r="F65" s="74"/>
      <c r="H65" s="65" t="s">
        <v>26</v>
      </c>
      <c r="I65" s="65"/>
      <c r="J65" s="65"/>
      <c r="K65" s="66"/>
      <c r="L65" s="66"/>
      <c r="M65" s="66"/>
      <c r="N65" s="66"/>
    </row>
    <row r="66" spans="1:14" ht="15.75">
      <c r="A66" s="250"/>
      <c r="B66" s="251"/>
      <c r="C66" s="252"/>
      <c r="D66" s="253"/>
      <c r="E66" s="62"/>
      <c r="F66" s="74"/>
      <c r="H66" s="65"/>
      <c r="I66" s="65"/>
      <c r="J66" s="65"/>
      <c r="K66" s="66"/>
      <c r="L66" s="66"/>
      <c r="M66" s="66"/>
      <c r="N66" s="66"/>
    </row>
    <row r="67" spans="1:14" ht="26.25">
      <c r="A67" s="254" t="s">
        <v>66</v>
      </c>
      <c r="B67" s="251" t="s">
        <v>11</v>
      </c>
      <c r="C67" s="255"/>
      <c r="D67" s="256">
        <v>0</v>
      </c>
      <c r="E67" s="62"/>
      <c r="F67" s="74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495" t="s">
        <v>67</v>
      </c>
      <c r="B68" s="495"/>
      <c r="C68" s="495"/>
      <c r="D68" s="495"/>
      <c r="E68" s="84" t="e">
        <f>D68+B19</f>
        <v>#VALUE!</v>
      </c>
      <c r="F68" s="65"/>
      <c r="H68" s="85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7" t="s">
        <v>45</v>
      </c>
      <c r="B69" s="87" t="s">
        <v>46</v>
      </c>
      <c r="C69" s="87"/>
      <c r="D69" s="179">
        <v>0</v>
      </c>
      <c r="E69" s="89"/>
    </row>
    <row r="70" spans="1:5" ht="21" customHeight="1">
      <c r="A70" s="87" t="s">
        <v>47</v>
      </c>
      <c r="B70" s="87" t="s">
        <v>46</v>
      </c>
      <c r="C70" s="87"/>
      <c r="D70" s="179">
        <v>0</v>
      </c>
      <c r="E70" s="89"/>
    </row>
    <row r="71" spans="1:5" ht="18" customHeight="1">
      <c r="A71" s="87" t="s">
        <v>48</v>
      </c>
      <c r="B71" s="87" t="s">
        <v>46</v>
      </c>
      <c r="C71" s="87"/>
      <c r="D71" s="179">
        <v>0</v>
      </c>
      <c r="E71" s="89"/>
    </row>
    <row r="72" spans="1:5" ht="16.5" customHeight="1">
      <c r="A72" s="87" t="s">
        <v>49</v>
      </c>
      <c r="B72" s="87" t="s">
        <v>11</v>
      </c>
      <c r="C72" s="87"/>
      <c r="D72" s="179">
        <v>0</v>
      </c>
      <c r="E72" s="89"/>
    </row>
    <row r="73" spans="1:5" ht="15.75" customHeight="1">
      <c r="A73" s="489" t="s">
        <v>68</v>
      </c>
      <c r="B73" s="489"/>
      <c r="C73" s="489"/>
      <c r="D73" s="489"/>
      <c r="E73" s="89"/>
    </row>
    <row r="74" spans="1:5" ht="18.75" customHeight="1">
      <c r="A74" s="87" t="s">
        <v>69</v>
      </c>
      <c r="B74" s="87" t="s">
        <v>46</v>
      </c>
      <c r="C74" s="87"/>
      <c r="D74" s="179">
        <v>0</v>
      </c>
      <c r="E74" s="89"/>
    </row>
    <row r="75" spans="1:5" ht="21.75" customHeight="1">
      <c r="A75" s="87" t="s">
        <v>70</v>
      </c>
      <c r="B75" s="257" t="s">
        <v>46</v>
      </c>
      <c r="C75" s="257"/>
      <c r="D75" s="179">
        <v>0</v>
      </c>
      <c r="E75" s="89"/>
    </row>
    <row r="76" spans="1:5" ht="36" customHeight="1">
      <c r="A76" s="258" t="s">
        <v>71</v>
      </c>
      <c r="B76" s="87" t="s">
        <v>11</v>
      </c>
      <c r="C76" s="87"/>
      <c r="D76" s="179">
        <v>0</v>
      </c>
      <c r="E76" s="89"/>
    </row>
    <row r="77" spans="1:4" ht="15.75">
      <c r="A77" s="259"/>
      <c r="B77" s="259"/>
      <c r="C77" s="259"/>
      <c r="D77" s="260"/>
    </row>
    <row r="78" spans="1:14" s="1" customFormat="1" ht="12.75">
      <c r="A78" s="180"/>
      <c r="B78" s="180"/>
      <c r="C78" s="180"/>
      <c r="D78" s="180"/>
      <c r="H78" s="1" t="s">
        <v>26</v>
      </c>
      <c r="K78"/>
      <c r="L78"/>
      <c r="M78"/>
      <c r="N78"/>
    </row>
    <row r="79" spans="1:14" s="1" customFormat="1" ht="12.75">
      <c r="A79" s="180" t="s">
        <v>72</v>
      </c>
      <c r="B79" s="180"/>
      <c r="C79" s="180"/>
      <c r="D79" s="180"/>
      <c r="K79"/>
      <c r="L79"/>
      <c r="M79"/>
      <c r="N79"/>
    </row>
    <row r="80" spans="1:14" s="1" customFormat="1" ht="12.75">
      <c r="A80" s="180"/>
      <c r="B80" s="180"/>
      <c r="C80" s="180"/>
      <c r="D80" s="180"/>
      <c r="H80" s="1" t="s">
        <v>26</v>
      </c>
      <c r="K80"/>
      <c r="L80"/>
      <c r="M80"/>
      <c r="N80"/>
    </row>
    <row r="81" spans="1:14" s="1" customFormat="1" ht="12.75">
      <c r="A81" s="180" t="s">
        <v>73</v>
      </c>
      <c r="B81" s="180"/>
      <c r="C81" s="180"/>
      <c r="D81" s="180"/>
      <c r="K81"/>
      <c r="L81"/>
      <c r="M81"/>
      <c r="N81"/>
    </row>
    <row r="82" spans="1:4" ht="12.75">
      <c r="A82" s="180"/>
      <c r="B82" s="180"/>
      <c r="C82" s="180"/>
      <c r="D82" s="180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3">
      <selection activeCell="A1" sqref="A1:D85"/>
    </sheetView>
  </sheetViews>
  <sheetFormatPr defaultColWidth="11.57421875" defaultRowHeight="12.75"/>
  <cols>
    <col min="1" max="1" width="49.8515625" style="0" customWidth="1"/>
    <col min="2" max="2" width="15.8515625" style="0" customWidth="1"/>
    <col min="3" max="3" width="25.57421875" style="0" customWidth="1"/>
    <col min="4" max="4" width="22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87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29.25" customHeight="1">
      <c r="A7" s="488" t="s">
        <v>2</v>
      </c>
      <c r="B7" s="488"/>
      <c r="C7" s="488"/>
      <c r="D7" s="488"/>
    </row>
    <row r="8" spans="1:4" ht="12.75">
      <c r="A8" s="185" t="s">
        <v>160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8" ht="12.75">
      <c r="A11" s="20" t="s">
        <v>6</v>
      </c>
      <c r="B11" s="191"/>
      <c r="C11" s="192" t="s">
        <v>242</v>
      </c>
      <c r="D11" s="193"/>
      <c r="E11" s="110"/>
      <c r="F11" s="110"/>
      <c r="G11" s="110"/>
      <c r="H11" s="110"/>
    </row>
    <row r="12" spans="1:8" ht="12.75">
      <c r="A12" s="20" t="s">
        <v>7</v>
      </c>
      <c r="B12" s="191"/>
      <c r="C12" s="192" t="s">
        <v>243</v>
      </c>
      <c r="D12" s="193"/>
      <c r="E12" s="110"/>
      <c r="F12" s="110"/>
      <c r="G12" s="110"/>
      <c r="H12" s="110"/>
    </row>
    <row r="13" spans="1:8" ht="12.75">
      <c r="A13" s="20" t="s">
        <v>8</v>
      </c>
      <c r="B13" s="191"/>
      <c r="C13" s="192" t="s">
        <v>244</v>
      </c>
      <c r="D13" s="193"/>
      <c r="E13" s="110"/>
      <c r="F13" s="110"/>
      <c r="G13" s="110"/>
      <c r="H13" s="110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39">
      <c r="A15" s="17" t="s">
        <v>10</v>
      </c>
      <c r="B15" s="194" t="s">
        <v>11</v>
      </c>
      <c r="C15" s="197">
        <v>-11023.11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6069.9</v>
      </c>
      <c r="D17" s="198"/>
      <c r="E17" s="110" t="e">
        <f>B17/12/1022.6</f>
        <v>#VALUE!</v>
      </c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64472.04+5297.82</f>
        <v>69769.86</v>
      </c>
      <c r="D18" s="198"/>
      <c r="E18" s="111">
        <f>C18-C20</f>
        <v>57308.466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38005.974</v>
      </c>
      <c r="D19" s="198"/>
      <c r="E19" s="111">
        <f>E43-E18</f>
        <v>-5297.816000000006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(3.02+2.39)*6*383.9</f>
        <v>12461.394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383.9*4.19*12</f>
        <v>19302.492000000002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</f>
        <v>69769.86</v>
      </c>
      <c r="D22" s="198" t="s">
        <v>19</v>
      </c>
      <c r="E22" s="111"/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</f>
        <v>69769.86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 t="e">
        <f>B24/#REF!*1</f>
        <v>#VALUE!</v>
      </c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 t="e">
        <f>B25/#REF!*1</f>
        <v>#VALUE!</v>
      </c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 t="e">
        <f>B26/#REF!*1</f>
        <v>#VALUE!</v>
      </c>
      <c r="F26" s="110"/>
      <c r="G26" s="110"/>
      <c r="H26" s="110"/>
    </row>
    <row r="27" spans="1:8" ht="15.75">
      <c r="A27" s="20" t="s">
        <v>25</v>
      </c>
      <c r="B27" s="194" t="s">
        <v>11</v>
      </c>
      <c r="C27" s="197">
        <f>C15+C22</f>
        <v>58746.75</v>
      </c>
      <c r="D27" s="198" t="s">
        <v>26</v>
      </c>
      <c r="E27" s="112" t="e">
        <f>B27/#REF!*1</f>
        <v>#VALUE!</v>
      </c>
      <c r="F27" s="110"/>
      <c r="G27" s="110"/>
      <c r="H27" s="110"/>
    </row>
    <row r="28" spans="1:8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</row>
    <row r="29" spans="1:8" ht="51">
      <c r="A29" s="202" t="s">
        <v>28</v>
      </c>
      <c r="B29" s="203" t="s">
        <v>29</v>
      </c>
      <c r="C29" s="204" t="s">
        <v>30</v>
      </c>
      <c r="D29" s="205" t="s">
        <v>31</v>
      </c>
      <c r="E29" s="110"/>
      <c r="F29" s="110"/>
      <c r="G29" s="110"/>
      <c r="H29" s="110"/>
    </row>
    <row r="30" spans="1:8" ht="15.75">
      <c r="A30" s="206" t="s">
        <v>32</v>
      </c>
      <c r="B30" s="207" t="s">
        <v>33</v>
      </c>
      <c r="C30" s="208" t="s">
        <v>34</v>
      </c>
      <c r="D30" s="209">
        <f>383.9*0.6*12</f>
        <v>2764.08</v>
      </c>
      <c r="E30" s="110"/>
      <c r="F30" s="110"/>
      <c r="G30" s="110"/>
      <c r="H30" s="110"/>
    </row>
    <row r="31" spans="1:8" ht="15.75">
      <c r="A31" s="210" t="s">
        <v>75</v>
      </c>
      <c r="B31" s="211" t="s">
        <v>76</v>
      </c>
      <c r="C31" s="212" t="s">
        <v>34</v>
      </c>
      <c r="D31" s="213">
        <f>2.4*12*383.9</f>
        <v>11056.319999999998</v>
      </c>
      <c r="E31" s="110"/>
      <c r="F31" s="110"/>
      <c r="G31" s="110"/>
      <c r="H31" s="110"/>
    </row>
    <row r="32" spans="1:8" ht="15.75">
      <c r="A32" s="210" t="s">
        <v>36</v>
      </c>
      <c r="B32" s="211" t="s">
        <v>33</v>
      </c>
      <c r="C32" s="212" t="s">
        <v>37</v>
      </c>
      <c r="D32" s="213">
        <f>0.24*12*383.9</f>
        <v>1105.6319999999998</v>
      </c>
      <c r="E32" s="110"/>
      <c r="F32" s="110"/>
      <c r="G32" s="110"/>
      <c r="H32" s="110"/>
    </row>
    <row r="33" spans="1:8" ht="15.75">
      <c r="A33" s="210" t="s">
        <v>79</v>
      </c>
      <c r="B33" s="369" t="s">
        <v>33</v>
      </c>
      <c r="C33" s="212" t="s">
        <v>34</v>
      </c>
      <c r="D33" s="213">
        <f>0.73*12*383.9</f>
        <v>3362.964</v>
      </c>
      <c r="E33" s="110"/>
      <c r="F33" s="110"/>
      <c r="G33" s="110"/>
      <c r="H33" s="110"/>
    </row>
    <row r="34" spans="1:8" ht="15.75">
      <c r="A34" s="210" t="s">
        <v>80</v>
      </c>
      <c r="B34" s="211" t="s">
        <v>33</v>
      </c>
      <c r="C34" s="212" t="s">
        <v>34</v>
      </c>
      <c r="D34" s="214">
        <f>1.38*12*383.9</f>
        <v>6357.383999999999</v>
      </c>
      <c r="E34" s="110"/>
      <c r="F34" s="110"/>
      <c r="G34" s="110"/>
      <c r="H34" s="110"/>
    </row>
    <row r="35" spans="1:8" ht="31.5">
      <c r="A35" s="210" t="s">
        <v>81</v>
      </c>
      <c r="B35" s="216" t="s">
        <v>82</v>
      </c>
      <c r="C35" s="212" t="s">
        <v>34</v>
      </c>
      <c r="D35" s="213">
        <f>1.33*12*383.9</f>
        <v>6127.044</v>
      </c>
      <c r="E35" s="110"/>
      <c r="F35" s="110"/>
      <c r="G35" s="110"/>
      <c r="H35" s="110"/>
    </row>
    <row r="36" spans="1:8" ht="15.75">
      <c r="A36" s="210" t="s">
        <v>38</v>
      </c>
      <c r="B36" s="211" t="s">
        <v>35</v>
      </c>
      <c r="C36" s="368" t="s">
        <v>237</v>
      </c>
      <c r="D36" s="213">
        <v>19302.37</v>
      </c>
      <c r="E36" s="110"/>
      <c r="F36" s="110"/>
      <c r="G36" s="110"/>
      <c r="H36" s="110"/>
    </row>
    <row r="37" spans="1:8" ht="15.75">
      <c r="A37" s="210" t="s">
        <v>315</v>
      </c>
      <c r="B37" s="211" t="s">
        <v>238</v>
      </c>
      <c r="C37" s="278" t="s">
        <v>37</v>
      </c>
      <c r="D37" s="213">
        <f>383.9*(0.38+0.46)*6</f>
        <v>1934.856</v>
      </c>
      <c r="E37" s="110"/>
      <c r="F37" s="110"/>
      <c r="G37" s="110"/>
      <c r="H37" s="110"/>
    </row>
    <row r="38" spans="1:8" ht="15.75">
      <c r="A38" s="210" t="s">
        <v>219</v>
      </c>
      <c r="B38" s="211"/>
      <c r="C38" s="278"/>
      <c r="D38" s="213"/>
      <c r="E38" s="110"/>
      <c r="F38" s="110"/>
      <c r="G38" s="110"/>
      <c r="H38" s="110"/>
    </row>
    <row r="39" spans="1:8" ht="33" customHeight="1">
      <c r="A39" s="210" t="s">
        <v>223</v>
      </c>
      <c r="B39" s="211" t="s">
        <v>35</v>
      </c>
      <c r="C39" s="278" t="s">
        <v>220</v>
      </c>
      <c r="D39" s="213">
        <v>460.68</v>
      </c>
      <c r="E39" s="110"/>
      <c r="F39" s="110"/>
      <c r="G39" s="110"/>
      <c r="H39" s="110"/>
    </row>
    <row r="40" spans="1:8" ht="15.75">
      <c r="A40" s="210" t="s">
        <v>221</v>
      </c>
      <c r="B40" s="211" t="s">
        <v>35</v>
      </c>
      <c r="C40" s="278" t="s">
        <v>222</v>
      </c>
      <c r="D40" s="213">
        <v>10889.8</v>
      </c>
      <c r="E40" s="110"/>
      <c r="F40" s="110"/>
      <c r="G40" s="110"/>
      <c r="H40" s="110"/>
    </row>
    <row r="41" spans="1:14" s="1" customFormat="1" ht="78.75">
      <c r="A41" s="263" t="s">
        <v>214</v>
      </c>
      <c r="B41" s="218" t="s">
        <v>41</v>
      </c>
      <c r="C41" s="295"/>
      <c r="D41" s="387">
        <f>D42</f>
        <v>711</v>
      </c>
      <c r="E41" s="110"/>
      <c r="F41" s="110"/>
      <c r="G41" s="110"/>
      <c r="H41" s="110"/>
      <c r="K41"/>
      <c r="L41"/>
      <c r="M41"/>
      <c r="N41"/>
    </row>
    <row r="42" spans="1:14" s="1" customFormat="1" ht="19.5" customHeight="1">
      <c r="A42" s="223" t="s">
        <v>261</v>
      </c>
      <c r="B42" s="220" t="s">
        <v>246</v>
      </c>
      <c r="C42" s="278" t="s">
        <v>34</v>
      </c>
      <c r="D42" s="178">
        <v>711</v>
      </c>
      <c r="E42" s="110"/>
      <c r="F42" s="110"/>
      <c r="G42" s="110"/>
      <c r="H42" s="110"/>
      <c r="K42"/>
      <c r="L42"/>
      <c r="M42"/>
      <c r="N42"/>
    </row>
    <row r="43" spans="1:14" s="1" customFormat="1" ht="15.75">
      <c r="A43" s="37" t="s">
        <v>42</v>
      </c>
      <c r="B43" s="225"/>
      <c r="C43" s="226"/>
      <c r="D43" s="98">
        <f>D30+D31+D32+D33+D34+D35+D36+D37+D39+D40+D41</f>
        <v>64072.12999999999</v>
      </c>
      <c r="E43" s="113">
        <f>D43-D39-D40-D41</f>
        <v>52010.649999999994</v>
      </c>
      <c r="F43" s="110"/>
      <c r="G43" s="110"/>
      <c r="H43" s="110"/>
      <c r="K43"/>
      <c r="L43"/>
      <c r="M43"/>
      <c r="N43"/>
    </row>
    <row r="44" spans="1:14" s="1" customFormat="1" ht="15.75">
      <c r="A44" s="40" t="s">
        <v>43</v>
      </c>
      <c r="B44" s="227" t="s">
        <v>11</v>
      </c>
      <c r="C44" s="228"/>
      <c r="D44" s="229">
        <f>C27-D43</f>
        <v>-5325.37999999999</v>
      </c>
      <c r="E44" s="113"/>
      <c r="F44" s="110"/>
      <c r="G44" s="110"/>
      <c r="H44" s="110"/>
      <c r="K44"/>
      <c r="L44"/>
      <c r="M44"/>
      <c r="N44"/>
    </row>
    <row r="45" spans="1:14" s="1" customFormat="1" ht="15.75">
      <c r="A45" s="230" t="s">
        <v>12</v>
      </c>
      <c r="B45" s="231" t="s">
        <v>11</v>
      </c>
      <c r="C45" s="212"/>
      <c r="D45" s="196">
        <v>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30" t="s">
        <v>13</v>
      </c>
      <c r="B46" s="231" t="s">
        <v>11</v>
      </c>
      <c r="C46" s="212"/>
      <c r="D46" s="198">
        <v>6069.9</v>
      </c>
      <c r="E46" s="110"/>
      <c r="F46" s="110"/>
      <c r="G46" s="110"/>
      <c r="H46" s="110"/>
      <c r="K46"/>
      <c r="L46"/>
      <c r="M46"/>
      <c r="N46"/>
    </row>
    <row r="47" spans="1:14" s="1" customFormat="1" ht="24" customHeight="1">
      <c r="A47" s="492" t="s">
        <v>44</v>
      </c>
      <c r="B47" s="492"/>
      <c r="C47" s="492"/>
      <c r="D47" s="492"/>
      <c r="E47" s="110"/>
      <c r="F47" s="110"/>
      <c r="G47" s="110"/>
      <c r="H47" s="110"/>
      <c r="K47"/>
      <c r="L47"/>
      <c r="M47"/>
      <c r="N47"/>
    </row>
    <row r="48" spans="1:14" s="1" customFormat="1" ht="15.75">
      <c r="A48" s="230" t="s">
        <v>45</v>
      </c>
      <c r="B48" s="211" t="s">
        <v>46</v>
      </c>
      <c r="C48" s="212"/>
      <c r="D48" s="196">
        <v>0</v>
      </c>
      <c r="E48" s="110"/>
      <c r="F48" s="110"/>
      <c r="G48" s="110"/>
      <c r="H48" s="110"/>
      <c r="K48"/>
      <c r="L48"/>
      <c r="M48"/>
      <c r="N48"/>
    </row>
    <row r="49" spans="1:14" s="1" customFormat="1" ht="15.75">
      <c r="A49" s="230" t="s">
        <v>47</v>
      </c>
      <c r="B49" s="211" t="s">
        <v>46</v>
      </c>
      <c r="C49" s="212"/>
      <c r="D49" s="196">
        <v>0</v>
      </c>
      <c r="E49" s="110"/>
      <c r="F49" s="110"/>
      <c r="G49" s="110"/>
      <c r="H49" s="110"/>
      <c r="K49"/>
      <c r="L49"/>
      <c r="M49"/>
      <c r="N49"/>
    </row>
    <row r="50" spans="1:14" s="1" customFormat="1" ht="26.25">
      <c r="A50" s="232" t="s">
        <v>48</v>
      </c>
      <c r="B50" s="211" t="s">
        <v>46</v>
      </c>
      <c r="C50" s="212"/>
      <c r="D50" s="196">
        <v>0</v>
      </c>
      <c r="E50" s="110"/>
      <c r="F50" s="110"/>
      <c r="G50" s="110"/>
      <c r="H50" s="110"/>
      <c r="K50"/>
      <c r="L50"/>
      <c r="M50"/>
      <c r="N50"/>
    </row>
    <row r="51" spans="1:14" s="1" customFormat="1" ht="15.75">
      <c r="A51" s="230" t="s">
        <v>49</v>
      </c>
      <c r="B51" s="211" t="s">
        <v>11</v>
      </c>
      <c r="C51" s="212"/>
      <c r="D51" s="196">
        <v>0</v>
      </c>
      <c r="E51" s="110"/>
      <c r="F51" s="110"/>
      <c r="G51" s="110"/>
      <c r="H51" s="110"/>
      <c r="K51"/>
      <c r="L51"/>
      <c r="M51"/>
      <c r="N51"/>
    </row>
    <row r="52" spans="1:8" ht="20.25" customHeight="1">
      <c r="A52" s="493" t="s">
        <v>50</v>
      </c>
      <c r="B52" s="493"/>
      <c r="C52" s="493"/>
      <c r="D52" s="493"/>
      <c r="E52" s="110"/>
      <c r="F52" s="110"/>
      <c r="G52" s="110"/>
      <c r="H52" s="110"/>
    </row>
    <row r="53" spans="1:8" ht="26.25">
      <c r="A53" s="232" t="s">
        <v>51</v>
      </c>
      <c r="B53" s="211" t="s">
        <v>11</v>
      </c>
      <c r="C53" s="212"/>
      <c r="D53" s="196">
        <v>0</v>
      </c>
      <c r="E53" s="110"/>
      <c r="F53" s="110"/>
      <c r="G53" s="110"/>
      <c r="H53" s="110"/>
    </row>
    <row r="54" spans="1:8" ht="15.75">
      <c r="A54" s="230" t="s">
        <v>12</v>
      </c>
      <c r="B54" s="211" t="s">
        <v>11</v>
      </c>
      <c r="C54" s="212"/>
      <c r="D54" s="196">
        <v>0</v>
      </c>
      <c r="E54" s="110"/>
      <c r="F54" s="110"/>
      <c r="G54" s="110"/>
      <c r="H54" s="110"/>
    </row>
    <row r="55" spans="1:8" ht="15.75">
      <c r="A55" s="230" t="s">
        <v>13</v>
      </c>
      <c r="B55" s="211" t="s">
        <v>11</v>
      </c>
      <c r="C55" s="212"/>
      <c r="D55" s="240">
        <v>20924.34</v>
      </c>
      <c r="E55" s="110"/>
      <c r="F55" s="110"/>
      <c r="G55" s="110"/>
      <c r="H55" s="114"/>
    </row>
    <row r="56" spans="1:8" ht="26.25">
      <c r="A56" s="234" t="s">
        <v>52</v>
      </c>
      <c r="B56" s="211" t="s">
        <v>11</v>
      </c>
      <c r="C56" s="235"/>
      <c r="D56" s="236">
        <v>0</v>
      </c>
      <c r="E56" s="110"/>
      <c r="F56" s="110"/>
      <c r="G56" s="110"/>
      <c r="H56" s="110"/>
    </row>
    <row r="57" spans="1:10" ht="17.25" customHeight="1">
      <c r="A57" s="257" t="s">
        <v>12</v>
      </c>
      <c r="B57" s="211" t="s">
        <v>11</v>
      </c>
      <c r="C57" s="279"/>
      <c r="D57" s="55">
        <v>0</v>
      </c>
      <c r="E57" s="110"/>
      <c r="F57" s="110"/>
      <c r="G57" s="110"/>
      <c r="H57" s="110"/>
      <c r="I57" s="49"/>
      <c r="J57" s="49"/>
    </row>
    <row r="58" spans="1:14" ht="15.75">
      <c r="A58" s="238" t="s">
        <v>13</v>
      </c>
      <c r="B58" s="211" t="s">
        <v>11</v>
      </c>
      <c r="C58" s="239"/>
      <c r="D58" s="240">
        <v>20924.34</v>
      </c>
      <c r="E58" s="110"/>
      <c r="F58" s="110"/>
      <c r="G58" s="110"/>
      <c r="H58" s="110" t="s">
        <v>26</v>
      </c>
      <c r="I58" s="60"/>
      <c r="J58" s="60"/>
      <c r="K58" s="61"/>
      <c r="L58" s="61"/>
      <c r="M58" s="61"/>
      <c r="N58" s="61"/>
    </row>
    <row r="59" spans="1:14" ht="18" customHeight="1">
      <c r="A59" s="494" t="s">
        <v>53</v>
      </c>
      <c r="B59" s="494"/>
      <c r="C59" s="494"/>
      <c r="D59" s="494"/>
      <c r="E59" s="115"/>
      <c r="F59" s="116"/>
      <c r="G59" s="117"/>
      <c r="H59" s="110"/>
      <c r="I59" s="65"/>
      <c r="J59" s="65"/>
      <c r="K59" s="66"/>
      <c r="L59" s="66"/>
      <c r="M59" s="66"/>
      <c r="N59" s="66"/>
    </row>
    <row r="60" spans="1:14" ht="38.25">
      <c r="A60" s="67" t="s">
        <v>54</v>
      </c>
      <c r="B60" s="68" t="s">
        <v>55</v>
      </c>
      <c r="C60" s="159" t="s">
        <v>56</v>
      </c>
      <c r="D60" s="160" t="s">
        <v>57</v>
      </c>
      <c r="E60" s="115"/>
      <c r="F60" s="116"/>
      <c r="G60" s="117"/>
      <c r="H60" s="110"/>
      <c r="I60" s="65"/>
      <c r="J60" s="71"/>
      <c r="K60" s="66"/>
      <c r="L60" s="66"/>
      <c r="M60" s="66"/>
      <c r="N60" s="66"/>
    </row>
    <row r="61" spans="1:14" ht="15.75">
      <c r="A61" s="241" t="s">
        <v>58</v>
      </c>
      <c r="B61" s="280">
        <v>16607</v>
      </c>
      <c r="C61" s="454">
        <f>B61*1</f>
        <v>16607</v>
      </c>
      <c r="D61" s="455">
        <f>B61-C61</f>
        <v>0</v>
      </c>
      <c r="E61" s="118"/>
      <c r="F61" s="116"/>
      <c r="G61" s="117"/>
      <c r="H61" s="110"/>
      <c r="I61" s="65"/>
      <c r="J61" s="65"/>
      <c r="K61" s="66"/>
      <c r="L61" s="66"/>
      <c r="M61" s="66"/>
      <c r="N61" s="66"/>
    </row>
    <row r="62" spans="1:14" ht="15.75">
      <c r="A62" s="241" t="s">
        <v>59</v>
      </c>
      <c r="B62" s="280">
        <v>19004.77</v>
      </c>
      <c r="C62" s="454">
        <f>B62*1</f>
        <v>19004.77</v>
      </c>
      <c r="D62" s="455">
        <f>B62-C62</f>
        <v>0</v>
      </c>
      <c r="E62" s="115"/>
      <c r="F62" s="116"/>
      <c r="G62" s="117"/>
      <c r="H62" s="110"/>
      <c r="I62" s="65"/>
      <c r="J62" s="65"/>
      <c r="K62" s="66"/>
      <c r="L62" s="66"/>
      <c r="M62" s="66"/>
      <c r="N62" s="66"/>
    </row>
    <row r="63" spans="1:14" ht="15.75">
      <c r="A63" s="241" t="s">
        <v>60</v>
      </c>
      <c r="B63" s="283">
        <v>180145.61</v>
      </c>
      <c r="C63" s="454">
        <f>B63*1</f>
        <v>180145.61</v>
      </c>
      <c r="D63" s="455">
        <f>B63-C63</f>
        <v>0</v>
      </c>
      <c r="E63" s="115">
        <f>(2.07+1.8)*6*2301.2-0.37*2301.2*6</f>
        <v>48325.2</v>
      </c>
      <c r="F63" s="119"/>
      <c r="G63" s="120"/>
      <c r="H63" s="115"/>
      <c r="I63" s="65"/>
      <c r="J63" s="65"/>
      <c r="K63" s="66"/>
      <c r="L63" s="66"/>
      <c r="M63" s="66"/>
      <c r="N63" s="66"/>
    </row>
    <row r="64" spans="1:14" ht="15.75">
      <c r="A64" s="246" t="s">
        <v>318</v>
      </c>
      <c r="B64" s="284">
        <v>24757.17</v>
      </c>
      <c r="C64" s="454">
        <f>B64*1</f>
        <v>24757.17</v>
      </c>
      <c r="D64" s="456">
        <f>B64-C64</f>
        <v>0</v>
      </c>
      <c r="E64" s="115"/>
      <c r="F64" s="119"/>
      <c r="G64" s="120"/>
      <c r="H64" s="110"/>
      <c r="I64" s="65"/>
      <c r="J64" s="65"/>
      <c r="K64" s="66"/>
      <c r="L64" s="66"/>
      <c r="M64" s="66"/>
      <c r="N64" s="66"/>
    </row>
    <row r="65" spans="1:14" ht="51">
      <c r="A65" s="76" t="s">
        <v>62</v>
      </c>
      <c r="B65" s="68" t="s">
        <v>63</v>
      </c>
      <c r="C65" s="159" t="s">
        <v>64</v>
      </c>
      <c r="D65" s="160" t="s">
        <v>65</v>
      </c>
      <c r="E65" s="115"/>
      <c r="F65" s="119"/>
      <c r="G65" s="110"/>
      <c r="H65" s="121"/>
      <c r="I65" s="65"/>
      <c r="J65" s="65"/>
      <c r="K65" s="66"/>
      <c r="L65" s="66"/>
      <c r="M65" s="66"/>
      <c r="N65" s="66"/>
    </row>
    <row r="66" spans="1:14" ht="15.75">
      <c r="A66" s="241" t="s">
        <v>58</v>
      </c>
      <c r="B66" s="251">
        <f aca="true" t="shared" si="0" ref="B66:C68">B61</f>
        <v>16607</v>
      </c>
      <c r="C66" s="457">
        <f t="shared" si="0"/>
        <v>16607</v>
      </c>
      <c r="D66" s="455">
        <f>B66-C66</f>
        <v>0</v>
      </c>
      <c r="E66" s="115"/>
      <c r="F66" s="119"/>
      <c r="G66" s="110"/>
      <c r="H66" s="121"/>
      <c r="I66" s="65"/>
      <c r="J66" s="65"/>
      <c r="K66" s="66"/>
      <c r="L66" s="66"/>
      <c r="M66" s="66"/>
      <c r="N66" s="66"/>
    </row>
    <row r="67" spans="1:14" ht="15.75">
      <c r="A67" s="241" t="s">
        <v>59</v>
      </c>
      <c r="B67" s="251">
        <f t="shared" si="0"/>
        <v>19004.77</v>
      </c>
      <c r="C67" s="457">
        <f t="shared" si="0"/>
        <v>19004.77</v>
      </c>
      <c r="D67" s="455">
        <f>B67-C67</f>
        <v>0</v>
      </c>
      <c r="E67" s="115"/>
      <c r="F67" s="119"/>
      <c r="G67" s="110"/>
      <c r="H67" s="121"/>
      <c r="I67" s="65"/>
      <c r="J67" s="65"/>
      <c r="K67" s="66"/>
      <c r="L67" s="66"/>
      <c r="M67" s="66"/>
      <c r="N67" s="66"/>
    </row>
    <row r="68" spans="1:14" ht="15.75">
      <c r="A68" s="241" t="s">
        <v>60</v>
      </c>
      <c r="B68" s="251">
        <f t="shared" si="0"/>
        <v>180145.61</v>
      </c>
      <c r="C68" s="457">
        <f t="shared" si="0"/>
        <v>180145.61</v>
      </c>
      <c r="D68" s="455">
        <f>B68-C68</f>
        <v>0</v>
      </c>
      <c r="E68" s="115"/>
      <c r="F68" s="119"/>
      <c r="G68" s="110"/>
      <c r="H68" s="121"/>
      <c r="I68" s="65"/>
      <c r="J68" s="65"/>
      <c r="K68" s="66"/>
      <c r="L68" s="66"/>
      <c r="M68" s="66"/>
      <c r="N68" s="66"/>
    </row>
    <row r="69" spans="1:14" ht="15.75">
      <c r="A69" s="241" t="s">
        <v>318</v>
      </c>
      <c r="B69" s="251">
        <v>24757.17</v>
      </c>
      <c r="C69" s="449">
        <v>24757.17</v>
      </c>
      <c r="D69" s="455">
        <v>0</v>
      </c>
      <c r="E69" s="115"/>
      <c r="F69" s="119"/>
      <c r="G69" s="110"/>
      <c r="H69" s="121"/>
      <c r="I69" s="65"/>
      <c r="J69" s="65"/>
      <c r="K69" s="66"/>
      <c r="L69" s="66"/>
      <c r="M69" s="66"/>
      <c r="N69" s="66"/>
    </row>
    <row r="70" spans="1:14" ht="15.75">
      <c r="A70" s="250"/>
      <c r="B70" s="251"/>
      <c r="C70" s="447"/>
      <c r="D70" s="448"/>
      <c r="E70" s="115"/>
      <c r="F70" s="119"/>
      <c r="G70" s="110"/>
      <c r="H70" s="121"/>
      <c r="I70" s="65"/>
      <c r="J70" s="65"/>
      <c r="K70" s="66"/>
      <c r="L70" s="66"/>
      <c r="M70" s="66"/>
      <c r="N70" s="66"/>
    </row>
    <row r="71" spans="1:14" ht="26.25">
      <c r="A71" s="254" t="s">
        <v>66</v>
      </c>
      <c r="B71" s="251" t="s">
        <v>11</v>
      </c>
      <c r="C71" s="449"/>
      <c r="D71" s="450">
        <v>4483.86</v>
      </c>
      <c r="E71" s="115"/>
      <c r="F71" s="119"/>
      <c r="G71" s="110"/>
      <c r="H71" s="121"/>
      <c r="I71" s="65"/>
      <c r="J71" s="65" t="s">
        <v>26</v>
      </c>
      <c r="K71" s="66"/>
      <c r="L71" s="66"/>
      <c r="M71" s="66"/>
      <c r="N71" s="66"/>
    </row>
    <row r="72" spans="1:14" ht="17.25" customHeight="1">
      <c r="A72" s="495" t="s">
        <v>67</v>
      </c>
      <c r="B72" s="495"/>
      <c r="C72" s="495"/>
      <c r="D72" s="495"/>
      <c r="E72" s="84" t="e">
        <f>D72+B19</f>
        <v>#VALUE!</v>
      </c>
      <c r="F72" s="65"/>
      <c r="H72" s="85" t="e">
        <f>E72-B18</f>
        <v>#VALUE!</v>
      </c>
      <c r="I72" s="65"/>
      <c r="J72" s="65"/>
      <c r="K72" s="66"/>
      <c r="L72" s="66"/>
      <c r="M72" s="66"/>
      <c r="N72" s="66"/>
    </row>
    <row r="73" spans="1:5" ht="21" customHeight="1">
      <c r="A73" s="87" t="s">
        <v>45</v>
      </c>
      <c r="B73" s="87" t="s">
        <v>46</v>
      </c>
      <c r="C73" s="87"/>
      <c r="D73" s="179">
        <v>1</v>
      </c>
      <c r="E73" s="89"/>
    </row>
    <row r="74" spans="1:5" ht="21" customHeight="1">
      <c r="A74" s="87" t="s">
        <v>47</v>
      </c>
      <c r="B74" s="87" t="s">
        <v>46</v>
      </c>
      <c r="C74" s="87"/>
      <c r="D74" s="179">
        <v>1</v>
      </c>
      <c r="E74" s="89"/>
    </row>
    <row r="75" spans="1:5" ht="18" customHeight="1">
      <c r="A75" s="87" t="s">
        <v>48</v>
      </c>
      <c r="B75" s="87" t="s">
        <v>46</v>
      </c>
      <c r="C75" s="87"/>
      <c r="D75" s="179">
        <v>0</v>
      </c>
      <c r="E75" s="89"/>
    </row>
    <row r="76" spans="1:5" ht="16.5" customHeight="1">
      <c r="A76" s="87" t="s">
        <v>49</v>
      </c>
      <c r="B76" s="87" t="s">
        <v>11</v>
      </c>
      <c r="C76" s="87"/>
      <c r="D76" s="179">
        <v>96.79</v>
      </c>
      <c r="E76" s="89"/>
    </row>
    <row r="77" spans="1:5" ht="15.75" customHeight="1">
      <c r="A77" s="489" t="s">
        <v>68</v>
      </c>
      <c r="B77" s="489"/>
      <c r="C77" s="489"/>
      <c r="D77" s="489"/>
      <c r="E77" s="89"/>
    </row>
    <row r="78" spans="1:5" ht="18.75" customHeight="1">
      <c r="A78" s="87" t="s">
        <v>69</v>
      </c>
      <c r="B78" s="87" t="s">
        <v>46</v>
      </c>
      <c r="C78" s="87"/>
      <c r="D78" s="179">
        <v>0</v>
      </c>
      <c r="E78" s="89"/>
    </row>
    <row r="79" spans="1:5" ht="21.75" customHeight="1">
      <c r="A79" s="87" t="s">
        <v>70</v>
      </c>
      <c r="B79" s="257" t="s">
        <v>46</v>
      </c>
      <c r="C79" s="257"/>
      <c r="D79" s="179">
        <v>0</v>
      </c>
      <c r="E79" s="89"/>
    </row>
    <row r="80" spans="1:5" ht="36" customHeight="1">
      <c r="A80" s="258" t="s">
        <v>71</v>
      </c>
      <c r="B80" s="87" t="s">
        <v>11</v>
      </c>
      <c r="C80" s="87"/>
      <c r="D80" s="179">
        <v>0</v>
      </c>
      <c r="E80" s="89"/>
    </row>
    <row r="81" spans="1:4" ht="15.75">
      <c r="A81" s="259"/>
      <c r="B81" s="259"/>
      <c r="C81" s="259"/>
      <c r="D81" s="260"/>
    </row>
    <row r="82" spans="1:14" s="1" customFormat="1" ht="12.75">
      <c r="A82" s="180"/>
      <c r="B82" s="180"/>
      <c r="C82" s="180"/>
      <c r="D82" s="180"/>
      <c r="H82" s="1" t="s">
        <v>26</v>
      </c>
      <c r="K82"/>
      <c r="L82"/>
      <c r="M82"/>
      <c r="N82"/>
    </row>
    <row r="83" spans="1:14" s="1" customFormat="1" ht="12.75">
      <c r="A83" s="180" t="s">
        <v>72</v>
      </c>
      <c r="B83" s="180"/>
      <c r="C83" s="180" t="s">
        <v>146</v>
      </c>
      <c r="D83" s="180"/>
      <c r="K83"/>
      <c r="L83"/>
      <c r="M83"/>
      <c r="N83"/>
    </row>
    <row r="84" spans="1:14" s="1" customFormat="1" ht="12.75">
      <c r="A84" s="180"/>
      <c r="B84" s="180"/>
      <c r="C84" s="180"/>
      <c r="D84" s="180"/>
      <c r="H84" s="1" t="s">
        <v>26</v>
      </c>
      <c r="K84"/>
      <c r="L84"/>
      <c r="M84"/>
      <c r="N84"/>
    </row>
    <row r="85" spans="1:14" s="1" customFormat="1" ht="12.75">
      <c r="A85" s="180" t="s">
        <v>73</v>
      </c>
      <c r="B85" s="180"/>
      <c r="C85" s="180"/>
      <c r="D85" s="180"/>
      <c r="K85"/>
      <c r="L85"/>
      <c r="M85"/>
      <c r="N85"/>
    </row>
    <row r="86" spans="1:4" ht="12.75">
      <c r="A86" s="180"/>
      <c r="B86" s="180"/>
      <c r="C86" s="180"/>
      <c r="D86" s="180"/>
    </row>
    <row r="87" spans="1:4" ht="12.75">
      <c r="A87" s="180"/>
      <c r="B87" s="180"/>
      <c r="C87" s="180"/>
      <c r="D87" s="180"/>
    </row>
    <row r="88" spans="1:4" ht="12.75">
      <c r="A88" s="180"/>
      <c r="B88" s="180"/>
      <c r="C88" s="180"/>
      <c r="D88" s="180"/>
    </row>
    <row r="89" spans="1:14" s="1" customFormat="1" ht="12.75">
      <c r="A89" s="180"/>
      <c r="B89" s="180"/>
      <c r="C89" s="180"/>
      <c r="D89" s="180"/>
      <c r="E89" s="1" t="s">
        <v>26</v>
      </c>
      <c r="K89"/>
      <c r="L89"/>
      <c r="M89"/>
      <c r="N89"/>
    </row>
    <row r="90" spans="1:4" ht="12.75">
      <c r="A90" s="180"/>
      <c r="B90" s="180"/>
      <c r="C90" s="180"/>
      <c r="D90" s="180"/>
    </row>
  </sheetData>
  <sheetProtection selectLockedCells="1" selectUnlockedCells="1"/>
  <mergeCells count="13">
    <mergeCell ref="A77:D77"/>
    <mergeCell ref="A14:D14"/>
    <mergeCell ref="A28:D28"/>
    <mergeCell ref="A47:D47"/>
    <mergeCell ref="A52:D52"/>
    <mergeCell ref="A59:D59"/>
    <mergeCell ref="A72:D7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106" zoomScaleNormal="106" zoomScalePageLayoutView="0" workbookViewId="0" topLeftCell="A21">
      <selection activeCell="C41" sqref="C41"/>
    </sheetView>
  </sheetViews>
  <sheetFormatPr defaultColWidth="11.57421875" defaultRowHeight="12.75"/>
  <cols>
    <col min="1" max="1" width="53.140625" style="0" customWidth="1"/>
    <col min="2" max="2" width="14.421875" style="0" customWidth="1"/>
    <col min="3" max="3" width="27.57421875" style="0" customWidth="1"/>
    <col min="4" max="4" width="18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88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spans="1:4" ht="17.25" customHeight="1">
      <c r="A6" s="261" t="s">
        <v>161</v>
      </c>
      <c r="B6" s="180"/>
      <c r="C6" s="180"/>
      <c r="D6" s="180"/>
    </row>
    <row r="7" spans="1:4" ht="31.5" customHeight="1">
      <c r="A7" s="488" t="s">
        <v>2</v>
      </c>
      <c r="B7" s="488"/>
      <c r="C7" s="488"/>
      <c r="D7" s="488"/>
    </row>
    <row r="8" spans="1:4" ht="12.75">
      <c r="A8" s="261"/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8" ht="31.5" customHeight="1">
      <c r="A14" s="490" t="s">
        <v>9</v>
      </c>
      <c r="B14" s="490"/>
      <c r="C14" s="490"/>
      <c r="D14" s="490"/>
      <c r="E14" s="110"/>
      <c r="F14" s="110"/>
      <c r="G14" s="110"/>
      <c r="H14" s="110"/>
    </row>
    <row r="15" spans="1:8" ht="26.25">
      <c r="A15" s="17" t="s">
        <v>10</v>
      </c>
      <c r="B15" s="194" t="s">
        <v>11</v>
      </c>
      <c r="C15" s="197">
        <v>119009.61</v>
      </c>
      <c r="D15" s="196"/>
      <c r="E15" s="110"/>
      <c r="F15" s="110"/>
      <c r="G15" s="110"/>
      <c r="H15" s="110"/>
    </row>
    <row r="16" spans="1:8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</row>
    <row r="17" spans="1:8" ht="15.75">
      <c r="A17" s="20" t="s">
        <v>13</v>
      </c>
      <c r="B17" s="194" t="s">
        <v>11</v>
      </c>
      <c r="C17" s="197">
        <v>34822.4</v>
      </c>
      <c r="D17" s="198"/>
      <c r="E17" s="110"/>
      <c r="F17" s="110"/>
      <c r="G17" s="110"/>
      <c r="H17" s="110"/>
    </row>
    <row r="18" spans="1:8" ht="31.5" customHeight="1">
      <c r="A18" s="17" t="s">
        <v>14</v>
      </c>
      <c r="B18" s="194" t="s">
        <v>11</v>
      </c>
      <c r="C18" s="197">
        <f>250612.6+12017.52</f>
        <v>262630.12</v>
      </c>
      <c r="D18" s="198"/>
      <c r="E18" s="111">
        <f>C18-C20</f>
        <v>209511.886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142373.00199999998</v>
      </c>
      <c r="D19" s="198"/>
      <c r="E19" s="111">
        <f>E18-E49</f>
        <v>12017.524000000005</v>
      </c>
      <c r="F19" s="110"/>
      <c r="G19" s="110"/>
      <c r="H19" s="110"/>
    </row>
    <row r="20" spans="1:8" ht="15.75">
      <c r="A20" s="20" t="s">
        <v>16</v>
      </c>
      <c r="B20" s="194" t="s">
        <v>11</v>
      </c>
      <c r="C20" s="197">
        <f>(3.33+3.3)*6*1335.3</f>
        <v>53118.234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1335.3*4.19*12</f>
        <v>67138.884</v>
      </c>
      <c r="D21" s="198"/>
      <c r="E21" s="110"/>
      <c r="F21" s="110"/>
      <c r="G21" s="110"/>
      <c r="H21" s="110"/>
    </row>
    <row r="22" spans="1:8" ht="15.75">
      <c r="A22" s="20" t="s">
        <v>18</v>
      </c>
      <c r="B22" s="194" t="s">
        <v>11</v>
      </c>
      <c r="C22" s="197">
        <f>C23+C24+C25+C26</f>
        <v>272268.645404</v>
      </c>
      <c r="D22" s="198" t="s">
        <v>19</v>
      </c>
      <c r="E22" s="111"/>
      <c r="F22" s="110"/>
      <c r="G22" s="110"/>
      <c r="H22" s="110"/>
    </row>
    <row r="23" spans="1:8" ht="15.75">
      <c r="A23" s="20" t="s">
        <v>20</v>
      </c>
      <c r="B23" s="194" t="s">
        <v>11</v>
      </c>
      <c r="C23" s="197">
        <f>C18*1.0367</f>
        <v>272268.645404</v>
      </c>
      <c r="D23" s="198"/>
      <c r="E23" s="110"/>
      <c r="F23" s="110"/>
      <c r="G23" s="110"/>
      <c r="H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/>
      <c r="F24" s="110"/>
      <c r="G24" s="110"/>
      <c r="H24" s="110" t="s">
        <v>22</v>
      </c>
    </row>
    <row r="25" spans="1:8" ht="15.75">
      <c r="A25" s="20" t="s">
        <v>23</v>
      </c>
      <c r="B25" s="194" t="s">
        <v>11</v>
      </c>
      <c r="C25" s="197">
        <v>0</v>
      </c>
      <c r="D25" s="200">
        <v>119.63</v>
      </c>
      <c r="E25" s="112"/>
      <c r="F25" s="110"/>
      <c r="G25" s="110"/>
      <c r="H25" s="110"/>
    </row>
    <row r="26" spans="1:8" ht="15.75">
      <c r="A26" s="191" t="s">
        <v>24</v>
      </c>
      <c r="B26" s="194" t="s">
        <v>11</v>
      </c>
      <c r="C26" s="197">
        <v>0</v>
      </c>
      <c r="D26" s="200"/>
      <c r="E26" s="112"/>
      <c r="F26" s="110"/>
      <c r="G26" s="110"/>
      <c r="H26" s="110"/>
    </row>
    <row r="27" spans="1:8" ht="15.75">
      <c r="A27" s="20" t="s">
        <v>25</v>
      </c>
      <c r="B27" s="194" t="s">
        <v>11</v>
      </c>
      <c r="C27" s="197">
        <f>C15+C22</f>
        <v>391278.255404</v>
      </c>
      <c r="D27" s="198" t="s">
        <v>26</v>
      </c>
      <c r="E27" s="112"/>
      <c r="F27" s="110"/>
      <c r="G27" s="110"/>
      <c r="H27" s="110"/>
    </row>
    <row r="28" spans="1:8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</row>
    <row r="29" spans="1:8" ht="51">
      <c r="A29" s="274" t="s">
        <v>28</v>
      </c>
      <c r="B29" s="275" t="s">
        <v>29</v>
      </c>
      <c r="C29" s="204" t="s">
        <v>30</v>
      </c>
      <c r="D29" s="276" t="s">
        <v>31</v>
      </c>
      <c r="E29" s="110"/>
      <c r="F29" s="110"/>
      <c r="G29" s="110"/>
      <c r="H29" s="110"/>
    </row>
    <row r="30" spans="1:8" ht="15.75">
      <c r="A30" s="206" t="s">
        <v>32</v>
      </c>
      <c r="B30" s="207" t="s">
        <v>33</v>
      </c>
      <c r="C30" s="401" t="s">
        <v>324</v>
      </c>
      <c r="D30" s="209">
        <f>(0.6+0.57)*6*1335.3</f>
        <v>9373.805999999999</v>
      </c>
      <c r="E30" s="110"/>
      <c r="F30" s="110"/>
      <c r="G30" s="110"/>
      <c r="H30" s="110"/>
    </row>
    <row r="31" spans="1:8" ht="15.75">
      <c r="A31" s="210" t="s">
        <v>75</v>
      </c>
      <c r="B31" s="211" t="s">
        <v>76</v>
      </c>
      <c r="C31" s="212" t="s">
        <v>34</v>
      </c>
      <c r="D31" s="213">
        <f>2.4*12*1335.3</f>
        <v>38456.63999999999</v>
      </c>
      <c r="E31" s="110"/>
      <c r="F31" s="110"/>
      <c r="G31" s="110"/>
      <c r="H31" s="110"/>
    </row>
    <row r="32" spans="1:8" ht="15.75">
      <c r="A32" s="210" t="s">
        <v>323</v>
      </c>
      <c r="B32" s="211" t="s">
        <v>78</v>
      </c>
      <c r="C32" s="212" t="s">
        <v>321</v>
      </c>
      <c r="D32" s="402">
        <f>1335.3*12*0.15</f>
        <v>2403.5399999999995</v>
      </c>
      <c r="E32" s="110"/>
      <c r="F32" s="110"/>
      <c r="G32" s="110"/>
      <c r="H32" s="110"/>
    </row>
    <row r="33" spans="1:8" ht="15.75">
      <c r="A33" s="210" t="s">
        <v>36</v>
      </c>
      <c r="B33" s="211" t="s">
        <v>33</v>
      </c>
      <c r="C33" s="212" t="s">
        <v>37</v>
      </c>
      <c r="D33" s="213">
        <f>0.24*12*1335.3</f>
        <v>3845.6639999999998</v>
      </c>
      <c r="E33" s="110"/>
      <c r="F33" s="110"/>
      <c r="G33" s="110"/>
      <c r="H33" s="110"/>
    </row>
    <row r="34" spans="1:8" ht="15.75">
      <c r="A34" s="210" t="s">
        <v>79</v>
      </c>
      <c r="B34" s="369" t="s">
        <v>33</v>
      </c>
      <c r="C34" s="212" t="s">
        <v>34</v>
      </c>
      <c r="D34" s="213">
        <f>(0.78+0.8)*6*1335.3</f>
        <v>12658.644</v>
      </c>
      <c r="E34" s="110"/>
      <c r="F34" s="110"/>
      <c r="G34" s="110"/>
      <c r="H34" s="110"/>
    </row>
    <row r="35" spans="1:8" ht="15.75">
      <c r="A35" s="210" t="s">
        <v>80</v>
      </c>
      <c r="B35" s="211" t="s">
        <v>33</v>
      </c>
      <c r="C35" s="212" t="s">
        <v>34</v>
      </c>
      <c r="D35" s="213">
        <v>30929.04</v>
      </c>
      <c r="E35" s="110"/>
      <c r="F35" s="110"/>
      <c r="G35" s="110"/>
      <c r="H35" s="110"/>
    </row>
    <row r="36" spans="1:8" ht="31.5">
      <c r="A36" s="210" t="s">
        <v>81</v>
      </c>
      <c r="B36" s="216" t="s">
        <v>82</v>
      </c>
      <c r="C36" s="212" t="s">
        <v>34</v>
      </c>
      <c r="D36" s="213">
        <f>1.33*12*1335.3</f>
        <v>21311.388</v>
      </c>
      <c r="E36" s="110"/>
      <c r="F36" s="110"/>
      <c r="G36" s="110"/>
      <c r="H36" s="110"/>
    </row>
    <row r="37" spans="1:8" ht="15.75">
      <c r="A37" s="210" t="s">
        <v>38</v>
      </c>
      <c r="B37" s="211" t="s">
        <v>35</v>
      </c>
      <c r="C37" s="368" t="s">
        <v>237</v>
      </c>
      <c r="D37" s="213">
        <f>4.19*1335.3*12</f>
        <v>67138.884</v>
      </c>
      <c r="E37" s="110"/>
      <c r="F37" s="110"/>
      <c r="G37" s="110"/>
      <c r="H37" s="110"/>
    </row>
    <row r="38" spans="1:8" ht="15.75">
      <c r="A38" s="210" t="s">
        <v>315</v>
      </c>
      <c r="B38" s="211" t="s">
        <v>238</v>
      </c>
      <c r="C38" s="278" t="s">
        <v>37</v>
      </c>
      <c r="D38" s="213">
        <f>(1.07+0.35)*6*1335.3</f>
        <v>11376.756</v>
      </c>
      <c r="E38" s="110"/>
      <c r="F38" s="110"/>
      <c r="G38" s="110"/>
      <c r="H38" s="110"/>
    </row>
    <row r="39" spans="1:8" ht="15.75">
      <c r="A39" s="296" t="s">
        <v>226</v>
      </c>
      <c r="B39" s="211"/>
      <c r="C39" s="217"/>
      <c r="D39" s="213"/>
      <c r="E39" s="110"/>
      <c r="F39" s="110"/>
      <c r="G39" s="110"/>
      <c r="H39" s="110"/>
    </row>
    <row r="40" spans="1:8" ht="15.75">
      <c r="A40" s="296" t="s">
        <v>223</v>
      </c>
      <c r="B40" s="211" t="s">
        <v>35</v>
      </c>
      <c r="C40" s="217" t="s">
        <v>220</v>
      </c>
      <c r="D40" s="213">
        <v>37281.84</v>
      </c>
      <c r="E40" s="110"/>
      <c r="F40" s="110"/>
      <c r="G40" s="110"/>
      <c r="H40" s="110"/>
    </row>
    <row r="41" spans="1:8" ht="15.75">
      <c r="A41" s="210" t="s">
        <v>221</v>
      </c>
      <c r="B41" s="211" t="s">
        <v>35</v>
      </c>
      <c r="C41" s="217" t="s">
        <v>222</v>
      </c>
      <c r="D41" s="213">
        <v>10735.68</v>
      </c>
      <c r="E41" s="110"/>
      <c r="F41" s="110"/>
      <c r="G41" s="110"/>
      <c r="H41" s="110"/>
    </row>
    <row r="42" spans="1:14" s="1" customFormat="1" ht="78.75">
      <c r="A42" s="297" t="s">
        <v>215</v>
      </c>
      <c r="B42" s="218" t="s">
        <v>41</v>
      </c>
      <c r="C42" s="212"/>
      <c r="D42" s="387">
        <f>D43+D44+D45+D46+D47+D48</f>
        <v>39256.32</v>
      </c>
      <c r="E42" s="110"/>
      <c r="F42" s="110"/>
      <c r="G42" s="110"/>
      <c r="H42" s="110"/>
      <c r="K42"/>
      <c r="L42"/>
      <c r="M42"/>
      <c r="N42"/>
    </row>
    <row r="43" spans="1:14" s="1" customFormat="1" ht="47.25">
      <c r="A43" s="222" t="s">
        <v>262</v>
      </c>
      <c r="B43" s="298" t="s">
        <v>263</v>
      </c>
      <c r="C43" s="278" t="s">
        <v>34</v>
      </c>
      <c r="D43" s="389">
        <f>1062+1011+1168</f>
        <v>3241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22" t="s">
        <v>264</v>
      </c>
      <c r="B44" s="220" t="s">
        <v>159</v>
      </c>
      <c r="C44" s="212" t="s">
        <v>265</v>
      </c>
      <c r="D44" s="389">
        <v>917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22" t="s">
        <v>266</v>
      </c>
      <c r="B45" s="220" t="s">
        <v>149</v>
      </c>
      <c r="C45" s="212" t="s">
        <v>77</v>
      </c>
      <c r="D45" s="389">
        <v>270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22" t="s">
        <v>267</v>
      </c>
      <c r="B46" s="220" t="s">
        <v>167</v>
      </c>
      <c r="C46" s="212" t="s">
        <v>268</v>
      </c>
      <c r="D46" s="389">
        <v>28903.32</v>
      </c>
      <c r="E46" s="110"/>
      <c r="F46" s="110"/>
      <c r="G46" s="110"/>
      <c r="H46" s="110"/>
      <c r="K46"/>
      <c r="L46"/>
      <c r="M46"/>
      <c r="N46"/>
    </row>
    <row r="47" spans="1:14" s="1" customFormat="1" ht="15.75">
      <c r="A47" s="222" t="s">
        <v>269</v>
      </c>
      <c r="B47" s="220" t="s">
        <v>154</v>
      </c>
      <c r="C47" s="278" t="s">
        <v>34</v>
      </c>
      <c r="D47" s="389">
        <v>525</v>
      </c>
      <c r="E47" s="110"/>
      <c r="F47" s="110"/>
      <c r="G47" s="110"/>
      <c r="H47" s="110"/>
      <c r="K47"/>
      <c r="L47"/>
      <c r="M47"/>
      <c r="N47"/>
    </row>
    <row r="48" spans="1:14" s="1" customFormat="1" ht="15.75">
      <c r="A48" s="222" t="s">
        <v>255</v>
      </c>
      <c r="B48" s="220" t="s">
        <v>150</v>
      </c>
      <c r="C48" s="212" t="s">
        <v>256</v>
      </c>
      <c r="D48" s="389">
        <v>5400</v>
      </c>
      <c r="E48" s="110"/>
      <c r="F48" s="110"/>
      <c r="G48" s="110"/>
      <c r="H48" s="110"/>
      <c r="K48"/>
      <c r="L48"/>
      <c r="M48"/>
      <c r="N48"/>
    </row>
    <row r="49" spans="1:14" s="1" customFormat="1" ht="15.75">
      <c r="A49" s="37" t="s">
        <v>42</v>
      </c>
      <c r="B49" s="225"/>
      <c r="C49" s="226"/>
      <c r="D49" s="98">
        <f>D30+D31+D32+D33+D34+D35+D36+D37+D38+D40+D41+D42</f>
        <v>284768.202</v>
      </c>
      <c r="E49" s="113">
        <f>D49-D40-D41-D42</f>
        <v>197494.362</v>
      </c>
      <c r="F49" s="110"/>
      <c r="G49" s="110"/>
      <c r="H49" s="110"/>
      <c r="K49"/>
      <c r="L49"/>
      <c r="M49"/>
      <c r="N49"/>
    </row>
    <row r="50" spans="1:14" s="1" customFormat="1" ht="26.25">
      <c r="A50" s="158" t="s">
        <v>43</v>
      </c>
      <c r="B50" s="227" t="s">
        <v>11</v>
      </c>
      <c r="C50" s="228"/>
      <c r="D50" s="229">
        <f>C27-D49</f>
        <v>106510.053404</v>
      </c>
      <c r="E50" s="113"/>
      <c r="F50" s="110"/>
      <c r="G50" s="110"/>
      <c r="H50" s="110"/>
      <c r="K50"/>
      <c r="L50"/>
      <c r="M50"/>
      <c r="N50"/>
    </row>
    <row r="51" spans="1:14" s="1" customFormat="1" ht="15.75">
      <c r="A51" s="230" t="s">
        <v>12</v>
      </c>
      <c r="B51" s="231" t="s">
        <v>11</v>
      </c>
      <c r="C51" s="212"/>
      <c r="D51" s="196">
        <v>0</v>
      </c>
      <c r="E51" s="110"/>
      <c r="F51" s="110"/>
      <c r="G51" s="110"/>
      <c r="H51" s="110"/>
      <c r="K51"/>
      <c r="L51"/>
      <c r="M51"/>
      <c r="N51"/>
    </row>
    <row r="52" spans="1:14" s="1" customFormat="1" ht="15.75">
      <c r="A52" s="230" t="s">
        <v>13</v>
      </c>
      <c r="B52" s="231" t="s">
        <v>11</v>
      </c>
      <c r="C52" s="212"/>
      <c r="D52" s="198">
        <v>37478.7</v>
      </c>
      <c r="E52" s="110"/>
      <c r="F52" s="110"/>
      <c r="G52" s="110"/>
      <c r="H52" s="110"/>
      <c r="K52"/>
      <c r="L52"/>
      <c r="M52"/>
      <c r="N52"/>
    </row>
    <row r="53" spans="1:14" s="1" customFormat="1" ht="24" customHeight="1">
      <c r="A53" s="492" t="s">
        <v>44</v>
      </c>
      <c r="B53" s="492"/>
      <c r="C53" s="492"/>
      <c r="D53" s="492"/>
      <c r="E53" s="110"/>
      <c r="F53" s="110"/>
      <c r="G53" s="110"/>
      <c r="H53" s="110"/>
      <c r="K53"/>
      <c r="L53"/>
      <c r="M53"/>
      <c r="N53"/>
    </row>
    <row r="54" spans="1:14" s="1" customFormat="1" ht="15.75">
      <c r="A54" s="230" t="s">
        <v>45</v>
      </c>
      <c r="B54" s="211" t="s">
        <v>46</v>
      </c>
      <c r="C54" s="212"/>
      <c r="D54" s="196">
        <v>0</v>
      </c>
      <c r="E54" s="110"/>
      <c r="F54" s="110"/>
      <c r="G54" s="110"/>
      <c r="H54" s="110"/>
      <c r="K54"/>
      <c r="L54"/>
      <c r="M54"/>
      <c r="N54"/>
    </row>
    <row r="55" spans="1:14" s="1" customFormat="1" ht="15.75">
      <c r="A55" s="230" t="s">
        <v>47</v>
      </c>
      <c r="B55" s="211" t="s">
        <v>46</v>
      </c>
      <c r="C55" s="212"/>
      <c r="D55" s="196">
        <v>0</v>
      </c>
      <c r="E55" s="110"/>
      <c r="F55" s="110"/>
      <c r="G55" s="110"/>
      <c r="H55" s="110"/>
      <c r="K55"/>
      <c r="L55"/>
      <c r="M55"/>
      <c r="N55"/>
    </row>
    <row r="56" spans="1:14" s="1" customFormat="1" ht="26.25">
      <c r="A56" s="232" t="s">
        <v>48</v>
      </c>
      <c r="B56" s="211" t="s">
        <v>46</v>
      </c>
      <c r="C56" s="212"/>
      <c r="D56" s="196">
        <v>0</v>
      </c>
      <c r="E56" s="110"/>
      <c r="F56" s="110"/>
      <c r="G56" s="110"/>
      <c r="H56" s="110"/>
      <c r="K56"/>
      <c r="L56"/>
      <c r="M56"/>
      <c r="N56"/>
    </row>
    <row r="57" spans="1:14" s="1" customFormat="1" ht="15.75">
      <c r="A57" s="230" t="s">
        <v>49</v>
      </c>
      <c r="B57" s="211" t="s">
        <v>11</v>
      </c>
      <c r="C57" s="212"/>
      <c r="D57" s="196">
        <v>0</v>
      </c>
      <c r="E57" s="110"/>
      <c r="F57" s="110"/>
      <c r="G57" s="110"/>
      <c r="H57" s="110"/>
      <c r="K57"/>
      <c r="L57"/>
      <c r="M57"/>
      <c r="N57"/>
    </row>
    <row r="58" spans="1:8" ht="20.25" customHeight="1">
      <c r="A58" s="493" t="s">
        <v>50</v>
      </c>
      <c r="B58" s="493"/>
      <c r="C58" s="493"/>
      <c r="D58" s="493"/>
      <c r="E58" s="110"/>
      <c r="F58" s="110"/>
      <c r="G58" s="110"/>
      <c r="H58" s="110"/>
    </row>
    <row r="59" spans="1:8" ht="26.25">
      <c r="A59" s="232" t="s">
        <v>51</v>
      </c>
      <c r="B59" s="211" t="s">
        <v>11</v>
      </c>
      <c r="C59" s="212"/>
      <c r="D59" s="196">
        <v>0</v>
      </c>
      <c r="E59" s="110"/>
      <c r="F59" s="110"/>
      <c r="G59" s="110"/>
      <c r="H59" s="110"/>
    </row>
    <row r="60" spans="1:8" ht="15.75">
      <c r="A60" s="230" t="s">
        <v>12</v>
      </c>
      <c r="B60" s="211" t="s">
        <v>11</v>
      </c>
      <c r="C60" s="212"/>
      <c r="D60" s="196">
        <v>0</v>
      </c>
      <c r="E60" s="110"/>
      <c r="F60" s="110"/>
      <c r="G60" s="110"/>
      <c r="H60" s="110"/>
    </row>
    <row r="61" spans="1:8" ht="15.75">
      <c r="A61" s="230" t="s">
        <v>13</v>
      </c>
      <c r="B61" s="211" t="s">
        <v>11</v>
      </c>
      <c r="C61" s="212"/>
      <c r="D61" s="240"/>
      <c r="E61" s="110"/>
      <c r="F61" s="110"/>
      <c r="G61" s="110"/>
      <c r="H61" s="114"/>
    </row>
    <row r="62" spans="1:8" ht="26.25">
      <c r="A62" s="234" t="s">
        <v>52</v>
      </c>
      <c r="B62" s="211" t="s">
        <v>11</v>
      </c>
      <c r="C62" s="235"/>
      <c r="D62" s="382">
        <f>D64-D67-D68-D69-D70</f>
        <v>107508.75098699998</v>
      </c>
      <c r="E62" s="110"/>
      <c r="F62" s="110"/>
      <c r="G62" s="110"/>
      <c r="H62" s="110"/>
    </row>
    <row r="63" spans="1:10" ht="17.25" customHeight="1">
      <c r="A63" s="257" t="s">
        <v>12</v>
      </c>
      <c r="B63" s="211" t="s">
        <v>11</v>
      </c>
      <c r="C63" s="212"/>
      <c r="D63" s="196">
        <v>0</v>
      </c>
      <c r="E63" s="110"/>
      <c r="F63" s="110"/>
      <c r="G63" s="110"/>
      <c r="H63" s="110"/>
      <c r="I63" s="49"/>
      <c r="J63" s="49"/>
    </row>
    <row r="64" spans="1:14" ht="15.75">
      <c r="A64" s="238" t="s">
        <v>13</v>
      </c>
      <c r="B64" s="211" t="s">
        <v>11</v>
      </c>
      <c r="C64" s="239"/>
      <c r="D64" s="240">
        <v>88018.9</v>
      </c>
      <c r="E64" s="110"/>
      <c r="F64" s="110"/>
      <c r="G64" s="110"/>
      <c r="H64" s="110" t="s">
        <v>26</v>
      </c>
      <c r="I64" s="60"/>
      <c r="J64" s="60"/>
      <c r="K64" s="61"/>
      <c r="L64" s="61"/>
      <c r="M64" s="61"/>
      <c r="N64" s="61"/>
    </row>
    <row r="65" spans="1:14" ht="18" customHeight="1">
      <c r="A65" s="494" t="s">
        <v>53</v>
      </c>
      <c r="B65" s="494"/>
      <c r="C65" s="494"/>
      <c r="D65" s="494"/>
      <c r="E65" s="115"/>
      <c r="F65" s="116"/>
      <c r="G65" s="117"/>
      <c r="H65" s="110"/>
      <c r="I65" s="65"/>
      <c r="J65" s="65"/>
      <c r="K65" s="66"/>
      <c r="L65" s="66"/>
      <c r="M65" s="66"/>
      <c r="N65" s="66"/>
    </row>
    <row r="66" spans="1:14" ht="38.25">
      <c r="A66" s="67" t="s">
        <v>54</v>
      </c>
      <c r="B66" s="68" t="s">
        <v>55</v>
      </c>
      <c r="C66" s="159" t="s">
        <v>56</v>
      </c>
      <c r="D66" s="160" t="s">
        <v>57</v>
      </c>
      <c r="E66" s="115"/>
      <c r="F66" s="116"/>
      <c r="G66" s="117"/>
      <c r="H66" s="110"/>
      <c r="I66" s="65"/>
      <c r="J66" s="71"/>
      <c r="K66" s="66"/>
      <c r="L66" s="66"/>
      <c r="M66" s="66"/>
      <c r="N66" s="66"/>
    </row>
    <row r="67" spans="1:14" ht="15.75">
      <c r="A67" s="241" t="s">
        <v>58</v>
      </c>
      <c r="B67" s="242">
        <v>98289.65</v>
      </c>
      <c r="C67" s="440">
        <f>B67*1.0367</f>
        <v>101896.88015499999</v>
      </c>
      <c r="D67" s="441">
        <f>B67-C67</f>
        <v>-3607.2301549999975</v>
      </c>
      <c r="E67" s="118"/>
      <c r="F67" s="116"/>
      <c r="G67" s="117"/>
      <c r="H67" s="110"/>
      <c r="I67" s="65"/>
      <c r="J67" s="65"/>
      <c r="K67" s="66"/>
      <c r="L67" s="66"/>
      <c r="M67" s="66"/>
      <c r="N67" s="66"/>
    </row>
    <row r="68" spans="1:14" ht="15.75">
      <c r="A68" s="241" t="s">
        <v>59</v>
      </c>
      <c r="B68" s="242">
        <v>94096.23</v>
      </c>
      <c r="C68" s="440">
        <f>B68*1.0367</f>
        <v>97549.561641</v>
      </c>
      <c r="D68" s="441">
        <f>B68-C68</f>
        <v>-3453.331640999997</v>
      </c>
      <c r="E68" s="115"/>
      <c r="F68" s="116"/>
      <c r="G68" s="117"/>
      <c r="H68" s="110"/>
      <c r="I68" s="65"/>
      <c r="J68" s="65"/>
      <c r="K68" s="66"/>
      <c r="L68" s="66"/>
      <c r="M68" s="66"/>
      <c r="N68" s="66"/>
    </row>
    <row r="69" spans="1:14" ht="15.75">
      <c r="A69" s="241" t="s">
        <v>60</v>
      </c>
      <c r="B69" s="245">
        <v>338672.73</v>
      </c>
      <c r="C69" s="440">
        <f>B69*1.0367</f>
        <v>351102.01919099997</v>
      </c>
      <c r="D69" s="441">
        <f>B69-C69</f>
        <v>-12429.289190999989</v>
      </c>
      <c r="E69" s="115"/>
      <c r="F69" s="119"/>
      <c r="G69" s="120"/>
      <c r="H69" s="115"/>
      <c r="I69" s="65"/>
      <c r="J69" s="65"/>
      <c r="K69" s="66"/>
      <c r="L69" s="66"/>
      <c r="M69" s="66"/>
      <c r="N69" s="66"/>
    </row>
    <row r="70" spans="1:14" ht="16.5" thickBot="1">
      <c r="A70" s="264" t="s">
        <v>318</v>
      </c>
      <c r="B70" s="265">
        <v>85730.23</v>
      </c>
      <c r="C70" s="440">
        <f>B70</f>
        <v>85730.23</v>
      </c>
      <c r="D70" s="442">
        <f>B70-C70</f>
        <v>0</v>
      </c>
      <c r="E70" s="115"/>
      <c r="F70" s="119"/>
      <c r="G70" s="120"/>
      <c r="H70" s="110"/>
      <c r="I70" s="65"/>
      <c r="J70" s="65"/>
      <c r="K70" s="66"/>
      <c r="L70" s="66"/>
      <c r="M70" s="66"/>
      <c r="N70" s="66"/>
    </row>
    <row r="71" spans="1:14" ht="71.25" customHeight="1">
      <c r="A71" s="151" t="s">
        <v>62</v>
      </c>
      <c r="B71" s="152" t="s">
        <v>63</v>
      </c>
      <c r="C71" s="152" t="s">
        <v>64</v>
      </c>
      <c r="D71" s="161" t="s">
        <v>65</v>
      </c>
      <c r="E71" s="115"/>
      <c r="F71" s="119"/>
      <c r="G71" s="110"/>
      <c r="H71" s="121"/>
      <c r="I71" s="65"/>
      <c r="J71" s="65"/>
      <c r="K71" s="66"/>
      <c r="L71" s="66"/>
      <c r="M71" s="66"/>
      <c r="N71" s="66"/>
    </row>
    <row r="72" spans="1:14" ht="15.75">
      <c r="A72" s="299" t="s">
        <v>58</v>
      </c>
      <c r="B72" s="300">
        <v>119002.13</v>
      </c>
      <c r="C72" s="478">
        <f>C67</f>
        <v>101896.88015499999</v>
      </c>
      <c r="D72" s="479">
        <f>B72-C72</f>
        <v>17105.249845000013</v>
      </c>
      <c r="E72" s="115"/>
      <c r="F72" s="119"/>
      <c r="G72" s="110"/>
      <c r="H72" s="121"/>
      <c r="I72" s="65"/>
      <c r="J72" s="65" t="s">
        <v>26</v>
      </c>
      <c r="K72" s="66"/>
      <c r="L72" s="66"/>
      <c r="M72" s="66"/>
      <c r="N72" s="66"/>
    </row>
    <row r="73" spans="1:14" ht="15.75">
      <c r="A73" s="299" t="s">
        <v>59</v>
      </c>
      <c r="B73" s="300">
        <v>178854.44</v>
      </c>
      <c r="C73" s="478">
        <f>C68</f>
        <v>97549.561641</v>
      </c>
      <c r="D73" s="479">
        <f>B73-C73</f>
        <v>81304.87835900001</v>
      </c>
      <c r="E73" s="115"/>
      <c r="F73" s="119"/>
      <c r="G73" s="110"/>
      <c r="H73" s="121"/>
      <c r="I73" s="65"/>
      <c r="J73" s="65"/>
      <c r="K73" s="66"/>
      <c r="L73" s="66"/>
      <c r="M73" s="66"/>
      <c r="N73" s="66"/>
    </row>
    <row r="74" spans="1:14" ht="15.75">
      <c r="A74" s="299" t="s">
        <v>60</v>
      </c>
      <c r="B74" s="300">
        <v>285471</v>
      </c>
      <c r="C74" s="478">
        <f>C69</f>
        <v>351102.01919099997</v>
      </c>
      <c r="D74" s="479">
        <f>B74-C74</f>
        <v>-65631.01919099997</v>
      </c>
      <c r="E74" s="115"/>
      <c r="F74" s="119"/>
      <c r="G74" s="110"/>
      <c r="H74" s="121"/>
      <c r="I74" s="65"/>
      <c r="J74" s="65"/>
      <c r="K74" s="66"/>
      <c r="L74" s="66"/>
      <c r="M74" s="66"/>
      <c r="N74" s="66"/>
    </row>
    <row r="75" spans="1:14" ht="16.5" thickBot="1">
      <c r="A75" s="404" t="s">
        <v>318</v>
      </c>
      <c r="B75" s="405">
        <v>85730.23</v>
      </c>
      <c r="C75" s="445">
        <f>B75</f>
        <v>85730.23</v>
      </c>
      <c r="D75" s="480">
        <f>B75-C75</f>
        <v>0</v>
      </c>
      <c r="E75" s="115"/>
      <c r="F75" s="119"/>
      <c r="G75" s="110"/>
      <c r="H75" s="121" t="s">
        <v>26</v>
      </c>
      <c r="I75" s="65"/>
      <c r="J75" s="65"/>
      <c r="K75" s="66"/>
      <c r="L75" s="66"/>
      <c r="M75" s="66"/>
      <c r="N75" s="66"/>
    </row>
    <row r="76" spans="1:14" ht="15.75">
      <c r="A76" s="448"/>
      <c r="B76" s="403"/>
      <c r="C76" s="481"/>
      <c r="D76" s="448"/>
      <c r="E76" s="62"/>
      <c r="F76" s="74"/>
      <c r="H76" s="65"/>
      <c r="I76" s="65"/>
      <c r="J76" s="65"/>
      <c r="K76" s="66"/>
      <c r="L76" s="66"/>
      <c r="M76" s="66"/>
      <c r="N76" s="66"/>
    </row>
    <row r="77" spans="1:14" ht="26.25">
      <c r="A77" s="254" t="s">
        <v>66</v>
      </c>
      <c r="B77" s="251" t="s">
        <v>11</v>
      </c>
      <c r="C77" s="449"/>
      <c r="D77" s="450">
        <v>20972.99</v>
      </c>
      <c r="E77" s="62"/>
      <c r="F77" s="74"/>
      <c r="H77" s="65"/>
      <c r="I77" s="65"/>
      <c r="J77" s="65" t="s">
        <v>26</v>
      </c>
      <c r="K77" s="66"/>
      <c r="L77" s="66"/>
      <c r="M77" s="66"/>
      <c r="N77" s="66"/>
    </row>
    <row r="78" spans="1:14" ht="17.25" customHeight="1">
      <c r="A78" s="495" t="s">
        <v>67</v>
      </c>
      <c r="B78" s="495"/>
      <c r="C78" s="495"/>
      <c r="D78" s="495"/>
      <c r="E78" s="84"/>
      <c r="F78" s="65"/>
      <c r="H78" s="85" t="e">
        <f>E78-B18</f>
        <v>#VALUE!</v>
      </c>
      <c r="I78" s="65"/>
      <c r="J78" s="65"/>
      <c r="K78" s="66"/>
      <c r="L78" s="66"/>
      <c r="M78" s="66"/>
      <c r="N78" s="66"/>
    </row>
    <row r="79" spans="1:5" ht="21" customHeight="1">
      <c r="A79" s="87" t="s">
        <v>45</v>
      </c>
      <c r="B79" s="87" t="s">
        <v>46</v>
      </c>
      <c r="C79" s="87"/>
      <c r="D79" s="179">
        <v>0</v>
      </c>
      <c r="E79" s="89"/>
    </row>
    <row r="80" spans="1:5" ht="21" customHeight="1">
      <c r="A80" s="87" t="s">
        <v>47</v>
      </c>
      <c r="B80" s="87" t="s">
        <v>46</v>
      </c>
      <c r="C80" s="87"/>
      <c r="D80" s="179">
        <v>0</v>
      </c>
      <c r="E80" s="89"/>
    </row>
    <row r="81" spans="1:5" ht="18" customHeight="1">
      <c r="A81" s="87" t="s">
        <v>48</v>
      </c>
      <c r="B81" s="87" t="s">
        <v>46</v>
      </c>
      <c r="C81" s="87"/>
      <c r="D81" s="179">
        <v>0</v>
      </c>
      <c r="E81" s="89"/>
    </row>
    <row r="82" spans="1:5" ht="16.5" customHeight="1">
      <c r="A82" s="87" t="s">
        <v>49</v>
      </c>
      <c r="B82" s="87" t="s">
        <v>11</v>
      </c>
      <c r="C82" s="87"/>
      <c r="D82" s="179">
        <v>0</v>
      </c>
      <c r="E82" s="89"/>
    </row>
    <row r="83" spans="1:5" ht="15.75" customHeight="1">
      <c r="A83" s="489" t="s">
        <v>68</v>
      </c>
      <c r="B83" s="489"/>
      <c r="C83" s="489"/>
      <c r="D83" s="489"/>
      <c r="E83" s="89"/>
    </row>
    <row r="84" spans="1:5" ht="18.75" customHeight="1">
      <c r="A84" s="87" t="s">
        <v>69</v>
      </c>
      <c r="B84" s="87" t="s">
        <v>46</v>
      </c>
      <c r="C84" s="87"/>
      <c r="D84" s="179">
        <v>0</v>
      </c>
      <c r="E84" s="89"/>
    </row>
    <row r="85" spans="1:5" ht="21.75" customHeight="1">
      <c r="A85" s="87" t="s">
        <v>70</v>
      </c>
      <c r="B85" s="257" t="s">
        <v>46</v>
      </c>
      <c r="C85" s="302"/>
      <c r="D85" s="179">
        <v>2</v>
      </c>
      <c r="E85" s="89"/>
    </row>
    <row r="86" spans="1:5" ht="36" customHeight="1">
      <c r="A86" s="258" t="s">
        <v>71</v>
      </c>
      <c r="B86" s="87" t="s">
        <v>11</v>
      </c>
      <c r="C86" s="87"/>
      <c r="D86" s="179">
        <v>25900</v>
      </c>
      <c r="E86" s="89"/>
    </row>
    <row r="87" spans="1:4" ht="15.75">
      <c r="A87" s="259"/>
      <c r="B87" s="259"/>
      <c r="C87" s="259"/>
      <c r="D87" s="260"/>
    </row>
    <row r="88" spans="1:14" s="1" customFormat="1" ht="12.75">
      <c r="A88" s="180"/>
      <c r="B88" s="180"/>
      <c r="C88" s="180"/>
      <c r="D88" s="180"/>
      <c r="H88" s="1" t="s">
        <v>26</v>
      </c>
      <c r="K88"/>
      <c r="L88"/>
      <c r="M88"/>
      <c r="N88"/>
    </row>
    <row r="89" spans="1:14" s="1" customFormat="1" ht="12.75">
      <c r="A89" s="180" t="s">
        <v>72</v>
      </c>
      <c r="B89" s="180"/>
      <c r="C89" s="180" t="s">
        <v>205</v>
      </c>
      <c r="D89" s="180"/>
      <c r="K89"/>
      <c r="L89"/>
      <c r="M89"/>
      <c r="N89"/>
    </row>
    <row r="90" spans="1:14" s="1" customFormat="1" ht="12.75">
      <c r="A90" s="180"/>
      <c r="B90" s="180"/>
      <c r="C90" s="180"/>
      <c r="D90" s="180"/>
      <c r="H90" s="1" t="s">
        <v>26</v>
      </c>
      <c r="K90"/>
      <c r="L90"/>
      <c r="M90"/>
      <c r="N90"/>
    </row>
    <row r="91" spans="1:14" s="1" customFormat="1" ht="12.75">
      <c r="A91" s="180" t="s">
        <v>73</v>
      </c>
      <c r="B91" s="180"/>
      <c r="C91" s="180"/>
      <c r="D91" s="180"/>
      <c r="K91"/>
      <c r="L91"/>
      <c r="M91"/>
      <c r="N91"/>
    </row>
    <row r="92" spans="1:4" ht="12.75">
      <c r="A92" s="180"/>
      <c r="B92" s="180"/>
      <c r="C92" s="180"/>
      <c r="D92" s="180"/>
    </row>
    <row r="95" spans="1:14" s="1" customFormat="1" ht="12.75">
      <c r="A95"/>
      <c r="B95"/>
      <c r="C95"/>
      <c r="D95"/>
      <c r="E95" s="1" t="s">
        <v>26</v>
      </c>
      <c r="K95"/>
      <c r="L95"/>
      <c r="M95"/>
      <c r="N95"/>
    </row>
  </sheetData>
  <sheetProtection selectLockedCells="1" selectUnlockedCells="1"/>
  <mergeCells count="13">
    <mergeCell ref="A83:D83"/>
    <mergeCell ref="A14:D14"/>
    <mergeCell ref="A28:D28"/>
    <mergeCell ref="A53:D53"/>
    <mergeCell ref="A58:D58"/>
    <mergeCell ref="A65:D65"/>
    <mergeCell ref="A78:D7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112" zoomScaleNormal="112" zoomScalePageLayoutView="0" workbookViewId="0" topLeftCell="A16">
      <selection activeCell="C32" sqref="C32"/>
    </sheetView>
  </sheetViews>
  <sheetFormatPr defaultColWidth="11.57421875" defaultRowHeight="12.75"/>
  <cols>
    <col min="1" max="1" width="51.57421875" style="0" customWidth="1"/>
    <col min="2" max="2" width="13.7109375" style="0" customWidth="1"/>
    <col min="3" max="3" width="24.421875" style="0" customWidth="1"/>
    <col min="4" max="4" width="20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90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30" customHeight="1">
      <c r="A7" s="488" t="s">
        <v>2</v>
      </c>
      <c r="B7" s="488"/>
      <c r="C7" s="488"/>
      <c r="D7" s="488"/>
    </row>
    <row r="8" spans="1:4" ht="19.5" customHeight="1">
      <c r="A8" s="261" t="s">
        <v>163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5" ht="12.75">
      <c r="A10" s="189">
        <v>1</v>
      </c>
      <c r="B10" s="189">
        <v>2</v>
      </c>
      <c r="C10" s="189">
        <v>3</v>
      </c>
      <c r="D10" s="190">
        <v>4</v>
      </c>
      <c r="E10" s="110"/>
    </row>
    <row r="11" spans="1:5" ht="12.75">
      <c r="A11" s="20" t="s">
        <v>6</v>
      </c>
      <c r="B11" s="191"/>
      <c r="C11" s="192" t="s">
        <v>242</v>
      </c>
      <c r="D11" s="193"/>
      <c r="E11" s="110"/>
    </row>
    <row r="12" spans="1:5" ht="12.75">
      <c r="A12" s="20" t="s">
        <v>7</v>
      </c>
      <c r="B12" s="191"/>
      <c r="C12" s="192" t="s">
        <v>243</v>
      </c>
      <c r="D12" s="193"/>
      <c r="E12" s="110"/>
    </row>
    <row r="13" spans="1:5" ht="12.75">
      <c r="A13" s="20" t="s">
        <v>8</v>
      </c>
      <c r="B13" s="191"/>
      <c r="C13" s="192" t="s">
        <v>244</v>
      </c>
      <c r="D13" s="193"/>
      <c r="E13" s="110"/>
    </row>
    <row r="14" spans="1:5" ht="31.5" customHeight="1">
      <c r="A14" s="490" t="s">
        <v>9</v>
      </c>
      <c r="B14" s="490"/>
      <c r="C14" s="490"/>
      <c r="D14" s="490"/>
      <c r="E14" s="110"/>
    </row>
    <row r="15" spans="1:5" ht="39">
      <c r="A15" s="17" t="s">
        <v>10</v>
      </c>
      <c r="B15" s="194" t="s">
        <v>11</v>
      </c>
      <c r="C15" s="195">
        <v>46446.99</v>
      </c>
      <c r="D15" s="196"/>
      <c r="E15" s="110"/>
    </row>
    <row r="16" spans="1:5" ht="15.75">
      <c r="A16" s="20" t="s">
        <v>12</v>
      </c>
      <c r="B16" s="194" t="s">
        <v>11</v>
      </c>
      <c r="C16" s="195">
        <v>0</v>
      </c>
      <c r="D16" s="196"/>
      <c r="E16" s="110"/>
    </row>
    <row r="17" spans="1:5" ht="15.75">
      <c r="A17" s="20" t="s">
        <v>13</v>
      </c>
      <c r="B17" s="194" t="s">
        <v>11</v>
      </c>
      <c r="C17" s="197">
        <v>93014.7</v>
      </c>
      <c r="D17" s="198"/>
      <c r="E17" s="110"/>
    </row>
    <row r="18" spans="1:8" ht="31.5" customHeight="1">
      <c r="A18" s="17" t="s">
        <v>14</v>
      </c>
      <c r="B18" s="194" t="s">
        <v>11</v>
      </c>
      <c r="C18" s="197">
        <f>240970.5+24955.92</f>
        <v>265926.42</v>
      </c>
      <c r="D18" s="198"/>
      <c r="E18" s="111">
        <f>C18-C20</f>
        <v>221405.808</v>
      </c>
      <c r="F18" s="110"/>
      <c r="G18" s="110"/>
      <c r="H18" s="110"/>
    </row>
    <row r="19" spans="1:8" ht="15.75">
      <c r="A19" s="20" t="s">
        <v>15</v>
      </c>
      <c r="B19" s="194" t="s">
        <v>11</v>
      </c>
      <c r="C19" s="197">
        <f>C18-C20-C21</f>
        <v>137754.97199999998</v>
      </c>
      <c r="D19" s="198"/>
      <c r="E19" s="111">
        <f>E18-E47</f>
        <v>24955.921999999933</v>
      </c>
      <c r="F19" s="110"/>
      <c r="G19" s="110"/>
      <c r="H19" s="385"/>
    </row>
    <row r="20" spans="1:8" ht="15.75">
      <c r="A20" s="20" t="s">
        <v>16</v>
      </c>
      <c r="B20" s="194" t="s">
        <v>11</v>
      </c>
      <c r="C20" s="197">
        <f>1663.7*12*2.23</f>
        <v>44520.612</v>
      </c>
      <c r="D20" s="198"/>
      <c r="E20" s="112"/>
      <c r="F20" s="110"/>
      <c r="G20" s="110"/>
      <c r="H20" s="110"/>
    </row>
    <row r="21" spans="1:8" ht="15.75">
      <c r="A21" s="20" t="s">
        <v>17</v>
      </c>
      <c r="B21" s="194" t="s">
        <v>11</v>
      </c>
      <c r="C21" s="199">
        <f>1663.7*4.19*12</f>
        <v>83650.83600000001</v>
      </c>
      <c r="D21" s="198"/>
      <c r="E21" s="110"/>
      <c r="F21" s="110"/>
      <c r="G21" s="110"/>
      <c r="H21" s="110"/>
    </row>
    <row r="22" spans="1:5" ht="15.75">
      <c r="A22" s="20" t="s">
        <v>18</v>
      </c>
      <c r="B22" s="194" t="s">
        <v>11</v>
      </c>
      <c r="C22" s="197">
        <f>C23+C24+C25+C26</f>
        <v>248348.68363799996</v>
      </c>
      <c r="D22" s="198" t="s">
        <v>19</v>
      </c>
      <c r="E22" s="111"/>
    </row>
    <row r="23" spans="1:5" ht="15.75">
      <c r="A23" s="20" t="s">
        <v>20</v>
      </c>
      <c r="B23" s="194" t="s">
        <v>11</v>
      </c>
      <c r="C23" s="197">
        <f>C18*0.9339</f>
        <v>248348.68363799996</v>
      </c>
      <c r="D23" s="198"/>
      <c r="E23" s="110"/>
    </row>
    <row r="24" spans="1:8" ht="15.75">
      <c r="A24" s="20" t="s">
        <v>21</v>
      </c>
      <c r="B24" s="194" t="s">
        <v>11</v>
      </c>
      <c r="C24" s="197">
        <v>0</v>
      </c>
      <c r="D24" s="200">
        <v>65.21</v>
      </c>
      <c r="E24" s="112"/>
      <c r="H24" s="1" t="s">
        <v>22</v>
      </c>
    </row>
    <row r="25" spans="1:5" ht="15.75">
      <c r="A25" s="20" t="s">
        <v>23</v>
      </c>
      <c r="B25" s="194" t="s">
        <v>11</v>
      </c>
      <c r="C25" s="197">
        <v>0</v>
      </c>
      <c r="D25" s="200">
        <v>119.63</v>
      </c>
      <c r="E25" s="112"/>
    </row>
    <row r="26" spans="1:5" ht="15.75">
      <c r="A26" s="191" t="s">
        <v>24</v>
      </c>
      <c r="B26" s="194" t="s">
        <v>11</v>
      </c>
      <c r="C26" s="197">
        <v>0</v>
      </c>
      <c r="D26" s="200"/>
      <c r="E26" s="112"/>
    </row>
    <row r="27" spans="1:5" ht="15.75">
      <c r="A27" s="20" t="s">
        <v>25</v>
      </c>
      <c r="B27" s="194" t="s">
        <v>11</v>
      </c>
      <c r="C27" s="197">
        <f>C15+C22</f>
        <v>294795.673638</v>
      </c>
      <c r="D27" s="198" t="s">
        <v>26</v>
      </c>
      <c r="E27" s="112"/>
    </row>
    <row r="28" spans="1:5" ht="35.25" customHeight="1">
      <c r="A28" s="491" t="s">
        <v>27</v>
      </c>
      <c r="B28" s="491"/>
      <c r="C28" s="491"/>
      <c r="D28" s="491"/>
      <c r="E28" s="110"/>
    </row>
    <row r="29" spans="1:5" ht="51">
      <c r="A29" s="274" t="s">
        <v>28</v>
      </c>
      <c r="B29" s="275" t="s">
        <v>29</v>
      </c>
      <c r="C29" s="204" t="s">
        <v>30</v>
      </c>
      <c r="D29" s="276" t="s">
        <v>31</v>
      </c>
      <c r="E29" s="110"/>
    </row>
    <row r="30" spans="1:5" ht="31.5">
      <c r="A30" s="206" t="s">
        <v>32</v>
      </c>
      <c r="B30" s="207" t="s">
        <v>33</v>
      </c>
      <c r="C30" s="401" t="s">
        <v>324</v>
      </c>
      <c r="D30" s="209">
        <f>0.32*12*1663.7</f>
        <v>6388.608</v>
      </c>
      <c r="E30" s="110"/>
    </row>
    <row r="31" spans="1:5" ht="15.75">
      <c r="A31" s="210" t="s">
        <v>75</v>
      </c>
      <c r="B31" s="211" t="s">
        <v>76</v>
      </c>
      <c r="C31" s="212" t="s">
        <v>34</v>
      </c>
      <c r="D31" s="213">
        <f>2.4*12*1663.7</f>
        <v>47914.56</v>
      </c>
      <c r="E31" s="110"/>
    </row>
    <row r="32" spans="1:5" ht="15.75">
      <c r="A32" s="210" t="s">
        <v>319</v>
      </c>
      <c r="B32" s="211" t="s">
        <v>78</v>
      </c>
      <c r="C32" s="212" t="s">
        <v>325</v>
      </c>
      <c r="D32" s="213">
        <f>1663.7*12*0.15</f>
        <v>2994.6600000000003</v>
      </c>
      <c r="E32" s="110"/>
    </row>
    <row r="33" spans="1:5" ht="15.75">
      <c r="A33" s="210" t="s">
        <v>36</v>
      </c>
      <c r="B33" s="211" t="s">
        <v>78</v>
      </c>
      <c r="C33" s="212" t="s">
        <v>37</v>
      </c>
      <c r="D33" s="213">
        <f>1663.7*12*0.48</f>
        <v>9582.912</v>
      </c>
      <c r="E33" s="110"/>
    </row>
    <row r="34" spans="1:5" ht="15.75">
      <c r="A34" s="210" t="s">
        <v>79</v>
      </c>
      <c r="B34" s="369" t="s">
        <v>33</v>
      </c>
      <c r="C34" s="212" t="s">
        <v>34</v>
      </c>
      <c r="D34" s="213">
        <f>1.04*12*1663.7</f>
        <v>20762.976000000002</v>
      </c>
      <c r="E34" s="110"/>
    </row>
    <row r="35" spans="1:5" ht="15.75">
      <c r="A35" s="210" t="s">
        <v>91</v>
      </c>
      <c r="B35" s="211" t="s">
        <v>33</v>
      </c>
      <c r="C35" s="212" t="s">
        <v>34</v>
      </c>
      <c r="D35" s="214">
        <f>0.44*12*1663.7</f>
        <v>8784.336000000001</v>
      </c>
      <c r="E35" s="110"/>
    </row>
    <row r="36" spans="1:5" ht="31.5">
      <c r="A36" s="210" t="s">
        <v>81</v>
      </c>
      <c r="B36" s="216" t="s">
        <v>82</v>
      </c>
      <c r="C36" s="212" t="s">
        <v>34</v>
      </c>
      <c r="D36" s="213">
        <f>(0.27+0.4)*6*1663.7</f>
        <v>6688.0740000000005</v>
      </c>
      <c r="E36" s="110"/>
    </row>
    <row r="37" spans="1:5" ht="15.75">
      <c r="A37" s="210" t="s">
        <v>38</v>
      </c>
      <c r="B37" s="211" t="s">
        <v>35</v>
      </c>
      <c r="C37" s="368" t="s">
        <v>237</v>
      </c>
      <c r="D37" s="213">
        <f>4.19*1663.7*12</f>
        <v>83650.83600000001</v>
      </c>
      <c r="E37" s="110"/>
    </row>
    <row r="38" spans="1:5" ht="15.75">
      <c r="A38" s="210" t="s">
        <v>85</v>
      </c>
      <c r="B38" s="369" t="s">
        <v>238</v>
      </c>
      <c r="C38" s="212" t="s">
        <v>37</v>
      </c>
      <c r="D38" s="402">
        <f>1663.7*(0.49+0.48)*6+0.19</f>
        <v>9682.924</v>
      </c>
      <c r="E38" s="110"/>
    </row>
    <row r="39" spans="1:5" ht="15.75">
      <c r="A39" s="210" t="s">
        <v>226</v>
      </c>
      <c r="B39" s="211"/>
      <c r="C39" s="278"/>
      <c r="D39" s="213"/>
      <c r="E39" s="110"/>
    </row>
    <row r="40" spans="1:5" ht="26.25" customHeight="1">
      <c r="A40" s="210" t="s">
        <v>223</v>
      </c>
      <c r="B40" s="211" t="s">
        <v>35</v>
      </c>
      <c r="C40" s="278" t="s">
        <v>220</v>
      </c>
      <c r="D40" s="213">
        <v>16274.85</v>
      </c>
      <c r="E40" s="110"/>
    </row>
    <row r="41" spans="1:5" ht="15.75">
      <c r="A41" s="210" t="s">
        <v>221</v>
      </c>
      <c r="B41" s="211" t="s">
        <v>35</v>
      </c>
      <c r="C41" s="278" t="s">
        <v>222</v>
      </c>
      <c r="D41" s="213">
        <v>24758.53</v>
      </c>
      <c r="E41" s="110"/>
    </row>
    <row r="42" spans="1:14" s="1" customFormat="1" ht="78.75">
      <c r="A42" s="263" t="s">
        <v>216</v>
      </c>
      <c r="B42" s="218" t="s">
        <v>41</v>
      </c>
      <c r="C42" s="224"/>
      <c r="D42" s="387">
        <f>D43+D44+D45+D46</f>
        <v>31158</v>
      </c>
      <c r="E42" s="110"/>
      <c r="K42"/>
      <c r="L42"/>
      <c r="M42"/>
      <c r="N42"/>
    </row>
    <row r="43" spans="1:14" s="1" customFormat="1" ht="31.5">
      <c r="A43" s="223" t="s">
        <v>266</v>
      </c>
      <c r="B43" s="220" t="s">
        <v>149</v>
      </c>
      <c r="C43" s="224" t="s">
        <v>77</v>
      </c>
      <c r="D43" s="178">
        <v>270</v>
      </c>
      <c r="E43" s="110"/>
      <c r="F43" s="110"/>
      <c r="G43" s="110"/>
      <c r="H43" s="110"/>
      <c r="K43"/>
      <c r="L43"/>
      <c r="M43"/>
      <c r="N43"/>
    </row>
    <row r="44" spans="1:14" s="1" customFormat="1" ht="15.75">
      <c r="A44" s="223" t="s">
        <v>270</v>
      </c>
      <c r="B44" s="220" t="s">
        <v>156</v>
      </c>
      <c r="C44" s="307" t="s">
        <v>271</v>
      </c>
      <c r="D44" s="178">
        <v>7600</v>
      </c>
      <c r="E44" s="110"/>
      <c r="F44" s="110"/>
      <c r="G44" s="110"/>
      <c r="H44" s="110"/>
      <c r="K44"/>
      <c r="L44"/>
      <c r="M44"/>
      <c r="N44"/>
    </row>
    <row r="45" spans="1:14" s="1" customFormat="1" ht="15.75">
      <c r="A45" s="223" t="s">
        <v>272</v>
      </c>
      <c r="B45" s="220" t="s">
        <v>156</v>
      </c>
      <c r="C45" s="224" t="s">
        <v>273</v>
      </c>
      <c r="D45" s="178">
        <v>18157</v>
      </c>
      <c r="E45" s="110"/>
      <c r="F45" s="110"/>
      <c r="G45" s="110"/>
      <c r="H45" s="110"/>
      <c r="K45"/>
      <c r="L45"/>
      <c r="M45"/>
      <c r="N45"/>
    </row>
    <row r="46" spans="1:14" s="1" customFormat="1" ht="15.75">
      <c r="A46" s="223" t="s">
        <v>274</v>
      </c>
      <c r="B46" s="220" t="s">
        <v>157</v>
      </c>
      <c r="C46" s="224" t="s">
        <v>249</v>
      </c>
      <c r="D46" s="178">
        <v>5131</v>
      </c>
      <c r="E46" s="110"/>
      <c r="F46" s="110"/>
      <c r="G46" s="110"/>
      <c r="H46" s="110"/>
      <c r="K46"/>
      <c r="L46"/>
      <c r="M46"/>
      <c r="N46"/>
    </row>
    <row r="47" spans="1:14" s="1" customFormat="1" ht="15.75">
      <c r="A47" s="37" t="s">
        <v>42</v>
      </c>
      <c r="B47" s="225"/>
      <c r="C47" s="226"/>
      <c r="D47" s="98">
        <f>D30+D31+D32+D33+D34+D35+D36+D37+D38+D40+D41+D42</f>
        <v>268641.26600000006</v>
      </c>
      <c r="E47" s="113">
        <f>D47-D40-D41-D42</f>
        <v>196449.88600000006</v>
      </c>
      <c r="F47" s="110"/>
      <c r="G47" s="110"/>
      <c r="H47" s="110"/>
      <c r="K47"/>
      <c r="L47"/>
      <c r="M47"/>
      <c r="N47"/>
    </row>
    <row r="48" spans="1:14" s="1" customFormat="1" ht="15.75">
      <c r="A48" s="40" t="s">
        <v>43</v>
      </c>
      <c r="B48" s="227" t="s">
        <v>11</v>
      </c>
      <c r="C48" s="228"/>
      <c r="D48" s="229">
        <f>C27-D47</f>
        <v>26154.407637999917</v>
      </c>
      <c r="E48" s="113"/>
      <c r="F48" s="110"/>
      <c r="G48" s="110"/>
      <c r="H48" s="110"/>
      <c r="K48"/>
      <c r="L48"/>
      <c r="M48"/>
      <c r="N48"/>
    </row>
    <row r="49" spans="1:14" s="1" customFormat="1" ht="15.75">
      <c r="A49" s="230" t="s">
        <v>12</v>
      </c>
      <c r="B49" s="231" t="s">
        <v>11</v>
      </c>
      <c r="C49" s="212"/>
      <c r="D49" s="196">
        <v>0</v>
      </c>
      <c r="E49" s="110"/>
      <c r="F49" s="110"/>
      <c r="G49" s="110"/>
      <c r="H49" s="110"/>
      <c r="K49"/>
      <c r="L49"/>
      <c r="M49"/>
      <c r="N49"/>
    </row>
    <row r="50" spans="1:14" s="1" customFormat="1" ht="15.75">
      <c r="A50" s="230" t="s">
        <v>13</v>
      </c>
      <c r="B50" s="231" t="s">
        <v>11</v>
      </c>
      <c r="C50" s="212"/>
      <c r="D50" s="198">
        <v>103591.9</v>
      </c>
      <c r="E50" s="110"/>
      <c r="F50" s="110"/>
      <c r="G50" s="110"/>
      <c r="H50" s="110"/>
      <c r="K50"/>
      <c r="L50"/>
      <c r="M50"/>
      <c r="N50"/>
    </row>
    <row r="51" spans="1:14" s="1" customFormat="1" ht="24" customHeight="1">
      <c r="A51" s="492" t="s">
        <v>44</v>
      </c>
      <c r="B51" s="492"/>
      <c r="C51" s="492"/>
      <c r="D51" s="492"/>
      <c r="E51" s="110"/>
      <c r="F51" s="110"/>
      <c r="G51" s="110"/>
      <c r="H51" s="110"/>
      <c r="K51"/>
      <c r="L51"/>
      <c r="M51"/>
      <c r="N51"/>
    </row>
    <row r="52" spans="1:14" s="1" customFormat="1" ht="15.75">
      <c r="A52" s="230" t="s">
        <v>45</v>
      </c>
      <c r="B52" s="211" t="s">
        <v>46</v>
      </c>
      <c r="C52" s="212"/>
      <c r="D52" s="196">
        <v>0</v>
      </c>
      <c r="E52" s="110"/>
      <c r="F52" s="110"/>
      <c r="G52" s="110"/>
      <c r="H52" s="110"/>
      <c r="K52"/>
      <c r="L52"/>
      <c r="M52"/>
      <c r="N52"/>
    </row>
    <row r="53" spans="1:14" s="1" customFormat="1" ht="15.75">
      <c r="A53" s="230" t="s">
        <v>47</v>
      </c>
      <c r="B53" s="211" t="s">
        <v>46</v>
      </c>
      <c r="C53" s="212"/>
      <c r="D53" s="196">
        <v>0</v>
      </c>
      <c r="E53" s="110"/>
      <c r="F53" s="110"/>
      <c r="G53" s="110"/>
      <c r="H53" s="110"/>
      <c r="K53"/>
      <c r="L53"/>
      <c r="M53"/>
      <c r="N53"/>
    </row>
    <row r="54" spans="1:14" s="1" customFormat="1" ht="26.25">
      <c r="A54" s="232" t="s">
        <v>48</v>
      </c>
      <c r="B54" s="211" t="s">
        <v>46</v>
      </c>
      <c r="C54" s="212"/>
      <c r="D54" s="196">
        <v>0</v>
      </c>
      <c r="E54" s="110"/>
      <c r="F54" s="110"/>
      <c r="G54" s="110"/>
      <c r="H54" s="110"/>
      <c r="K54"/>
      <c r="L54"/>
      <c r="M54"/>
      <c r="N54"/>
    </row>
    <row r="55" spans="1:14" s="1" customFormat="1" ht="15.75">
      <c r="A55" s="230" t="s">
        <v>49</v>
      </c>
      <c r="B55" s="211" t="s">
        <v>11</v>
      </c>
      <c r="C55" s="212"/>
      <c r="D55" s="196">
        <v>0</v>
      </c>
      <c r="E55" s="110"/>
      <c r="F55" s="110"/>
      <c r="G55" s="110"/>
      <c r="H55" s="110"/>
      <c r="K55"/>
      <c r="L55"/>
      <c r="M55"/>
      <c r="N55"/>
    </row>
    <row r="56" spans="1:8" ht="20.25" customHeight="1">
      <c r="A56" s="493" t="s">
        <v>50</v>
      </c>
      <c r="B56" s="493"/>
      <c r="C56" s="493"/>
      <c r="D56" s="493"/>
      <c r="E56" s="110"/>
      <c r="F56" s="110"/>
      <c r="G56" s="110"/>
      <c r="H56" s="110"/>
    </row>
    <row r="57" spans="1:8" ht="26.25">
      <c r="A57" s="232" t="s">
        <v>51</v>
      </c>
      <c r="B57" s="211" t="s">
        <v>11</v>
      </c>
      <c r="C57" s="212"/>
      <c r="D57" s="196">
        <v>0</v>
      </c>
      <c r="E57" s="110"/>
      <c r="F57" s="110"/>
      <c r="G57" s="110"/>
      <c r="H57" s="110"/>
    </row>
    <row r="58" spans="1:8" ht="15.75">
      <c r="A58" s="230" t="s">
        <v>12</v>
      </c>
      <c r="B58" s="211" t="s">
        <v>11</v>
      </c>
      <c r="C58" s="212"/>
      <c r="D58" s="196">
        <v>0</v>
      </c>
      <c r="E58" s="110"/>
      <c r="F58" s="110"/>
      <c r="G58" s="110"/>
      <c r="H58" s="110"/>
    </row>
    <row r="59" spans="1:8" ht="15.75">
      <c r="A59" s="230" t="s">
        <v>13</v>
      </c>
      <c r="B59" s="211" t="s">
        <v>11</v>
      </c>
      <c r="C59" s="212"/>
      <c r="D59" s="240">
        <f>D62-D65-D66-D67-D68</f>
        <v>206706.81601199994</v>
      </c>
      <c r="E59" s="110"/>
      <c r="F59" s="110"/>
      <c r="G59" s="110"/>
      <c r="H59" s="114"/>
    </row>
    <row r="60" spans="1:8" ht="26.25">
      <c r="A60" s="234" t="s">
        <v>52</v>
      </c>
      <c r="B60" s="211" t="s">
        <v>11</v>
      </c>
      <c r="C60" s="235"/>
      <c r="D60" s="236">
        <v>0</v>
      </c>
      <c r="E60" s="110"/>
      <c r="F60" s="110"/>
      <c r="G60" s="110"/>
      <c r="H60" s="110"/>
    </row>
    <row r="61" spans="1:10" ht="17.25" customHeight="1">
      <c r="A61" s="257" t="s">
        <v>12</v>
      </c>
      <c r="B61" s="211" t="s">
        <v>11</v>
      </c>
      <c r="C61" s="212"/>
      <c r="D61" s="196">
        <v>0</v>
      </c>
      <c r="E61" s="110"/>
      <c r="F61" s="110"/>
      <c r="G61" s="110"/>
      <c r="H61" s="110"/>
      <c r="I61" s="49"/>
      <c r="J61" s="49"/>
    </row>
    <row r="62" spans="1:14" ht="15.75">
      <c r="A62" s="238" t="s">
        <v>13</v>
      </c>
      <c r="B62" s="211" t="s">
        <v>11</v>
      </c>
      <c r="C62" s="239"/>
      <c r="D62" s="240">
        <v>248949.15</v>
      </c>
      <c r="E62" s="110"/>
      <c r="F62" s="110"/>
      <c r="G62" s="110"/>
      <c r="H62" s="110" t="s">
        <v>26</v>
      </c>
      <c r="I62" s="60"/>
      <c r="J62" s="60"/>
      <c r="K62" s="61"/>
      <c r="L62" s="61"/>
      <c r="M62" s="61"/>
      <c r="N62" s="61"/>
    </row>
    <row r="63" spans="1:14" ht="18" customHeight="1">
      <c r="A63" s="494" t="s">
        <v>53</v>
      </c>
      <c r="B63" s="494"/>
      <c r="C63" s="494"/>
      <c r="D63" s="494"/>
      <c r="E63" s="115"/>
      <c r="F63" s="116"/>
      <c r="G63" s="117"/>
      <c r="H63" s="110"/>
      <c r="I63" s="65"/>
      <c r="J63" s="65"/>
      <c r="K63" s="66"/>
      <c r="L63" s="66"/>
      <c r="M63" s="66"/>
      <c r="N63" s="66"/>
    </row>
    <row r="64" spans="1:14" ht="38.25">
      <c r="A64" s="67" t="s">
        <v>54</v>
      </c>
      <c r="B64" s="68" t="s">
        <v>55</v>
      </c>
      <c r="C64" s="159" t="s">
        <v>56</v>
      </c>
      <c r="D64" s="160" t="s">
        <v>57</v>
      </c>
      <c r="E64" s="115"/>
      <c r="F64" s="116"/>
      <c r="G64" s="117"/>
      <c r="H64" s="110"/>
      <c r="I64" s="65"/>
      <c r="J64" s="71"/>
      <c r="K64" s="66"/>
      <c r="L64" s="66"/>
      <c r="M64" s="66"/>
      <c r="N64" s="66"/>
    </row>
    <row r="65" spans="1:14" ht="15.75">
      <c r="A65" s="241" t="s">
        <v>58</v>
      </c>
      <c r="B65" s="242">
        <v>135151.5</v>
      </c>
      <c r="C65" s="440">
        <f>B65*0.9339</f>
        <v>126217.98585</v>
      </c>
      <c r="D65" s="441">
        <f>B65-C65</f>
        <v>8933.514150000003</v>
      </c>
      <c r="E65" s="118"/>
      <c r="F65" s="116"/>
      <c r="G65" s="117"/>
      <c r="H65" s="110"/>
      <c r="I65" s="65"/>
      <c r="J65" s="65"/>
      <c r="K65" s="66"/>
      <c r="L65" s="66"/>
      <c r="M65" s="66"/>
      <c r="N65" s="66"/>
    </row>
    <row r="66" spans="1:14" ht="15.75">
      <c r="A66" s="241" t="s">
        <v>59</v>
      </c>
      <c r="B66" s="242">
        <v>143664</v>
      </c>
      <c r="C66" s="440">
        <f>B66*0.9339</f>
        <v>134167.80959999998</v>
      </c>
      <c r="D66" s="441">
        <f>B66-C66</f>
        <v>9496.190400000021</v>
      </c>
      <c r="E66" s="115"/>
      <c r="F66" s="116"/>
      <c r="G66" s="117"/>
      <c r="H66" s="110"/>
      <c r="I66" s="65"/>
      <c r="J66" s="65"/>
      <c r="K66" s="66"/>
      <c r="L66" s="66"/>
      <c r="M66" s="66"/>
      <c r="N66" s="66"/>
    </row>
    <row r="67" spans="1:14" ht="15.75">
      <c r="A67" s="241" t="s">
        <v>318</v>
      </c>
      <c r="B67" s="245">
        <v>105926.76</v>
      </c>
      <c r="C67" s="440">
        <f>B67*0.9339</f>
        <v>98925.00116399999</v>
      </c>
      <c r="D67" s="441">
        <f>B67-C67</f>
        <v>7001.758836000008</v>
      </c>
      <c r="E67" s="115"/>
      <c r="F67" s="119"/>
      <c r="G67" s="120"/>
      <c r="H67" s="115"/>
      <c r="I67" s="65"/>
      <c r="J67" s="65"/>
      <c r="K67" s="66"/>
      <c r="L67" s="66"/>
      <c r="M67" s="66"/>
      <c r="N67" s="66"/>
    </row>
    <row r="68" spans="1:14" ht="16.5" thickBot="1">
      <c r="A68" s="264" t="s">
        <v>61</v>
      </c>
      <c r="B68" s="265">
        <v>254324.82</v>
      </c>
      <c r="C68" s="440">
        <f>B68*0.9339</f>
        <v>237513.949398</v>
      </c>
      <c r="D68" s="442">
        <f>B68-C68</f>
        <v>16810.87060200001</v>
      </c>
      <c r="E68" s="115"/>
      <c r="F68" s="119"/>
      <c r="G68" s="120"/>
      <c r="H68" s="110"/>
      <c r="I68" s="65"/>
      <c r="J68" s="65"/>
      <c r="K68" s="66"/>
      <c r="L68" s="66"/>
      <c r="M68" s="66"/>
      <c r="N68" s="66"/>
    </row>
    <row r="69" spans="1:14" ht="63.75">
      <c r="A69" s="130" t="s">
        <v>62</v>
      </c>
      <c r="B69" s="131" t="s">
        <v>63</v>
      </c>
      <c r="C69" s="131" t="s">
        <v>64</v>
      </c>
      <c r="D69" s="161" t="s">
        <v>65</v>
      </c>
      <c r="E69" s="115"/>
      <c r="F69" s="119"/>
      <c r="G69" s="110"/>
      <c r="H69" s="121"/>
      <c r="I69" s="65"/>
      <c r="J69" s="65"/>
      <c r="K69" s="66"/>
      <c r="L69" s="66"/>
      <c r="M69" s="66"/>
      <c r="N69" s="66"/>
    </row>
    <row r="70" spans="1:14" ht="15.75">
      <c r="A70" s="268" t="s">
        <v>58</v>
      </c>
      <c r="B70" s="303">
        <v>141183.72</v>
      </c>
      <c r="C70" s="440">
        <f>C65</f>
        <v>126217.98585</v>
      </c>
      <c r="D70" s="444">
        <f>B70-C70</f>
        <v>14965.734150000004</v>
      </c>
      <c r="E70" s="115"/>
      <c r="F70" s="119"/>
      <c r="G70" s="110"/>
      <c r="H70" s="121"/>
      <c r="I70" s="65"/>
      <c r="J70" s="65" t="s">
        <v>26</v>
      </c>
      <c r="K70" s="66"/>
      <c r="L70" s="66"/>
      <c r="M70" s="66"/>
      <c r="N70" s="66"/>
    </row>
    <row r="71" spans="1:14" ht="15.75">
      <c r="A71" s="268" t="s">
        <v>59</v>
      </c>
      <c r="B71" s="303">
        <v>178854.44</v>
      </c>
      <c r="C71" s="440">
        <f>C66</f>
        <v>134167.80959999998</v>
      </c>
      <c r="D71" s="444">
        <f>B71-C71</f>
        <v>44686.630400000024</v>
      </c>
      <c r="E71" s="115"/>
      <c r="F71" s="119"/>
      <c r="G71" s="110"/>
      <c r="H71" s="121"/>
      <c r="I71" s="65"/>
      <c r="J71" s="65"/>
      <c r="K71" s="66"/>
      <c r="L71" s="66"/>
      <c r="M71" s="66"/>
      <c r="N71" s="66"/>
    </row>
    <row r="72" spans="1:14" ht="15.75">
      <c r="A72" s="268" t="s">
        <v>318</v>
      </c>
      <c r="B72" s="303">
        <v>105926.76</v>
      </c>
      <c r="C72" s="440">
        <f>B72</f>
        <v>105926.76</v>
      </c>
      <c r="D72" s="444">
        <f>B72-C72</f>
        <v>0</v>
      </c>
      <c r="E72" s="115"/>
      <c r="F72" s="119"/>
      <c r="G72" s="110"/>
      <c r="H72" s="121"/>
      <c r="I72" s="65"/>
      <c r="J72" s="65"/>
      <c r="K72" s="66"/>
      <c r="L72" s="66"/>
      <c r="M72" s="66"/>
      <c r="N72" s="66"/>
    </row>
    <row r="73" spans="1:14" ht="16.5" thickBot="1">
      <c r="A73" s="270" t="s">
        <v>61</v>
      </c>
      <c r="B73" s="305">
        <v>254331.14</v>
      </c>
      <c r="C73" s="475">
        <f>B73</f>
        <v>254331.14</v>
      </c>
      <c r="D73" s="446">
        <f>B73-C73</f>
        <v>0</v>
      </c>
      <c r="E73" s="115"/>
      <c r="F73" s="119"/>
      <c r="G73" s="110"/>
      <c r="H73" s="121" t="s">
        <v>26</v>
      </c>
      <c r="I73" s="65"/>
      <c r="J73" s="65"/>
      <c r="K73" s="66"/>
      <c r="L73" s="66"/>
      <c r="M73" s="66"/>
      <c r="N73" s="66"/>
    </row>
    <row r="74" spans="1:14" ht="15.75">
      <c r="A74" s="250"/>
      <c r="B74" s="247"/>
      <c r="C74" s="476"/>
      <c r="D74" s="477"/>
      <c r="E74" s="115"/>
      <c r="F74" s="119"/>
      <c r="G74" s="110"/>
      <c r="H74" s="121"/>
      <c r="I74" s="65"/>
      <c r="J74" s="65"/>
      <c r="K74" s="66"/>
      <c r="L74" s="66"/>
      <c r="M74" s="66"/>
      <c r="N74" s="66"/>
    </row>
    <row r="75" spans="1:14" ht="26.25">
      <c r="A75" s="254" t="s">
        <v>66</v>
      </c>
      <c r="B75" s="251" t="s">
        <v>11</v>
      </c>
      <c r="C75" s="449"/>
      <c r="D75" s="450">
        <v>61826.36</v>
      </c>
      <c r="E75" s="115"/>
      <c r="F75" s="119"/>
      <c r="G75" s="110"/>
      <c r="H75" s="121"/>
      <c r="I75" s="65"/>
      <c r="J75" s="65" t="s">
        <v>26</v>
      </c>
      <c r="K75" s="66"/>
      <c r="L75" s="66"/>
      <c r="M75" s="66"/>
      <c r="N75" s="66"/>
    </row>
    <row r="76" spans="1:14" ht="17.25" customHeight="1">
      <c r="A76" s="495" t="s">
        <v>67</v>
      </c>
      <c r="B76" s="495"/>
      <c r="C76" s="495"/>
      <c r="D76" s="495"/>
      <c r="E76" s="122" t="e">
        <f>D76+B19</f>
        <v>#VALUE!</v>
      </c>
      <c r="F76" s="121"/>
      <c r="G76" s="110"/>
      <c r="H76" s="123" t="e">
        <f>E76-B18</f>
        <v>#VALUE!</v>
      </c>
      <c r="I76" s="65"/>
      <c r="J76" s="65"/>
      <c r="K76" s="66"/>
      <c r="L76" s="66"/>
      <c r="M76" s="66"/>
      <c r="N76" s="66"/>
    </row>
    <row r="77" spans="1:8" ht="21" customHeight="1">
      <c r="A77" s="87" t="s">
        <v>45</v>
      </c>
      <c r="B77" s="87" t="s">
        <v>46</v>
      </c>
      <c r="C77" s="87"/>
      <c r="D77" s="179">
        <v>0</v>
      </c>
      <c r="E77" s="124"/>
      <c r="F77" s="110"/>
      <c r="G77" s="110"/>
      <c r="H77" s="110"/>
    </row>
    <row r="78" spans="1:8" ht="21" customHeight="1">
      <c r="A78" s="87" t="s">
        <v>47</v>
      </c>
      <c r="B78" s="87" t="s">
        <v>46</v>
      </c>
      <c r="C78" s="87"/>
      <c r="D78" s="179">
        <v>0</v>
      </c>
      <c r="E78" s="124"/>
      <c r="F78" s="110"/>
      <c r="G78" s="110"/>
      <c r="H78" s="110"/>
    </row>
    <row r="79" spans="1:8" ht="18" customHeight="1">
      <c r="A79" s="87" t="s">
        <v>48</v>
      </c>
      <c r="B79" s="87" t="s">
        <v>46</v>
      </c>
      <c r="C79" s="87"/>
      <c r="D79" s="179">
        <v>0</v>
      </c>
      <c r="E79" s="124"/>
      <c r="F79" s="110"/>
      <c r="G79" s="110"/>
      <c r="H79" s="110"/>
    </row>
    <row r="80" spans="1:8" ht="16.5" customHeight="1">
      <c r="A80" s="87" t="s">
        <v>49</v>
      </c>
      <c r="B80" s="87" t="s">
        <v>11</v>
      </c>
      <c r="C80" s="87"/>
      <c r="D80" s="179">
        <v>0</v>
      </c>
      <c r="E80" s="124"/>
      <c r="F80" s="110"/>
      <c r="G80" s="110"/>
      <c r="H80" s="110"/>
    </row>
    <row r="81" spans="1:8" ht="15.75" customHeight="1">
      <c r="A81" s="489" t="s">
        <v>68</v>
      </c>
      <c r="B81" s="489"/>
      <c r="C81" s="489"/>
      <c r="D81" s="489"/>
      <c r="E81" s="124"/>
      <c r="F81" s="110"/>
      <c r="G81" s="110"/>
      <c r="H81" s="110"/>
    </row>
    <row r="82" spans="1:8" ht="18.75" customHeight="1">
      <c r="A82" s="87" t="s">
        <v>69</v>
      </c>
      <c r="B82" s="87" t="s">
        <v>46</v>
      </c>
      <c r="C82" s="87"/>
      <c r="D82" s="179">
        <v>1</v>
      </c>
      <c r="E82" s="124"/>
      <c r="F82" s="110"/>
      <c r="G82" s="110"/>
      <c r="H82" s="110"/>
    </row>
    <row r="83" spans="1:8" ht="21.75" customHeight="1">
      <c r="A83" s="87" t="s">
        <v>70</v>
      </c>
      <c r="B83" s="257" t="s">
        <v>46</v>
      </c>
      <c r="C83" s="257"/>
      <c r="D83" s="179">
        <v>2</v>
      </c>
      <c r="E83" s="124"/>
      <c r="F83" s="110"/>
      <c r="G83" s="110"/>
      <c r="H83" s="110"/>
    </row>
    <row r="84" spans="1:8" ht="36" customHeight="1">
      <c r="A84" s="258" t="s">
        <v>71</v>
      </c>
      <c r="B84" s="87" t="s">
        <v>11</v>
      </c>
      <c r="C84" s="87"/>
      <c r="D84" s="179">
        <v>10000</v>
      </c>
      <c r="E84" s="124"/>
      <c r="F84" s="110"/>
      <c r="G84" s="110"/>
      <c r="H84" s="110"/>
    </row>
    <row r="85" spans="1:8" ht="15.75">
      <c r="A85" s="259"/>
      <c r="B85" s="259"/>
      <c r="C85" s="259"/>
      <c r="D85" s="260"/>
      <c r="E85" s="110"/>
      <c r="F85" s="110"/>
      <c r="G85" s="110"/>
      <c r="H85" s="110"/>
    </row>
    <row r="86" spans="1:14" s="1" customFormat="1" ht="12.75">
      <c r="A86" s="180"/>
      <c r="B86" s="180"/>
      <c r="C86" s="180"/>
      <c r="D86" s="180"/>
      <c r="E86" s="110"/>
      <c r="F86" s="110"/>
      <c r="G86" s="110"/>
      <c r="H86" s="110" t="s">
        <v>26</v>
      </c>
      <c r="K86"/>
      <c r="L86"/>
      <c r="M86"/>
      <c r="N86"/>
    </row>
    <row r="87" spans="1:14" s="1" customFormat="1" ht="12.75">
      <c r="A87" s="185" t="s">
        <v>206</v>
      </c>
      <c r="B87" s="180"/>
      <c r="C87" s="180"/>
      <c r="D87" s="180"/>
      <c r="E87" s="110"/>
      <c r="F87" s="110"/>
      <c r="G87" s="110"/>
      <c r="H87" s="110"/>
      <c r="K87"/>
      <c r="L87"/>
      <c r="M87"/>
      <c r="N87"/>
    </row>
    <row r="88" spans="1:14" s="1" customFormat="1" ht="12.75">
      <c r="A88" s="180"/>
      <c r="B88" s="180"/>
      <c r="C88" s="180"/>
      <c r="D88" s="180"/>
      <c r="E88" s="110"/>
      <c r="F88" s="110"/>
      <c r="G88" s="110"/>
      <c r="H88" s="110" t="s">
        <v>26</v>
      </c>
      <c r="K88"/>
      <c r="L88"/>
      <c r="M88"/>
      <c r="N88"/>
    </row>
    <row r="89" spans="1:14" s="1" customFormat="1" ht="12.75">
      <c r="A89" s="180" t="s">
        <v>73</v>
      </c>
      <c r="B89" s="180"/>
      <c r="C89" s="180"/>
      <c r="D89" s="180"/>
      <c r="E89" s="110"/>
      <c r="F89" s="110"/>
      <c r="G89" s="110"/>
      <c r="H89" s="110"/>
      <c r="K89"/>
      <c r="L89"/>
      <c r="M89"/>
      <c r="N89"/>
    </row>
    <row r="90" spans="5:8" ht="12.75">
      <c r="E90" s="110"/>
      <c r="F90" s="110"/>
      <c r="G90" s="110"/>
      <c r="H90" s="110"/>
    </row>
    <row r="91" spans="5:8" ht="12.75">
      <c r="E91" s="110"/>
      <c r="F91" s="110"/>
      <c r="G91" s="110"/>
      <c r="H91" s="110"/>
    </row>
    <row r="92" spans="5:8" ht="12.75">
      <c r="E92" s="110"/>
      <c r="F92" s="110"/>
      <c r="G92" s="110"/>
      <c r="H92" s="110"/>
    </row>
    <row r="93" spans="1:14" s="1" customFormat="1" ht="12.75">
      <c r="A93"/>
      <c r="B93"/>
      <c r="C93"/>
      <c r="D93"/>
      <c r="E93" s="1" t="s">
        <v>26</v>
      </c>
      <c r="K93"/>
      <c r="L93"/>
      <c r="M93"/>
      <c r="N93"/>
    </row>
  </sheetData>
  <sheetProtection selectLockedCells="1" selectUnlockedCells="1"/>
  <mergeCells count="13">
    <mergeCell ref="A81:D81"/>
    <mergeCell ref="A14:D14"/>
    <mergeCell ref="A28:D28"/>
    <mergeCell ref="A51:D51"/>
    <mergeCell ref="A56:D56"/>
    <mergeCell ref="A63:D63"/>
    <mergeCell ref="A76:D7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118" zoomScaleNormal="118" zoomScalePageLayoutView="0" workbookViewId="0" topLeftCell="A20">
      <selection activeCell="C35" sqref="C35"/>
    </sheetView>
  </sheetViews>
  <sheetFormatPr defaultColWidth="11.57421875" defaultRowHeight="12.75"/>
  <cols>
    <col min="1" max="1" width="50.57421875" style="0" customWidth="1"/>
    <col min="2" max="2" width="15.8515625" style="0" customWidth="1"/>
    <col min="3" max="3" width="24.28125" style="0" customWidth="1"/>
    <col min="4" max="4" width="19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83" t="s">
        <v>0</v>
      </c>
      <c r="B1" s="483"/>
      <c r="C1" s="483"/>
      <c r="D1" s="483"/>
    </row>
    <row r="2" spans="1:4" ht="15.75">
      <c r="A2" s="484" t="s">
        <v>236</v>
      </c>
      <c r="B2" s="485"/>
      <c r="C2" s="485"/>
      <c r="D2" s="485"/>
    </row>
    <row r="3" spans="1:4" ht="15.75">
      <c r="A3" s="485" t="s">
        <v>1</v>
      </c>
      <c r="B3" s="485"/>
      <c r="C3" s="485"/>
      <c r="D3" s="485"/>
    </row>
    <row r="4" spans="1:4" ht="12.75">
      <c r="A4" s="486" t="s">
        <v>92</v>
      </c>
      <c r="B4" s="486"/>
      <c r="C4" s="486"/>
      <c r="D4" s="486"/>
    </row>
    <row r="5" spans="1:4" ht="12.75">
      <c r="A5" s="487" t="s">
        <v>241</v>
      </c>
      <c r="B5" s="486"/>
      <c r="C5" s="486"/>
      <c r="D5" s="486"/>
    </row>
    <row r="6" ht="9" customHeight="1">
      <c r="A6" s="2"/>
    </row>
    <row r="7" spans="1:4" ht="27.75" customHeight="1">
      <c r="A7" s="488" t="s">
        <v>2</v>
      </c>
      <c r="B7" s="488"/>
      <c r="C7" s="488"/>
      <c r="D7" s="488"/>
    </row>
    <row r="8" spans="1:4" ht="20.25" customHeight="1">
      <c r="A8" s="185" t="s">
        <v>164</v>
      </c>
      <c r="B8" s="180"/>
      <c r="C8" s="186"/>
      <c r="D8" s="180"/>
    </row>
    <row r="9" spans="1:4" ht="12.75">
      <c r="A9" s="187" t="s">
        <v>3</v>
      </c>
      <c r="B9" s="187" t="s">
        <v>4</v>
      </c>
      <c r="C9" s="187" t="s">
        <v>5</v>
      </c>
      <c r="D9" s="188"/>
    </row>
    <row r="10" spans="1:4" ht="12.75">
      <c r="A10" s="189">
        <v>1</v>
      </c>
      <c r="B10" s="189">
        <v>2</v>
      </c>
      <c r="C10" s="189">
        <v>3</v>
      </c>
      <c r="D10" s="190">
        <v>4</v>
      </c>
    </row>
    <row r="11" spans="1:4" ht="12.75">
      <c r="A11" s="20" t="s">
        <v>6</v>
      </c>
      <c r="B11" s="191"/>
      <c r="C11" s="192" t="s">
        <v>242</v>
      </c>
      <c r="D11" s="193"/>
    </row>
    <row r="12" spans="1:4" ht="12.75">
      <c r="A12" s="20" t="s">
        <v>7</v>
      </c>
      <c r="B12" s="191"/>
      <c r="C12" s="192" t="s">
        <v>243</v>
      </c>
      <c r="D12" s="193"/>
    </row>
    <row r="13" spans="1:4" ht="12.75">
      <c r="A13" s="20" t="s">
        <v>8</v>
      </c>
      <c r="B13" s="191"/>
      <c r="C13" s="192" t="s">
        <v>244</v>
      </c>
      <c r="D13" s="193"/>
    </row>
    <row r="14" spans="1:4" ht="31.5" customHeight="1">
      <c r="A14" s="490" t="s">
        <v>9</v>
      </c>
      <c r="B14" s="490"/>
      <c r="C14" s="490"/>
      <c r="D14" s="490"/>
    </row>
    <row r="15" spans="1:5" ht="39">
      <c r="A15" s="17" t="s">
        <v>10</v>
      </c>
      <c r="B15" s="194" t="s">
        <v>11</v>
      </c>
      <c r="C15" s="197">
        <v>-24084.73</v>
      </c>
      <c r="D15" s="196"/>
      <c r="E15" s="110"/>
    </row>
    <row r="16" spans="1:10" ht="15.75">
      <c r="A16" s="20" t="s">
        <v>12</v>
      </c>
      <c r="B16" s="194" t="s">
        <v>11</v>
      </c>
      <c r="C16" s="195">
        <v>0</v>
      </c>
      <c r="D16" s="196"/>
      <c r="E16" s="110"/>
      <c r="F16" s="110"/>
      <c r="G16" s="110"/>
      <c r="H16" s="110"/>
      <c r="I16" s="110"/>
      <c r="J16" s="110"/>
    </row>
    <row r="17" spans="1:10" ht="15.75">
      <c r="A17" s="20" t="s">
        <v>13</v>
      </c>
      <c r="B17" s="194" t="s">
        <v>11</v>
      </c>
      <c r="C17" s="197">
        <v>108057.02</v>
      </c>
      <c r="D17" s="198"/>
      <c r="E17" s="110"/>
      <c r="F17" s="110"/>
      <c r="G17" s="110"/>
      <c r="H17" s="110"/>
      <c r="I17" s="110"/>
      <c r="J17" s="110"/>
    </row>
    <row r="18" spans="1:10" ht="31.5" customHeight="1">
      <c r="A18" s="17" t="s">
        <v>14</v>
      </c>
      <c r="B18" s="194" t="s">
        <v>11</v>
      </c>
      <c r="C18" s="197">
        <f>222247.62+34549.95</f>
        <v>256797.57</v>
      </c>
      <c r="D18" s="198"/>
      <c r="E18" s="111">
        <f>C18-C20</f>
        <v>235846.992</v>
      </c>
      <c r="F18" s="110"/>
      <c r="G18" s="110"/>
      <c r="H18" s="110"/>
      <c r="I18" s="110"/>
      <c r="J18" s="110"/>
    </row>
    <row r="19" spans="1:10" ht="15.75">
      <c r="A19" s="20" t="s">
        <v>15</v>
      </c>
      <c r="B19" s="194" t="s">
        <v>11</v>
      </c>
      <c r="C19" s="197">
        <f>C18-C20-C21</f>
        <v>151844.196</v>
      </c>
      <c r="D19" s="198"/>
      <c r="E19" s="111">
        <f>E18-E51</f>
        <v>29347.945999999967</v>
      </c>
      <c r="F19" s="110"/>
      <c r="G19" s="110"/>
      <c r="H19" s="110" t="s">
        <v>328</v>
      </c>
      <c r="I19" s="110"/>
      <c r="J19" s="110"/>
    </row>
    <row r="20" spans="1:10" ht="15.75">
      <c r="A20" s="20" t="s">
        <v>16</v>
      </c>
      <c r="B20" s="194" t="s">
        <v>11</v>
      </c>
      <c r="C20" s="197">
        <f>(1.3+0.79)*6*1670.7</f>
        <v>20950.577999999998</v>
      </c>
      <c r="D20" s="198"/>
      <c r="E20" s="112"/>
      <c r="F20" s="110"/>
      <c r="G20" s="110"/>
      <c r="H20" s="110" t="s">
        <v>329</v>
      </c>
      <c r="I20" s="110"/>
      <c r="J20" s="110"/>
    </row>
    <row r="21" spans="1:10" ht="15.75">
      <c r="A21" s="20" t="s">
        <v>17</v>
      </c>
      <c r="B21" s="194" t="s">
        <v>11</v>
      </c>
      <c r="C21" s="199">
        <f>1670.7*4.19*12</f>
        <v>84002.79600000002</v>
      </c>
      <c r="D21" s="198"/>
      <c r="E21" s="110"/>
      <c r="F21" s="110"/>
      <c r="G21" s="110"/>
      <c r="H21" s="110"/>
      <c r="I21" s="110"/>
      <c r="J21" s="110"/>
    </row>
    <row r="22" spans="1:10" ht="15.75">
      <c r="A22" s="20" t="s">
        <v>18</v>
      </c>
      <c r="B22" s="194" t="s">
        <v>11</v>
      </c>
      <c r="C22" s="197">
        <f>C23+C24+C25+C26</f>
        <v>246705.425499</v>
      </c>
      <c r="D22" s="198" t="s">
        <v>19</v>
      </c>
      <c r="E22" s="111"/>
      <c r="F22" s="110"/>
      <c r="G22" s="110"/>
      <c r="H22" s="110"/>
      <c r="I22" s="110"/>
      <c r="J22" s="110"/>
    </row>
    <row r="23" spans="1:10" ht="15.75">
      <c r="A23" s="20" t="s">
        <v>20</v>
      </c>
      <c r="B23" s="194" t="s">
        <v>11</v>
      </c>
      <c r="C23" s="197">
        <f>C18*0.9607</f>
        <v>246705.425499</v>
      </c>
      <c r="D23" s="198"/>
      <c r="E23" s="110"/>
      <c r="F23" s="110"/>
      <c r="G23" s="110"/>
      <c r="H23" s="110"/>
      <c r="I23" s="110"/>
      <c r="J23" s="110"/>
    </row>
    <row r="24" spans="1:10" ht="15.75">
      <c r="A24" s="20" t="s">
        <v>21</v>
      </c>
      <c r="B24" s="194" t="s">
        <v>11</v>
      </c>
      <c r="C24" s="197">
        <v>0</v>
      </c>
      <c r="D24" s="200">
        <v>65.21</v>
      </c>
      <c r="E24" s="112"/>
      <c r="F24" s="110"/>
      <c r="G24" s="110"/>
      <c r="H24" s="110" t="s">
        <v>22</v>
      </c>
      <c r="I24" s="110"/>
      <c r="J24" s="110"/>
    </row>
    <row r="25" spans="1:10" ht="15.75">
      <c r="A25" s="20" t="s">
        <v>23</v>
      </c>
      <c r="B25" s="194" t="s">
        <v>11</v>
      </c>
      <c r="C25" s="197">
        <v>0</v>
      </c>
      <c r="D25" s="200">
        <v>119.63</v>
      </c>
      <c r="E25" s="112"/>
      <c r="F25" s="110"/>
      <c r="G25" s="110"/>
      <c r="H25" s="110"/>
      <c r="I25" s="110"/>
      <c r="J25" s="110"/>
    </row>
    <row r="26" spans="1:10" ht="15.75">
      <c r="A26" s="192" t="s">
        <v>24</v>
      </c>
      <c r="B26" s="194" t="s">
        <v>11</v>
      </c>
      <c r="C26" s="197">
        <v>0</v>
      </c>
      <c r="D26" s="200"/>
      <c r="E26" s="112"/>
      <c r="F26" s="110"/>
      <c r="G26" s="110"/>
      <c r="H26" s="110"/>
      <c r="I26" s="110"/>
      <c r="J26" s="110"/>
    </row>
    <row r="27" spans="1:10" ht="15.75">
      <c r="A27" s="20" t="s">
        <v>25</v>
      </c>
      <c r="B27" s="194" t="s">
        <v>11</v>
      </c>
      <c r="C27" s="197">
        <f>C15+C22</f>
        <v>222620.695499</v>
      </c>
      <c r="D27" s="198" t="s">
        <v>26</v>
      </c>
      <c r="E27" s="112"/>
      <c r="F27" s="110"/>
      <c r="G27" s="110"/>
      <c r="H27" s="110"/>
      <c r="I27" s="110"/>
      <c r="J27" s="110"/>
    </row>
    <row r="28" spans="1:10" ht="35.25" customHeight="1">
      <c r="A28" s="491" t="s">
        <v>27</v>
      </c>
      <c r="B28" s="491"/>
      <c r="C28" s="491"/>
      <c r="D28" s="491"/>
      <c r="E28" s="110"/>
      <c r="F28" s="110"/>
      <c r="G28" s="110"/>
      <c r="H28" s="110"/>
      <c r="I28" s="110"/>
      <c r="J28" s="110"/>
    </row>
    <row r="29" spans="1:10" ht="51">
      <c r="A29" s="202" t="s">
        <v>28</v>
      </c>
      <c r="B29" s="203" t="s">
        <v>29</v>
      </c>
      <c r="C29" s="204" t="s">
        <v>30</v>
      </c>
      <c r="D29" s="205" t="s">
        <v>31</v>
      </c>
      <c r="E29" s="110"/>
      <c r="F29" s="110"/>
      <c r="G29" s="110"/>
      <c r="H29" s="110"/>
      <c r="I29" s="110"/>
      <c r="J29" s="110"/>
    </row>
    <row r="30" spans="1:10" ht="47.25">
      <c r="A30" s="206" t="s">
        <v>32</v>
      </c>
      <c r="B30" s="207" t="s">
        <v>33</v>
      </c>
      <c r="C30" s="208" t="s">
        <v>89</v>
      </c>
      <c r="D30" s="209">
        <f>0.32*12*1670.7</f>
        <v>6415.488</v>
      </c>
      <c r="E30" s="110"/>
      <c r="F30" s="110"/>
      <c r="G30" s="110"/>
      <c r="H30" s="110"/>
      <c r="I30" s="110"/>
      <c r="J30" s="110"/>
    </row>
    <row r="31" spans="1:10" ht="15.75">
      <c r="A31" s="210" t="s">
        <v>75</v>
      </c>
      <c r="B31" s="211" t="s">
        <v>76</v>
      </c>
      <c r="C31" s="212" t="s">
        <v>34</v>
      </c>
      <c r="D31" s="213">
        <f>2.4*12*1670.7</f>
        <v>48116.159999999996</v>
      </c>
      <c r="E31" s="110"/>
      <c r="F31" s="110"/>
      <c r="G31" s="110"/>
      <c r="H31" s="110"/>
      <c r="I31" s="110"/>
      <c r="J31" s="110"/>
    </row>
    <row r="32" spans="1:10" ht="15.75">
      <c r="A32" s="210" t="s">
        <v>319</v>
      </c>
      <c r="B32" s="211" t="s">
        <v>78</v>
      </c>
      <c r="C32" s="368" t="s">
        <v>327</v>
      </c>
      <c r="D32" s="213">
        <f>1670.7*0.15*12</f>
        <v>3007.2599999999998</v>
      </c>
      <c r="E32" s="110"/>
      <c r="F32" s="110"/>
      <c r="G32" s="110"/>
      <c r="H32" s="110"/>
      <c r="I32" s="110"/>
      <c r="J32" s="110"/>
    </row>
    <row r="33" spans="1:10" ht="15.75">
      <c r="A33" s="210" t="s">
        <v>36</v>
      </c>
      <c r="B33" s="211" t="s">
        <v>78</v>
      </c>
      <c r="C33" s="212" t="s">
        <v>37</v>
      </c>
      <c r="D33" s="213">
        <f>0.48*12*1670.7</f>
        <v>9623.232</v>
      </c>
      <c r="E33" s="110"/>
      <c r="F33" s="110"/>
      <c r="G33" s="110"/>
      <c r="H33" s="110"/>
      <c r="I33" s="110"/>
      <c r="J33" s="110"/>
    </row>
    <row r="34" spans="1:10" ht="15.75">
      <c r="A34" s="210" t="s">
        <v>79</v>
      </c>
      <c r="B34" s="369" t="s">
        <v>33</v>
      </c>
      <c r="C34" s="212" t="s">
        <v>34</v>
      </c>
      <c r="D34" s="213">
        <f>1.04*12*1670.7</f>
        <v>20850.336000000003</v>
      </c>
      <c r="E34" s="110"/>
      <c r="F34" s="110"/>
      <c r="G34" s="110"/>
      <c r="H34" s="110"/>
      <c r="I34" s="110"/>
      <c r="J34" s="110"/>
    </row>
    <row r="35" spans="1:10" ht="15.75">
      <c r="A35" s="210" t="s">
        <v>93</v>
      </c>
      <c r="B35" s="211" t="s">
        <v>33</v>
      </c>
      <c r="C35" s="212" t="s">
        <v>34</v>
      </c>
      <c r="D35" s="214">
        <f>1670.7*(0.46+0.44)*6</f>
        <v>9021.78</v>
      </c>
      <c r="E35" s="110"/>
      <c r="F35" s="110"/>
      <c r="G35" s="110"/>
      <c r="H35" s="110"/>
      <c r="I35" s="110"/>
      <c r="J35" s="110"/>
    </row>
    <row r="36" spans="1:10" ht="31.5">
      <c r="A36" s="210" t="s">
        <v>81</v>
      </c>
      <c r="B36" s="216" t="s">
        <v>82</v>
      </c>
      <c r="C36" s="212" t="s">
        <v>34</v>
      </c>
      <c r="D36" s="213">
        <f>(0.27+1.3)*6*1670.7</f>
        <v>15737.994</v>
      </c>
      <c r="E36" s="110"/>
      <c r="F36" s="110"/>
      <c r="G36" s="110"/>
      <c r="H36" s="110"/>
      <c r="I36" s="110"/>
      <c r="J36" s="110"/>
    </row>
    <row r="37" spans="1:10" ht="15.75">
      <c r="A37" s="210" t="s">
        <v>38</v>
      </c>
      <c r="B37" s="211" t="s">
        <v>35</v>
      </c>
      <c r="C37" s="368" t="s">
        <v>237</v>
      </c>
      <c r="D37" s="213">
        <f>4.19*1670.7*12</f>
        <v>84002.79600000002</v>
      </c>
      <c r="E37" s="110"/>
      <c r="F37" s="110"/>
      <c r="G37" s="110"/>
      <c r="H37" s="110"/>
      <c r="I37" s="110"/>
      <c r="J37" s="110"/>
    </row>
    <row r="38" spans="1:10" ht="21" customHeight="1">
      <c r="A38" s="210" t="s">
        <v>85</v>
      </c>
      <c r="B38" s="369" t="s">
        <v>238</v>
      </c>
      <c r="C38" s="278" t="s">
        <v>37</v>
      </c>
      <c r="D38" s="213">
        <v>9724</v>
      </c>
      <c r="E38" s="110"/>
      <c r="F38" s="110"/>
      <c r="G38" s="110"/>
      <c r="H38" s="110"/>
      <c r="I38" s="110"/>
      <c r="J38" s="110"/>
    </row>
    <row r="39" spans="1:10" ht="21" customHeight="1">
      <c r="A39" s="210" t="s">
        <v>226</v>
      </c>
      <c r="B39" s="211"/>
      <c r="C39" s="278"/>
      <c r="D39" s="213"/>
      <c r="E39" s="110"/>
      <c r="F39" s="110"/>
      <c r="G39" s="110"/>
      <c r="H39" s="110"/>
      <c r="I39" s="110"/>
      <c r="J39" s="110"/>
    </row>
    <row r="40" spans="1:10" ht="29.25" customHeight="1">
      <c r="A40" s="210" t="s">
        <v>223</v>
      </c>
      <c r="B40" s="211" t="s">
        <v>35</v>
      </c>
      <c r="C40" s="278" t="s">
        <v>220</v>
      </c>
      <c r="D40" s="213">
        <v>2104.92</v>
      </c>
      <c r="E40" s="110"/>
      <c r="F40" s="110"/>
      <c r="G40" s="110"/>
      <c r="H40" s="110"/>
      <c r="I40" s="110"/>
      <c r="J40" s="110"/>
    </row>
    <row r="41" spans="1:10" ht="21" customHeight="1">
      <c r="A41" s="210" t="s">
        <v>221</v>
      </c>
      <c r="B41" s="211" t="s">
        <v>35</v>
      </c>
      <c r="C41" s="278" t="s">
        <v>222</v>
      </c>
      <c r="D41" s="213">
        <v>33533.88</v>
      </c>
      <c r="E41" s="110"/>
      <c r="F41" s="110"/>
      <c r="G41" s="110"/>
      <c r="H41" s="110"/>
      <c r="I41" s="110"/>
      <c r="J41" s="110"/>
    </row>
    <row r="42" spans="1:14" s="1" customFormat="1" ht="78.75">
      <c r="A42" s="263" t="s">
        <v>218</v>
      </c>
      <c r="B42" s="218" t="s">
        <v>41</v>
      </c>
      <c r="C42" s="307"/>
      <c r="D42" s="390">
        <f>D43+D44+D45+D46+D47+D48+D49+D50</f>
        <v>35314</v>
      </c>
      <c r="E42" s="110"/>
      <c r="F42" s="110"/>
      <c r="G42" s="110"/>
      <c r="H42" s="110"/>
      <c r="I42" s="110"/>
      <c r="J42" s="110"/>
      <c r="K42"/>
      <c r="L42"/>
      <c r="M42"/>
      <c r="N42"/>
    </row>
    <row r="43" spans="1:14" s="1" customFormat="1" ht="15.75">
      <c r="A43" s="223" t="s">
        <v>326</v>
      </c>
      <c r="B43" s="220" t="s">
        <v>165</v>
      </c>
      <c r="C43" s="278" t="s">
        <v>34</v>
      </c>
      <c r="D43" s="176">
        <v>12536</v>
      </c>
      <c r="E43" s="110"/>
      <c r="F43" s="110"/>
      <c r="G43" s="110"/>
      <c r="H43" s="110"/>
      <c r="I43" s="110"/>
      <c r="J43" s="110"/>
      <c r="K43"/>
      <c r="L43"/>
      <c r="M43"/>
      <c r="N43"/>
    </row>
    <row r="44" spans="1:14" s="1" customFormat="1" ht="15.75">
      <c r="A44" s="223" t="s">
        <v>277</v>
      </c>
      <c r="B44" s="220" t="s">
        <v>165</v>
      </c>
      <c r="C44" s="278" t="s">
        <v>34</v>
      </c>
      <c r="D44" s="176">
        <v>1609</v>
      </c>
      <c r="E44" s="110"/>
      <c r="F44" s="110"/>
      <c r="G44" s="110"/>
      <c r="H44" s="110"/>
      <c r="I44" s="110"/>
      <c r="J44" s="110"/>
      <c r="K44"/>
      <c r="L44"/>
      <c r="M44"/>
      <c r="N44"/>
    </row>
    <row r="45" spans="1:14" s="1" customFormat="1" ht="15.75">
      <c r="A45" s="223" t="s">
        <v>275</v>
      </c>
      <c r="B45" s="220" t="s">
        <v>159</v>
      </c>
      <c r="C45" s="307" t="s">
        <v>249</v>
      </c>
      <c r="D45" s="176">
        <v>929</v>
      </c>
      <c r="E45" s="110"/>
      <c r="F45" s="110"/>
      <c r="G45" s="110"/>
      <c r="H45" s="110"/>
      <c r="I45" s="110"/>
      <c r="J45" s="110"/>
      <c r="K45"/>
      <c r="L45"/>
      <c r="M45"/>
      <c r="N45"/>
    </row>
    <row r="46" spans="1:14" s="1" customFormat="1" ht="31.5">
      <c r="A46" s="223" t="s">
        <v>276</v>
      </c>
      <c r="B46" s="220" t="s">
        <v>159</v>
      </c>
      <c r="C46" s="307" t="s">
        <v>77</v>
      </c>
      <c r="D46" s="176">
        <v>270</v>
      </c>
      <c r="E46" s="110"/>
      <c r="F46" s="110"/>
      <c r="G46" s="110"/>
      <c r="H46" s="110"/>
      <c r="I46" s="110"/>
      <c r="J46" s="110"/>
      <c r="K46"/>
      <c r="L46"/>
      <c r="M46"/>
      <c r="N46"/>
    </row>
    <row r="47" spans="1:14" s="1" customFormat="1" ht="15.75">
      <c r="A47" s="223" t="s">
        <v>278</v>
      </c>
      <c r="B47" s="220" t="s">
        <v>156</v>
      </c>
      <c r="C47" s="278" t="s">
        <v>34</v>
      </c>
      <c r="D47" s="176">
        <v>125</v>
      </c>
      <c r="E47" s="110"/>
      <c r="F47" s="110"/>
      <c r="G47" s="110"/>
      <c r="H47" s="110"/>
      <c r="I47" s="110"/>
      <c r="J47" s="110"/>
      <c r="K47"/>
      <c r="L47"/>
      <c r="M47"/>
      <c r="N47"/>
    </row>
    <row r="48" spans="1:14" s="1" customFormat="1" ht="15.75">
      <c r="A48" s="391" t="s">
        <v>279</v>
      </c>
      <c r="B48" s="220" t="s">
        <v>151</v>
      </c>
      <c r="C48" s="307"/>
      <c r="D48" s="176">
        <v>5202</v>
      </c>
      <c r="E48" s="110"/>
      <c r="F48" s="110"/>
      <c r="G48" s="110"/>
      <c r="H48" s="110"/>
      <c r="I48" s="110"/>
      <c r="J48" s="110"/>
      <c r="K48"/>
      <c r="L48"/>
      <c r="M48"/>
      <c r="N48"/>
    </row>
    <row r="49" spans="1:14" s="1" customFormat="1" ht="15.75">
      <c r="A49" s="223" t="s">
        <v>280</v>
      </c>
      <c r="B49" s="220" t="s">
        <v>153</v>
      </c>
      <c r="C49" s="278" t="s">
        <v>34</v>
      </c>
      <c r="D49" s="176">
        <v>643</v>
      </c>
      <c r="E49" s="110"/>
      <c r="F49" s="110"/>
      <c r="G49" s="110"/>
      <c r="H49" s="110"/>
      <c r="I49" s="110"/>
      <c r="J49" s="110"/>
      <c r="K49"/>
      <c r="L49"/>
      <c r="M49"/>
      <c r="N49"/>
    </row>
    <row r="50" spans="1:14" s="1" customFormat="1" ht="15.75">
      <c r="A50" s="223" t="s">
        <v>281</v>
      </c>
      <c r="B50" s="220" t="s">
        <v>153</v>
      </c>
      <c r="C50" s="307" t="s">
        <v>37</v>
      </c>
      <c r="D50" s="178">
        <v>14000</v>
      </c>
      <c r="E50" s="110"/>
      <c r="F50" s="110"/>
      <c r="G50" s="110"/>
      <c r="H50" s="110"/>
      <c r="I50" s="110"/>
      <c r="J50" s="110"/>
      <c r="K50"/>
      <c r="L50"/>
      <c r="M50"/>
      <c r="N50"/>
    </row>
    <row r="51" spans="1:14" s="1" customFormat="1" ht="15.75">
      <c r="A51" s="37" t="s">
        <v>42</v>
      </c>
      <c r="B51" s="225"/>
      <c r="C51" s="226"/>
      <c r="D51" s="98">
        <f>D30+D31+D32+D33++D34+D35+D36+D37+D38+D40+D41+D42</f>
        <v>277451.846</v>
      </c>
      <c r="E51" s="113">
        <f>D51-D40-D41-D42</f>
        <v>206499.04600000003</v>
      </c>
      <c r="F51" s="110"/>
      <c r="G51" s="110"/>
      <c r="H51" s="110"/>
      <c r="I51" s="110"/>
      <c r="J51" s="110"/>
      <c r="K51"/>
      <c r="L51"/>
      <c r="M51"/>
      <c r="N51"/>
    </row>
    <row r="52" spans="1:14" s="1" customFormat="1" ht="15.75">
      <c r="A52" s="40" t="s">
        <v>43</v>
      </c>
      <c r="B52" s="227" t="s">
        <v>11</v>
      </c>
      <c r="C52" s="228"/>
      <c r="D52" s="229">
        <f>C27-D51</f>
        <v>-54831.150501000026</v>
      </c>
      <c r="E52" s="113"/>
      <c r="F52" s="110"/>
      <c r="G52" s="110"/>
      <c r="H52" s="110"/>
      <c r="I52" s="110"/>
      <c r="J52" s="110"/>
      <c r="K52"/>
      <c r="L52"/>
      <c r="M52"/>
      <c r="N52"/>
    </row>
    <row r="53" spans="1:14" s="1" customFormat="1" ht="15.75">
      <c r="A53" s="230" t="s">
        <v>12</v>
      </c>
      <c r="B53" s="231" t="s">
        <v>11</v>
      </c>
      <c r="C53" s="212"/>
      <c r="D53" s="196">
        <v>0</v>
      </c>
      <c r="E53" s="110"/>
      <c r="F53" s="110"/>
      <c r="G53" s="110"/>
      <c r="H53" s="110"/>
      <c r="I53" s="110"/>
      <c r="J53" s="110"/>
      <c r="K53"/>
      <c r="L53"/>
      <c r="M53"/>
      <c r="N53"/>
    </row>
    <row r="54" spans="1:14" s="1" customFormat="1" ht="15.75">
      <c r="A54" s="230" t="s">
        <v>13</v>
      </c>
      <c r="B54" s="231" t="s">
        <v>11</v>
      </c>
      <c r="C54" s="212"/>
      <c r="D54" s="198">
        <v>113612.8</v>
      </c>
      <c r="E54" s="110"/>
      <c r="F54" s="110"/>
      <c r="G54" s="110"/>
      <c r="H54" s="110"/>
      <c r="I54" s="110"/>
      <c r="J54" s="110"/>
      <c r="K54"/>
      <c r="L54"/>
      <c r="M54"/>
      <c r="N54"/>
    </row>
    <row r="55" spans="1:14" s="1" customFormat="1" ht="24" customHeight="1">
      <c r="A55" s="492" t="s">
        <v>44</v>
      </c>
      <c r="B55" s="492"/>
      <c r="C55" s="492"/>
      <c r="D55" s="492"/>
      <c r="E55" s="110"/>
      <c r="F55" s="110"/>
      <c r="G55" s="110"/>
      <c r="H55" s="110"/>
      <c r="I55" s="110"/>
      <c r="J55" s="110"/>
      <c r="K55"/>
      <c r="L55"/>
      <c r="M55"/>
      <c r="N55"/>
    </row>
    <row r="56" spans="1:14" s="1" customFormat="1" ht="15.75">
      <c r="A56" s="230" t="s">
        <v>45</v>
      </c>
      <c r="B56" s="211" t="s">
        <v>46</v>
      </c>
      <c r="C56" s="212"/>
      <c r="D56" s="196">
        <v>0</v>
      </c>
      <c r="E56" s="110"/>
      <c r="F56" s="110"/>
      <c r="G56" s="110"/>
      <c r="H56" s="110"/>
      <c r="I56" s="110"/>
      <c r="J56" s="110"/>
      <c r="K56"/>
      <c r="L56"/>
      <c r="M56"/>
      <c r="N56"/>
    </row>
    <row r="57" spans="1:14" s="1" customFormat="1" ht="15.75">
      <c r="A57" s="230" t="s">
        <v>47</v>
      </c>
      <c r="B57" s="211" t="s">
        <v>46</v>
      </c>
      <c r="C57" s="212"/>
      <c r="D57" s="196">
        <v>0</v>
      </c>
      <c r="E57" s="110"/>
      <c r="F57" s="110"/>
      <c r="G57" s="110"/>
      <c r="H57" s="110"/>
      <c r="I57" s="110"/>
      <c r="J57" s="110"/>
      <c r="K57"/>
      <c r="L57"/>
      <c r="M57"/>
      <c r="N57"/>
    </row>
    <row r="58" spans="1:14" s="1" customFormat="1" ht="26.25">
      <c r="A58" s="232" t="s">
        <v>48</v>
      </c>
      <c r="B58" s="211" t="s">
        <v>46</v>
      </c>
      <c r="C58" s="212"/>
      <c r="D58" s="196">
        <v>0</v>
      </c>
      <c r="E58" s="110"/>
      <c r="F58" s="110"/>
      <c r="G58" s="110"/>
      <c r="H58" s="110"/>
      <c r="I58" s="110"/>
      <c r="J58" s="110"/>
      <c r="K58"/>
      <c r="L58"/>
      <c r="M58"/>
      <c r="N58"/>
    </row>
    <row r="59" spans="1:14" s="1" customFormat="1" ht="15.75">
      <c r="A59" s="230" t="s">
        <v>49</v>
      </c>
      <c r="B59" s="211" t="s">
        <v>11</v>
      </c>
      <c r="C59" s="212"/>
      <c r="D59" s="196">
        <v>0</v>
      </c>
      <c r="E59" s="110"/>
      <c r="F59" s="110"/>
      <c r="G59" s="110"/>
      <c r="H59" s="110"/>
      <c r="I59" s="110"/>
      <c r="J59" s="110"/>
      <c r="K59"/>
      <c r="L59"/>
      <c r="M59"/>
      <c r="N59"/>
    </row>
    <row r="60" spans="1:10" ht="20.25" customHeight="1">
      <c r="A60" s="493" t="s">
        <v>50</v>
      </c>
      <c r="B60" s="493"/>
      <c r="C60" s="493"/>
      <c r="D60" s="493"/>
      <c r="E60" s="110"/>
      <c r="F60" s="110"/>
      <c r="G60" s="110"/>
      <c r="H60" s="110"/>
      <c r="I60" s="110"/>
      <c r="J60" s="110"/>
    </row>
    <row r="61" spans="1:10" ht="26.25">
      <c r="A61" s="232" t="s">
        <v>51</v>
      </c>
      <c r="B61" s="211" t="s">
        <v>11</v>
      </c>
      <c r="C61" s="212"/>
      <c r="D61" s="196">
        <v>0</v>
      </c>
      <c r="E61" s="110"/>
      <c r="F61" s="110"/>
      <c r="G61" s="110"/>
      <c r="H61" s="110"/>
      <c r="I61" s="110"/>
      <c r="J61" s="110"/>
    </row>
    <row r="62" spans="1:10" ht="15.75">
      <c r="A62" s="230" t="s">
        <v>12</v>
      </c>
      <c r="B62" s="211" t="s">
        <v>11</v>
      </c>
      <c r="C62" s="212"/>
      <c r="D62" s="196">
        <v>0</v>
      </c>
      <c r="E62" s="110"/>
      <c r="F62" s="110"/>
      <c r="G62" s="110"/>
      <c r="H62" s="110"/>
      <c r="I62" s="110"/>
      <c r="J62" s="110"/>
    </row>
    <row r="63" spans="1:10" ht="15.75">
      <c r="A63" s="230" t="s">
        <v>13</v>
      </c>
      <c r="B63" s="211" t="s">
        <v>11</v>
      </c>
      <c r="C63" s="212"/>
      <c r="D63" s="240">
        <f>D66-D69-D70-D71-D72</f>
        <v>278828.818263</v>
      </c>
      <c r="E63" s="110"/>
      <c r="F63" s="110"/>
      <c r="G63" s="110"/>
      <c r="H63" s="114"/>
      <c r="I63" s="110"/>
      <c r="J63" s="110"/>
    </row>
    <row r="64" spans="1:10" ht="26.25">
      <c r="A64" s="234" t="s">
        <v>52</v>
      </c>
      <c r="B64" s="211" t="s">
        <v>11</v>
      </c>
      <c r="C64" s="235"/>
      <c r="D64" s="236">
        <v>0</v>
      </c>
      <c r="E64" s="110"/>
      <c r="F64" s="110"/>
      <c r="G64" s="110"/>
      <c r="H64" s="110"/>
      <c r="I64" s="110"/>
      <c r="J64" s="110"/>
    </row>
    <row r="65" spans="1:10" ht="17.25" customHeight="1">
      <c r="A65" s="257" t="s">
        <v>12</v>
      </c>
      <c r="B65" s="211" t="s">
        <v>11</v>
      </c>
      <c r="C65" s="212"/>
      <c r="D65" s="196">
        <v>0</v>
      </c>
      <c r="E65" s="110"/>
      <c r="F65" s="110"/>
      <c r="G65" s="110"/>
      <c r="H65" s="110"/>
      <c r="I65" s="114"/>
      <c r="J65" s="114"/>
    </row>
    <row r="66" spans="1:14" ht="15.75">
      <c r="A66" s="238" t="s">
        <v>13</v>
      </c>
      <c r="B66" s="211" t="s">
        <v>11</v>
      </c>
      <c r="C66" s="239"/>
      <c r="D66" s="240">
        <v>306011.61</v>
      </c>
      <c r="E66" s="110"/>
      <c r="F66" s="110"/>
      <c r="G66" s="110"/>
      <c r="H66" s="110" t="s">
        <v>26</v>
      </c>
      <c r="I66" s="125"/>
      <c r="J66" s="125"/>
      <c r="K66" s="61"/>
      <c r="L66" s="61"/>
      <c r="M66" s="61"/>
      <c r="N66" s="61"/>
    </row>
    <row r="67" spans="1:14" ht="18" customHeight="1" thickBot="1">
      <c r="A67" s="494" t="s">
        <v>53</v>
      </c>
      <c r="B67" s="494"/>
      <c r="C67" s="494"/>
      <c r="D67" s="494"/>
      <c r="E67" s="115"/>
      <c r="F67" s="116"/>
      <c r="G67" s="117"/>
      <c r="H67" s="110"/>
      <c r="I67" s="121"/>
      <c r="J67" s="121"/>
      <c r="K67" s="66"/>
      <c r="L67" s="66"/>
      <c r="M67" s="66"/>
      <c r="N67" s="66"/>
    </row>
    <row r="68" spans="1:14" ht="38.25">
      <c r="A68" s="162" t="s">
        <v>54</v>
      </c>
      <c r="B68" s="68" t="s">
        <v>55</v>
      </c>
      <c r="C68" s="159" t="s">
        <v>56</v>
      </c>
      <c r="D68" s="160" t="s">
        <v>57</v>
      </c>
      <c r="E68" s="115"/>
      <c r="F68" s="116"/>
      <c r="G68" s="117"/>
      <c r="H68" s="110"/>
      <c r="I68" s="121"/>
      <c r="J68" s="175"/>
      <c r="K68" s="66"/>
      <c r="L68" s="66"/>
      <c r="M68" s="66"/>
      <c r="N68" s="66"/>
    </row>
    <row r="69" spans="1:14" ht="15.75">
      <c r="A69" s="241" t="s">
        <v>58</v>
      </c>
      <c r="B69" s="280">
        <v>182455.32</v>
      </c>
      <c r="C69" s="454">
        <f>B69*0.9607</f>
        <v>175284.825924</v>
      </c>
      <c r="D69" s="455">
        <f>B69-C69</f>
        <v>7170.494076000003</v>
      </c>
      <c r="E69" s="118"/>
      <c r="F69" s="116"/>
      <c r="G69" s="117"/>
      <c r="H69" s="110"/>
      <c r="I69" s="121"/>
      <c r="J69" s="121"/>
      <c r="K69" s="66"/>
      <c r="L69" s="66"/>
      <c r="M69" s="66"/>
      <c r="N69" s="66"/>
    </row>
    <row r="70" spans="1:14" ht="15.75">
      <c r="A70" s="241" t="s">
        <v>59</v>
      </c>
      <c r="B70" s="280">
        <v>182450.71</v>
      </c>
      <c r="C70" s="454">
        <f>B70*0.9607</f>
        <v>175280.39709699998</v>
      </c>
      <c r="D70" s="455">
        <f>B70-C70</f>
        <v>7170.312903000013</v>
      </c>
      <c r="E70" s="115"/>
      <c r="F70" s="116"/>
      <c r="G70" s="117"/>
      <c r="H70" s="110"/>
      <c r="I70" s="121"/>
      <c r="J70" s="121"/>
      <c r="K70" s="66"/>
      <c r="L70" s="66"/>
      <c r="M70" s="66"/>
      <c r="N70" s="66"/>
    </row>
    <row r="71" spans="1:14" ht="15.75">
      <c r="A71" s="241" t="s">
        <v>318</v>
      </c>
      <c r="B71" s="283">
        <v>105187.77</v>
      </c>
      <c r="C71" s="454">
        <f>B71*0.9607</f>
        <v>101053.890639</v>
      </c>
      <c r="D71" s="455">
        <f>B71-C71</f>
        <v>4133.879360999999</v>
      </c>
      <c r="E71" s="115"/>
      <c r="F71" s="119"/>
      <c r="G71" s="120"/>
      <c r="H71" s="115"/>
      <c r="I71" s="121"/>
      <c r="J71" s="121"/>
      <c r="K71" s="66"/>
      <c r="L71" s="66"/>
      <c r="M71" s="66"/>
      <c r="N71" s="66"/>
    </row>
    <row r="72" spans="1:14" ht="16.5" thickBot="1">
      <c r="A72" s="264" t="s">
        <v>61</v>
      </c>
      <c r="B72" s="291">
        <v>221580.29</v>
      </c>
      <c r="C72" s="454">
        <f>B72*0.9607</f>
        <v>212872.184603</v>
      </c>
      <c r="D72" s="461">
        <f>B72-C72</f>
        <v>8708.105397000007</v>
      </c>
      <c r="E72" s="115"/>
      <c r="F72" s="119"/>
      <c r="G72" s="120"/>
      <c r="H72" s="110"/>
      <c r="I72" s="121"/>
      <c r="J72" s="121"/>
      <c r="K72" s="66"/>
      <c r="L72" s="66"/>
      <c r="M72" s="66"/>
      <c r="N72" s="66"/>
    </row>
    <row r="73" spans="1:14" ht="67.5" customHeight="1">
      <c r="A73" s="130" t="s">
        <v>62</v>
      </c>
      <c r="B73" s="142" t="s">
        <v>63</v>
      </c>
      <c r="C73" s="163" t="s">
        <v>64</v>
      </c>
      <c r="D73" s="164" t="s">
        <v>65</v>
      </c>
      <c r="E73" s="115"/>
      <c r="F73" s="119"/>
      <c r="G73" s="110"/>
      <c r="H73" s="121"/>
      <c r="I73" s="121"/>
      <c r="J73" s="121"/>
      <c r="K73" s="66"/>
      <c r="L73" s="66"/>
      <c r="M73" s="66"/>
      <c r="N73" s="66"/>
    </row>
    <row r="74" spans="1:14" ht="16.5" customHeight="1">
      <c r="A74" s="268" t="s">
        <v>58</v>
      </c>
      <c r="B74" s="304">
        <v>160930.17</v>
      </c>
      <c r="C74" s="454">
        <f>C69</f>
        <v>175284.825924</v>
      </c>
      <c r="D74" s="462">
        <f>B74-C74</f>
        <v>-14354.655923999992</v>
      </c>
      <c r="E74" s="115"/>
      <c r="F74" s="119"/>
      <c r="G74" s="110"/>
      <c r="H74" s="121"/>
      <c r="I74" s="121"/>
      <c r="J74" s="121" t="s">
        <v>26</v>
      </c>
      <c r="K74" s="66"/>
      <c r="L74" s="66"/>
      <c r="M74" s="66"/>
      <c r="N74" s="66"/>
    </row>
    <row r="75" spans="1:14" ht="15.75">
      <c r="A75" s="268" t="s">
        <v>59</v>
      </c>
      <c r="B75" s="308">
        <v>186580.64</v>
      </c>
      <c r="C75" s="454">
        <f>C70</f>
        <v>175280.39709699998</v>
      </c>
      <c r="D75" s="462">
        <f>B75-C75</f>
        <v>11300.242903000035</v>
      </c>
      <c r="E75" s="115"/>
      <c r="F75" s="119"/>
      <c r="G75" s="110"/>
      <c r="H75" s="121"/>
      <c r="I75" s="121"/>
      <c r="J75" s="121"/>
      <c r="K75" s="66"/>
      <c r="L75" s="66"/>
      <c r="M75" s="66"/>
      <c r="N75" s="66"/>
    </row>
    <row r="76" spans="1:14" ht="15.75">
      <c r="A76" s="268" t="s">
        <v>318</v>
      </c>
      <c r="B76" s="308">
        <v>105187.77</v>
      </c>
      <c r="C76" s="454">
        <f>B76</f>
        <v>105187.77</v>
      </c>
      <c r="D76" s="472">
        <f>B76-C76</f>
        <v>0</v>
      </c>
      <c r="E76" s="115"/>
      <c r="F76" s="119"/>
      <c r="G76" s="110"/>
      <c r="H76" s="121"/>
      <c r="I76" s="121"/>
      <c r="J76" s="121"/>
      <c r="K76" s="66"/>
      <c r="L76" s="66"/>
      <c r="M76" s="66"/>
      <c r="N76" s="66"/>
    </row>
    <row r="77" spans="1:14" ht="16.5" thickBot="1">
      <c r="A77" s="270" t="s">
        <v>61</v>
      </c>
      <c r="B77" s="309">
        <v>221584.84</v>
      </c>
      <c r="C77" s="474">
        <f>B77</f>
        <v>221584.84</v>
      </c>
      <c r="D77" s="473">
        <f>B77-C77</f>
        <v>0</v>
      </c>
      <c r="E77" s="115"/>
      <c r="F77" s="119"/>
      <c r="G77" s="110"/>
      <c r="H77" s="121" t="s">
        <v>26</v>
      </c>
      <c r="I77" s="121"/>
      <c r="J77" s="121"/>
      <c r="K77" s="66"/>
      <c r="L77" s="66"/>
      <c r="M77" s="66"/>
      <c r="N77" s="66"/>
    </row>
    <row r="78" spans="1:14" ht="15.75">
      <c r="A78" s="250"/>
      <c r="B78" s="251"/>
      <c r="C78" s="447"/>
      <c r="D78" s="448"/>
      <c r="E78" s="115"/>
      <c r="F78" s="119"/>
      <c r="G78" s="110"/>
      <c r="H78" s="121"/>
      <c r="I78" s="121"/>
      <c r="J78" s="121"/>
      <c r="K78" s="66"/>
      <c r="L78" s="66"/>
      <c r="M78" s="66"/>
      <c r="N78" s="66"/>
    </row>
    <row r="79" spans="1:14" ht="26.25">
      <c r="A79" s="254" t="s">
        <v>66</v>
      </c>
      <c r="B79" s="251" t="s">
        <v>11</v>
      </c>
      <c r="C79" s="449"/>
      <c r="D79" s="450">
        <v>73092.88</v>
      </c>
      <c r="E79" s="115"/>
      <c r="F79" s="119"/>
      <c r="G79" s="110"/>
      <c r="H79" s="121"/>
      <c r="I79" s="121"/>
      <c r="J79" s="121" t="s">
        <v>26</v>
      </c>
      <c r="K79" s="66"/>
      <c r="L79" s="66"/>
      <c r="M79" s="66"/>
      <c r="N79" s="66"/>
    </row>
    <row r="80" spans="1:14" ht="17.25" customHeight="1">
      <c r="A80" s="495" t="s">
        <v>67</v>
      </c>
      <c r="B80" s="495"/>
      <c r="C80" s="495"/>
      <c r="D80" s="495"/>
      <c r="E80" s="122"/>
      <c r="F80" s="121"/>
      <c r="G80" s="110"/>
      <c r="H80" s="123" t="e">
        <f>E80-B18</f>
        <v>#VALUE!</v>
      </c>
      <c r="I80" s="121"/>
      <c r="J80" s="121"/>
      <c r="K80" s="66"/>
      <c r="L80" s="66"/>
      <c r="M80" s="66"/>
      <c r="N80" s="66"/>
    </row>
    <row r="81" spans="1:10" ht="21" customHeight="1">
      <c r="A81" s="87" t="s">
        <v>45</v>
      </c>
      <c r="B81" s="87" t="s">
        <v>46</v>
      </c>
      <c r="C81" s="87"/>
      <c r="D81" s="179">
        <v>0</v>
      </c>
      <c r="E81" s="124"/>
      <c r="F81" s="110"/>
      <c r="G81" s="110"/>
      <c r="H81" s="110"/>
      <c r="I81" s="110"/>
      <c r="J81" s="110"/>
    </row>
    <row r="82" spans="1:10" ht="21" customHeight="1">
      <c r="A82" s="87" t="s">
        <v>47</v>
      </c>
      <c r="B82" s="87" t="s">
        <v>46</v>
      </c>
      <c r="C82" s="87"/>
      <c r="D82" s="179">
        <v>0</v>
      </c>
      <c r="E82" s="124"/>
      <c r="F82" s="110"/>
      <c r="G82" s="110"/>
      <c r="H82" s="110"/>
      <c r="I82" s="110"/>
      <c r="J82" s="110"/>
    </row>
    <row r="83" spans="1:5" ht="18" customHeight="1">
      <c r="A83" s="87" t="s">
        <v>48</v>
      </c>
      <c r="B83" s="87" t="s">
        <v>46</v>
      </c>
      <c r="C83" s="87"/>
      <c r="D83" s="179">
        <v>0</v>
      </c>
      <c r="E83" s="124"/>
    </row>
    <row r="84" spans="1:5" ht="16.5" customHeight="1">
      <c r="A84" s="87" t="s">
        <v>49</v>
      </c>
      <c r="B84" s="87" t="s">
        <v>11</v>
      </c>
      <c r="C84" s="87"/>
      <c r="D84" s="179">
        <v>0</v>
      </c>
      <c r="E84" s="124"/>
    </row>
    <row r="85" spans="1:5" ht="15.75" customHeight="1">
      <c r="A85" s="489" t="s">
        <v>68</v>
      </c>
      <c r="B85" s="489"/>
      <c r="C85" s="489"/>
      <c r="D85" s="489"/>
      <c r="E85" s="124"/>
    </row>
    <row r="86" spans="1:5" ht="18.75" customHeight="1">
      <c r="A86" s="87" t="s">
        <v>69</v>
      </c>
      <c r="B86" s="87" t="s">
        <v>46</v>
      </c>
      <c r="C86" s="87"/>
      <c r="D86" s="179">
        <v>0</v>
      </c>
      <c r="E86" s="124"/>
    </row>
    <row r="87" spans="1:5" ht="21.75" customHeight="1">
      <c r="A87" s="87" t="s">
        <v>70</v>
      </c>
      <c r="B87" s="257" t="s">
        <v>46</v>
      </c>
      <c r="C87" s="257"/>
      <c r="D87" s="179">
        <v>3</v>
      </c>
      <c r="E87" s="124"/>
    </row>
    <row r="88" spans="1:5" ht="36" customHeight="1">
      <c r="A88" s="258" t="s">
        <v>71</v>
      </c>
      <c r="B88" s="87" t="s">
        <v>11</v>
      </c>
      <c r="C88" s="87"/>
      <c r="D88" s="179">
        <v>54130</v>
      </c>
      <c r="E88" s="89"/>
    </row>
    <row r="89" spans="1:4" ht="15.75">
      <c r="A89" s="259"/>
      <c r="B89" s="259"/>
      <c r="C89" s="259"/>
      <c r="D89" s="260"/>
    </row>
    <row r="90" spans="1:14" s="1" customFormat="1" ht="12.75">
      <c r="A90" s="180"/>
      <c r="B90" s="180"/>
      <c r="C90" s="180"/>
      <c r="D90" s="180"/>
      <c r="H90" s="1" t="s">
        <v>26</v>
      </c>
      <c r="K90"/>
      <c r="L90"/>
      <c r="M90"/>
      <c r="N90"/>
    </row>
    <row r="91" spans="1:14" s="1" customFormat="1" ht="12.75">
      <c r="A91" s="185" t="s">
        <v>207</v>
      </c>
      <c r="B91" s="180"/>
      <c r="C91" s="180"/>
      <c r="D91" s="180"/>
      <c r="K91"/>
      <c r="L91"/>
      <c r="M91"/>
      <c r="N91"/>
    </row>
    <row r="92" spans="1:14" s="1" customFormat="1" ht="12.75">
      <c r="A92" s="180"/>
      <c r="B92" s="180"/>
      <c r="C92" s="180"/>
      <c r="D92" s="180"/>
      <c r="H92" s="1" t="s">
        <v>26</v>
      </c>
      <c r="K92"/>
      <c r="L92"/>
      <c r="M92"/>
      <c r="N92"/>
    </row>
    <row r="93" spans="1:14" s="1" customFormat="1" ht="12.75">
      <c r="A93" s="180" t="s">
        <v>73</v>
      </c>
      <c r="B93" s="180"/>
      <c r="C93" s="180"/>
      <c r="D93" s="180"/>
      <c r="K93"/>
      <c r="L93"/>
      <c r="M93"/>
      <c r="N93"/>
    </row>
    <row r="97" spans="1:14" s="1" customFormat="1" ht="12.75">
      <c r="A97"/>
      <c r="B97"/>
      <c r="C97"/>
      <c r="D97"/>
      <c r="E97" s="1" t="s">
        <v>26</v>
      </c>
      <c r="K97"/>
      <c r="L97"/>
      <c r="M97"/>
      <c r="N97"/>
    </row>
  </sheetData>
  <sheetProtection selectLockedCells="1" selectUnlockedCells="1"/>
  <mergeCells count="13">
    <mergeCell ref="A85:D85"/>
    <mergeCell ref="A14:D14"/>
    <mergeCell ref="A28:D28"/>
    <mergeCell ref="A55:D55"/>
    <mergeCell ref="A60:D60"/>
    <mergeCell ref="A67:D67"/>
    <mergeCell ref="A80:D8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Сметчик</cp:lastModifiedBy>
  <cp:lastPrinted>2020-03-19T06:37:57Z</cp:lastPrinted>
  <dcterms:created xsi:type="dcterms:W3CDTF">2016-10-21T05:17:14Z</dcterms:created>
  <dcterms:modified xsi:type="dcterms:W3CDTF">2020-03-25T11:18:38Z</dcterms:modified>
  <cp:category/>
  <cp:version/>
  <cp:contentType/>
  <cp:contentStatus/>
</cp:coreProperties>
</file>