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tabRatio="784" firstSheet="45" activeTab="52"/>
  </bookViews>
  <sheets>
    <sheet name="Пл. 1 Мая 1" sheetId="1" r:id="rId1"/>
    <sheet name="Пл. 1 Мая 2" sheetId="2" r:id="rId2"/>
    <sheet name="Гидростроительная 10а " sheetId="3" r:id="rId3"/>
    <sheet name="Гидростроительная 12" sheetId="4" r:id="rId4"/>
    <sheet name="Гидростроительная 14" sheetId="5" r:id="rId5"/>
    <sheet name="Гидростроительная 16" sheetId="6" r:id="rId6"/>
    <sheet name="Гидростроительная 18" sheetId="7" r:id="rId7"/>
    <sheet name="Гидростроительная 20" sheetId="8" r:id="rId8"/>
    <sheet name="Гидростроительная 24" sheetId="9" r:id="rId9"/>
    <sheet name="Гидростроительная 26" sheetId="10" r:id="rId10"/>
    <sheet name="Школьная 1" sheetId="11" r:id="rId11"/>
    <sheet name="Гостиная 2" sheetId="12" r:id="rId12"/>
    <sheet name="Гостиная 9" sheetId="13" r:id="rId13"/>
    <sheet name="Гостиная 11" sheetId="14" r:id="rId14"/>
    <sheet name="Гостиная 13" sheetId="15" r:id="rId15"/>
    <sheet name="Гостиная 15" sheetId="16" r:id="rId16"/>
    <sheet name="Гостиная 18" sheetId="17" r:id="rId17"/>
    <sheet name="Лист1" sheetId="18" r:id="rId18"/>
    <sheet name="Дамбовая 4" sheetId="19" r:id="rId19"/>
    <sheet name="Клубная 1а" sheetId="20" r:id="rId20"/>
    <sheet name="Кржижановского 2" sheetId="21" r:id="rId21"/>
    <sheet name="Кржижановского 3" sheetId="22" r:id="rId22"/>
    <sheet name="Овражная 2" sheetId="23" r:id="rId23"/>
    <sheet name="Овражная 5" sheetId="24" r:id="rId24"/>
    <sheet name="Овражная 9" sheetId="25" r:id="rId25"/>
    <sheet name="пер. Энергетиков 1" sheetId="26" r:id="rId26"/>
    <sheet name="пер. Энергетиков 2" sheetId="27" r:id="rId27"/>
    <sheet name="пер. Энергетиков 3" sheetId="28" r:id="rId28"/>
    <sheet name="пер. Энергетиков 5" sheetId="29" r:id="rId29"/>
    <sheet name="Первомайская 4" sheetId="30" r:id="rId30"/>
    <sheet name="Первомайская 6" sheetId="31" r:id="rId31"/>
    <sheet name="Первомайская 7" sheetId="32" r:id="rId32"/>
    <sheet name="Первомайская 10" sheetId="33" r:id="rId33"/>
    <sheet name="Первомайская 11" sheetId="34" r:id="rId34"/>
    <sheet name="Первомайская 14" sheetId="35" r:id="rId35"/>
    <sheet name="Первомайская 16" sheetId="36" r:id="rId36"/>
    <sheet name="Первомайская 18" sheetId="37" r:id="rId37"/>
    <sheet name="Плотничная 3" sheetId="38" r:id="rId38"/>
    <sheet name="Плотничная 4" sheetId="39" r:id="rId39"/>
    <sheet name="Рабочая 2" sheetId="40" r:id="rId40"/>
    <sheet name="Рабочая 12" sheetId="41" r:id="rId41"/>
    <sheet name="Рабочая 14" sheetId="42" r:id="rId42"/>
    <sheet name="Рабочая 16" sheetId="43" r:id="rId43"/>
    <sheet name="Рабочая 20" sheetId="44" r:id="rId44"/>
    <sheet name="С.Ковалевской 3" sheetId="45" r:id="rId45"/>
    <sheet name="С.Ковалевской 6" sheetId="46" r:id="rId46"/>
    <sheet name="Северная 2" sheetId="47" r:id="rId47"/>
    <sheet name="Северная 3" sheetId="48" r:id="rId48"/>
    <sheet name="Северная 9" sheetId="49" r:id="rId49"/>
    <sheet name="Семашко 5" sheetId="50" r:id="rId50"/>
    <sheet name="Семашко 20" sheetId="51" r:id="rId51"/>
    <sheet name="Учительская 28" sheetId="52" r:id="rId52"/>
    <sheet name="Семашко,23" sheetId="53" r:id="rId53"/>
    <sheet name="Лист17" sheetId="54" r:id="rId54"/>
    <sheet name="Лист2" sheetId="55" r:id="rId55"/>
  </sheets>
  <definedNames>
    <definedName name="Excel_BuiltIn_Print_Area_1_1">#REF!</definedName>
    <definedName name="Excel_BuiltIn_Print_Area_1_1_1">#REF!</definedName>
  </definedNames>
  <calcPr fullCalcOnLoad="1"/>
</workbook>
</file>

<file path=xl/sharedStrings.xml><?xml version="1.0" encoding="utf-8"?>
<sst xmlns="http://schemas.openxmlformats.org/spreadsheetml/2006/main" count="7988" uniqueCount="328">
  <si>
    <t xml:space="preserve"> ОТЧЕТ    </t>
  </si>
  <si>
    <t>ДОГОВОРА УПРАВЛЕНИЯ МНОГОКВАРТИРНЫМ ДОМОМ</t>
  </si>
  <si>
    <t>Ф2.8 согласно приказа №882/пр. от 22.12.2014г. Министерства строительства и жилищно-коммунального хозяйства РФ</t>
  </si>
  <si>
    <t>Наименование параметра</t>
  </si>
  <si>
    <t>ед. изм.</t>
  </si>
  <si>
    <t>значение</t>
  </si>
  <si>
    <t xml:space="preserve"> Дата заполнения/внесения изменений</t>
  </si>
  <si>
    <t xml:space="preserve"> Начало отчетного периода</t>
  </si>
  <si>
    <t>Дата конца отчетного периода.</t>
  </si>
  <si>
    <t>1.'Общая информация о выполняемых работах (оказываемых услугах) по содержанию и текущему ремонту общего имущества</t>
  </si>
  <si>
    <t xml:space="preserve">Переходящие остатки денежных средств (на начало периода) по содержанию и  текущему ремонту </t>
  </si>
  <si>
    <t>руб.</t>
  </si>
  <si>
    <t>переплата потребителями</t>
  </si>
  <si>
    <t>задолженность потребителей</t>
  </si>
  <si>
    <t xml:space="preserve">.'Начислено за работы (услуги) по содержанию и текущему ремонту,в том числе:      </t>
  </si>
  <si>
    <t>за содержание дома</t>
  </si>
  <si>
    <t>за текущий ремонт</t>
  </si>
  <si>
    <t>за услуги управления</t>
  </si>
  <si>
    <t xml:space="preserve"> Получено денежных средств, в т.ч.:    </t>
  </si>
  <si>
    <t>х</t>
  </si>
  <si>
    <t xml:space="preserve"> денежных средств от потребителей</t>
  </si>
  <si>
    <t>целевых взносов от потребителей</t>
  </si>
  <si>
    <t>.</t>
  </si>
  <si>
    <t>субсидий</t>
  </si>
  <si>
    <t>денежных средств от использования общего имущества</t>
  </si>
  <si>
    <t>Всего денежных средств средств с учетом остатков</t>
  </si>
  <si>
    <t xml:space="preserve"> </t>
  </si>
  <si>
    <t>2.'Выполненные работы (оказанные услуги) по содержанию общего имущества и текущему ремонту в отчетном периоде</t>
  </si>
  <si>
    <t xml:space="preserve">Наименование работ и    услуг     (указывается в       соответствии с договором  управления) </t>
  </si>
  <si>
    <t xml:space="preserve">Периодичность (срок     выполнения)  по факту   </t>
  </si>
  <si>
    <t>Исполнитель услуги</t>
  </si>
  <si>
    <t>Расходы по содержанию жилья за год (руб)</t>
  </si>
  <si>
    <t xml:space="preserve">Обслуживание общестроит.конструкций </t>
  </si>
  <si>
    <t>2 раза в год</t>
  </si>
  <si>
    <t>ООО "ВДС-Сервис"</t>
  </si>
  <si>
    <t>ежедневно</t>
  </si>
  <si>
    <t xml:space="preserve">Проверка дымоходов и вентканалов </t>
  </si>
  <si>
    <t>ООО "Патриот"</t>
  </si>
  <si>
    <t xml:space="preserve">Управление многоквартирным домом </t>
  </si>
  <si>
    <t>ООО "ДУК"</t>
  </si>
  <si>
    <t>Текущий ремонт</t>
  </si>
  <si>
    <t>Согласно плана и по мере необходимости</t>
  </si>
  <si>
    <t>ИТОГО:</t>
  </si>
  <si>
    <t>Переходящие остатки денежных средств (на конец периода) :</t>
  </si>
  <si>
    <t>3. 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</si>
  <si>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</si>
  <si>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</si>
  <si>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</si>
  <si>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</si>
  <si>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</si>
  <si>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4.Общая информация по предоставленным коммунальным услугам</t>
  </si>
  <si>
    <t>Пеоеходящие остатки денежных средств (на начало периода), втом числе:</t>
  </si>
  <si>
    <t>Переходящие остатки денежных средств (на конец,периода)в том числе:</t>
  </si>
  <si>
    <t>5,Информация о предоставленных коммунальных услугах</t>
  </si>
  <si>
    <t>Вид коммунальной услуги, ед.изм., общий объем потребления</t>
  </si>
  <si>
    <t>Начислено потребителям (руб.)</t>
  </si>
  <si>
    <t>Оплачено потребителями (руб.)</t>
  </si>
  <si>
    <t>Задолженность потребителей            (руб.)</t>
  </si>
  <si>
    <t xml:space="preserve">водоснабжение                  </t>
  </si>
  <si>
    <t xml:space="preserve">водоотведение                  </t>
  </si>
  <si>
    <t xml:space="preserve">теплоснабжение                 </t>
  </si>
  <si>
    <t xml:space="preserve">электроснабжение               </t>
  </si>
  <si>
    <t>Вид коммунальной услуги</t>
  </si>
  <si>
    <t>Начислено поставщиком коммунального ресурса (руб.)</t>
  </si>
  <si>
    <t>Оплачено поставщику коммунального ресурса (руб.)</t>
  </si>
  <si>
    <t>Задолженность перед поставщиком коммунального ресурса (руб.)</t>
  </si>
  <si>
    <t>Сумма пени и штрафов, уплаченные поставщику коммунального ресурса</t>
  </si>
  <si>
    <t>6. Информация о наличии претензий по качеству предоставленных коммунальных услуг</t>
  </si>
  <si>
    <t>7. 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</si>
  <si>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</si>
  <si>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</si>
  <si>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</si>
  <si>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Руководитель управляющей организации /____________________________________/_____________________________________________</t>
  </si>
  <si>
    <t>М.П.</t>
  </si>
  <si>
    <t>ПО АДРЕСУ г. Заволжье, ул. Гидростроительная д.10а</t>
  </si>
  <si>
    <t xml:space="preserve">Содержание придомовой территории </t>
  </si>
  <si>
    <t>5 раз в неделю</t>
  </si>
  <si>
    <t>ООО "Жилищные услуги"</t>
  </si>
  <si>
    <t>4 раза в год</t>
  </si>
  <si>
    <t>Обслуживание систем электроснабжения</t>
  </si>
  <si>
    <t>Обслуживание внутридомовых систем  (ХВС, ВО, отопления)</t>
  </si>
  <si>
    <t xml:space="preserve">Аварийно-диспетчерское обслуживание  </t>
  </si>
  <si>
    <t>круглосуточно</t>
  </si>
  <si>
    <t>ё</t>
  </si>
  <si>
    <t>ПО АДРЕСУ г. Заволжье, ул. Гидростроительная д.12</t>
  </si>
  <si>
    <t xml:space="preserve">Обслуживание газового оборудования </t>
  </si>
  <si>
    <t>ПО АДРЕСУ г. Заволжье, ул. Гидростроительная д.14</t>
  </si>
  <si>
    <t>ПО АДРЕСУ г. Заволжье, ул. Гидростроительная д.16</t>
  </si>
  <si>
    <t>ПО АДРЕСУ г. Заволжье, ул. Гидростроительная д.18</t>
  </si>
  <si>
    <t>ПО АДРЕСУ г. Заволжье, ул. Гидростроительная д.20</t>
  </si>
  <si>
    <t>Обслуживание внутридомовых систем  (ХВС, ВО, )</t>
  </si>
  <si>
    <t>ПО АДРЕСУ г. Заволжье, ул. Гидростроительная д.24</t>
  </si>
  <si>
    <t>Обслуживание внутридомовых систем  (ХВС, ВО,)</t>
  </si>
  <si>
    <t>ПО АДРЕСУ г. Заволжье, ул. Гидростроительная д.26</t>
  </si>
  <si>
    <t>ПО АДРЕСУ г. Заволжье, ул. Школьная 1</t>
  </si>
  <si>
    <t>ПО АДРЕСУ г. Заволжье, ул. Гостиная 2</t>
  </si>
  <si>
    <t xml:space="preserve">прочие поступления </t>
  </si>
  <si>
    <t>Обслуживание внутридомовых систем  (ХВС, отопления)</t>
  </si>
  <si>
    <t>ПО АДРЕСУ г. Заволжье, ул. Гостиная 9</t>
  </si>
  <si>
    <t>Обслуживание внутридомовых систем  (ХВС)</t>
  </si>
  <si>
    <t>ПО АДРЕСУ г. Заволжье, ул. Гостиная 11</t>
  </si>
  <si>
    <t>ПО АДРЕСУ г. Заволжье, ул. Гостиная 13</t>
  </si>
  <si>
    <t>ПО АДРЕСУ г. Заволжье, ул. Гостиная 15</t>
  </si>
  <si>
    <t>ПО АДРЕСУ г. Заволжье, ул. Гостиная 18</t>
  </si>
  <si>
    <t>ПО АДРЕСУ г. Заволжье, ул. Дамбовая 4</t>
  </si>
  <si>
    <t>ПО АДРЕСУ г. Заволжье, ул. Клубная 1а</t>
  </si>
  <si>
    <t>Обслуживание внутридомовых систем  (ХВС,  отопления)</t>
  </si>
  <si>
    <t>ПО АДРЕСУ г. Заволжье, ул. Кржижановского 2</t>
  </si>
  <si>
    <t>ПО АДРЕСУ г. Заволжье, ул. Кржижановского 3</t>
  </si>
  <si>
    <t>ПО АДРЕСУ г. Заволжье, ул. Овражная 2</t>
  </si>
  <si>
    <t>ПО АДРЕСУ г. Заволжье, ул. Овражная 5</t>
  </si>
  <si>
    <t>ПО АДРЕСУ г. Заволжье, ул. Овражная 9</t>
  </si>
  <si>
    <t>ПО АДРЕСУ г. Заволжье, пер. Энергетиков, 1</t>
  </si>
  <si>
    <t>ПО АДРЕСУ г. Заволжье, пер. Энергетиков, 2</t>
  </si>
  <si>
    <t>ПО АДРЕСУ г. Заволжье, пер. Энергетиков, 3</t>
  </si>
  <si>
    <t>ПО АДРЕСУ г. Заволжье, пер. Энергетиков, 5</t>
  </si>
  <si>
    <t>ПО АДРЕСУ г. Заволжье, пер. Первомайская 4</t>
  </si>
  <si>
    <t>ПО АДРЕСУ г. Заволжье, пер. Первомайская 7</t>
  </si>
  <si>
    <t>ПО АДРЕСУ г. Заволжье, пер. Первомайская 10</t>
  </si>
  <si>
    <t>ПО АДРЕСУ г. Заволжье, пер. Первомайская 11</t>
  </si>
  <si>
    <t>ПО АДРЕСУ г. Заволжье, пер. Первомайская 14</t>
  </si>
  <si>
    <t>ПО АДРЕСУ г. Заволжье, пер. Первомайская 16</t>
  </si>
  <si>
    <t>ПО АДРЕСУ г. Заволжье, Пл. 1 Мая 1</t>
  </si>
  <si>
    <t>ПО АДРЕСУ г. Заволжье, Пл. 1 Мая 2</t>
  </si>
  <si>
    <t xml:space="preserve">ПО АДРЕСУ г. Заволжье, Плотничная 3 </t>
  </si>
  <si>
    <t>ПО АДРЕСУ г. Заволжье, Плотничная 4</t>
  </si>
  <si>
    <t>ПО АДРЕСУ г. Заволжье, Рабочая 2</t>
  </si>
  <si>
    <t>ПО АДРЕСУ г. Заволжье, Рабочая 12</t>
  </si>
  <si>
    <t>ПО АДРЕСУ г. Заволжье, Рабочая 14</t>
  </si>
  <si>
    <t>ПО АДРЕСУ г. Заволжье, Рабочая 16</t>
  </si>
  <si>
    <t>ПО АДРЕСУ г. Заволжье, Рабочая 20</t>
  </si>
  <si>
    <t>ПО АДРЕСУ г. Заволжье, С.Ковалевской 3</t>
  </si>
  <si>
    <t>ПО АДРЕСУ г. Заволжье, С.Ковалевской 6</t>
  </si>
  <si>
    <t>ПО АДРЕСУ г. Заволжье, Северная 2</t>
  </si>
  <si>
    <t>ПО АДРЕСУ г. Заволжье, Северная 3</t>
  </si>
  <si>
    <t>ПО АДРЕСУ г. Заволжье, Северная 9</t>
  </si>
  <si>
    <t>ПО АДРЕСУ г. Заволжье, Семашко 5</t>
  </si>
  <si>
    <t>ПО АДРЕСУ г. Заволжье, Семашко 20</t>
  </si>
  <si>
    <t>ООО "ВДС-Сервис" ООО "Электроник"</t>
  </si>
  <si>
    <t>ПО АДРЕСУ г. Заволжье, Семашко 23</t>
  </si>
  <si>
    <t>ПО АДРЕСУ г. Заволжье, Учительская 28</t>
  </si>
  <si>
    <t>Кузьмичев Е.М./</t>
  </si>
  <si>
    <t>Sдома (279,7м2)</t>
  </si>
  <si>
    <t>Sдома=466,9м2</t>
  </si>
  <si>
    <t>май</t>
  </si>
  <si>
    <t>декабрь</t>
  </si>
  <si>
    <t>август</t>
  </si>
  <si>
    <t>ремонт кровли</t>
  </si>
  <si>
    <t>сентябрь</t>
  </si>
  <si>
    <t>ноябрь</t>
  </si>
  <si>
    <t>S=611,10м2</t>
  </si>
  <si>
    <t>июнь</t>
  </si>
  <si>
    <t>июль</t>
  </si>
  <si>
    <t>Sдома =387,05м2</t>
  </si>
  <si>
    <t>апрель</t>
  </si>
  <si>
    <t>Sдома=1335,3м2</t>
  </si>
  <si>
    <t>Sдома=102,25м2</t>
  </si>
  <si>
    <t>Sдома=1663,70м2</t>
  </si>
  <si>
    <t>S=1670,70м2</t>
  </si>
  <si>
    <t>март</t>
  </si>
  <si>
    <t>Sдома=1934,30м2</t>
  </si>
  <si>
    <t>октябрь</t>
  </si>
  <si>
    <t>Sдома=123,2м2</t>
  </si>
  <si>
    <t>Sдома=103,1м2</t>
  </si>
  <si>
    <t>Sдома=107,3м2</t>
  </si>
  <si>
    <t>Sдома=377м2</t>
  </si>
  <si>
    <t>Sдома=134,5м2</t>
  </si>
  <si>
    <t>Sдома=1265,10м2</t>
  </si>
  <si>
    <t>Обслуживание внутридомовых систем  (ХВС,  отопления,водоотведения)</t>
  </si>
  <si>
    <t>Sдома=99,70м2</t>
  </si>
  <si>
    <t>Sдома=111м2</t>
  </si>
  <si>
    <t>Sдома=47,1м2</t>
  </si>
  <si>
    <t>Обслуживание внутридомовых систем  (ХВС,)</t>
  </si>
  <si>
    <t>Sдома=162,6м2</t>
  </si>
  <si>
    <t xml:space="preserve">Обслуживание внутридомовых систем  </t>
  </si>
  <si>
    <t>Sдома=163,50м2</t>
  </si>
  <si>
    <t>Sдома=87,6м2</t>
  </si>
  <si>
    <t>Обслуживание внутридомовых систем  (ХВС, )</t>
  </si>
  <si>
    <t>Sдома=105м2</t>
  </si>
  <si>
    <t>Обслуживание внутридомовых систем  (ХВС,  )</t>
  </si>
  <si>
    <t>Sдома=57,7м2</t>
  </si>
  <si>
    <t>Sдома=105,4м2</t>
  </si>
  <si>
    <t>S=127,1м2</t>
  </si>
  <si>
    <t>Sдома=54,9м2</t>
  </si>
  <si>
    <t>Sдома=84,8м2</t>
  </si>
  <si>
    <t>Sдома=78,8м2</t>
  </si>
  <si>
    <t>Sдома=120,8м2</t>
  </si>
  <si>
    <t>Sдома=129,7м2</t>
  </si>
  <si>
    <t>Sдома=102,3м2</t>
  </si>
  <si>
    <t>Sдома=94,7м2</t>
  </si>
  <si>
    <t>Sдома=195,9м2</t>
  </si>
  <si>
    <t>Sдома=53,40м2</t>
  </si>
  <si>
    <t>Sдома=79,8м2</t>
  </si>
  <si>
    <t>Sдома=90,7м2</t>
  </si>
  <si>
    <t>Sдома=135,3м2</t>
  </si>
  <si>
    <t>Кузьмичев Е.М.</t>
  </si>
  <si>
    <t>Руководитель управляющей организации /____________________________________/_Кузьмичев Е.М.________________</t>
  </si>
  <si>
    <t>Руководитель управляющей организации /____________________________________/Кузьмичев Е.М.________________</t>
  </si>
  <si>
    <t>Руководитель управляющей организации /____________________________________/Кузьмичев Е.М.__________________</t>
  </si>
  <si>
    <t>переплата потребителей</t>
  </si>
  <si>
    <t>Руководитель управляющей организации /____________________________________/     Кузьмичев Е.М./</t>
  </si>
  <si>
    <t>Текущий ремонт и подготовка к сезонной эксплуатации, в том числе</t>
  </si>
  <si>
    <t>Текущий ремонт и подготовка к сезонной эксплуатации , в том числе</t>
  </si>
  <si>
    <t xml:space="preserve">Текущий ремонт и подготовка к сезонной эксплуатации, в том числе </t>
  </si>
  <si>
    <t>Текущий ремонт и подготовка к сезонной эксплуатации ,в том числе</t>
  </si>
  <si>
    <t>Текущий ремонт и подготовка к сезонной эксплуатации</t>
  </si>
  <si>
    <t>Текущий ремонт и подготовка к сезонной эксплуатации в том числе:</t>
  </si>
  <si>
    <t>Текущий ремонт и подготовка к сезонной эксплуатации, в том числе:</t>
  </si>
  <si>
    <t>Текущий ремонт и подготовка к сезонной эксплуатации,в том числе</t>
  </si>
  <si>
    <t>Использование энергоресурсов в целях содержания общего имущества, в том числе:</t>
  </si>
  <si>
    <t>МУП "Тепловодоканал"</t>
  </si>
  <si>
    <t>Электроэнергии</t>
  </si>
  <si>
    <t>ПАО "ТНС-Энерго"</t>
  </si>
  <si>
    <t>ХВ</t>
  </si>
  <si>
    <t>Использование энергоресурсов в целях содержания общего имущества:</t>
  </si>
  <si>
    <t>Текущий ремонт в том числе</t>
  </si>
  <si>
    <t>Текущий ремонт,в том числе</t>
  </si>
  <si>
    <t xml:space="preserve">Текущий ремонт </t>
  </si>
  <si>
    <t>текущий ремонт</t>
  </si>
  <si>
    <t>Текущий ремонт (в том числе)</t>
  </si>
  <si>
    <t>УПРАВЛЯЮЩЕЙ ОРГАНИЗАЦИИ ООО «Прибрежье» О ВЫПОЛНЕНИИ</t>
  </si>
  <si>
    <t>ООО "Прибрежье"</t>
  </si>
  <si>
    <t>1 раз в год</t>
  </si>
  <si>
    <t>Sдома=140,2м2</t>
  </si>
  <si>
    <t>УПРАВЛЯЮЩЕЙ ОРГАНИЗАЦИИ ООО «Проибрежье» О ВЫПОЛНЕНИИ</t>
  </si>
  <si>
    <t>февраль</t>
  </si>
  <si>
    <t>ремонт отмостки</t>
  </si>
  <si>
    <t>ИП Тупова А.Г.</t>
  </si>
  <si>
    <t>смена замка в подвале</t>
  </si>
  <si>
    <t>смена светильников на светодиодные</t>
  </si>
  <si>
    <t>смена участка канализации в подвале</t>
  </si>
  <si>
    <t>Итого</t>
  </si>
  <si>
    <t>монтаж флюгарка</t>
  </si>
  <si>
    <t>Обслуживание газового оборудования</t>
  </si>
  <si>
    <t>Текущий ремонт и подготовка к  сезонной эксплуатации,  в том числе:</t>
  </si>
  <si>
    <t>Переходящие остатки денежных средств (на начало периода), втом числе:</t>
  </si>
  <si>
    <t>обращение с ТКО</t>
  </si>
  <si>
    <t>Дератизация и дезинсекция</t>
  </si>
  <si>
    <t>4 раза вгод</t>
  </si>
  <si>
    <t>S=443,48м2</t>
  </si>
  <si>
    <t>Дезинсекция и дератизация</t>
  </si>
  <si>
    <t xml:space="preserve">ООО "ВДС-Сервис"; </t>
  </si>
  <si>
    <t>Ремонт подъезда</t>
  </si>
  <si>
    <t>возврат мат-в</t>
  </si>
  <si>
    <t>Sдома=1121,96м2</t>
  </si>
  <si>
    <t>(ВОЗВРАТ МАТЕРИАЛОВ)</t>
  </si>
  <si>
    <t>Sдома=144,4м2</t>
  </si>
  <si>
    <t>(возврат мат-в)</t>
  </si>
  <si>
    <t>Sдома=157,4м2</t>
  </si>
  <si>
    <t>Sдома=83,1м2</t>
  </si>
  <si>
    <t xml:space="preserve">Обслуживание внутридомовых систем </t>
  </si>
  <si>
    <t>Sдома=145,8м2</t>
  </si>
  <si>
    <t>Sдома=968,7 м2</t>
  </si>
  <si>
    <t>ремонт завалинки</t>
  </si>
  <si>
    <t>Sдома=119,5м2</t>
  </si>
  <si>
    <t>Sдома=104,2м2</t>
  </si>
  <si>
    <t>*(возврат материалов)</t>
  </si>
  <si>
    <t>Sдома=194,6,2м2</t>
  </si>
  <si>
    <t>субсидий (возврат ден. средств от администрации г. Заволжья)</t>
  </si>
  <si>
    <t>ПО АДРЕСУ г. Заволжье, пер. Первомайская 18</t>
  </si>
  <si>
    <t>Sдома=100,5м2</t>
  </si>
  <si>
    <t>за 2020</t>
  </si>
  <si>
    <t>1 квартал 2021г.</t>
  </si>
  <si>
    <t>01.01.2020г.</t>
  </si>
  <si>
    <t>31.12.20209г.</t>
  </si>
  <si>
    <t>установка информационной доски</t>
  </si>
  <si>
    <t>ЗА 2020 ГОД</t>
  </si>
  <si>
    <t>31.12.2020г.</t>
  </si>
  <si>
    <t>ООО "Промэнергостройсервис"</t>
  </si>
  <si>
    <t>ремонт крышки септиков</t>
  </si>
  <si>
    <t>ремонт септика</t>
  </si>
  <si>
    <t>закраска надписей на фасаде</t>
  </si>
  <si>
    <t>смена светильника во 2м подъезде</t>
  </si>
  <si>
    <t>смена участка канализации в кв.13</t>
  </si>
  <si>
    <t>смена светильника 1 подъезд, улица</t>
  </si>
  <si>
    <t>изготовление и монтаж козырьков</t>
  </si>
  <si>
    <t>ООО "Металлоконструкция"</t>
  </si>
  <si>
    <t>установка информационных досок в подъездах</t>
  </si>
  <si>
    <t>смена выключателя 1подъезд ,1этаж</t>
  </si>
  <si>
    <t>ремонт площадок крылец</t>
  </si>
  <si>
    <t>смена кранов на стояке отопления в подвале, крана ХВС в кв.26</t>
  </si>
  <si>
    <t>ремонт покрытия кровли балкона кв.8</t>
  </si>
  <si>
    <t>ООО "Альпстрой"</t>
  </si>
  <si>
    <t>смена патронов в светильнике в подвале 2го под-да, окраска скамейки,качелей</t>
  </si>
  <si>
    <t>смена общедомового прибора учета ХВС</t>
  </si>
  <si>
    <t>смена светильников в 3 подъезде 1этажа</t>
  </si>
  <si>
    <t>утепление стыков в подвале</t>
  </si>
  <si>
    <t>смена светильника в 3подъезде, тамбур кв.34-35 Ремонт настенного электрокамина</t>
  </si>
  <si>
    <t>изготовление навесов над входами в подвал и приямками</t>
  </si>
  <si>
    <t>смена выключателя на 1этаже 3 подъезда</t>
  </si>
  <si>
    <t>ремонт наружной стены кв.24</t>
  </si>
  <si>
    <t>смена выключателя в 3 подъезде,1этажа, патрона в светильнике в подвале</t>
  </si>
  <si>
    <t>смена участка ХВС в кв.4</t>
  </si>
  <si>
    <t>ремонт водостоков</t>
  </si>
  <si>
    <t>смена замка в РУ</t>
  </si>
  <si>
    <t>смена счетчика</t>
  </si>
  <si>
    <t>герметизация канализации стояков в подвале кв.32</t>
  </si>
  <si>
    <t>ремонт скамейки</t>
  </si>
  <si>
    <t>январь</t>
  </si>
  <si>
    <t>смена участка отопления в кв.3</t>
  </si>
  <si>
    <t>ремонт крылец 1 и 4 подъездов</t>
  </si>
  <si>
    <t>ООО "ДезСервис"</t>
  </si>
  <si>
    <t>смена N-шины по кв. (19-20); 21,(10-11)</t>
  </si>
  <si>
    <t>01.01.220г.</t>
  </si>
  <si>
    <t>ремонт отмостки и завалинки</t>
  </si>
  <si>
    <t>дез800</t>
  </si>
  <si>
    <t>ЗА 2020ГОД</t>
  </si>
  <si>
    <t>ремонт флюгарка</t>
  </si>
  <si>
    <t>ремонт крыльца</t>
  </si>
  <si>
    <t>смена плафона во 2 подъеде 2 этажа</t>
  </si>
  <si>
    <t>спил дерева</t>
  </si>
  <si>
    <t>ООО Эксплуатационное предприятие №1</t>
  </si>
  <si>
    <t>1 квартал 2021.</t>
  </si>
  <si>
    <t>ремонт кровли, демонтаж печной трубы</t>
  </si>
  <si>
    <t>смена участка отопления кв.3</t>
  </si>
  <si>
    <t>ремонт фундамента и заваленки</t>
  </si>
  <si>
    <t>ремонт отмостки (возмещение мат-в)</t>
  </si>
  <si>
    <t>Установка информационных досок в подъездах</t>
  </si>
  <si>
    <t>установка перил 1го и 2го подъездов</t>
  </si>
  <si>
    <t>смена выключателя в 1м подъезде на 1м.этаже</t>
  </si>
  <si>
    <t>ремонт фасада (возмещение материалов)</t>
  </si>
  <si>
    <t>Sдома=383,9м2</t>
  </si>
  <si>
    <t>Sдома=131,9м2</t>
  </si>
  <si>
    <t>Обслуживание внутридомовых систем  (ХВС,  отопления,В/О)</t>
  </si>
  <si>
    <t>установка информационных досок</t>
  </si>
  <si>
    <t>2520 сч. Э*э</t>
  </si>
  <si>
    <t>смена светильников в 1, 3 подъездах 1этажа</t>
  </si>
  <si>
    <t>ПО АДРЕСУ г. Заволжье, пер. Первомайская 6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</si>
</sst>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#,###.00"/>
    <numFmt numFmtId="174" formatCode="0.000"/>
    <numFmt numFmtId="175" formatCode="0.0000"/>
    <numFmt numFmtId="176" formatCode="0.00000"/>
    <numFmt numFmtId="177" formatCode="#,##0.0"/>
    <numFmt numFmtId="178" formatCode="0.000000"/>
    <numFmt numFmtId="179" formatCode="#,###.0"/>
    <numFmt numFmtId="180" formatCode="#,###"/>
    <numFmt numFmtId="181" formatCode="#,###.000"/>
    <numFmt numFmtId="182" formatCode="0.0"/>
    <numFmt numFmtId="183" formatCode="#,##0.0;\-#,##0.0"/>
  </numFmts>
  <fonts count="64">
    <font>
      <sz val="10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60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12"/>
      <color indexed="16"/>
      <name val="Arial"/>
      <family val="2"/>
    </font>
    <font>
      <sz val="12"/>
      <color indexed="60"/>
      <name val="Arial"/>
      <family val="2"/>
    </font>
    <font>
      <b/>
      <sz val="10"/>
      <color indexed="60"/>
      <name val="Arial"/>
      <family val="2"/>
    </font>
    <font>
      <b/>
      <sz val="12"/>
      <color indexed="9"/>
      <name val="Arial"/>
      <family val="2"/>
    </font>
    <font>
      <b/>
      <sz val="12"/>
      <color indexed="16"/>
      <name val="Arial"/>
      <family val="2"/>
    </font>
    <font>
      <b/>
      <sz val="12"/>
      <color indexed="6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 style="hair">
        <color indexed="8"/>
      </left>
      <right style="thin"/>
      <top style="thin"/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medium"/>
      <top style="hair">
        <color indexed="8"/>
      </top>
      <bottom style="thin"/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hair">
        <color indexed="8"/>
      </left>
      <right style="thin"/>
      <top style="hair">
        <color indexed="8"/>
      </top>
      <bottom style="thin"/>
    </border>
    <border>
      <left style="medium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>
        <color indexed="8"/>
      </right>
      <top style="hair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7" fillId="32" borderId="0" applyNumberFormat="0" applyBorder="0" applyAlignment="0" applyProtection="0"/>
  </cellStyleXfs>
  <cellXfs count="58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left" wrapText="1"/>
    </xf>
    <xf numFmtId="4" fontId="0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0" borderId="11" xfId="0" applyFont="1" applyBorder="1" applyAlignment="1">
      <alignment/>
    </xf>
    <xf numFmtId="2" fontId="6" fillId="33" borderId="10" xfId="0" applyNumberFormat="1" applyFont="1" applyFill="1" applyBorder="1" applyAlignment="1">
      <alignment horizontal="center"/>
    </xf>
    <xf numFmtId="2" fontId="6" fillId="0" borderId="11" xfId="0" applyNumberFormat="1" applyFont="1" applyBorder="1" applyAlignment="1">
      <alignment/>
    </xf>
    <xf numFmtId="0" fontId="4" fillId="0" borderId="10" xfId="0" applyFont="1" applyBorder="1" applyAlignment="1">
      <alignment horizontal="left" wrapText="1"/>
    </xf>
    <xf numFmtId="4" fontId="0" fillId="0" borderId="0" xfId="0" applyNumberFormat="1" applyFont="1" applyAlignment="1">
      <alignment/>
    </xf>
    <xf numFmtId="2" fontId="6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2" fontId="7" fillId="0" borderId="11" xfId="0" applyNumberFormat="1" applyFont="1" applyBorder="1" applyAlignment="1">
      <alignment/>
    </xf>
    <xf numFmtId="0" fontId="0" fillId="0" borderId="12" xfId="0" applyFont="1" applyFill="1" applyBorder="1" applyAlignment="1">
      <alignment wrapText="1"/>
    </xf>
    <xf numFmtId="4" fontId="6" fillId="0" borderId="13" xfId="0" applyNumberFormat="1" applyFont="1" applyFill="1" applyBorder="1" applyAlignment="1">
      <alignment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 wrapText="1"/>
    </xf>
    <xf numFmtId="0" fontId="0" fillId="0" borderId="15" xfId="0" applyFont="1" applyFill="1" applyBorder="1" applyAlignment="1">
      <alignment horizontal="left"/>
    </xf>
    <xf numFmtId="4" fontId="6" fillId="0" borderId="16" xfId="0" applyNumberFormat="1" applyFont="1" applyFill="1" applyBorder="1" applyAlignment="1">
      <alignment/>
    </xf>
    <xf numFmtId="0" fontId="6" fillId="0" borderId="16" xfId="0" applyFont="1" applyFill="1" applyBorder="1" applyAlignment="1">
      <alignment wrapText="1"/>
    </xf>
    <xf numFmtId="0" fontId="0" fillId="0" borderId="17" xfId="0" applyFont="1" applyFill="1" applyBorder="1" applyAlignment="1">
      <alignment horizontal="left"/>
    </xf>
    <xf numFmtId="4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 vertical="top"/>
    </xf>
    <xf numFmtId="4" fontId="6" fillId="0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wrapText="1"/>
    </xf>
    <xf numFmtId="0" fontId="6" fillId="0" borderId="18" xfId="0" applyFont="1" applyBorder="1" applyAlignment="1">
      <alignment vertical="top"/>
    </xf>
    <xf numFmtId="0" fontId="4" fillId="0" borderId="19" xfId="0" applyFont="1" applyFill="1" applyBorder="1" applyAlignment="1">
      <alignment/>
    </xf>
    <xf numFmtId="4" fontId="6" fillId="0" borderId="20" xfId="0" applyNumberFormat="1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left"/>
    </xf>
    <xf numFmtId="4" fontId="0" fillId="0" borderId="21" xfId="0" applyNumberFormat="1" applyFont="1" applyFill="1" applyBorder="1" applyAlignment="1">
      <alignment/>
    </xf>
    <xf numFmtId="0" fontId="6" fillId="0" borderId="21" xfId="0" applyFont="1" applyFill="1" applyBorder="1" applyAlignment="1">
      <alignment/>
    </xf>
    <xf numFmtId="2" fontId="6" fillId="0" borderId="22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172" fontId="6" fillId="0" borderId="1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23" xfId="0" applyFont="1" applyFill="1" applyBorder="1" applyAlignment="1">
      <alignment horizontal="left" wrapText="1"/>
    </xf>
    <xf numFmtId="0" fontId="6" fillId="0" borderId="23" xfId="0" applyFont="1" applyFill="1" applyBorder="1" applyAlignment="1">
      <alignment/>
    </xf>
    <xf numFmtId="0" fontId="6" fillId="0" borderId="24" xfId="0" applyFont="1" applyBorder="1" applyAlignment="1">
      <alignment/>
    </xf>
    <xf numFmtId="0" fontId="0" fillId="0" borderId="25" xfId="0" applyFont="1" applyBorder="1" applyAlignment="1">
      <alignment horizontal="left"/>
    </xf>
    <xf numFmtId="0" fontId="5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horizontal="right"/>
    </xf>
    <xf numFmtId="0" fontId="0" fillId="0" borderId="22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 wrapText="1"/>
    </xf>
    <xf numFmtId="172" fontId="6" fillId="0" borderId="22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33" borderId="26" xfId="0" applyFont="1" applyFill="1" applyBorder="1" applyAlignment="1">
      <alignment wrapText="1"/>
    </xf>
    <xf numFmtId="0" fontId="4" fillId="33" borderId="27" xfId="0" applyFont="1" applyFill="1" applyBorder="1" applyAlignment="1">
      <alignment horizontal="center" vertical="center" wrapText="1"/>
    </xf>
    <xf numFmtId="39" fontId="3" fillId="33" borderId="27" xfId="0" applyNumberFormat="1" applyFont="1" applyFill="1" applyBorder="1" applyAlignment="1">
      <alignment horizontal="center" vertical="center" wrapText="1"/>
    </xf>
    <xf numFmtId="39" fontId="3" fillId="33" borderId="28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Border="1" applyAlignment="1">
      <alignment/>
    </xf>
    <xf numFmtId="0" fontId="0" fillId="33" borderId="29" xfId="0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4" fillId="33" borderId="26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/>
    </xf>
    <xf numFmtId="0" fontId="0" fillId="33" borderId="22" xfId="0" applyFont="1" applyFill="1" applyBorder="1" applyAlignment="1">
      <alignment horizontal="left"/>
    </xf>
    <xf numFmtId="2" fontId="8" fillId="33" borderId="22" xfId="0" applyNumberFormat="1" applyFont="1" applyFill="1" applyBorder="1" applyAlignment="1">
      <alignment horizontal="center"/>
    </xf>
    <xf numFmtId="39" fontId="8" fillId="33" borderId="22" xfId="0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 wrapText="1"/>
    </xf>
    <xf numFmtId="0" fontId="9" fillId="33" borderId="11" xfId="0" applyFont="1" applyFill="1" applyBorder="1" applyAlignment="1">
      <alignment horizontal="center"/>
    </xf>
    <xf numFmtId="39" fontId="8" fillId="33" borderId="11" xfId="0" applyNumberFormat="1" applyFont="1" applyFill="1" applyBorder="1" applyAlignment="1">
      <alignment horizontal="right"/>
    </xf>
    <xf numFmtId="172" fontId="1" fillId="0" borderId="0" xfId="0" applyNumberFormat="1" applyFont="1" applyFill="1" applyAlignment="1">
      <alignment/>
    </xf>
    <xf numFmtId="2" fontId="1" fillId="0" borderId="0" xfId="0" applyNumberFormat="1" applyFont="1" applyBorder="1" applyAlignment="1">
      <alignment/>
    </xf>
    <xf numFmtId="0" fontId="0" fillId="33" borderId="25" xfId="0" applyFont="1" applyFill="1" applyBorder="1" applyAlignment="1">
      <alignment horizontal="left"/>
    </xf>
    <xf numFmtId="0" fontId="4" fillId="33" borderId="25" xfId="0" applyFont="1" applyFill="1" applyBorder="1" applyAlignment="1">
      <alignment horizontal="left"/>
    </xf>
    <xf numFmtId="173" fontId="3" fillId="33" borderId="30" xfId="0" applyNumberFormat="1" applyFont="1" applyFill="1" applyBorder="1" applyAlignment="1">
      <alignment horizontal="right"/>
    </xf>
    <xf numFmtId="173" fontId="1" fillId="0" borderId="0" xfId="0" applyNumberFormat="1" applyFont="1" applyBorder="1" applyAlignment="1">
      <alignment/>
    </xf>
    <xf numFmtId="0" fontId="0" fillId="33" borderId="25" xfId="0" applyFont="1" applyFill="1" applyBorder="1" applyAlignment="1">
      <alignment horizontal="left" wrapText="1"/>
    </xf>
    <xf numFmtId="4" fontId="6" fillId="0" borderId="0" xfId="0" applyNumberFormat="1" applyFont="1" applyBorder="1" applyAlignment="1">
      <alignment horizontal="right"/>
    </xf>
    <xf numFmtId="4" fontId="6" fillId="0" borderId="10" xfId="0" applyNumberFormat="1" applyFont="1" applyFill="1" applyBorder="1" applyAlignment="1">
      <alignment wrapText="1"/>
    </xf>
    <xf numFmtId="2" fontId="6" fillId="0" borderId="31" xfId="0" applyNumberFormat="1" applyFont="1" applyBorder="1" applyAlignment="1">
      <alignment/>
    </xf>
    <xf numFmtId="2" fontId="6" fillId="0" borderId="18" xfId="0" applyNumberFormat="1" applyFont="1" applyBorder="1" applyAlignment="1">
      <alignment/>
    </xf>
    <xf numFmtId="0" fontId="0" fillId="0" borderId="32" xfId="0" applyFont="1" applyFill="1" applyBorder="1" applyAlignment="1">
      <alignment horizontal="left" vertical="top"/>
    </xf>
    <xf numFmtId="4" fontId="6" fillId="0" borderId="23" xfId="0" applyNumberFormat="1" applyFont="1" applyFill="1" applyBorder="1" applyAlignment="1">
      <alignment vertical="top" wrapText="1"/>
    </xf>
    <xf numFmtId="2" fontId="6" fillId="0" borderId="33" xfId="0" applyNumberFormat="1" applyFont="1" applyBorder="1" applyAlignment="1">
      <alignment vertical="top"/>
    </xf>
    <xf numFmtId="2" fontId="3" fillId="0" borderId="34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4" fontId="6" fillId="33" borderId="10" xfId="0" applyNumberFormat="1" applyFont="1" applyFill="1" applyBorder="1" applyAlignment="1">
      <alignment horizontal="right"/>
    </xf>
    <xf numFmtId="4" fontId="8" fillId="33" borderId="10" xfId="0" applyNumberFormat="1" applyFont="1" applyFill="1" applyBorder="1" applyAlignment="1">
      <alignment horizontal="center"/>
    </xf>
    <xf numFmtId="4" fontId="8" fillId="33" borderId="35" xfId="0" applyNumberFormat="1" applyFont="1" applyFill="1" applyBorder="1" applyAlignment="1">
      <alignment horizontal="right"/>
    </xf>
    <xf numFmtId="4" fontId="6" fillId="33" borderId="21" xfId="0" applyNumberFormat="1" applyFont="1" applyFill="1" applyBorder="1" applyAlignment="1">
      <alignment horizontal="right"/>
    </xf>
    <xf numFmtId="4" fontId="4" fillId="33" borderId="27" xfId="0" applyNumberFormat="1" applyFont="1" applyFill="1" applyBorder="1" applyAlignment="1">
      <alignment horizontal="center" vertical="center" wrapText="1"/>
    </xf>
    <xf numFmtId="4" fontId="0" fillId="33" borderId="21" xfId="0" applyNumberFormat="1" applyFont="1" applyFill="1" applyBorder="1" applyAlignment="1">
      <alignment/>
    </xf>
    <xf numFmtId="4" fontId="9" fillId="33" borderId="11" xfId="0" applyNumberFormat="1" applyFont="1" applyFill="1" applyBorder="1" applyAlignment="1">
      <alignment horizontal="center"/>
    </xf>
    <xf numFmtId="4" fontId="8" fillId="33" borderId="22" xfId="0" applyNumberFormat="1" applyFont="1" applyFill="1" applyBorder="1" applyAlignment="1">
      <alignment horizontal="center"/>
    </xf>
    <xf numFmtId="4" fontId="8" fillId="33" borderId="22" xfId="0" applyNumberFormat="1" applyFont="1" applyFill="1" applyBorder="1" applyAlignment="1">
      <alignment horizontal="right"/>
    </xf>
    <xf numFmtId="0" fontId="6" fillId="0" borderId="16" xfId="0" applyFont="1" applyFill="1" applyBorder="1" applyAlignment="1">
      <alignment vertical="top" wrapText="1"/>
    </xf>
    <xf numFmtId="0" fontId="58" fillId="0" borderId="0" xfId="0" applyFont="1" applyAlignment="1">
      <alignment/>
    </xf>
    <xf numFmtId="4" fontId="58" fillId="0" borderId="0" xfId="0" applyNumberFormat="1" applyFont="1" applyAlignment="1">
      <alignment/>
    </xf>
    <xf numFmtId="0" fontId="58" fillId="0" borderId="0" xfId="0" applyNumberFormat="1" applyFont="1" applyAlignment="1">
      <alignment/>
    </xf>
    <xf numFmtId="2" fontId="58" fillId="0" borderId="0" xfId="0" applyNumberFormat="1" applyFont="1" applyAlignment="1">
      <alignment/>
    </xf>
    <xf numFmtId="0" fontId="58" fillId="0" borderId="0" xfId="0" applyFont="1" applyAlignment="1">
      <alignment horizontal="center"/>
    </xf>
    <xf numFmtId="0" fontId="58" fillId="0" borderId="0" xfId="0" applyFont="1" applyFill="1" applyAlignment="1">
      <alignment/>
    </xf>
    <xf numFmtId="0" fontId="58" fillId="0" borderId="10" xfId="0" applyFont="1" applyBorder="1" applyAlignment="1">
      <alignment/>
    </xf>
    <xf numFmtId="0" fontId="58" fillId="0" borderId="11" xfId="0" applyFont="1" applyBorder="1" applyAlignment="1">
      <alignment/>
    </xf>
    <xf numFmtId="39" fontId="58" fillId="0" borderId="0" xfId="0" applyNumberFormat="1" applyFont="1" applyFill="1" applyAlignment="1">
      <alignment/>
    </xf>
    <xf numFmtId="0" fontId="58" fillId="0" borderId="21" xfId="0" applyFont="1" applyBorder="1" applyAlignment="1">
      <alignment/>
    </xf>
    <xf numFmtId="0" fontId="58" fillId="0" borderId="22" xfId="0" applyFont="1" applyBorder="1" applyAlignment="1">
      <alignment/>
    </xf>
    <xf numFmtId="0" fontId="58" fillId="0" borderId="0" xfId="0" applyFont="1" applyBorder="1" applyAlignment="1">
      <alignment/>
    </xf>
    <xf numFmtId="172" fontId="58" fillId="0" borderId="0" xfId="0" applyNumberFormat="1" applyFont="1" applyFill="1" applyAlignment="1">
      <alignment/>
    </xf>
    <xf numFmtId="2" fontId="58" fillId="0" borderId="0" xfId="0" applyNumberFormat="1" applyFont="1" applyBorder="1" applyAlignment="1">
      <alignment/>
    </xf>
    <xf numFmtId="173" fontId="58" fillId="0" borderId="0" xfId="0" applyNumberFormat="1" applyFont="1" applyBorder="1" applyAlignment="1">
      <alignment/>
    </xf>
    <xf numFmtId="0" fontId="58" fillId="0" borderId="0" xfId="0" applyFont="1" applyBorder="1" applyAlignment="1">
      <alignment wrapText="1"/>
    </xf>
    <xf numFmtId="0" fontId="0" fillId="33" borderId="36" xfId="0" applyFont="1" applyFill="1" applyBorder="1" applyAlignment="1">
      <alignment/>
    </xf>
    <xf numFmtId="4" fontId="6" fillId="33" borderId="37" xfId="0" applyNumberFormat="1" applyFont="1" applyFill="1" applyBorder="1" applyAlignment="1">
      <alignment/>
    </xf>
    <xf numFmtId="4" fontId="8" fillId="33" borderId="23" xfId="0" applyNumberFormat="1" applyFont="1" applyFill="1" applyBorder="1" applyAlignment="1">
      <alignment horizontal="center"/>
    </xf>
    <xf numFmtId="4" fontId="8" fillId="33" borderId="38" xfId="0" applyNumberFormat="1" applyFont="1" applyFill="1" applyBorder="1" applyAlignment="1">
      <alignment horizontal="right"/>
    </xf>
    <xf numFmtId="0" fontId="4" fillId="33" borderId="39" xfId="0" applyFont="1" applyFill="1" applyBorder="1" applyAlignment="1">
      <alignment horizontal="center" vertical="center"/>
    </xf>
    <xf numFmtId="4" fontId="4" fillId="33" borderId="40" xfId="0" applyNumberFormat="1" applyFont="1" applyFill="1" applyBorder="1" applyAlignment="1">
      <alignment horizontal="center" vertical="center" wrapText="1"/>
    </xf>
    <xf numFmtId="4" fontId="3" fillId="33" borderId="40" xfId="0" applyNumberFormat="1" applyFont="1" applyFill="1" applyBorder="1" applyAlignment="1">
      <alignment horizontal="center" vertical="center" wrapText="1"/>
    </xf>
    <xf numFmtId="4" fontId="3" fillId="33" borderId="41" xfId="0" applyNumberFormat="1" applyFont="1" applyFill="1" applyBorder="1" applyAlignment="1">
      <alignment horizontal="center" vertical="center" wrapText="1"/>
    </xf>
    <xf numFmtId="0" fontId="0" fillId="33" borderId="42" xfId="0" applyFont="1" applyFill="1" applyBorder="1" applyAlignment="1">
      <alignment/>
    </xf>
    <xf numFmtId="4" fontId="8" fillId="33" borderId="43" xfId="0" applyNumberFormat="1" applyFont="1" applyFill="1" applyBorder="1" applyAlignment="1">
      <alignment horizontal="right"/>
    </xf>
    <xf numFmtId="0" fontId="0" fillId="33" borderId="44" xfId="0" applyFont="1" applyFill="1" applyBorder="1" applyAlignment="1">
      <alignment horizontal="left"/>
    </xf>
    <xf numFmtId="4" fontId="0" fillId="33" borderId="45" xfId="0" applyNumberFormat="1" applyFont="1" applyFill="1" applyBorder="1" applyAlignment="1">
      <alignment/>
    </xf>
    <xf numFmtId="4" fontId="8" fillId="33" borderId="46" xfId="0" applyNumberFormat="1" applyFont="1" applyFill="1" applyBorder="1" applyAlignment="1">
      <alignment horizontal="center"/>
    </xf>
    <xf numFmtId="4" fontId="8" fillId="33" borderId="47" xfId="0" applyNumberFormat="1" applyFont="1" applyFill="1" applyBorder="1" applyAlignment="1">
      <alignment horizontal="right"/>
    </xf>
    <xf numFmtId="4" fontId="9" fillId="33" borderId="46" xfId="0" applyNumberFormat="1" applyFont="1" applyFill="1" applyBorder="1" applyAlignment="1">
      <alignment horizontal="center"/>
    </xf>
    <xf numFmtId="4" fontId="8" fillId="33" borderId="48" xfId="0" applyNumberFormat="1" applyFont="1" applyFill="1" applyBorder="1" applyAlignment="1">
      <alignment horizontal="right"/>
    </xf>
    <xf numFmtId="0" fontId="4" fillId="33" borderId="40" xfId="0" applyFont="1" applyFill="1" applyBorder="1" applyAlignment="1">
      <alignment horizontal="center" vertical="center" wrapText="1"/>
    </xf>
    <xf numFmtId="39" fontId="3" fillId="33" borderId="40" xfId="0" applyNumberFormat="1" applyFont="1" applyFill="1" applyBorder="1" applyAlignment="1">
      <alignment horizontal="center" vertical="center" wrapText="1"/>
    </xf>
    <xf numFmtId="39" fontId="3" fillId="33" borderId="41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 quotePrefix="1">
      <alignment horizontal="left"/>
    </xf>
    <xf numFmtId="0" fontId="0" fillId="0" borderId="0" xfId="0" applyFont="1" applyAlignment="1" quotePrefix="1">
      <alignment horizontal="left"/>
    </xf>
    <xf numFmtId="0" fontId="6" fillId="0" borderId="33" xfId="0" applyFont="1" applyBorder="1" applyAlignment="1">
      <alignment vertical="top"/>
    </xf>
    <xf numFmtId="0" fontId="0" fillId="0" borderId="17" xfId="0" applyFont="1" applyFill="1" applyBorder="1" applyAlignment="1" quotePrefix="1">
      <alignment horizontal="left" vertical="top"/>
    </xf>
    <xf numFmtId="0" fontId="0" fillId="0" borderId="32" xfId="0" applyFont="1" applyFill="1" applyBorder="1" applyAlignment="1" quotePrefix="1">
      <alignment horizontal="left" vertical="top"/>
    </xf>
    <xf numFmtId="0" fontId="0" fillId="0" borderId="0" xfId="0" applyNumberFormat="1" applyFont="1" applyAlignment="1">
      <alignment/>
    </xf>
    <xf numFmtId="0" fontId="4" fillId="34" borderId="39" xfId="0" applyFont="1" applyFill="1" applyBorder="1" applyAlignment="1">
      <alignment horizontal="center" vertical="center"/>
    </xf>
    <xf numFmtId="4" fontId="4" fillId="34" borderId="40" xfId="0" applyNumberFormat="1" applyFont="1" applyFill="1" applyBorder="1" applyAlignment="1">
      <alignment horizontal="center" vertical="center" wrapText="1"/>
    </xf>
    <xf numFmtId="2" fontId="3" fillId="0" borderId="49" xfId="0" applyNumberFormat="1" applyFont="1" applyBorder="1" applyAlignment="1">
      <alignment/>
    </xf>
    <xf numFmtId="0" fontId="0" fillId="0" borderId="17" xfId="0" applyFont="1" applyFill="1" applyBorder="1" applyAlignment="1" quotePrefix="1">
      <alignment horizontal="left"/>
    </xf>
    <xf numFmtId="0" fontId="59" fillId="0" borderId="0" xfId="0" applyFont="1" applyAlignment="1">
      <alignment/>
    </xf>
    <xf numFmtId="2" fontId="6" fillId="0" borderId="18" xfId="0" applyNumberFormat="1" applyFont="1" applyBorder="1" applyAlignment="1">
      <alignment vertical="top"/>
    </xf>
    <xf numFmtId="0" fontId="4" fillId="0" borderId="21" xfId="0" applyFont="1" applyFill="1" applyBorder="1" applyAlignment="1">
      <alignment horizontal="left" wrapText="1"/>
    </xf>
    <xf numFmtId="39" fontId="4" fillId="33" borderId="27" xfId="0" applyNumberFormat="1" applyFont="1" applyFill="1" applyBorder="1" applyAlignment="1">
      <alignment horizontal="center" vertical="center" wrapText="1"/>
    </xf>
    <xf numFmtId="39" fontId="4" fillId="33" borderId="28" xfId="0" applyNumberFormat="1" applyFont="1" applyFill="1" applyBorder="1" applyAlignment="1">
      <alignment horizontal="center" vertical="center" wrapText="1"/>
    </xf>
    <xf numFmtId="4" fontId="4" fillId="34" borderId="41" xfId="0" applyNumberFormat="1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vertical="center" wrapText="1"/>
    </xf>
    <xf numFmtId="39" fontId="4" fillId="33" borderId="40" xfId="0" applyNumberFormat="1" applyFont="1" applyFill="1" applyBorder="1" applyAlignment="1">
      <alignment horizontal="center" vertical="center" wrapText="1"/>
    </xf>
    <xf numFmtId="39" fontId="4" fillId="33" borderId="41" xfId="0" applyNumberFormat="1" applyFont="1" applyFill="1" applyBorder="1" applyAlignment="1">
      <alignment horizontal="center" vertical="center" wrapText="1"/>
    </xf>
    <xf numFmtId="0" fontId="4" fillId="33" borderId="50" xfId="0" applyFont="1" applyFill="1" applyBorder="1" applyAlignment="1">
      <alignment horizontal="center" vertical="center"/>
    </xf>
    <xf numFmtId="4" fontId="4" fillId="33" borderId="50" xfId="0" applyNumberFormat="1" applyFont="1" applyFill="1" applyBorder="1" applyAlignment="1">
      <alignment horizontal="center" vertical="center" wrapText="1"/>
    </xf>
    <xf numFmtId="4" fontId="3" fillId="33" borderId="50" xfId="0" applyNumberFormat="1" applyFont="1" applyFill="1" applyBorder="1" applyAlignment="1">
      <alignment horizontal="center" vertical="center" wrapText="1"/>
    </xf>
    <xf numFmtId="0" fontId="4" fillId="33" borderId="51" xfId="0" applyFont="1" applyFill="1" applyBorder="1" applyAlignment="1">
      <alignment wrapText="1"/>
    </xf>
    <xf numFmtId="0" fontId="4" fillId="33" borderId="52" xfId="0" applyFont="1" applyFill="1" applyBorder="1" applyAlignment="1">
      <alignment horizontal="center" vertical="center" wrapText="1"/>
    </xf>
    <xf numFmtId="39" fontId="3" fillId="33" borderId="52" xfId="0" applyNumberFormat="1" applyFont="1" applyFill="1" applyBorder="1" applyAlignment="1">
      <alignment horizontal="center" vertical="center" wrapText="1"/>
    </xf>
    <xf numFmtId="39" fontId="3" fillId="33" borderId="53" xfId="0" applyNumberFormat="1" applyFont="1" applyFill="1" applyBorder="1" applyAlignment="1">
      <alignment horizontal="center" vertical="center" wrapText="1"/>
    </xf>
    <xf numFmtId="4" fontId="4" fillId="33" borderId="28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/>
    </xf>
    <xf numFmtId="0" fontId="58" fillId="0" borderId="0" xfId="0" applyFont="1" applyFill="1" applyBorder="1" applyAlignment="1">
      <alignment/>
    </xf>
    <xf numFmtId="172" fontId="58" fillId="0" borderId="0" xfId="0" applyNumberFormat="1" applyFont="1" applyBorder="1" applyAlignment="1">
      <alignment/>
    </xf>
    <xf numFmtId="2" fontId="3" fillId="0" borderId="33" xfId="0" applyNumberFormat="1" applyFont="1" applyBorder="1" applyAlignment="1">
      <alignment vertical="top"/>
    </xf>
    <xf numFmtId="0" fontId="3" fillId="0" borderId="18" xfId="0" applyFont="1" applyBorder="1" applyAlignment="1">
      <alignment vertical="top"/>
    </xf>
    <xf numFmtId="0" fontId="3" fillId="0" borderId="33" xfId="0" applyFont="1" applyBorder="1" applyAlignment="1">
      <alignment vertical="top"/>
    </xf>
    <xf numFmtId="3" fontId="3" fillId="33" borderId="3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4" fontId="6" fillId="0" borderId="11" xfId="0" applyNumberFormat="1" applyFont="1" applyBorder="1" applyAlignment="1">
      <alignment/>
    </xf>
    <xf numFmtId="4" fontId="4" fillId="0" borderId="25" xfId="0" applyNumberFormat="1" applyFont="1" applyBorder="1" applyAlignment="1">
      <alignment horizontal="right"/>
    </xf>
    <xf numFmtId="2" fontId="58" fillId="35" borderId="0" xfId="0" applyNumberFormat="1" applyFont="1" applyFill="1" applyAlignment="1">
      <alignment/>
    </xf>
    <xf numFmtId="0" fontId="4" fillId="0" borderId="0" xfId="0" applyFont="1" applyAlignment="1" quotePrefix="1">
      <alignment horizontal="left"/>
    </xf>
    <xf numFmtId="0" fontId="10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 quotePrefix="1">
      <alignment horizontal="left"/>
    </xf>
    <xf numFmtId="0" fontId="4" fillId="0" borderId="11" xfId="0" applyFont="1" applyBorder="1" applyAlignment="1">
      <alignment/>
    </xf>
    <xf numFmtId="4" fontId="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2" fontId="3" fillId="33" borderId="10" xfId="0" applyNumberFormat="1" applyFont="1" applyFill="1" applyBorder="1" applyAlignment="1">
      <alignment horizontal="center"/>
    </xf>
    <xf numFmtId="2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 horizontal="center"/>
    </xf>
    <xf numFmtId="2" fontId="11" fillId="0" borderId="11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2" xfId="0" applyFont="1" applyFill="1" applyBorder="1" applyAlignment="1">
      <alignment vertical="center" wrapText="1"/>
    </xf>
    <xf numFmtId="4" fontId="4" fillId="0" borderId="13" xfId="0" applyNumberFormat="1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/>
    </xf>
    <xf numFmtId="4" fontId="3" fillId="0" borderId="16" xfId="0" applyNumberFormat="1" applyFont="1" applyFill="1" applyBorder="1" applyAlignment="1">
      <alignment/>
    </xf>
    <xf numFmtId="0" fontId="3" fillId="0" borderId="16" xfId="0" applyFont="1" applyFill="1" applyBorder="1" applyAlignment="1">
      <alignment wrapText="1"/>
    </xf>
    <xf numFmtId="2" fontId="3" fillId="0" borderId="31" xfId="0" applyNumberFormat="1" applyFont="1" applyBorder="1" applyAlignment="1">
      <alignment/>
    </xf>
    <xf numFmtId="0" fontId="4" fillId="0" borderId="17" xfId="0" applyFont="1" applyFill="1" applyBorder="1" applyAlignment="1">
      <alignment horizontal="left"/>
    </xf>
    <xf numFmtId="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2" fontId="3" fillId="0" borderId="18" xfId="0" applyNumberFormat="1" applyFont="1" applyBorder="1" applyAlignment="1">
      <alignment/>
    </xf>
    <xf numFmtId="0" fontId="3" fillId="0" borderId="18" xfId="0" applyFont="1" applyBorder="1" applyAlignment="1">
      <alignment/>
    </xf>
    <xf numFmtId="4" fontId="3" fillId="0" borderId="10" xfId="0" applyNumberFormat="1" applyFont="1" applyFill="1" applyBorder="1" applyAlignment="1">
      <alignment horizontal="left"/>
    </xf>
    <xf numFmtId="4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/>
    </xf>
    <xf numFmtId="4" fontId="3" fillId="0" borderId="10" xfId="0" applyNumberFormat="1" applyFont="1" applyFill="1" applyBorder="1" applyAlignment="1">
      <alignment vertical="top" wrapText="1"/>
    </xf>
    <xf numFmtId="0" fontId="4" fillId="0" borderId="32" xfId="0" applyFont="1" applyFill="1" applyBorder="1" applyAlignment="1">
      <alignment horizontal="left" vertical="top"/>
    </xf>
    <xf numFmtId="4" fontId="3" fillId="0" borderId="23" xfId="0" applyNumberFormat="1" applyFont="1" applyFill="1" applyBorder="1" applyAlignment="1">
      <alignment vertical="top" wrapText="1"/>
    </xf>
    <xf numFmtId="0" fontId="3" fillId="0" borderId="21" xfId="0" applyFont="1" applyFill="1" applyBorder="1" applyAlignment="1">
      <alignment wrapText="1"/>
    </xf>
    <xf numFmtId="0" fontId="4" fillId="0" borderId="32" xfId="0" applyFont="1" applyFill="1" applyBorder="1" applyAlignment="1" quotePrefix="1">
      <alignment horizontal="left" vertical="top"/>
    </xf>
    <xf numFmtId="0" fontId="4" fillId="0" borderId="32" xfId="0" applyFont="1" applyFill="1" applyBorder="1" applyAlignment="1" quotePrefix="1">
      <alignment horizontal="left" vertical="top" wrapText="1"/>
    </xf>
    <xf numFmtId="0" fontId="3" fillId="0" borderId="10" xfId="0" applyFont="1" applyFill="1" applyBorder="1" applyAlignment="1">
      <alignment wrapText="1"/>
    </xf>
    <xf numFmtId="4" fontId="3" fillId="0" borderId="20" xfId="0" applyNumberFormat="1" applyFont="1" applyFill="1" applyBorder="1" applyAlignment="1">
      <alignment/>
    </xf>
    <xf numFmtId="0" fontId="3" fillId="0" borderId="20" xfId="0" applyFont="1" applyFill="1" applyBorder="1" applyAlignment="1">
      <alignment/>
    </xf>
    <xf numFmtId="4" fontId="4" fillId="0" borderId="21" xfId="0" applyNumberFormat="1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22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172" fontId="3" fillId="0" borderId="11" xfId="0" applyNumberFormat="1" applyFont="1" applyBorder="1" applyAlignment="1">
      <alignment/>
    </xf>
    <xf numFmtId="0" fontId="4" fillId="0" borderId="23" xfId="0" applyFont="1" applyFill="1" applyBorder="1" applyAlignment="1">
      <alignment horizontal="left" wrapText="1"/>
    </xf>
    <xf numFmtId="0" fontId="3" fillId="0" borderId="23" xfId="0" applyFont="1" applyFill="1" applyBorder="1" applyAlignment="1">
      <alignment/>
    </xf>
    <xf numFmtId="0" fontId="3" fillId="0" borderId="24" xfId="0" applyFont="1" applyBorder="1" applyAlignment="1">
      <alignment/>
    </xf>
    <xf numFmtId="0" fontId="4" fillId="0" borderId="22" xfId="0" applyFont="1" applyBorder="1" applyAlignment="1" quotePrefix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172" fontId="3" fillId="0" borderId="22" xfId="0" applyNumberFormat="1" applyFont="1" applyBorder="1" applyAlignment="1">
      <alignment horizontal="right" vertical="center" wrapText="1"/>
    </xf>
    <xf numFmtId="0" fontId="4" fillId="33" borderId="29" xfId="0" applyFont="1" applyFill="1" applyBorder="1" applyAlignment="1">
      <alignment/>
    </xf>
    <xf numFmtId="4" fontId="3" fillId="33" borderId="10" xfId="0" applyNumberFormat="1" applyFont="1" applyFill="1" applyBorder="1" applyAlignment="1">
      <alignment horizontal="right"/>
    </xf>
    <xf numFmtId="4" fontId="12" fillId="33" borderId="10" xfId="0" applyNumberFormat="1" applyFont="1" applyFill="1" applyBorder="1" applyAlignment="1">
      <alignment horizontal="center"/>
    </xf>
    <xf numFmtId="4" fontId="12" fillId="33" borderId="35" xfId="0" applyNumberFormat="1" applyFont="1" applyFill="1" applyBorder="1" applyAlignment="1">
      <alignment horizontal="right"/>
    </xf>
    <xf numFmtId="4" fontId="3" fillId="33" borderId="2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4" fontId="4" fillId="33" borderId="21" xfId="0" applyNumberFormat="1" applyFont="1" applyFill="1" applyBorder="1" applyAlignment="1">
      <alignment/>
    </xf>
    <xf numFmtId="4" fontId="13" fillId="33" borderId="11" xfId="0" applyNumberFormat="1" applyFont="1" applyFill="1" applyBorder="1" applyAlignment="1">
      <alignment horizontal="center"/>
    </xf>
    <xf numFmtId="0" fontId="4" fillId="33" borderId="54" xfId="0" applyFont="1" applyFill="1" applyBorder="1" applyAlignment="1">
      <alignment horizontal="left"/>
    </xf>
    <xf numFmtId="0" fontId="4" fillId="33" borderId="22" xfId="0" applyFont="1" applyFill="1" applyBorder="1" applyAlignment="1">
      <alignment horizontal="left"/>
    </xf>
    <xf numFmtId="0" fontId="4" fillId="33" borderId="21" xfId="0" applyFont="1" applyFill="1" applyBorder="1" applyAlignment="1">
      <alignment/>
    </xf>
    <xf numFmtId="2" fontId="12" fillId="33" borderId="22" xfId="0" applyNumberFormat="1" applyFont="1" applyFill="1" applyBorder="1" applyAlignment="1">
      <alignment horizontal="center"/>
    </xf>
    <xf numFmtId="39" fontId="12" fillId="33" borderId="22" xfId="0" applyNumberFormat="1" applyFont="1" applyFill="1" applyBorder="1" applyAlignment="1">
      <alignment horizontal="right"/>
    </xf>
    <xf numFmtId="0" fontId="4" fillId="33" borderId="11" xfId="0" applyFont="1" applyFill="1" applyBorder="1" applyAlignment="1">
      <alignment wrapText="1"/>
    </xf>
    <xf numFmtId="0" fontId="13" fillId="33" borderId="11" xfId="0" applyFont="1" applyFill="1" applyBorder="1" applyAlignment="1">
      <alignment horizontal="center"/>
    </xf>
    <xf numFmtId="39" fontId="12" fillId="33" borderId="11" xfId="0" applyNumberFormat="1" applyFont="1" applyFill="1" applyBorder="1" applyAlignment="1">
      <alignment horizontal="right"/>
    </xf>
    <xf numFmtId="0" fontId="4" fillId="0" borderId="25" xfId="0" applyFont="1" applyBorder="1" applyAlignment="1">
      <alignment horizontal="left"/>
    </xf>
    <xf numFmtId="0" fontId="4" fillId="33" borderId="25" xfId="0" applyFont="1" applyFill="1" applyBorder="1" applyAlignment="1">
      <alignment horizontal="left" wrapText="1"/>
    </xf>
    <xf numFmtId="0" fontId="4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justify"/>
    </xf>
    <xf numFmtId="0" fontId="3" fillId="0" borderId="21" xfId="0" applyFont="1" applyFill="1" applyBorder="1" applyAlignment="1">
      <alignment horizontal="left"/>
    </xf>
    <xf numFmtId="0" fontId="4" fillId="0" borderId="17" xfId="0" applyFont="1" applyFill="1" applyBorder="1" applyAlignment="1" quotePrefix="1">
      <alignment horizontal="left" vertical="top" wrapText="1"/>
    </xf>
    <xf numFmtId="0" fontId="4" fillId="33" borderId="36" xfId="0" applyFont="1" applyFill="1" applyBorder="1" applyAlignment="1">
      <alignment/>
    </xf>
    <xf numFmtId="4" fontId="3" fillId="33" borderId="37" xfId="0" applyNumberFormat="1" applyFont="1" applyFill="1" applyBorder="1" applyAlignment="1">
      <alignment/>
    </xf>
    <xf numFmtId="4" fontId="12" fillId="33" borderId="23" xfId="0" applyNumberFormat="1" applyFont="1" applyFill="1" applyBorder="1" applyAlignment="1">
      <alignment horizontal="center"/>
    </xf>
    <xf numFmtId="4" fontId="12" fillId="33" borderId="38" xfId="0" applyNumberFormat="1" applyFont="1" applyFill="1" applyBorder="1" applyAlignment="1">
      <alignment horizontal="right"/>
    </xf>
    <xf numFmtId="0" fontId="4" fillId="33" borderId="42" xfId="0" applyFont="1" applyFill="1" applyBorder="1" applyAlignment="1">
      <alignment/>
    </xf>
    <xf numFmtId="4" fontId="12" fillId="33" borderId="43" xfId="0" applyNumberFormat="1" applyFont="1" applyFill="1" applyBorder="1" applyAlignment="1">
      <alignment horizontal="right"/>
    </xf>
    <xf numFmtId="0" fontId="4" fillId="33" borderId="44" xfId="0" applyFont="1" applyFill="1" applyBorder="1" applyAlignment="1">
      <alignment horizontal="left"/>
    </xf>
    <xf numFmtId="4" fontId="4" fillId="33" borderId="45" xfId="0" applyNumberFormat="1" applyFont="1" applyFill="1" applyBorder="1" applyAlignment="1">
      <alignment/>
    </xf>
    <xf numFmtId="4" fontId="12" fillId="33" borderId="46" xfId="0" applyNumberFormat="1" applyFont="1" applyFill="1" applyBorder="1" applyAlignment="1">
      <alignment horizontal="center"/>
    </xf>
    <xf numFmtId="4" fontId="12" fillId="33" borderId="47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wrapText="1"/>
    </xf>
    <xf numFmtId="4" fontId="4" fillId="0" borderId="13" xfId="0" applyNumberFormat="1" applyFont="1" applyFill="1" applyBorder="1" applyAlignment="1">
      <alignment wrapText="1"/>
    </xf>
    <xf numFmtId="0" fontId="4" fillId="0" borderId="14" xfId="0" applyFont="1" applyBorder="1" applyAlignment="1">
      <alignment horizontal="left" wrapText="1"/>
    </xf>
    <xf numFmtId="0" fontId="3" fillId="0" borderId="31" xfId="0" applyFont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10" fillId="0" borderId="25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right"/>
    </xf>
    <xf numFmtId="39" fontId="12" fillId="33" borderId="10" xfId="0" applyNumberFormat="1" applyFont="1" applyFill="1" applyBorder="1" applyAlignment="1">
      <alignment horizontal="center"/>
    </xf>
    <xf numFmtId="39" fontId="12" fillId="33" borderId="35" xfId="0" applyNumberFormat="1" applyFont="1" applyFill="1" applyBorder="1" applyAlignment="1">
      <alignment horizontal="right"/>
    </xf>
    <xf numFmtId="0" fontId="3" fillId="33" borderId="21" xfId="0" applyFont="1" applyFill="1" applyBorder="1" applyAlignment="1">
      <alignment horizontal="right"/>
    </xf>
    <xf numFmtId="0" fontId="3" fillId="33" borderId="55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2" fontId="13" fillId="33" borderId="11" xfId="0" applyNumberFormat="1" applyFont="1" applyFill="1" applyBorder="1" applyAlignment="1">
      <alignment horizontal="center"/>
    </xf>
    <xf numFmtId="174" fontId="3" fillId="0" borderId="18" xfId="0" applyNumberFormat="1" applyFont="1" applyBorder="1" applyAlignment="1">
      <alignment/>
    </xf>
    <xf numFmtId="4" fontId="3" fillId="0" borderId="13" xfId="0" applyNumberFormat="1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33" borderId="37" xfId="0" applyFont="1" applyFill="1" applyBorder="1" applyAlignment="1">
      <alignment/>
    </xf>
    <xf numFmtId="39" fontId="12" fillId="33" borderId="38" xfId="0" applyNumberFormat="1" applyFont="1" applyFill="1" applyBorder="1" applyAlignment="1">
      <alignment horizontal="right"/>
    </xf>
    <xf numFmtId="39" fontId="12" fillId="33" borderId="43" xfId="0" applyNumberFormat="1" applyFont="1" applyFill="1" applyBorder="1" applyAlignment="1">
      <alignment horizontal="right"/>
    </xf>
    <xf numFmtId="39" fontId="12" fillId="33" borderId="47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vertical="center" wrapText="1"/>
    </xf>
    <xf numFmtId="0" fontId="4" fillId="0" borderId="17" xfId="0" applyFont="1" applyFill="1" applyBorder="1" applyAlignment="1" quotePrefix="1">
      <alignment horizontal="left"/>
    </xf>
    <xf numFmtId="0" fontId="4" fillId="0" borderId="17" xfId="0" applyFont="1" applyFill="1" applyBorder="1" applyAlignment="1" quotePrefix="1">
      <alignment horizontal="left" vertical="top"/>
    </xf>
    <xf numFmtId="4" fontId="3" fillId="0" borderId="23" xfId="0" applyNumberFormat="1" applyFont="1" applyFill="1" applyBorder="1" applyAlignment="1" quotePrefix="1">
      <alignment horizontal="left" vertical="top" wrapText="1"/>
    </xf>
    <xf numFmtId="0" fontId="4" fillId="34" borderId="42" xfId="0" applyFont="1" applyFill="1" applyBorder="1" applyAlignment="1">
      <alignment/>
    </xf>
    <xf numFmtId="4" fontId="4" fillId="34" borderId="21" xfId="0" applyNumberFormat="1" applyFont="1" applyFill="1" applyBorder="1" applyAlignment="1">
      <alignment/>
    </xf>
    <xf numFmtId="4" fontId="13" fillId="34" borderId="46" xfId="0" applyNumberFormat="1" applyFont="1" applyFill="1" applyBorder="1" applyAlignment="1">
      <alignment horizontal="center"/>
    </xf>
    <xf numFmtId="0" fontId="4" fillId="35" borderId="25" xfId="0" applyFont="1" applyFill="1" applyBorder="1" applyAlignment="1">
      <alignment horizontal="left"/>
    </xf>
    <xf numFmtId="4" fontId="3" fillId="33" borderId="21" xfId="0" applyNumberFormat="1" applyFont="1" applyFill="1" applyBorder="1" applyAlignment="1">
      <alignment/>
    </xf>
    <xf numFmtId="4" fontId="3" fillId="33" borderId="11" xfId="0" applyNumberFormat="1" applyFont="1" applyFill="1" applyBorder="1" applyAlignment="1">
      <alignment/>
    </xf>
    <xf numFmtId="4" fontId="3" fillId="33" borderId="46" xfId="0" applyNumberFormat="1" applyFont="1" applyFill="1" applyBorder="1" applyAlignment="1">
      <alignment/>
    </xf>
    <xf numFmtId="4" fontId="12" fillId="33" borderId="22" xfId="0" applyNumberFormat="1" applyFont="1" applyFill="1" applyBorder="1" applyAlignment="1">
      <alignment horizontal="center"/>
    </xf>
    <xf numFmtId="0" fontId="3" fillId="0" borderId="10" xfId="0" applyFont="1" applyFill="1" applyBorder="1" applyAlignment="1" quotePrefix="1">
      <alignment horizontal="left" wrapText="1"/>
    </xf>
    <xf numFmtId="4" fontId="3" fillId="33" borderId="22" xfId="0" applyNumberFormat="1" applyFont="1" applyFill="1" applyBorder="1" applyAlignment="1">
      <alignment/>
    </xf>
    <xf numFmtId="0" fontId="3" fillId="33" borderId="56" xfId="0" applyFont="1" applyFill="1" applyBorder="1" applyAlignment="1">
      <alignment/>
    </xf>
    <xf numFmtId="4" fontId="3" fillId="0" borderId="13" xfId="0" applyNumberFormat="1" applyFont="1" applyFill="1" applyBorder="1" applyAlignment="1">
      <alignment wrapText="1"/>
    </xf>
    <xf numFmtId="0" fontId="3" fillId="0" borderId="14" xfId="0" applyFont="1" applyBorder="1" applyAlignment="1">
      <alignment horizontal="left" wrapText="1"/>
    </xf>
    <xf numFmtId="2" fontId="3" fillId="0" borderId="33" xfId="0" applyNumberFormat="1" applyFont="1" applyBorder="1" applyAlignment="1">
      <alignment/>
    </xf>
    <xf numFmtId="0" fontId="4" fillId="33" borderId="57" xfId="0" applyFont="1" applyFill="1" applyBorder="1" applyAlignment="1">
      <alignment/>
    </xf>
    <xf numFmtId="0" fontId="4" fillId="33" borderId="58" xfId="0" applyFont="1" applyFill="1" applyBorder="1" applyAlignment="1">
      <alignment/>
    </xf>
    <xf numFmtId="4" fontId="3" fillId="33" borderId="59" xfId="0" applyNumberFormat="1" applyFont="1" applyFill="1" applyBorder="1" applyAlignment="1">
      <alignment/>
    </xf>
    <xf numFmtId="0" fontId="4" fillId="33" borderId="50" xfId="0" applyFont="1" applyFill="1" applyBorder="1" applyAlignment="1">
      <alignment/>
    </xf>
    <xf numFmtId="4" fontId="4" fillId="33" borderId="50" xfId="0" applyNumberFormat="1" applyFont="1" applyFill="1" applyBorder="1" applyAlignment="1">
      <alignment/>
    </xf>
    <xf numFmtId="0" fontId="4" fillId="33" borderId="50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 wrapText="1"/>
    </xf>
    <xf numFmtId="0" fontId="4" fillId="0" borderId="17" xfId="0" applyFont="1" applyFill="1" applyBorder="1" applyAlignment="1" quotePrefix="1">
      <alignment horizontal="left" wrapText="1"/>
    </xf>
    <xf numFmtId="0" fontId="3" fillId="0" borderId="16" xfId="0" applyFont="1" applyFill="1" applyBorder="1" applyAlignment="1">
      <alignment vertical="top" wrapText="1"/>
    </xf>
    <xf numFmtId="0" fontId="58" fillId="35" borderId="0" xfId="0" applyFont="1" applyFill="1" applyAlignment="1">
      <alignment/>
    </xf>
    <xf numFmtId="4" fontId="58" fillId="35" borderId="0" xfId="0" applyNumberFormat="1" applyFont="1" applyFill="1" applyAlignment="1">
      <alignment/>
    </xf>
    <xf numFmtId="0" fontId="58" fillId="35" borderId="0" xfId="0" applyNumberFormat="1" applyFont="1" applyFill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 horizontal="justify"/>
    </xf>
    <xf numFmtId="0" fontId="6" fillId="0" borderId="0" xfId="0" applyFont="1" applyAlignment="1">
      <alignment/>
    </xf>
    <xf numFmtId="0" fontId="9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 quotePrefix="1">
      <alignment horizontal="left"/>
    </xf>
    <xf numFmtId="0" fontId="6" fillId="0" borderId="10" xfId="0" applyFont="1" applyBorder="1" applyAlignment="1">
      <alignment horizontal="left" wrapText="1"/>
    </xf>
    <xf numFmtId="4" fontId="6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6" fillId="0" borderId="10" xfId="0" applyFont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6" fillId="0" borderId="15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6" fillId="0" borderId="17" xfId="0" applyFont="1" applyFill="1" applyBorder="1" applyAlignment="1" quotePrefix="1">
      <alignment horizontal="left"/>
    </xf>
    <xf numFmtId="0" fontId="6" fillId="0" borderId="17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/>
    </xf>
    <xf numFmtId="4" fontId="6" fillId="0" borderId="21" xfId="0" applyNumberFormat="1" applyFont="1" applyFill="1" applyBorder="1" applyAlignment="1">
      <alignment/>
    </xf>
    <xf numFmtId="0" fontId="6" fillId="0" borderId="23" xfId="0" applyFont="1" applyFill="1" applyBorder="1" applyAlignment="1">
      <alignment horizontal="left" wrapText="1"/>
    </xf>
    <xf numFmtId="0" fontId="6" fillId="0" borderId="25" xfId="0" applyFont="1" applyBorder="1" applyAlignment="1">
      <alignment horizontal="left"/>
    </xf>
    <xf numFmtId="0" fontId="6" fillId="0" borderId="22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center" vertical="center" wrapText="1"/>
    </xf>
    <xf numFmtId="0" fontId="3" fillId="33" borderId="26" xfId="0" applyFont="1" applyFill="1" applyBorder="1" applyAlignment="1">
      <alignment wrapText="1"/>
    </xf>
    <xf numFmtId="0" fontId="3" fillId="33" borderId="27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/>
    </xf>
    <xf numFmtId="4" fontId="6" fillId="33" borderId="21" xfId="0" applyNumberFormat="1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3" fillId="33" borderId="39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/>
    </xf>
    <xf numFmtId="0" fontId="6" fillId="33" borderId="22" xfId="0" applyFont="1" applyFill="1" applyBorder="1" applyAlignment="1">
      <alignment horizontal="left"/>
    </xf>
    <xf numFmtId="0" fontId="6" fillId="33" borderId="21" xfId="0" applyFont="1" applyFill="1" applyBorder="1" applyAlignment="1">
      <alignment/>
    </xf>
    <xf numFmtId="0" fontId="6" fillId="33" borderId="11" xfId="0" applyFont="1" applyFill="1" applyBorder="1" applyAlignment="1">
      <alignment wrapText="1"/>
    </xf>
    <xf numFmtId="0" fontId="6" fillId="33" borderId="25" xfId="0" applyFont="1" applyFill="1" applyBorder="1" applyAlignment="1">
      <alignment horizontal="left"/>
    </xf>
    <xf numFmtId="0" fontId="3" fillId="33" borderId="25" xfId="0" applyFont="1" applyFill="1" applyBorder="1" applyAlignment="1">
      <alignment horizontal="left"/>
    </xf>
    <xf numFmtId="0" fontId="6" fillId="33" borderId="25" xfId="0" applyFont="1" applyFill="1" applyBorder="1" applyAlignment="1">
      <alignment horizontal="left" wrapText="1"/>
    </xf>
    <xf numFmtId="0" fontId="6" fillId="0" borderId="0" xfId="0" applyFont="1" applyBorder="1" applyAlignment="1">
      <alignment/>
    </xf>
    <xf numFmtId="0" fontId="3" fillId="0" borderId="10" xfId="0" applyFont="1" applyFill="1" applyBorder="1" applyAlignment="1" quotePrefix="1">
      <alignment horizontal="left"/>
    </xf>
    <xf numFmtId="4" fontId="3" fillId="0" borderId="10" xfId="0" applyNumberFormat="1" applyFont="1" applyFill="1" applyBorder="1" applyAlignment="1" quotePrefix="1">
      <alignment horizontal="left"/>
    </xf>
    <xf numFmtId="0" fontId="6" fillId="0" borderId="10" xfId="0" applyFont="1" applyFill="1" applyBorder="1" applyAlignment="1" quotePrefix="1">
      <alignment horizontal="left"/>
    </xf>
    <xf numFmtId="0" fontId="4" fillId="0" borderId="17" xfId="0" applyFont="1" applyFill="1" applyBorder="1" applyAlignment="1">
      <alignment horizontal="left" vertical="top"/>
    </xf>
    <xf numFmtId="0" fontId="3" fillId="0" borderId="23" xfId="0" applyFont="1" applyFill="1" applyBorder="1" applyAlignment="1">
      <alignment wrapText="1"/>
    </xf>
    <xf numFmtId="4" fontId="12" fillId="33" borderId="35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 horizontal="left"/>
    </xf>
    <xf numFmtId="4" fontId="3" fillId="0" borderId="23" xfId="0" applyNumberFormat="1" applyFont="1" applyFill="1" applyBorder="1" applyAlignment="1">
      <alignment wrapText="1"/>
    </xf>
    <xf numFmtId="0" fontId="3" fillId="0" borderId="23" xfId="0" applyFont="1" applyFill="1" applyBorder="1" applyAlignment="1">
      <alignment horizontal="left"/>
    </xf>
    <xf numFmtId="0" fontId="3" fillId="0" borderId="10" xfId="0" applyFont="1" applyFill="1" applyBorder="1" applyAlignment="1">
      <alignment vertical="center"/>
    </xf>
    <xf numFmtId="174" fontId="3" fillId="33" borderId="10" xfId="0" applyNumberFormat="1" applyFont="1" applyFill="1" applyBorder="1" applyAlignment="1">
      <alignment horizontal="center"/>
    </xf>
    <xf numFmtId="4" fontId="0" fillId="33" borderId="10" xfId="0" applyNumberFormat="1" applyFont="1" applyFill="1" applyBorder="1" applyAlignment="1" quotePrefix="1">
      <alignment horizontal="left"/>
    </xf>
    <xf numFmtId="4" fontId="3" fillId="0" borderId="11" xfId="0" applyNumberFormat="1" applyFont="1" applyBorder="1" applyAlignment="1">
      <alignment/>
    </xf>
    <xf numFmtId="0" fontId="60" fillId="0" borderId="18" xfId="0" applyFont="1" applyBorder="1" applyAlignment="1">
      <alignment vertical="top"/>
    </xf>
    <xf numFmtId="172" fontId="3" fillId="0" borderId="24" xfId="0" applyNumberFormat="1" applyFont="1" applyBorder="1" applyAlignment="1">
      <alignment/>
    </xf>
    <xf numFmtId="174" fontId="3" fillId="0" borderId="11" xfId="0" applyNumberFormat="1" applyFont="1" applyBorder="1" applyAlignment="1">
      <alignment/>
    </xf>
    <xf numFmtId="172" fontId="6" fillId="0" borderId="25" xfId="0" applyNumberFormat="1" applyFont="1" applyBorder="1" applyAlignment="1">
      <alignment horizontal="right"/>
    </xf>
    <xf numFmtId="0" fontId="58" fillId="0" borderId="0" xfId="0" applyFont="1" applyAlignment="1" quotePrefix="1">
      <alignment horizontal="left"/>
    </xf>
    <xf numFmtId="2" fontId="61" fillId="0" borderId="33" xfId="0" applyNumberFormat="1" applyFont="1" applyBorder="1" applyAlignment="1">
      <alignment vertical="top"/>
    </xf>
    <xf numFmtId="0" fontId="61" fillId="0" borderId="18" xfId="0" applyFont="1" applyBorder="1" applyAlignment="1">
      <alignment vertical="top"/>
    </xf>
    <xf numFmtId="0" fontId="61" fillId="0" borderId="33" xfId="0" applyFont="1" applyBorder="1" applyAlignment="1">
      <alignment vertical="top"/>
    </xf>
    <xf numFmtId="2" fontId="61" fillId="0" borderId="18" xfId="0" applyNumberFormat="1" applyFont="1" applyBorder="1" applyAlignment="1">
      <alignment vertical="top"/>
    </xf>
    <xf numFmtId="0" fontId="4" fillId="35" borderId="50" xfId="0" applyFont="1" applyFill="1" applyBorder="1" applyAlignment="1" quotePrefix="1">
      <alignment horizontal="left" wrapText="1"/>
    </xf>
    <xf numFmtId="0" fontId="3" fillId="0" borderId="60" xfId="0" applyFont="1" applyFill="1" applyBorder="1" applyAlignment="1" quotePrefix="1">
      <alignment horizontal="right" wrapText="1"/>
    </xf>
    <xf numFmtId="0" fontId="6" fillId="0" borderId="37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0" fontId="4" fillId="0" borderId="10" xfId="0" applyFont="1" applyFill="1" applyBorder="1" applyAlignment="1" quotePrefix="1">
      <alignment horizontal="left" wrapText="1"/>
    </xf>
    <xf numFmtId="4" fontId="4" fillId="33" borderId="25" xfId="0" applyNumberFormat="1" applyFont="1" applyFill="1" applyBorder="1" applyAlignment="1">
      <alignment horizontal="right"/>
    </xf>
    <xf numFmtId="4" fontId="4" fillId="33" borderId="25" xfId="0" applyNumberFormat="1" applyFont="1" applyFill="1" applyBorder="1" applyAlignment="1">
      <alignment horizontal="center"/>
    </xf>
    <xf numFmtId="0" fontId="4" fillId="33" borderId="61" xfId="0" applyFont="1" applyFill="1" applyBorder="1" applyAlignment="1">
      <alignment/>
    </xf>
    <xf numFmtId="0" fontId="4" fillId="33" borderId="62" xfId="0" applyFont="1" applyFill="1" applyBorder="1" applyAlignment="1">
      <alignment/>
    </xf>
    <xf numFmtId="0" fontId="3" fillId="0" borderId="16" xfId="0" applyFont="1" applyFill="1" applyBorder="1" applyAlignment="1" quotePrefix="1">
      <alignment horizontal="left" wrapText="1"/>
    </xf>
    <xf numFmtId="2" fontId="3" fillId="0" borderId="18" xfId="0" applyNumberFormat="1" applyFont="1" applyBorder="1" applyAlignment="1" quotePrefix="1">
      <alignment horizontal="right"/>
    </xf>
    <xf numFmtId="0" fontId="4" fillId="33" borderId="22" xfId="0" applyFont="1" applyFill="1" applyBorder="1" applyAlignment="1">
      <alignment/>
    </xf>
    <xf numFmtId="0" fontId="4" fillId="33" borderId="44" xfId="0" applyFont="1" applyFill="1" applyBorder="1" applyAlignment="1">
      <alignment/>
    </xf>
    <xf numFmtId="4" fontId="3" fillId="33" borderId="45" xfId="0" applyNumberFormat="1" applyFont="1" applyFill="1" applyBorder="1" applyAlignment="1">
      <alignment/>
    </xf>
    <xf numFmtId="4" fontId="12" fillId="33" borderId="63" xfId="0" applyNumberFormat="1" applyFont="1" applyFill="1" applyBorder="1" applyAlignment="1">
      <alignment horizontal="center"/>
    </xf>
    <xf numFmtId="0" fontId="4" fillId="33" borderId="64" xfId="0" applyFont="1" applyFill="1" applyBorder="1" applyAlignment="1">
      <alignment horizontal="left" wrapText="1"/>
    </xf>
    <xf numFmtId="0" fontId="3" fillId="33" borderId="24" xfId="0" applyFont="1" applyFill="1" applyBorder="1" applyAlignment="1">
      <alignment horizontal="left"/>
    </xf>
    <xf numFmtId="0" fontId="3" fillId="0" borderId="18" xfId="0" applyFont="1" applyBorder="1" applyAlignment="1">
      <alignment horizontal="right" vertical="top"/>
    </xf>
    <xf numFmtId="0" fontId="3" fillId="0" borderId="33" xfId="0" applyFont="1" applyBorder="1" applyAlignment="1">
      <alignment horizontal="right" vertical="top"/>
    </xf>
    <xf numFmtId="0" fontId="4" fillId="33" borderId="22" xfId="0" applyFont="1" applyFill="1" applyBorder="1" applyAlignment="1">
      <alignment wrapText="1"/>
    </xf>
    <xf numFmtId="0" fontId="13" fillId="33" borderId="22" xfId="0" applyFont="1" applyFill="1" applyBorder="1" applyAlignment="1">
      <alignment horizontal="center"/>
    </xf>
    <xf numFmtId="0" fontId="4" fillId="33" borderId="65" xfId="0" applyFont="1" applyFill="1" applyBorder="1" applyAlignment="1">
      <alignment horizontal="left"/>
    </xf>
    <xf numFmtId="2" fontId="12" fillId="33" borderId="66" xfId="0" applyNumberFormat="1" applyFont="1" applyFill="1" applyBorder="1" applyAlignment="1">
      <alignment horizontal="center"/>
    </xf>
    <xf numFmtId="39" fontId="12" fillId="33" borderId="67" xfId="0" applyNumberFormat="1" applyFont="1" applyFill="1" applyBorder="1" applyAlignment="1">
      <alignment horizontal="right"/>
    </xf>
    <xf numFmtId="4" fontId="12" fillId="33" borderId="38" xfId="0" applyNumberFormat="1" applyFont="1" applyFill="1" applyBorder="1" applyAlignment="1">
      <alignment horizontal="center"/>
    </xf>
    <xf numFmtId="4" fontId="13" fillId="33" borderId="43" xfId="0" applyNumberFormat="1" applyFont="1" applyFill="1" applyBorder="1" applyAlignment="1">
      <alignment horizontal="center"/>
    </xf>
    <xf numFmtId="4" fontId="12" fillId="33" borderId="47" xfId="0" applyNumberFormat="1" applyFont="1" applyFill="1" applyBorder="1" applyAlignment="1">
      <alignment horizontal="center"/>
    </xf>
    <xf numFmtId="0" fontId="4" fillId="33" borderId="68" xfId="0" applyFont="1" applyFill="1" applyBorder="1" applyAlignment="1">
      <alignment horizontal="left" vertical="center"/>
    </xf>
    <xf numFmtId="4" fontId="4" fillId="34" borderId="69" xfId="0" applyNumberFormat="1" applyFont="1" applyFill="1" applyBorder="1" applyAlignment="1">
      <alignment horizontal="right" vertical="center" wrapText="1"/>
    </xf>
    <xf numFmtId="0" fontId="4" fillId="33" borderId="70" xfId="0" applyFont="1" applyFill="1" applyBorder="1" applyAlignment="1">
      <alignment horizontal="left"/>
    </xf>
    <xf numFmtId="0" fontId="4" fillId="33" borderId="71" xfId="0" applyFont="1" applyFill="1" applyBorder="1" applyAlignment="1">
      <alignment wrapText="1"/>
    </xf>
    <xf numFmtId="39" fontId="3" fillId="33" borderId="21" xfId="0" applyNumberFormat="1" applyFont="1" applyFill="1" applyBorder="1" applyAlignment="1">
      <alignment horizontal="center" vertical="center" wrapText="1"/>
    </xf>
    <xf numFmtId="39" fontId="3" fillId="33" borderId="48" xfId="0" applyNumberFormat="1" applyFont="1" applyFill="1" applyBorder="1" applyAlignment="1">
      <alignment horizontal="center" vertical="center" wrapText="1"/>
    </xf>
    <xf numFmtId="0" fontId="14" fillId="33" borderId="21" xfId="0" applyFont="1" applyFill="1" applyBorder="1" applyAlignment="1">
      <alignment horizontal="right" vertical="center" wrapText="1"/>
    </xf>
    <xf numFmtId="4" fontId="3" fillId="33" borderId="10" xfId="0" applyNumberFormat="1" applyFont="1" applyFill="1" applyBorder="1" applyAlignment="1">
      <alignment horizontal="center"/>
    </xf>
    <xf numFmtId="4" fontId="3" fillId="33" borderId="35" xfId="0" applyNumberFormat="1" applyFont="1" applyFill="1" applyBorder="1" applyAlignment="1">
      <alignment horizontal="right"/>
    </xf>
    <xf numFmtId="4" fontId="3" fillId="33" borderId="38" xfId="0" applyNumberFormat="1" applyFont="1" applyFill="1" applyBorder="1" applyAlignment="1">
      <alignment horizontal="right"/>
    </xf>
    <xf numFmtId="4" fontId="3" fillId="33" borderId="11" xfId="0" applyNumberFormat="1" applyFont="1" applyFill="1" applyBorder="1" applyAlignment="1">
      <alignment horizontal="center"/>
    </xf>
    <xf numFmtId="4" fontId="3" fillId="33" borderId="43" xfId="0" applyNumberFormat="1" applyFont="1" applyFill="1" applyBorder="1" applyAlignment="1">
      <alignment horizontal="right"/>
    </xf>
    <xf numFmtId="4" fontId="3" fillId="34" borderId="46" xfId="0" applyNumberFormat="1" applyFont="1" applyFill="1" applyBorder="1" applyAlignment="1">
      <alignment horizontal="center"/>
    </xf>
    <xf numFmtId="4" fontId="3" fillId="33" borderId="47" xfId="0" applyNumberFormat="1" applyFont="1" applyFill="1" applyBorder="1" applyAlignment="1">
      <alignment horizontal="right"/>
    </xf>
    <xf numFmtId="2" fontId="3" fillId="33" borderId="22" xfId="0" applyNumberFormat="1" applyFont="1" applyFill="1" applyBorder="1" applyAlignment="1">
      <alignment horizontal="center"/>
    </xf>
    <xf numFmtId="39" fontId="3" fillId="33" borderId="22" xfId="0" applyNumberFormat="1" applyFont="1" applyFill="1" applyBorder="1" applyAlignment="1">
      <alignment horizontal="right"/>
    </xf>
    <xf numFmtId="0" fontId="3" fillId="33" borderId="11" xfId="0" applyFont="1" applyFill="1" applyBorder="1" applyAlignment="1">
      <alignment horizontal="center"/>
    </xf>
    <xf numFmtId="39" fontId="3" fillId="33" borderId="11" xfId="0" applyNumberFormat="1" applyFont="1" applyFill="1" applyBorder="1" applyAlignment="1">
      <alignment horizontal="right"/>
    </xf>
    <xf numFmtId="0" fontId="4" fillId="0" borderId="10" xfId="0" applyFont="1" applyBorder="1" applyAlignment="1" quotePrefix="1">
      <alignment horizontal="left" wrapText="1"/>
    </xf>
    <xf numFmtId="39" fontId="3" fillId="33" borderId="10" xfId="0" applyNumberFormat="1" applyFont="1" applyFill="1" applyBorder="1" applyAlignment="1">
      <alignment horizontal="center"/>
    </xf>
    <xf numFmtId="39" fontId="3" fillId="33" borderId="35" xfId="0" applyNumberFormat="1" applyFont="1" applyFill="1" applyBorder="1" applyAlignment="1">
      <alignment horizontal="right"/>
    </xf>
    <xf numFmtId="39" fontId="3" fillId="33" borderId="72" xfId="0" applyNumberFormat="1" applyFont="1" applyFill="1" applyBorder="1" applyAlignment="1">
      <alignment horizontal="right"/>
    </xf>
    <xf numFmtId="2" fontId="3" fillId="33" borderId="11" xfId="0" applyNumberFormat="1" applyFont="1" applyFill="1" applyBorder="1" applyAlignment="1">
      <alignment horizontal="center"/>
    </xf>
    <xf numFmtId="37" fontId="3" fillId="33" borderId="11" xfId="0" applyNumberFormat="1" applyFont="1" applyFill="1" applyBorder="1" applyAlignment="1">
      <alignment horizontal="right"/>
    </xf>
    <xf numFmtId="2" fontId="12" fillId="33" borderId="46" xfId="0" applyNumberFormat="1" applyFont="1" applyFill="1" applyBorder="1" applyAlignment="1">
      <alignment horizontal="center"/>
    </xf>
    <xf numFmtId="39" fontId="3" fillId="33" borderId="38" xfId="0" applyNumberFormat="1" applyFont="1" applyFill="1" applyBorder="1" applyAlignment="1">
      <alignment horizontal="right"/>
    </xf>
    <xf numFmtId="39" fontId="3" fillId="33" borderId="43" xfId="0" applyNumberFormat="1" applyFont="1" applyFill="1" applyBorder="1" applyAlignment="1">
      <alignment horizontal="right"/>
    </xf>
    <xf numFmtId="2" fontId="3" fillId="33" borderId="73" xfId="0" applyNumberFormat="1" applyFont="1" applyFill="1" applyBorder="1" applyAlignment="1">
      <alignment horizontal="center"/>
    </xf>
    <xf numFmtId="39" fontId="3" fillId="33" borderId="74" xfId="0" applyNumberFormat="1" applyFont="1" applyFill="1" applyBorder="1" applyAlignment="1">
      <alignment horizontal="right"/>
    </xf>
    <xf numFmtId="4" fontId="4" fillId="33" borderId="11" xfId="0" applyNumberFormat="1" applyFont="1" applyFill="1" applyBorder="1" applyAlignment="1">
      <alignment horizontal="center"/>
    </xf>
    <xf numFmtId="4" fontId="4" fillId="33" borderId="43" xfId="0" applyNumberFormat="1" applyFont="1" applyFill="1" applyBorder="1" applyAlignment="1">
      <alignment horizontal="right"/>
    </xf>
    <xf numFmtId="4" fontId="4" fillId="33" borderId="24" xfId="0" applyNumberFormat="1" applyFont="1" applyFill="1" applyBorder="1" applyAlignment="1">
      <alignment horizontal="center"/>
    </xf>
    <xf numFmtId="4" fontId="4" fillId="33" borderId="75" xfId="0" applyNumberFormat="1" applyFont="1" applyFill="1" applyBorder="1" applyAlignment="1">
      <alignment horizontal="right"/>
    </xf>
    <xf numFmtId="4" fontId="3" fillId="33" borderId="60" xfId="0" applyNumberFormat="1" applyFont="1" applyFill="1" applyBorder="1" applyAlignment="1">
      <alignment horizontal="right"/>
    </xf>
    <xf numFmtId="4" fontId="3" fillId="33" borderId="76" xfId="0" applyNumberFormat="1" applyFont="1" applyFill="1" applyBorder="1" applyAlignment="1">
      <alignment horizontal="right"/>
    </xf>
    <xf numFmtId="4" fontId="3" fillId="33" borderId="50" xfId="0" applyNumberFormat="1" applyFont="1" applyFill="1" applyBorder="1" applyAlignment="1">
      <alignment horizontal="right"/>
    </xf>
    <xf numFmtId="39" fontId="3" fillId="33" borderId="75" xfId="0" applyNumberFormat="1" applyFont="1" applyFill="1" applyBorder="1" applyAlignment="1">
      <alignment horizontal="right"/>
    </xf>
    <xf numFmtId="39" fontId="3" fillId="33" borderId="47" xfId="0" applyNumberFormat="1" applyFont="1" applyFill="1" applyBorder="1" applyAlignment="1">
      <alignment horizontal="right"/>
    </xf>
    <xf numFmtId="39" fontId="3" fillId="33" borderId="63" xfId="0" applyNumberFormat="1" applyFont="1" applyFill="1" applyBorder="1" applyAlignment="1">
      <alignment horizontal="center"/>
    </xf>
    <xf numFmtId="4" fontId="3" fillId="33" borderId="63" xfId="0" applyNumberFormat="1" applyFont="1" applyFill="1" applyBorder="1" applyAlignment="1">
      <alignment horizontal="center"/>
    </xf>
    <xf numFmtId="4" fontId="3" fillId="33" borderId="22" xfId="0" applyNumberFormat="1" applyFont="1" applyFill="1" applyBorder="1" applyAlignment="1">
      <alignment horizontal="center"/>
    </xf>
    <xf numFmtId="4" fontId="3" fillId="33" borderId="22" xfId="0" applyNumberFormat="1" applyFont="1" applyFill="1" applyBorder="1" applyAlignment="1">
      <alignment horizontal="right"/>
    </xf>
    <xf numFmtId="4" fontId="3" fillId="34" borderId="11" xfId="0" applyNumberFormat="1" applyFont="1" applyFill="1" applyBorder="1" applyAlignment="1">
      <alignment horizontal="center"/>
    </xf>
    <xf numFmtId="4" fontId="3" fillId="34" borderId="43" xfId="0" applyNumberFormat="1" applyFont="1" applyFill="1" applyBorder="1" applyAlignment="1">
      <alignment horizontal="right"/>
    </xf>
    <xf numFmtId="4" fontId="3" fillId="34" borderId="47" xfId="0" applyNumberFormat="1" applyFont="1" applyFill="1" applyBorder="1" applyAlignment="1">
      <alignment horizontal="right"/>
    </xf>
    <xf numFmtId="4" fontId="3" fillId="33" borderId="21" xfId="0" applyNumberFormat="1" applyFont="1" applyFill="1" applyBorder="1" applyAlignment="1">
      <alignment horizontal="center"/>
    </xf>
    <xf numFmtId="0" fontId="3" fillId="0" borderId="10" xfId="0" applyFont="1" applyFill="1" applyBorder="1" applyAlignment="1" quotePrefix="1">
      <alignment horizontal="left" vertical="top" wrapText="1"/>
    </xf>
    <xf numFmtId="0" fontId="3" fillId="0" borderId="60" xfId="0" applyFont="1" applyFill="1" applyBorder="1" applyAlignment="1" quotePrefix="1">
      <alignment horizontal="right" vertical="top" wrapText="1"/>
    </xf>
    <xf numFmtId="0" fontId="3" fillId="0" borderId="60" xfId="0" applyFont="1" applyFill="1" applyBorder="1" applyAlignment="1">
      <alignment horizontal="right" vertical="top"/>
    </xf>
    <xf numFmtId="0" fontId="62" fillId="0" borderId="32" xfId="0" applyFont="1" applyFill="1" applyBorder="1" applyAlignment="1" quotePrefix="1">
      <alignment horizontal="left" vertical="top" wrapText="1"/>
    </xf>
    <xf numFmtId="4" fontId="61" fillId="0" borderId="23" xfId="0" applyNumberFormat="1" applyFont="1" applyFill="1" applyBorder="1" applyAlignment="1">
      <alignment vertical="top" wrapText="1"/>
    </xf>
    <xf numFmtId="0" fontId="61" fillId="0" borderId="10" xfId="0" applyFont="1" applyFill="1" applyBorder="1" applyAlignment="1">
      <alignment horizontal="left"/>
    </xf>
    <xf numFmtId="0" fontId="61" fillId="0" borderId="60" xfId="0" applyFont="1" applyFill="1" applyBorder="1" applyAlignment="1">
      <alignment horizontal="right"/>
    </xf>
    <xf numFmtId="0" fontId="3" fillId="0" borderId="23" xfId="0" applyFont="1" applyFill="1" applyBorder="1" applyAlignment="1">
      <alignment vertical="center"/>
    </xf>
    <xf numFmtId="0" fontId="6" fillId="0" borderId="37" xfId="0" applyFont="1" applyFill="1" applyBorder="1" applyAlignment="1">
      <alignment wrapText="1"/>
    </xf>
    <xf numFmtId="0" fontId="3" fillId="0" borderId="37" xfId="0" applyFont="1" applyFill="1" applyBorder="1" applyAlignment="1">
      <alignment vertical="top" wrapText="1"/>
    </xf>
    <xf numFmtId="0" fontId="4" fillId="0" borderId="17" xfId="0" applyFont="1" applyFill="1" applyBorder="1" applyAlignment="1">
      <alignment horizontal="left" wrapText="1"/>
    </xf>
    <xf numFmtId="39" fontId="3" fillId="33" borderId="11" xfId="0" applyNumberFormat="1" applyFont="1" applyFill="1" applyBorder="1" applyAlignment="1">
      <alignment horizontal="center"/>
    </xf>
    <xf numFmtId="2" fontId="63" fillId="0" borderId="0" xfId="0" applyNumberFormat="1" applyFont="1" applyAlignment="1">
      <alignment/>
    </xf>
    <xf numFmtId="0" fontId="63" fillId="0" borderId="0" xfId="0" applyFont="1" applyAlignment="1">
      <alignment/>
    </xf>
    <xf numFmtId="0" fontId="63" fillId="35" borderId="0" xfId="0" applyFont="1" applyFill="1" applyAlignment="1">
      <alignment/>
    </xf>
    <xf numFmtId="2" fontId="63" fillId="35" borderId="0" xfId="0" applyNumberFormat="1" applyFont="1" applyFill="1" applyAlignment="1">
      <alignment/>
    </xf>
    <xf numFmtId="0" fontId="0" fillId="33" borderId="77" xfId="0" applyFont="1" applyFill="1" applyBorder="1" applyAlignment="1">
      <alignment/>
    </xf>
    <xf numFmtId="4" fontId="6" fillId="33" borderId="63" xfId="0" applyNumberFormat="1" applyFont="1" applyFill="1" applyBorder="1" applyAlignment="1">
      <alignment/>
    </xf>
    <xf numFmtId="0" fontId="4" fillId="33" borderId="77" xfId="0" applyFont="1" applyFill="1" applyBorder="1" applyAlignment="1">
      <alignment/>
    </xf>
    <xf numFmtId="4" fontId="3" fillId="33" borderId="63" xfId="0" applyNumberFormat="1" applyFont="1" applyFill="1" applyBorder="1" applyAlignment="1">
      <alignment/>
    </xf>
    <xf numFmtId="4" fontId="14" fillId="33" borderId="63" xfId="0" applyNumberFormat="1" applyFont="1" applyFill="1" applyBorder="1" applyAlignment="1">
      <alignment horizontal="center"/>
    </xf>
    <xf numFmtId="4" fontId="3" fillId="33" borderId="78" xfId="0" applyNumberFormat="1" applyFont="1" applyFill="1" applyBorder="1" applyAlignment="1">
      <alignment horizontal="right"/>
    </xf>
    <xf numFmtId="4" fontId="58" fillId="0" borderId="0" xfId="0" applyNumberFormat="1" applyFont="1" applyAlignment="1">
      <alignment horizontal="left"/>
    </xf>
    <xf numFmtId="2" fontId="58" fillId="0" borderId="0" xfId="0" applyNumberFormat="1" applyFont="1" applyAlignment="1">
      <alignment horizontal="left"/>
    </xf>
    <xf numFmtId="4" fontId="63" fillId="0" borderId="0" xfId="0" applyNumberFormat="1" applyFont="1" applyAlignment="1">
      <alignment/>
    </xf>
    <xf numFmtId="0" fontId="63" fillId="0" borderId="0" xfId="0" applyNumberFormat="1" applyFont="1" applyAlignment="1">
      <alignment/>
    </xf>
    <xf numFmtId="0" fontId="63" fillId="0" borderId="0" xfId="0" applyFont="1" applyFill="1" applyAlignment="1">
      <alignment/>
    </xf>
    <xf numFmtId="39" fontId="63" fillId="0" borderId="0" xfId="0" applyNumberFormat="1" applyFont="1" applyFill="1" applyAlignment="1">
      <alignment/>
    </xf>
    <xf numFmtId="172" fontId="63" fillId="0" borderId="0" xfId="0" applyNumberFormat="1" applyFont="1" applyFill="1" applyAlignment="1">
      <alignment/>
    </xf>
    <xf numFmtId="173" fontId="63" fillId="0" borderId="0" xfId="0" applyNumberFormat="1" applyFont="1" applyBorder="1" applyAlignment="1">
      <alignment/>
    </xf>
    <xf numFmtId="0" fontId="4" fillId="0" borderId="12" xfId="0" applyFont="1" applyBorder="1" applyAlignment="1">
      <alignment wrapText="1"/>
    </xf>
    <xf numFmtId="4" fontId="3" fillId="0" borderId="13" xfId="0" applyNumberFormat="1" applyFont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left"/>
    </xf>
    <xf numFmtId="4" fontId="3" fillId="0" borderId="16" xfId="0" applyNumberFormat="1" applyFont="1" applyBorder="1" applyAlignment="1">
      <alignment/>
    </xf>
    <xf numFmtId="0" fontId="3" fillId="0" borderId="16" xfId="0" applyFont="1" applyBorder="1" applyAlignment="1">
      <alignment wrapText="1"/>
    </xf>
    <xf numFmtId="0" fontId="4" fillId="0" borderId="17" xfId="0" applyFont="1" applyBorder="1" applyAlignment="1">
      <alignment horizontal="left"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7" xfId="0" applyFont="1" applyBorder="1" applyAlignment="1" quotePrefix="1">
      <alignment horizontal="left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 quotePrefix="1">
      <alignment horizontal="left"/>
    </xf>
    <xf numFmtId="0" fontId="3" fillId="0" borderId="21" xfId="0" applyFont="1" applyBorder="1" applyAlignment="1">
      <alignment horizontal="left"/>
    </xf>
    <xf numFmtId="0" fontId="4" fillId="0" borderId="17" xfId="0" applyFont="1" applyBorder="1" applyAlignment="1">
      <alignment horizontal="left" vertical="top"/>
    </xf>
    <xf numFmtId="4" fontId="3" fillId="0" borderId="10" xfId="0" applyNumberFormat="1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4" fillId="0" borderId="32" xfId="0" applyFont="1" applyBorder="1" applyAlignment="1">
      <alignment horizontal="left" vertical="top"/>
    </xf>
    <xf numFmtId="4" fontId="3" fillId="0" borderId="23" xfId="0" applyNumberFormat="1" applyFont="1" applyBorder="1" applyAlignment="1">
      <alignment vertical="top" wrapText="1"/>
    </xf>
    <xf numFmtId="0" fontId="3" fillId="0" borderId="37" xfId="0" applyFont="1" applyBorder="1" applyAlignment="1">
      <alignment vertical="top" wrapText="1"/>
    </xf>
    <xf numFmtId="0" fontId="4" fillId="0" borderId="19" xfId="0" applyFont="1" applyBorder="1" applyAlignment="1">
      <alignment/>
    </xf>
    <xf numFmtId="4" fontId="3" fillId="0" borderId="20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4" fillId="0" borderId="21" xfId="0" applyFont="1" applyBorder="1" applyAlignment="1">
      <alignment horizontal="left"/>
    </xf>
    <xf numFmtId="4" fontId="4" fillId="0" borderId="21" xfId="0" applyNumberFormat="1" applyFont="1" applyBorder="1" applyAlignment="1">
      <alignment/>
    </xf>
    <xf numFmtId="0" fontId="3" fillId="0" borderId="21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23" xfId="0" applyFont="1" applyBorder="1" applyAlignment="1">
      <alignment horizontal="left" wrapText="1"/>
    </xf>
    <xf numFmtId="0" fontId="3" fillId="0" borderId="23" xfId="0" applyFont="1" applyBorder="1" applyAlignment="1">
      <alignment/>
    </xf>
    <xf numFmtId="4" fontId="3" fillId="0" borderId="0" xfId="0" applyNumberFormat="1" applyFont="1" applyAlignment="1">
      <alignment horizontal="right"/>
    </xf>
    <xf numFmtId="0" fontId="0" fillId="0" borderId="0" xfId="0" applyAlignment="1">
      <alignment horizontal="justify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 quotePrefix="1">
      <alignment horizontal="left"/>
    </xf>
    <xf numFmtId="0" fontId="0" fillId="0" borderId="11" xfId="0" applyBorder="1" applyAlignment="1">
      <alignment/>
    </xf>
    <xf numFmtId="0" fontId="0" fillId="0" borderId="10" xfId="0" applyBorder="1" applyAlignment="1">
      <alignment horizontal="left" wrapText="1"/>
    </xf>
    <xf numFmtId="4" fontId="0" fillId="33" borderId="10" xfId="0" applyNumberForma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4" fontId="6" fillId="0" borderId="13" xfId="0" applyNumberFormat="1" applyFont="1" applyBorder="1" applyAlignment="1">
      <alignment wrapText="1"/>
    </xf>
    <xf numFmtId="0" fontId="6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left"/>
    </xf>
    <xf numFmtId="4" fontId="6" fillId="0" borderId="16" xfId="0" applyNumberFormat="1" applyFont="1" applyBorder="1" applyAlignment="1">
      <alignment/>
    </xf>
    <xf numFmtId="0" fontId="6" fillId="0" borderId="16" xfId="0" applyFont="1" applyBorder="1" applyAlignment="1">
      <alignment wrapText="1"/>
    </xf>
    <xf numFmtId="0" fontId="0" fillId="0" borderId="17" xfId="0" applyBorder="1" applyAlignment="1">
      <alignment horizontal="left"/>
    </xf>
    <xf numFmtId="4" fontId="6" fillId="0" borderId="10" xfId="0" applyNumberFormat="1" applyFont="1" applyBorder="1" applyAlignment="1">
      <alignment/>
    </xf>
    <xf numFmtId="0" fontId="0" fillId="0" borderId="17" xfId="0" applyBorder="1" applyAlignment="1" quotePrefix="1">
      <alignment horizontal="left"/>
    </xf>
    <xf numFmtId="4" fontId="6" fillId="0" borderId="10" xfId="0" applyNumberFormat="1" applyFont="1" applyBorder="1" applyAlignment="1">
      <alignment wrapText="1"/>
    </xf>
    <xf numFmtId="0" fontId="6" fillId="0" borderId="21" xfId="0" applyFont="1" applyBorder="1" applyAlignment="1">
      <alignment horizontal="left"/>
    </xf>
    <xf numFmtId="0" fontId="0" fillId="0" borderId="17" xfId="0" applyBorder="1" applyAlignment="1">
      <alignment horizontal="left" vertical="top"/>
    </xf>
    <xf numFmtId="4" fontId="6" fillId="0" borderId="10" xfId="0" applyNumberFormat="1" applyFont="1" applyBorder="1" applyAlignment="1">
      <alignment vertical="top" wrapText="1"/>
    </xf>
    <xf numFmtId="4" fontId="6" fillId="0" borderId="20" xfId="0" applyNumberFormat="1" applyFont="1" applyBorder="1" applyAlignment="1">
      <alignment/>
    </xf>
    <xf numFmtId="0" fontId="6" fillId="0" borderId="20" xfId="0" applyFont="1" applyBorder="1" applyAlignment="1">
      <alignment/>
    </xf>
    <xf numFmtId="4" fontId="0" fillId="0" borderId="21" xfId="0" applyNumberFormat="1" applyBorder="1" applyAlignment="1">
      <alignment/>
    </xf>
    <xf numFmtId="0" fontId="6" fillId="0" borderId="21" xfId="0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23" xfId="0" applyBorder="1" applyAlignment="1">
      <alignment horizontal="left" wrapText="1"/>
    </xf>
    <xf numFmtId="0" fontId="6" fillId="0" borderId="23" xfId="0" applyFont="1" applyBorder="1" applyAlignment="1">
      <alignment/>
    </xf>
    <xf numFmtId="0" fontId="0" fillId="0" borderId="25" xfId="0" applyBorder="1" applyAlignment="1">
      <alignment horizontal="left"/>
    </xf>
    <xf numFmtId="0" fontId="0" fillId="0" borderId="22" xfId="0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33" borderId="29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42" xfId="0" applyFill="1" applyBorder="1" applyAlignment="1">
      <alignment/>
    </xf>
    <xf numFmtId="0" fontId="0" fillId="33" borderId="22" xfId="0" applyFill="1" applyBorder="1" applyAlignment="1">
      <alignment horizontal="left"/>
    </xf>
    <xf numFmtId="0" fontId="0" fillId="33" borderId="21" xfId="0" applyFill="1" applyBorder="1" applyAlignment="1">
      <alignment/>
    </xf>
    <xf numFmtId="0" fontId="0" fillId="33" borderId="11" xfId="0" applyFill="1" applyBorder="1" applyAlignment="1">
      <alignment wrapText="1"/>
    </xf>
    <xf numFmtId="0" fontId="0" fillId="33" borderId="25" xfId="0" applyFill="1" applyBorder="1" applyAlignment="1">
      <alignment horizontal="left"/>
    </xf>
    <xf numFmtId="0" fontId="0" fillId="33" borderId="25" xfId="0" applyFill="1" applyBorder="1" applyAlignment="1">
      <alignment horizontal="left" wrapText="1"/>
    </xf>
    <xf numFmtId="4" fontId="6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left" wrapText="1"/>
    </xf>
    <xf numFmtId="0" fontId="4" fillId="33" borderId="64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wrapText="1"/>
    </xf>
    <xf numFmtId="0" fontId="3" fillId="0" borderId="24" xfId="0" applyFont="1" applyFill="1" applyBorder="1" applyAlignment="1">
      <alignment wrapText="1"/>
    </xf>
    <xf numFmtId="0" fontId="3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wrapText="1"/>
    </xf>
    <xf numFmtId="0" fontId="3" fillId="33" borderId="24" xfId="0" applyFont="1" applyFill="1" applyBorder="1" applyAlignment="1">
      <alignment wrapText="1"/>
    </xf>
    <xf numFmtId="0" fontId="3" fillId="33" borderId="24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left" wrapText="1"/>
    </xf>
    <xf numFmtId="0" fontId="3" fillId="0" borderId="24" xfId="0" applyFont="1" applyBorder="1" applyAlignment="1">
      <alignment wrapText="1"/>
    </xf>
    <xf numFmtId="0" fontId="3" fillId="0" borderId="11" xfId="0" applyFont="1" applyBorder="1" applyAlignment="1">
      <alignment horizontal="left" wrapText="1"/>
    </xf>
    <xf numFmtId="0" fontId="3" fillId="0" borderId="11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33" borderId="64" xfId="0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styles" Target="styles.xml" /><Relationship Id="rId57" Type="http://schemas.openxmlformats.org/officeDocument/2006/relationships/sharedStrings" Target="sharedStrings.xml" /><Relationship Id="rId5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8"/>
  <sheetViews>
    <sheetView zoomScale="89" zoomScaleNormal="89" zoomScalePageLayoutView="0" workbookViewId="0" topLeftCell="A34">
      <selection activeCell="D45" sqref="D45"/>
    </sheetView>
  </sheetViews>
  <sheetFormatPr defaultColWidth="11.57421875" defaultRowHeight="12.75"/>
  <cols>
    <col min="1" max="1" width="55.7109375" style="0" customWidth="1"/>
    <col min="2" max="2" width="13.8515625" style="0" customWidth="1"/>
    <col min="3" max="3" width="25.140625" style="0" customWidth="1"/>
    <col min="4" max="4" width="18.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560" t="s">
        <v>0</v>
      </c>
      <c r="B1" s="560"/>
      <c r="C1" s="560"/>
      <c r="D1" s="560"/>
    </row>
    <row r="2" spans="1:4" ht="15.75">
      <c r="A2" s="561" t="s">
        <v>220</v>
      </c>
      <c r="B2" s="562"/>
      <c r="C2" s="562"/>
      <c r="D2" s="562"/>
    </row>
    <row r="3" spans="1:4" ht="15.75">
      <c r="A3" s="562" t="s">
        <v>1</v>
      </c>
      <c r="B3" s="562"/>
      <c r="C3" s="562"/>
      <c r="D3" s="562"/>
    </row>
    <row r="4" spans="1:4" ht="12.75">
      <c r="A4" s="563" t="s">
        <v>122</v>
      </c>
      <c r="B4" s="563"/>
      <c r="C4" s="563"/>
      <c r="D4" s="563"/>
    </row>
    <row r="5" spans="1:4" ht="12.75">
      <c r="A5" s="564" t="s">
        <v>261</v>
      </c>
      <c r="B5" s="563"/>
      <c r="C5" s="563"/>
      <c r="D5" s="563"/>
    </row>
    <row r="6" ht="9" customHeight="1">
      <c r="A6" s="2"/>
    </row>
    <row r="7" spans="1:4" ht="33.75" customHeight="1">
      <c r="A7" s="565" t="s">
        <v>2</v>
      </c>
      <c r="B7" s="565"/>
      <c r="C7" s="565"/>
      <c r="D7" s="565"/>
    </row>
    <row r="8" spans="1:4" ht="12.75">
      <c r="A8" s="182" t="s">
        <v>142</v>
      </c>
      <c r="B8" s="178"/>
      <c r="C8" s="183"/>
      <c r="D8" s="178"/>
    </row>
    <row r="9" spans="1:8" ht="12.75">
      <c r="A9" s="184" t="s">
        <v>3</v>
      </c>
      <c r="B9" s="184" t="s">
        <v>4</v>
      </c>
      <c r="C9" s="184" t="s">
        <v>5</v>
      </c>
      <c r="D9" s="185"/>
      <c r="E9" s="109"/>
      <c r="F9" s="109"/>
      <c r="G9" s="109"/>
      <c r="H9" s="109"/>
    </row>
    <row r="10" spans="1:8" ht="12.75">
      <c r="A10" s="186">
        <v>1</v>
      </c>
      <c r="B10" s="186">
        <v>2</v>
      </c>
      <c r="C10" s="186">
        <v>3</v>
      </c>
      <c r="D10" s="187">
        <v>4</v>
      </c>
      <c r="E10" s="109"/>
      <c r="F10" s="109"/>
      <c r="G10" s="109"/>
      <c r="H10" s="109"/>
    </row>
    <row r="11" spans="1:8" ht="12.75">
      <c r="A11" s="20" t="s">
        <v>6</v>
      </c>
      <c r="B11" s="188"/>
      <c r="C11" s="189" t="s">
        <v>262</v>
      </c>
      <c r="D11" s="190"/>
      <c r="E11" s="109"/>
      <c r="F11" s="109"/>
      <c r="G11" s="109"/>
      <c r="H11" s="109"/>
    </row>
    <row r="12" spans="1:8" ht="12.75">
      <c r="A12" s="20" t="s">
        <v>7</v>
      </c>
      <c r="B12" s="188"/>
      <c r="C12" s="189" t="s">
        <v>263</v>
      </c>
      <c r="D12" s="190"/>
      <c r="E12" s="109"/>
      <c r="F12" s="109"/>
      <c r="G12" s="109"/>
      <c r="H12" s="109"/>
    </row>
    <row r="13" spans="1:8" ht="12.75">
      <c r="A13" s="20" t="s">
        <v>8</v>
      </c>
      <c r="B13" s="188"/>
      <c r="C13" s="189" t="s">
        <v>264</v>
      </c>
      <c r="D13" s="190"/>
      <c r="E13" s="109"/>
      <c r="F13" s="109"/>
      <c r="G13" s="109"/>
      <c r="H13" s="109"/>
    </row>
    <row r="14" spans="1:8" ht="31.5" customHeight="1">
      <c r="A14" s="567" t="s">
        <v>9</v>
      </c>
      <c r="B14" s="567"/>
      <c r="C14" s="567"/>
      <c r="D14" s="567"/>
      <c r="E14" s="109"/>
      <c r="F14" s="109"/>
      <c r="G14" s="109"/>
      <c r="H14" s="109"/>
    </row>
    <row r="15" spans="1:10" ht="26.25">
      <c r="A15" s="17" t="s">
        <v>10</v>
      </c>
      <c r="B15" s="191" t="s">
        <v>11</v>
      </c>
      <c r="C15" s="194">
        <v>-43719</v>
      </c>
      <c r="D15" s="193"/>
      <c r="E15" s="109"/>
      <c r="F15" s="109"/>
      <c r="G15" s="109"/>
      <c r="H15" s="109"/>
      <c r="I15" s="109"/>
      <c r="J15" s="109"/>
    </row>
    <row r="16" spans="1:10" ht="15.75">
      <c r="A16" s="20" t="s">
        <v>12</v>
      </c>
      <c r="B16" s="191" t="s">
        <v>11</v>
      </c>
      <c r="C16" s="192">
        <v>0</v>
      </c>
      <c r="D16" s="193"/>
      <c r="E16" s="109"/>
      <c r="F16" s="109"/>
      <c r="G16" s="109"/>
      <c r="H16" s="109"/>
      <c r="I16" s="109"/>
      <c r="J16" s="109"/>
    </row>
    <row r="17" spans="1:10" ht="15.75">
      <c r="A17" s="20" t="s">
        <v>13</v>
      </c>
      <c r="B17" s="191" t="s">
        <v>11</v>
      </c>
      <c r="C17" s="194">
        <v>54499.42</v>
      </c>
      <c r="D17" s="195"/>
      <c r="E17" s="109" t="e">
        <f>B17/12/1022.6</f>
        <v>#VALUE!</v>
      </c>
      <c r="F17" s="109"/>
      <c r="G17" s="109"/>
      <c r="H17" s="109"/>
      <c r="I17" s="109"/>
      <c r="J17" s="109"/>
    </row>
    <row r="18" spans="1:10" ht="31.5" customHeight="1">
      <c r="A18" s="17" t="s">
        <v>14</v>
      </c>
      <c r="B18" s="191" t="s">
        <v>11</v>
      </c>
      <c r="C18" s="194">
        <f>45831.66+4027.56</f>
        <v>49859.22</v>
      </c>
      <c r="D18" s="195"/>
      <c r="E18" s="110">
        <f>C18-C20-4027.56</f>
        <v>39051.732</v>
      </c>
      <c r="F18" s="109"/>
      <c r="G18" s="109"/>
      <c r="H18" s="109"/>
      <c r="I18" s="109"/>
      <c r="J18" s="109"/>
    </row>
    <row r="19" spans="1:10" ht="15.75">
      <c r="A19" s="20" t="s">
        <v>15</v>
      </c>
      <c r="B19" s="191" t="s">
        <v>11</v>
      </c>
      <c r="C19" s="194">
        <f>C18-C20-C21</f>
        <v>29015.976000000002</v>
      </c>
      <c r="D19" s="195"/>
      <c r="E19" s="110">
        <f>E18-E44</f>
        <v>-0.0019999999858555384</v>
      </c>
      <c r="F19" s="109"/>
      <c r="G19" s="109"/>
      <c r="H19" s="109"/>
      <c r="I19" s="109"/>
      <c r="J19" s="109"/>
    </row>
    <row r="20" spans="1:10" ht="15.75">
      <c r="A20" s="20" t="s">
        <v>16</v>
      </c>
      <c r="B20" s="191" t="s">
        <v>11</v>
      </c>
      <c r="C20" s="194">
        <f>(2.01+2.03)*6*279.7</f>
        <v>6779.927999999998</v>
      </c>
      <c r="D20" s="195"/>
      <c r="E20" s="111"/>
      <c r="F20" s="109"/>
      <c r="G20" s="109"/>
      <c r="H20" s="109"/>
      <c r="I20" s="109"/>
      <c r="J20" s="109"/>
    </row>
    <row r="21" spans="1:10" ht="15.75">
      <c r="A21" s="20" t="s">
        <v>17</v>
      </c>
      <c r="B21" s="191" t="s">
        <v>11</v>
      </c>
      <c r="C21" s="196">
        <f>279.7*4.19*12</f>
        <v>14063.315999999999</v>
      </c>
      <c r="D21" s="195"/>
      <c r="E21" s="109"/>
      <c r="F21" s="109"/>
      <c r="G21" s="109"/>
      <c r="H21" s="109"/>
      <c r="I21" s="109"/>
      <c r="J21" s="109"/>
    </row>
    <row r="22" spans="1:10" ht="15.75">
      <c r="A22" s="20" t="s">
        <v>18</v>
      </c>
      <c r="B22" s="191" t="s">
        <v>11</v>
      </c>
      <c r="C22" s="194">
        <f>C23+C24+C25+C26+C27</f>
        <v>45043.07391</v>
      </c>
      <c r="D22" s="195" t="s">
        <v>19</v>
      </c>
      <c r="E22" s="110"/>
      <c r="F22" s="109"/>
      <c r="G22" s="109"/>
      <c r="H22" s="109"/>
      <c r="I22" s="109"/>
      <c r="J22" s="109"/>
    </row>
    <row r="23" spans="1:10" ht="15.75">
      <c r="A23" s="20" t="s">
        <v>20</v>
      </c>
      <c r="B23" s="191" t="s">
        <v>11</v>
      </c>
      <c r="C23" s="194">
        <f>C18*0.8155</f>
        <v>40660.19391</v>
      </c>
      <c r="D23" s="195"/>
      <c r="E23" s="109"/>
      <c r="F23" s="109"/>
      <c r="G23" s="109"/>
      <c r="H23" s="109"/>
      <c r="I23" s="109"/>
      <c r="J23" s="109"/>
    </row>
    <row r="24" spans="1:10" ht="15.75">
      <c r="A24" s="20" t="s">
        <v>21</v>
      </c>
      <c r="B24" s="191" t="s">
        <v>11</v>
      </c>
      <c r="C24" s="194">
        <v>0</v>
      </c>
      <c r="D24" s="197">
        <v>65.21</v>
      </c>
      <c r="E24" s="111" t="e">
        <f>B24/#REF!*1</f>
        <v>#VALUE!</v>
      </c>
      <c r="F24" s="109"/>
      <c r="G24" s="109"/>
      <c r="H24" s="109" t="s">
        <v>22</v>
      </c>
      <c r="I24" s="109"/>
      <c r="J24" s="109"/>
    </row>
    <row r="25" spans="1:10" ht="15.75">
      <c r="A25" s="20" t="s">
        <v>23</v>
      </c>
      <c r="B25" s="191" t="s">
        <v>11</v>
      </c>
      <c r="C25" s="194">
        <v>0</v>
      </c>
      <c r="D25" s="197">
        <v>119.63</v>
      </c>
      <c r="E25" s="111" t="e">
        <f>B25/#REF!*1</f>
        <v>#VALUE!</v>
      </c>
      <c r="F25" s="109"/>
      <c r="G25" s="109"/>
      <c r="H25" s="109"/>
      <c r="I25" s="109"/>
      <c r="J25" s="109"/>
    </row>
    <row r="26" spans="1:10" ht="15.75">
      <c r="A26" s="188" t="s">
        <v>24</v>
      </c>
      <c r="B26" s="191" t="s">
        <v>11</v>
      </c>
      <c r="C26" s="194">
        <v>4382.88</v>
      </c>
      <c r="D26" s="197"/>
      <c r="E26" s="111" t="e">
        <f>B26/#REF!*1</f>
        <v>#VALUE!</v>
      </c>
      <c r="F26" s="109"/>
      <c r="G26" s="109"/>
      <c r="H26" s="109"/>
      <c r="I26" s="109"/>
      <c r="J26" s="109"/>
    </row>
    <row r="27" spans="1:10" ht="16.5" customHeight="1">
      <c r="A27" s="198" t="s">
        <v>96</v>
      </c>
      <c r="B27" s="191" t="s">
        <v>11</v>
      </c>
      <c r="C27" s="194"/>
      <c r="D27" s="197">
        <v>139.18</v>
      </c>
      <c r="E27" s="111" t="e">
        <f>B27/#REF!*1</f>
        <v>#VALUE!</v>
      </c>
      <c r="F27" s="109"/>
      <c r="G27" s="109"/>
      <c r="H27" s="109"/>
      <c r="I27" s="109"/>
      <c r="J27" s="109"/>
    </row>
    <row r="28" spans="1:10" ht="15.75">
      <c r="A28" s="20" t="s">
        <v>25</v>
      </c>
      <c r="B28" s="191" t="s">
        <v>11</v>
      </c>
      <c r="C28" s="194">
        <f>C15+C22</f>
        <v>1324.0739099999992</v>
      </c>
      <c r="D28" s="195" t="s">
        <v>26</v>
      </c>
      <c r="E28" s="111" t="e">
        <f>B28/#REF!*1</f>
        <v>#VALUE!</v>
      </c>
      <c r="F28" s="109"/>
      <c r="G28" s="109"/>
      <c r="H28" s="109"/>
      <c r="I28" s="109"/>
      <c r="J28" s="109"/>
    </row>
    <row r="29" spans="1:10" ht="35.25" customHeight="1">
      <c r="A29" s="568" t="s">
        <v>27</v>
      </c>
      <c r="B29" s="568"/>
      <c r="C29" s="568"/>
      <c r="D29" s="568"/>
      <c r="E29" s="109"/>
      <c r="F29" s="109"/>
      <c r="G29" s="109"/>
      <c r="H29" s="109"/>
      <c r="I29" s="109"/>
      <c r="J29" s="109"/>
    </row>
    <row r="30" spans="1:10" ht="51">
      <c r="A30" s="199" t="s">
        <v>28</v>
      </c>
      <c r="B30" s="200" t="s">
        <v>29</v>
      </c>
      <c r="C30" s="201" t="s">
        <v>30</v>
      </c>
      <c r="D30" s="202" t="s">
        <v>31</v>
      </c>
      <c r="E30" s="109"/>
      <c r="F30" s="109"/>
      <c r="G30" s="109"/>
      <c r="H30" s="109"/>
      <c r="I30" s="109"/>
      <c r="J30" s="109"/>
    </row>
    <row r="31" spans="1:10" ht="15.75">
      <c r="A31" s="203" t="s">
        <v>32</v>
      </c>
      <c r="B31" s="204" t="s">
        <v>33</v>
      </c>
      <c r="C31" s="205" t="s">
        <v>34</v>
      </c>
      <c r="D31" s="206">
        <f>(0.7+0.79)*6*279.7</f>
        <v>2500.5179999999996</v>
      </c>
      <c r="E31" s="109"/>
      <c r="F31" s="109"/>
      <c r="G31" s="109"/>
      <c r="H31" s="109"/>
      <c r="I31" s="109"/>
      <c r="J31" s="109"/>
    </row>
    <row r="32" spans="1:10" ht="15.75">
      <c r="A32" s="207" t="s">
        <v>75</v>
      </c>
      <c r="B32" s="208" t="s">
        <v>76</v>
      </c>
      <c r="C32" s="209" t="s">
        <v>34</v>
      </c>
      <c r="D32" s="210">
        <f>2.4*12*279.7</f>
        <v>8055.359999999999</v>
      </c>
      <c r="E32" s="109"/>
      <c r="F32" s="109"/>
      <c r="G32" s="109"/>
      <c r="H32" s="109"/>
      <c r="I32" s="109"/>
      <c r="J32" s="109"/>
    </row>
    <row r="33" spans="1:10" ht="15.75">
      <c r="A33" s="207" t="s">
        <v>36</v>
      </c>
      <c r="B33" s="208" t="s">
        <v>33</v>
      </c>
      <c r="C33" s="209" t="s">
        <v>37</v>
      </c>
      <c r="D33" s="210">
        <f>0.24*12*279.7</f>
        <v>805.536</v>
      </c>
      <c r="E33" s="109"/>
      <c r="F33" s="109"/>
      <c r="G33" s="109"/>
      <c r="H33" s="109"/>
      <c r="I33" s="109"/>
      <c r="J33" s="109"/>
    </row>
    <row r="34" spans="1:10" ht="15.75">
      <c r="A34" s="207" t="s">
        <v>79</v>
      </c>
      <c r="B34" s="363" t="s">
        <v>33</v>
      </c>
      <c r="C34" s="209" t="s">
        <v>34</v>
      </c>
      <c r="D34" s="210">
        <f>(0.87+0.89)*6*279.7</f>
        <v>2953.632</v>
      </c>
      <c r="E34" s="109"/>
      <c r="F34" s="109"/>
      <c r="G34" s="109"/>
      <c r="H34" s="109"/>
      <c r="I34" s="109"/>
      <c r="J34" s="109"/>
    </row>
    <row r="35" spans="1:10" ht="26.25">
      <c r="A35" s="467" t="s">
        <v>323</v>
      </c>
      <c r="B35" s="208" t="s">
        <v>33</v>
      </c>
      <c r="C35" s="209" t="s">
        <v>34</v>
      </c>
      <c r="D35" s="210">
        <f>1.38*12*279.7</f>
        <v>4631.831999999999</v>
      </c>
      <c r="E35" s="109"/>
      <c r="F35" s="109"/>
      <c r="G35" s="109"/>
      <c r="H35" s="109"/>
      <c r="I35" s="109"/>
      <c r="J35" s="109"/>
    </row>
    <row r="36" spans="1:10" ht="31.5">
      <c r="A36" s="207" t="s">
        <v>81</v>
      </c>
      <c r="B36" s="213" t="s">
        <v>82</v>
      </c>
      <c r="C36" s="209" t="s">
        <v>34</v>
      </c>
      <c r="D36" s="210">
        <f>1.33*12*279.7</f>
        <v>4464.012</v>
      </c>
      <c r="E36" s="109"/>
      <c r="F36" s="109"/>
      <c r="G36" s="109"/>
      <c r="H36" s="109"/>
      <c r="I36" s="109"/>
      <c r="J36" s="109"/>
    </row>
    <row r="37" spans="1:10" ht="15.75">
      <c r="A37" s="207" t="s">
        <v>38</v>
      </c>
      <c r="B37" s="208" t="s">
        <v>35</v>
      </c>
      <c r="C37" s="362" t="s">
        <v>221</v>
      </c>
      <c r="D37" s="210">
        <f>4.19*279.7*12</f>
        <v>14063.315999999999</v>
      </c>
      <c r="E37" s="109"/>
      <c r="F37" s="109"/>
      <c r="G37" s="109"/>
      <c r="H37" s="109"/>
      <c r="I37" s="109"/>
      <c r="J37" s="109"/>
    </row>
    <row r="38" spans="1:14" s="1" customFormat="1" ht="15.75">
      <c r="A38" s="216" t="s">
        <v>209</v>
      </c>
      <c r="B38" s="217"/>
      <c r="C38" s="218"/>
      <c r="D38" s="176"/>
      <c r="E38" s="109"/>
      <c r="F38" s="109"/>
      <c r="G38" s="109"/>
      <c r="H38" s="109"/>
      <c r="I38" s="109"/>
      <c r="J38" s="109"/>
      <c r="K38"/>
      <c r="L38"/>
      <c r="M38"/>
      <c r="N38"/>
    </row>
    <row r="39" spans="1:14" s="1" customFormat="1" ht="31.5">
      <c r="A39" s="219" t="s">
        <v>213</v>
      </c>
      <c r="B39" s="217" t="s">
        <v>35</v>
      </c>
      <c r="C39" s="218" t="s">
        <v>210</v>
      </c>
      <c r="D39" s="176">
        <v>401.83</v>
      </c>
      <c r="E39" s="109"/>
      <c r="F39" s="109"/>
      <c r="G39" s="109"/>
      <c r="H39" s="109"/>
      <c r="I39" s="109"/>
      <c r="J39" s="109"/>
      <c r="K39"/>
      <c r="L39"/>
      <c r="M39"/>
      <c r="N39"/>
    </row>
    <row r="40" spans="1:14" s="1" customFormat="1" ht="31.5">
      <c r="A40" s="216" t="s">
        <v>211</v>
      </c>
      <c r="B40" s="217" t="s">
        <v>35</v>
      </c>
      <c r="C40" s="218" t="s">
        <v>212</v>
      </c>
      <c r="D40" s="176">
        <v>3792.72</v>
      </c>
      <c r="E40" s="109"/>
      <c r="F40" s="109"/>
      <c r="G40" s="109"/>
      <c r="H40" s="109"/>
      <c r="I40" s="109"/>
      <c r="J40" s="109"/>
      <c r="K40"/>
      <c r="L40"/>
      <c r="M40"/>
      <c r="N40"/>
    </row>
    <row r="41" spans="1:14" s="1" customFormat="1" ht="15.75">
      <c r="A41" s="219" t="s">
        <v>233</v>
      </c>
      <c r="B41" s="217" t="s">
        <v>222</v>
      </c>
      <c r="C41" s="209" t="s">
        <v>37</v>
      </c>
      <c r="D41" s="174">
        <f>0.47*12*279.7+0.02</f>
        <v>1577.5279999999998</v>
      </c>
      <c r="E41" s="109"/>
      <c r="F41" s="109"/>
      <c r="G41" s="109"/>
      <c r="H41" s="109"/>
      <c r="I41" s="109"/>
      <c r="J41" s="109"/>
      <c r="K41"/>
      <c r="L41"/>
      <c r="M41"/>
      <c r="N41"/>
    </row>
    <row r="42" spans="1:14" s="1" customFormat="1" ht="78.75">
      <c r="A42" s="220" t="s">
        <v>234</v>
      </c>
      <c r="B42" s="217" t="s">
        <v>41</v>
      </c>
      <c r="C42" s="205"/>
      <c r="D42" s="380">
        <f>D43</f>
        <v>1274.51</v>
      </c>
      <c r="E42" s="109"/>
      <c r="F42" s="109"/>
      <c r="G42" s="109"/>
      <c r="H42" s="109"/>
      <c r="I42" s="109"/>
      <c r="J42" s="109"/>
      <c r="K42"/>
      <c r="L42"/>
      <c r="M42"/>
      <c r="N42"/>
    </row>
    <row r="43" spans="1:14" s="1" customFormat="1" ht="18.75" customHeight="1">
      <c r="A43" s="220" t="s">
        <v>265</v>
      </c>
      <c r="B43" s="217" t="s">
        <v>159</v>
      </c>
      <c r="C43" s="209" t="s">
        <v>34</v>
      </c>
      <c r="D43" s="176">
        <v>1274.51</v>
      </c>
      <c r="E43" s="109"/>
      <c r="F43" s="109"/>
      <c r="G43" s="109"/>
      <c r="H43" s="109"/>
      <c r="I43" s="109"/>
      <c r="J43" s="109"/>
      <c r="K43"/>
      <c r="L43"/>
      <c r="M43"/>
      <c r="N43"/>
    </row>
    <row r="44" spans="1:14" s="1" customFormat="1" ht="15.75">
      <c r="A44" s="37" t="s">
        <v>42</v>
      </c>
      <c r="B44" s="222"/>
      <c r="C44" s="223"/>
      <c r="D44" s="97">
        <f>D31+D32+D33+D34+D35+D36+D37+D39+D40+D41+D42</f>
        <v>44520.793999999994</v>
      </c>
      <c r="E44" s="181">
        <f>D44-D39-D40-D42</f>
        <v>39051.73399999999</v>
      </c>
      <c r="F44" s="109"/>
      <c r="G44" s="109"/>
      <c r="H44" s="109"/>
      <c r="I44" s="109"/>
      <c r="J44" s="109"/>
      <c r="K44"/>
      <c r="L44"/>
      <c r="M44"/>
      <c r="N44"/>
    </row>
    <row r="45" spans="1:14" s="1" customFormat="1" ht="26.25">
      <c r="A45" s="156" t="s">
        <v>43</v>
      </c>
      <c r="B45" s="224" t="s">
        <v>11</v>
      </c>
      <c r="C45" s="225"/>
      <c r="D45" s="226">
        <f>C28-D44</f>
        <v>-43196.720089999995</v>
      </c>
      <c r="E45" s="112"/>
      <c r="F45" s="109"/>
      <c r="G45" s="109"/>
      <c r="H45" s="109"/>
      <c r="I45" s="109"/>
      <c r="J45" s="109"/>
      <c r="K45"/>
      <c r="L45"/>
      <c r="M45"/>
      <c r="N45"/>
    </row>
    <row r="46" spans="1:14" s="1" customFormat="1" ht="15.75">
      <c r="A46" s="227" t="s">
        <v>12</v>
      </c>
      <c r="B46" s="228" t="s">
        <v>11</v>
      </c>
      <c r="C46" s="209"/>
      <c r="D46" s="193">
        <v>0</v>
      </c>
      <c r="E46" s="109"/>
      <c r="F46" s="109"/>
      <c r="G46" s="109"/>
      <c r="H46" s="109"/>
      <c r="I46" s="109"/>
      <c r="J46" s="109"/>
      <c r="K46"/>
      <c r="L46"/>
      <c r="M46"/>
      <c r="N46"/>
    </row>
    <row r="47" spans="1:14" s="1" customFormat="1" ht="15.75">
      <c r="A47" s="227" t="s">
        <v>13</v>
      </c>
      <c r="B47" s="228" t="s">
        <v>11</v>
      </c>
      <c r="C47" s="209"/>
      <c r="D47" s="195">
        <f>C17+C18-C23</f>
        <v>63698.44609</v>
      </c>
      <c r="E47" s="109"/>
      <c r="F47" s="109"/>
      <c r="G47" s="109"/>
      <c r="H47" s="109"/>
      <c r="I47" s="109"/>
      <c r="J47" s="109"/>
      <c r="K47"/>
      <c r="L47"/>
      <c r="M47"/>
      <c r="N47"/>
    </row>
    <row r="48" spans="1:14" s="1" customFormat="1" ht="24" customHeight="1">
      <c r="A48" s="569" t="s">
        <v>44</v>
      </c>
      <c r="B48" s="569"/>
      <c r="C48" s="569"/>
      <c r="D48" s="569"/>
      <c r="E48" s="109"/>
      <c r="F48" s="109"/>
      <c r="G48" s="109"/>
      <c r="H48" s="109"/>
      <c r="I48" s="109"/>
      <c r="J48" s="109"/>
      <c r="K48"/>
      <c r="L48"/>
      <c r="M48"/>
      <c r="N48"/>
    </row>
    <row r="49" spans="1:14" s="1" customFormat="1" ht="15.75">
      <c r="A49" s="227" t="s">
        <v>45</v>
      </c>
      <c r="B49" s="208" t="s">
        <v>46</v>
      </c>
      <c r="C49" s="209">
        <v>0</v>
      </c>
      <c r="D49" s="193">
        <v>0</v>
      </c>
      <c r="E49" s="109"/>
      <c r="F49" s="109"/>
      <c r="G49" s="109"/>
      <c r="H49" s="109"/>
      <c r="I49" s="109"/>
      <c r="J49" s="109"/>
      <c r="K49"/>
      <c r="L49"/>
      <c r="M49"/>
      <c r="N49"/>
    </row>
    <row r="50" spans="1:14" s="1" customFormat="1" ht="15.75">
      <c r="A50" s="227" t="s">
        <v>47</v>
      </c>
      <c r="B50" s="208" t="s">
        <v>46</v>
      </c>
      <c r="C50" s="209">
        <v>0</v>
      </c>
      <c r="D50" s="193">
        <v>0</v>
      </c>
      <c r="E50" s="109"/>
      <c r="F50" s="109"/>
      <c r="G50" s="109"/>
      <c r="H50" s="109"/>
      <c r="I50" s="109"/>
      <c r="J50" s="109"/>
      <c r="K50"/>
      <c r="L50"/>
      <c r="M50"/>
      <c r="N50"/>
    </row>
    <row r="51" spans="1:14" s="1" customFormat="1" ht="26.25">
      <c r="A51" s="229" t="s">
        <v>48</v>
      </c>
      <c r="B51" s="208" t="s">
        <v>46</v>
      </c>
      <c r="C51" s="209">
        <v>0</v>
      </c>
      <c r="D51" s="193">
        <v>0</v>
      </c>
      <c r="E51" s="109"/>
      <c r="F51" s="109"/>
      <c r="G51" s="109"/>
      <c r="H51" s="109"/>
      <c r="I51" s="109"/>
      <c r="J51" s="109"/>
      <c r="K51"/>
      <c r="L51"/>
      <c r="M51"/>
      <c r="N51"/>
    </row>
    <row r="52" spans="1:14" s="1" customFormat="1" ht="15.75">
      <c r="A52" s="227" t="s">
        <v>49</v>
      </c>
      <c r="B52" s="208" t="s">
        <v>11</v>
      </c>
      <c r="C52" s="209">
        <v>0</v>
      </c>
      <c r="D52" s="193">
        <v>0</v>
      </c>
      <c r="E52" s="109"/>
      <c r="F52" s="109"/>
      <c r="G52" s="109"/>
      <c r="H52" s="109"/>
      <c r="I52" s="109"/>
      <c r="J52" s="109"/>
      <c r="K52"/>
      <c r="L52"/>
      <c r="M52"/>
      <c r="N52"/>
    </row>
    <row r="53" spans="1:10" ht="20.25" customHeight="1">
      <c r="A53" s="570" t="s">
        <v>50</v>
      </c>
      <c r="B53" s="570"/>
      <c r="C53" s="570"/>
      <c r="D53" s="570"/>
      <c r="E53" s="109"/>
      <c r="F53" s="109"/>
      <c r="G53" s="109"/>
      <c r="H53" s="109"/>
      <c r="I53" s="109"/>
      <c r="J53" s="109"/>
    </row>
    <row r="54" spans="1:10" ht="26.25">
      <c r="A54" s="388" t="s">
        <v>235</v>
      </c>
      <c r="B54" s="208" t="s">
        <v>11</v>
      </c>
      <c r="C54" s="209"/>
      <c r="D54" s="193">
        <v>0</v>
      </c>
      <c r="E54" s="109"/>
      <c r="F54" s="109"/>
      <c r="G54" s="109"/>
      <c r="H54" s="109"/>
      <c r="I54" s="109"/>
      <c r="J54" s="109"/>
    </row>
    <row r="55" spans="1:10" ht="15.75">
      <c r="A55" s="227" t="s">
        <v>12</v>
      </c>
      <c r="B55" s="208" t="s">
        <v>11</v>
      </c>
      <c r="C55" s="209"/>
      <c r="D55" s="193">
        <v>0</v>
      </c>
      <c r="E55" s="109"/>
      <c r="F55" s="109"/>
      <c r="G55" s="109"/>
      <c r="H55" s="109"/>
      <c r="I55" s="109"/>
      <c r="J55" s="109"/>
    </row>
    <row r="56" spans="1:10" ht="15.75">
      <c r="A56" s="227" t="s">
        <v>13</v>
      </c>
      <c r="B56" s="208" t="s">
        <v>11</v>
      </c>
      <c r="C56" s="209"/>
      <c r="D56" s="230">
        <f>D59-D62-D63-D64</f>
        <v>163302.79776000002</v>
      </c>
      <c r="E56" s="109"/>
      <c r="F56" s="109"/>
      <c r="G56" s="109"/>
      <c r="H56" s="113"/>
      <c r="I56" s="109"/>
      <c r="J56" s="109"/>
    </row>
    <row r="57" spans="1:10" ht="26.25">
      <c r="A57" s="231" t="s">
        <v>52</v>
      </c>
      <c r="B57" s="208" t="s">
        <v>11</v>
      </c>
      <c r="C57" s="232"/>
      <c r="D57" s="233">
        <v>0</v>
      </c>
      <c r="E57" s="109"/>
      <c r="F57" s="109"/>
      <c r="G57" s="109"/>
      <c r="H57" s="109"/>
      <c r="I57" s="109"/>
      <c r="J57" s="109"/>
    </row>
    <row r="58" spans="1:10" ht="17.25" customHeight="1">
      <c r="A58" s="234" t="s">
        <v>199</v>
      </c>
      <c r="B58" s="208" t="s">
        <v>11</v>
      </c>
      <c r="C58" s="232"/>
      <c r="D58" s="233">
        <v>0</v>
      </c>
      <c r="E58" s="109"/>
      <c r="F58" s="109"/>
      <c r="G58" s="109"/>
      <c r="H58" s="109"/>
      <c r="I58" s="113"/>
      <c r="J58" s="113"/>
    </row>
    <row r="59" spans="1:14" ht="15.75">
      <c r="A59" s="235" t="s">
        <v>13</v>
      </c>
      <c r="B59" s="208" t="s">
        <v>11</v>
      </c>
      <c r="C59" s="236"/>
      <c r="D59" s="237">
        <v>168872.1</v>
      </c>
      <c r="E59" s="109"/>
      <c r="F59" s="109"/>
      <c r="G59" s="109"/>
      <c r="H59" s="109" t="s">
        <v>26</v>
      </c>
      <c r="I59" s="124"/>
      <c r="J59" s="124"/>
      <c r="K59" s="61"/>
      <c r="L59" s="61"/>
      <c r="M59" s="61"/>
      <c r="N59" s="61"/>
    </row>
    <row r="60" spans="1:14" ht="18" customHeight="1">
      <c r="A60" s="571" t="s">
        <v>53</v>
      </c>
      <c r="B60" s="571"/>
      <c r="C60" s="571"/>
      <c r="D60" s="571"/>
      <c r="E60" s="114"/>
      <c r="F60" s="115"/>
      <c r="G60" s="116"/>
      <c r="H60" s="109"/>
      <c r="I60" s="120"/>
      <c r="J60" s="120"/>
      <c r="K60" s="66"/>
      <c r="L60" s="66"/>
      <c r="M60" s="66"/>
      <c r="N60" s="66"/>
    </row>
    <row r="61" spans="1:14" ht="38.25">
      <c r="A61" s="67" t="s">
        <v>54</v>
      </c>
      <c r="B61" s="68" t="s">
        <v>55</v>
      </c>
      <c r="C61" s="157" t="s">
        <v>56</v>
      </c>
      <c r="D61" s="158" t="s">
        <v>57</v>
      </c>
      <c r="E61" s="114"/>
      <c r="F61" s="115"/>
      <c r="G61" s="116"/>
      <c r="H61" s="109"/>
      <c r="I61" s="120"/>
      <c r="J61" s="173"/>
      <c r="K61" s="66"/>
      <c r="L61" s="66"/>
      <c r="M61" s="66"/>
      <c r="N61" s="66"/>
    </row>
    <row r="62" spans="1:14" ht="15.75">
      <c r="A62" s="238" t="s">
        <v>58</v>
      </c>
      <c r="B62" s="239">
        <v>3769.1</v>
      </c>
      <c r="C62" s="418">
        <f>B62*0.8155</f>
        <v>3073.70105</v>
      </c>
      <c r="D62" s="419">
        <f>B62-C62</f>
        <v>695.3989499999998</v>
      </c>
      <c r="E62" s="117"/>
      <c r="F62" s="115"/>
      <c r="G62" s="116"/>
      <c r="H62" s="109"/>
      <c r="I62" s="120"/>
      <c r="J62" s="120"/>
      <c r="K62" s="66"/>
      <c r="L62" s="66"/>
      <c r="M62" s="66"/>
      <c r="N62" s="66"/>
    </row>
    <row r="63" spans="1:14" ht="15.75">
      <c r="A63" s="238" t="s">
        <v>59</v>
      </c>
      <c r="B63" s="239">
        <v>4313.48</v>
      </c>
      <c r="C63" s="418">
        <f>B63*0.8155</f>
        <v>3517.6429399999997</v>
      </c>
      <c r="D63" s="419">
        <f>B63-C63</f>
        <v>795.8370599999998</v>
      </c>
      <c r="E63" s="114"/>
      <c r="F63" s="115"/>
      <c r="G63" s="116"/>
      <c r="H63" s="109"/>
      <c r="I63" s="120"/>
      <c r="J63" s="120"/>
      <c r="K63" s="66"/>
      <c r="L63" s="66"/>
      <c r="M63" s="66"/>
      <c r="N63" s="66"/>
    </row>
    <row r="64" spans="1:14" ht="16.5" thickBot="1">
      <c r="A64" s="238" t="s">
        <v>60</v>
      </c>
      <c r="B64" s="242">
        <v>22103.34</v>
      </c>
      <c r="C64" s="418">
        <f>B64*0.8155</f>
        <v>18025.27377</v>
      </c>
      <c r="D64" s="419">
        <f>B64-C64</f>
        <v>4078.0662300000004</v>
      </c>
      <c r="E64" s="114">
        <f>(2.07+1.8)*6*2301.2-0.37*2301.2*6</f>
        <v>48325.2</v>
      </c>
      <c r="F64" s="118"/>
      <c r="G64" s="119"/>
      <c r="H64" s="114"/>
      <c r="I64" s="65"/>
      <c r="J64" s="65"/>
      <c r="K64" s="66"/>
      <c r="L64" s="66"/>
      <c r="M64" s="66"/>
      <c r="N64" s="66"/>
    </row>
    <row r="65" spans="1:14" ht="82.5" customHeight="1">
      <c r="A65" s="75" t="s">
        <v>62</v>
      </c>
      <c r="B65" s="103" t="s">
        <v>63</v>
      </c>
      <c r="C65" s="103" t="s">
        <v>64</v>
      </c>
      <c r="D65" s="170" t="s">
        <v>65</v>
      </c>
      <c r="E65" s="114"/>
      <c r="F65" s="118"/>
      <c r="G65" s="109"/>
      <c r="H65" s="120"/>
      <c r="I65" s="65"/>
      <c r="J65" s="65"/>
      <c r="K65" s="66"/>
      <c r="L65" s="66"/>
      <c r="M65" s="66"/>
      <c r="N65" s="66"/>
    </row>
    <row r="66" spans="1:14" ht="15.75">
      <c r="A66" s="238" t="s">
        <v>58</v>
      </c>
      <c r="B66" s="244">
        <f>B62</f>
        <v>3769.1</v>
      </c>
      <c r="C66" s="421">
        <f>B66</f>
        <v>3769.1</v>
      </c>
      <c r="D66" s="419">
        <f>B66-C66</f>
        <v>0</v>
      </c>
      <c r="E66" s="114"/>
      <c r="F66" s="118"/>
      <c r="G66" s="109"/>
      <c r="H66" s="120"/>
      <c r="I66" s="65"/>
      <c r="J66" s="65" t="s">
        <v>26</v>
      </c>
      <c r="K66" s="66"/>
      <c r="L66" s="66"/>
      <c r="M66" s="66"/>
      <c r="N66" s="66"/>
    </row>
    <row r="67" spans="1:14" ht="15.75">
      <c r="A67" s="238" t="s">
        <v>59</v>
      </c>
      <c r="B67" s="244">
        <f>B63</f>
        <v>4313.48</v>
      </c>
      <c r="C67" s="421">
        <f>B67</f>
        <v>4313.48</v>
      </c>
      <c r="D67" s="419">
        <f>B67-C67</f>
        <v>0</v>
      </c>
      <c r="E67" s="114"/>
      <c r="F67" s="118"/>
      <c r="G67" s="109"/>
      <c r="H67" s="120"/>
      <c r="I67" s="65"/>
      <c r="J67" s="65"/>
      <c r="K67" s="66"/>
      <c r="L67" s="66"/>
      <c r="M67" s="66"/>
      <c r="N67" s="66"/>
    </row>
    <row r="68" spans="1:14" ht="15.75">
      <c r="A68" s="238" t="s">
        <v>60</v>
      </c>
      <c r="B68" s="244">
        <f>B64</f>
        <v>22103.34</v>
      </c>
      <c r="C68" s="421">
        <f>B68</f>
        <v>22103.34</v>
      </c>
      <c r="D68" s="419">
        <f>B68-C68</f>
        <v>0</v>
      </c>
      <c r="E68" s="114"/>
      <c r="F68" s="118"/>
      <c r="G68" s="109"/>
      <c r="H68" s="120"/>
      <c r="I68" s="65"/>
      <c r="J68" s="65"/>
      <c r="K68" s="66"/>
      <c r="L68" s="66"/>
      <c r="M68" s="66"/>
      <c r="N68" s="66"/>
    </row>
    <row r="69" spans="1:14" ht="15.75">
      <c r="A69" s="247"/>
      <c r="B69" s="248"/>
      <c r="C69" s="425"/>
      <c r="D69" s="426"/>
      <c r="E69" s="114"/>
      <c r="F69" s="118"/>
      <c r="G69" s="109"/>
      <c r="H69" s="120"/>
      <c r="I69" s="65"/>
      <c r="J69" s="65"/>
      <c r="K69" s="66"/>
      <c r="L69" s="66"/>
      <c r="M69" s="66"/>
      <c r="N69" s="66"/>
    </row>
    <row r="70" spans="1:14" ht="26.25">
      <c r="A70" s="251" t="s">
        <v>66</v>
      </c>
      <c r="B70" s="248" t="s">
        <v>11</v>
      </c>
      <c r="C70" s="427"/>
      <c r="D70" s="428">
        <v>0</v>
      </c>
      <c r="E70" s="114"/>
      <c r="F70" s="118"/>
      <c r="G70" s="109"/>
      <c r="H70" s="120"/>
      <c r="I70" s="65"/>
      <c r="J70" s="65" t="s">
        <v>26</v>
      </c>
      <c r="K70" s="66"/>
      <c r="L70" s="66"/>
      <c r="M70" s="66"/>
      <c r="N70" s="66"/>
    </row>
    <row r="71" spans="1:14" ht="17.25" customHeight="1">
      <c r="A71" s="572" t="s">
        <v>67</v>
      </c>
      <c r="B71" s="572"/>
      <c r="C71" s="572"/>
      <c r="D71" s="572"/>
      <c r="E71" s="121" t="e">
        <f>D71+B19</f>
        <v>#VALUE!</v>
      </c>
      <c r="F71" s="120"/>
      <c r="G71" s="109"/>
      <c r="H71" s="122" t="e">
        <f>E71-B18</f>
        <v>#VALUE!</v>
      </c>
      <c r="I71" s="65"/>
      <c r="J71" s="65"/>
      <c r="K71" s="66"/>
      <c r="L71" s="66"/>
      <c r="M71" s="66"/>
      <c r="N71" s="66"/>
    </row>
    <row r="72" spans="1:8" ht="21" customHeight="1">
      <c r="A72" s="86" t="s">
        <v>45</v>
      </c>
      <c r="B72" s="86" t="s">
        <v>46</v>
      </c>
      <c r="C72" s="86">
        <v>0</v>
      </c>
      <c r="D72" s="177">
        <v>0</v>
      </c>
      <c r="E72" s="123"/>
      <c r="F72" s="109"/>
      <c r="G72" s="109"/>
      <c r="H72" s="109"/>
    </row>
    <row r="73" spans="1:8" ht="21" customHeight="1">
      <c r="A73" s="86" t="s">
        <v>47</v>
      </c>
      <c r="B73" s="86" t="s">
        <v>46</v>
      </c>
      <c r="C73" s="86">
        <v>0</v>
      </c>
      <c r="D73" s="177">
        <v>0</v>
      </c>
      <c r="E73" s="123"/>
      <c r="F73" s="109"/>
      <c r="G73" s="109"/>
      <c r="H73" s="109"/>
    </row>
    <row r="74" spans="1:8" ht="18" customHeight="1">
      <c r="A74" s="86" t="s">
        <v>48</v>
      </c>
      <c r="B74" s="86" t="s">
        <v>46</v>
      </c>
      <c r="C74" s="86">
        <v>0</v>
      </c>
      <c r="D74" s="177">
        <v>0</v>
      </c>
      <c r="E74" s="123"/>
      <c r="F74" s="109"/>
      <c r="G74" s="109"/>
      <c r="H74" s="109"/>
    </row>
    <row r="75" spans="1:8" ht="16.5" customHeight="1">
      <c r="A75" s="86" t="s">
        <v>49</v>
      </c>
      <c r="B75" s="86" t="s">
        <v>11</v>
      </c>
      <c r="C75" s="86">
        <v>0</v>
      </c>
      <c r="D75" s="177">
        <v>0</v>
      </c>
      <c r="E75" s="123"/>
      <c r="F75" s="109"/>
      <c r="G75" s="109"/>
      <c r="H75" s="109"/>
    </row>
    <row r="76" spans="1:8" ht="15.75" customHeight="1">
      <c r="A76" s="566" t="s">
        <v>68</v>
      </c>
      <c r="B76" s="566"/>
      <c r="C76" s="566"/>
      <c r="D76" s="566"/>
      <c r="E76" s="123"/>
      <c r="F76" s="109"/>
      <c r="G76" s="109"/>
      <c r="H76" s="109"/>
    </row>
    <row r="77" spans="1:8" ht="18.75" customHeight="1">
      <c r="A77" s="86" t="s">
        <v>69</v>
      </c>
      <c r="B77" s="86" t="s">
        <v>46</v>
      </c>
      <c r="C77" s="86"/>
      <c r="D77" s="177">
        <v>1</v>
      </c>
      <c r="E77" s="123"/>
      <c r="F77" s="109"/>
      <c r="G77" s="109"/>
      <c r="H77" s="109"/>
    </row>
    <row r="78" spans="1:8" ht="21.75" customHeight="1">
      <c r="A78" s="86" t="s">
        <v>70</v>
      </c>
      <c r="B78" s="254" t="s">
        <v>46</v>
      </c>
      <c r="C78" s="254"/>
      <c r="D78" s="177">
        <v>3</v>
      </c>
      <c r="E78" s="123"/>
      <c r="F78" s="109"/>
      <c r="G78" s="109"/>
      <c r="H78" s="109"/>
    </row>
    <row r="79" spans="1:8" ht="36" customHeight="1">
      <c r="A79" s="255" t="s">
        <v>71</v>
      </c>
      <c r="B79" s="86" t="s">
        <v>11</v>
      </c>
      <c r="C79" s="86"/>
      <c r="D79" s="177">
        <v>0</v>
      </c>
      <c r="E79" s="123"/>
      <c r="F79" s="109"/>
      <c r="G79" s="109"/>
      <c r="H79" s="109"/>
    </row>
    <row r="80" spans="1:8" ht="15.75">
      <c r="A80" s="256"/>
      <c r="B80" s="256"/>
      <c r="C80" s="256"/>
      <c r="D80" s="257"/>
      <c r="E80" s="109"/>
      <c r="F80" s="109"/>
      <c r="G80" s="109"/>
      <c r="H80" s="109"/>
    </row>
    <row r="81" spans="1:14" s="1" customFormat="1" ht="12.75">
      <c r="A81" s="178"/>
      <c r="B81" s="178"/>
      <c r="C81" s="178"/>
      <c r="D81" s="178"/>
      <c r="E81" s="109"/>
      <c r="F81" s="109"/>
      <c r="G81" s="109"/>
      <c r="H81" s="109" t="s">
        <v>26</v>
      </c>
      <c r="K81"/>
      <c r="L81"/>
      <c r="M81"/>
      <c r="N81"/>
    </row>
    <row r="82" spans="1:14" s="1" customFormat="1" ht="12.75">
      <c r="A82" s="178" t="s">
        <v>72</v>
      </c>
      <c r="B82" s="178"/>
      <c r="C82" s="178" t="s">
        <v>141</v>
      </c>
      <c r="D82" s="178"/>
      <c r="E82" s="109"/>
      <c r="F82" s="109"/>
      <c r="G82" s="109"/>
      <c r="H82" s="109"/>
      <c r="K82"/>
      <c r="L82"/>
      <c r="M82"/>
      <c r="N82"/>
    </row>
    <row r="83" spans="1:14" s="1" customFormat="1" ht="12.75">
      <c r="A83" s="178"/>
      <c r="B83" s="178"/>
      <c r="C83" s="178"/>
      <c r="D83" s="178"/>
      <c r="E83" s="109"/>
      <c r="F83" s="109"/>
      <c r="G83" s="109"/>
      <c r="H83" s="109" t="s">
        <v>26</v>
      </c>
      <c r="K83"/>
      <c r="L83"/>
      <c r="M83"/>
      <c r="N83"/>
    </row>
    <row r="84" spans="1:14" s="1" customFormat="1" ht="12.75">
      <c r="A84" s="178" t="s">
        <v>73</v>
      </c>
      <c r="B84" s="178"/>
      <c r="C84" s="178"/>
      <c r="D84" s="178"/>
      <c r="E84" s="109"/>
      <c r="F84" s="109"/>
      <c r="G84" s="109"/>
      <c r="H84" s="109"/>
      <c r="K84"/>
      <c r="L84"/>
      <c r="M84"/>
      <c r="N84"/>
    </row>
    <row r="85" spans="1:8" ht="12.75">
      <c r="A85" s="178"/>
      <c r="B85" s="178"/>
      <c r="C85" s="178"/>
      <c r="D85" s="178"/>
      <c r="E85" s="109"/>
      <c r="F85" s="109"/>
      <c r="G85" s="109"/>
      <c r="H85" s="109"/>
    </row>
    <row r="86" spans="5:8" ht="12.75">
      <c r="E86" s="109"/>
      <c r="F86" s="109"/>
      <c r="G86" s="109"/>
      <c r="H86" s="109"/>
    </row>
    <row r="88" spans="1:14" s="1" customFormat="1" ht="12.75">
      <c r="A88"/>
      <c r="B88"/>
      <c r="C88"/>
      <c r="D88"/>
      <c r="E88" s="1" t="s">
        <v>26</v>
      </c>
      <c r="K88"/>
      <c r="L88"/>
      <c r="M88"/>
      <c r="N88"/>
    </row>
  </sheetData>
  <sheetProtection selectLockedCells="1" selectUnlockedCells="1"/>
  <mergeCells count="13">
    <mergeCell ref="A76:D76"/>
    <mergeCell ref="A14:D14"/>
    <mergeCell ref="A29:D29"/>
    <mergeCell ref="A48:D48"/>
    <mergeCell ref="A53:D53"/>
    <mergeCell ref="A60:D60"/>
    <mergeCell ref="A71:D71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600" verticalDpi="600" orientation="portrait" paperSize="1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7"/>
  <sheetViews>
    <sheetView zoomScale="106" zoomScaleNormal="106" zoomScalePageLayoutView="0" workbookViewId="0" topLeftCell="A43">
      <selection activeCell="C23" sqref="C23"/>
    </sheetView>
  </sheetViews>
  <sheetFormatPr defaultColWidth="11.57421875" defaultRowHeight="12.75"/>
  <cols>
    <col min="1" max="1" width="54.00390625" style="0" customWidth="1"/>
    <col min="2" max="2" width="15.140625" style="0" customWidth="1"/>
    <col min="3" max="3" width="23.00390625" style="0" customWidth="1"/>
    <col min="4" max="4" width="21.851562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560" t="s">
        <v>0</v>
      </c>
      <c r="B1" s="560"/>
      <c r="C1" s="560"/>
      <c r="D1" s="560"/>
    </row>
    <row r="2" spans="1:4" ht="15.75">
      <c r="A2" s="561" t="s">
        <v>220</v>
      </c>
      <c r="B2" s="562"/>
      <c r="C2" s="562"/>
      <c r="D2" s="562"/>
    </row>
    <row r="3" spans="1:4" ht="15.75">
      <c r="A3" s="562" t="s">
        <v>1</v>
      </c>
      <c r="B3" s="562"/>
      <c r="C3" s="562"/>
      <c r="D3" s="562"/>
    </row>
    <row r="4" spans="1:4" ht="12.75">
      <c r="A4" s="563" t="s">
        <v>93</v>
      </c>
      <c r="B4" s="563"/>
      <c r="C4" s="563"/>
      <c r="D4" s="563"/>
    </row>
    <row r="5" spans="1:4" ht="12.75">
      <c r="A5" s="564" t="s">
        <v>266</v>
      </c>
      <c r="B5" s="563"/>
      <c r="C5" s="563"/>
      <c r="D5" s="563"/>
    </row>
    <row r="6" ht="9" customHeight="1">
      <c r="A6" s="2"/>
    </row>
    <row r="7" spans="1:4" ht="36.75" customHeight="1">
      <c r="A7" s="565" t="s">
        <v>2</v>
      </c>
      <c r="B7" s="565"/>
      <c r="C7" s="565"/>
      <c r="D7" s="565"/>
    </row>
    <row r="8" spans="1:4" ht="12.75">
      <c r="A8" s="258" t="s">
        <v>160</v>
      </c>
      <c r="B8" s="178"/>
      <c r="C8" s="183"/>
      <c r="D8" s="178"/>
    </row>
    <row r="9" spans="1:4" ht="12.75">
      <c r="A9" s="184" t="s">
        <v>3</v>
      </c>
      <c r="B9" s="184" t="s">
        <v>4</v>
      </c>
      <c r="C9" s="184" t="s">
        <v>5</v>
      </c>
      <c r="D9" s="185"/>
    </row>
    <row r="10" spans="1:8" ht="12.75">
      <c r="A10" s="186">
        <v>1</v>
      </c>
      <c r="B10" s="186">
        <v>2</v>
      </c>
      <c r="C10" s="186">
        <v>3</v>
      </c>
      <c r="D10" s="187">
        <v>4</v>
      </c>
      <c r="E10" s="109"/>
      <c r="F10" s="109"/>
      <c r="G10" s="109"/>
      <c r="H10" s="109"/>
    </row>
    <row r="11" spans="1:8" ht="12.75">
      <c r="A11" s="20" t="s">
        <v>6</v>
      </c>
      <c r="B11" s="188"/>
      <c r="C11" s="189" t="s">
        <v>262</v>
      </c>
      <c r="D11" s="190"/>
      <c r="E11" s="109"/>
      <c r="F11" s="109"/>
      <c r="G11" s="109"/>
      <c r="H11" s="109"/>
    </row>
    <row r="12" spans="1:8" ht="12.75">
      <c r="A12" s="20" t="s">
        <v>7</v>
      </c>
      <c r="B12" s="188"/>
      <c r="C12" s="189" t="s">
        <v>263</v>
      </c>
      <c r="D12" s="190"/>
      <c r="E12" s="109"/>
      <c r="F12" s="109"/>
      <c r="G12" s="109"/>
      <c r="H12" s="109"/>
    </row>
    <row r="13" spans="1:8" ht="12.75">
      <c r="A13" s="20" t="s">
        <v>8</v>
      </c>
      <c r="B13" s="188"/>
      <c r="C13" s="189" t="s">
        <v>267</v>
      </c>
      <c r="D13" s="190"/>
      <c r="E13" s="109"/>
      <c r="F13" s="109"/>
      <c r="G13" s="109"/>
      <c r="H13" s="109"/>
    </row>
    <row r="14" spans="1:8" ht="31.5" customHeight="1">
      <c r="A14" s="567" t="s">
        <v>9</v>
      </c>
      <c r="B14" s="567"/>
      <c r="C14" s="567"/>
      <c r="D14" s="567"/>
      <c r="E14" s="109"/>
      <c r="F14" s="109"/>
      <c r="G14" s="109"/>
      <c r="H14" s="109"/>
    </row>
    <row r="15" spans="1:8" ht="26.25">
      <c r="A15" s="17" t="s">
        <v>10</v>
      </c>
      <c r="B15" s="191" t="s">
        <v>11</v>
      </c>
      <c r="C15" s="194">
        <v>-59624.04</v>
      </c>
      <c r="D15" s="193"/>
      <c r="E15" s="109"/>
      <c r="F15" s="109"/>
      <c r="G15" s="109"/>
      <c r="H15" s="109"/>
    </row>
    <row r="16" spans="1:8" ht="15.75">
      <c r="A16" s="20" t="s">
        <v>12</v>
      </c>
      <c r="B16" s="191" t="s">
        <v>11</v>
      </c>
      <c r="C16" s="192">
        <v>0</v>
      </c>
      <c r="D16" s="193"/>
      <c r="E16" s="109"/>
      <c r="F16" s="109"/>
      <c r="G16" s="109"/>
      <c r="H16" s="109"/>
    </row>
    <row r="17" spans="1:8" ht="15.75">
      <c r="A17" s="20" t="s">
        <v>13</v>
      </c>
      <c r="B17" s="191" t="s">
        <v>11</v>
      </c>
      <c r="C17" s="194">
        <v>221888.8</v>
      </c>
      <c r="D17" s="195"/>
      <c r="E17" s="109"/>
      <c r="F17" s="109"/>
      <c r="G17" s="109"/>
      <c r="H17" s="109"/>
    </row>
    <row r="18" spans="1:8" ht="31.5" customHeight="1">
      <c r="A18" s="17" t="s">
        <v>14</v>
      </c>
      <c r="B18" s="191" t="s">
        <v>11</v>
      </c>
      <c r="C18" s="194">
        <f>279061.5+15765.48</f>
        <v>294826.98</v>
      </c>
      <c r="D18" s="195"/>
      <c r="E18" s="110">
        <f>C18-C20-15765.48+2500</f>
        <v>251383.76799999995</v>
      </c>
      <c r="F18" s="109"/>
      <c r="G18" s="109"/>
      <c r="H18" s="109"/>
    </row>
    <row r="19" spans="1:8" ht="15.75">
      <c r="A19" s="20" t="s">
        <v>15</v>
      </c>
      <c r="B19" s="191" t="s">
        <v>11</v>
      </c>
      <c r="C19" s="194">
        <f>C18-C20-C21</f>
        <v>167384.09639999995</v>
      </c>
      <c r="D19" s="195"/>
      <c r="E19" s="110">
        <f>E18-E51</f>
        <v>-2500.003200000094</v>
      </c>
      <c r="F19" s="109"/>
      <c r="G19" s="109"/>
      <c r="H19" s="109"/>
    </row>
    <row r="20" spans="1:8" ht="15.75">
      <c r="A20" s="20" t="s">
        <v>16</v>
      </c>
      <c r="B20" s="191" t="s">
        <v>11</v>
      </c>
      <c r="C20" s="194">
        <f>1.3*12*1934.47</f>
        <v>30177.732000000004</v>
      </c>
      <c r="D20" s="195"/>
      <c r="E20" s="111"/>
      <c r="F20" s="109"/>
      <c r="G20" s="109"/>
      <c r="H20" s="109"/>
    </row>
    <row r="21" spans="1:8" ht="15.75">
      <c r="A21" s="20" t="s">
        <v>17</v>
      </c>
      <c r="B21" s="191" t="s">
        <v>11</v>
      </c>
      <c r="C21" s="196">
        <f>1934.47*4.19*12</f>
        <v>97265.15160000001</v>
      </c>
      <c r="D21" s="195"/>
      <c r="E21" s="109"/>
      <c r="F21" s="109"/>
      <c r="G21" s="109"/>
      <c r="H21" s="109"/>
    </row>
    <row r="22" spans="1:8" ht="15.75">
      <c r="A22" s="20" t="s">
        <v>18</v>
      </c>
      <c r="B22" s="191" t="s">
        <v>11</v>
      </c>
      <c r="C22" s="194">
        <f>C23+C24+C25+C26</f>
        <v>317852.967138</v>
      </c>
      <c r="D22" s="195" t="s">
        <v>19</v>
      </c>
      <c r="E22" s="110" t="e">
        <f>B24+B25+B26+#REF!+B27</f>
        <v>#VALUE!</v>
      </c>
      <c r="F22" s="109"/>
      <c r="G22" s="109"/>
      <c r="H22" s="109"/>
    </row>
    <row r="23" spans="1:8" ht="15.75">
      <c r="A23" s="20" t="s">
        <v>20</v>
      </c>
      <c r="B23" s="191" t="s">
        <v>11</v>
      </c>
      <c r="C23" s="194">
        <f>C18*1.0781</f>
        <v>317852.967138</v>
      </c>
      <c r="D23" s="195"/>
      <c r="E23" s="109"/>
      <c r="F23" s="109"/>
      <c r="G23" s="109"/>
      <c r="H23" s="109"/>
    </row>
    <row r="24" spans="1:8" ht="15.75">
      <c r="A24" s="20" t="s">
        <v>21</v>
      </c>
      <c r="B24" s="191" t="s">
        <v>11</v>
      </c>
      <c r="C24" s="194">
        <v>0</v>
      </c>
      <c r="D24" s="197">
        <v>65.21</v>
      </c>
      <c r="E24" s="111" t="e">
        <f>B24/#REF!*1</f>
        <v>#VALUE!</v>
      </c>
      <c r="F24" s="109"/>
      <c r="G24" s="109"/>
      <c r="H24" s="109" t="s">
        <v>22</v>
      </c>
    </row>
    <row r="25" spans="1:8" ht="15.75">
      <c r="A25" s="20" t="s">
        <v>23</v>
      </c>
      <c r="B25" s="191" t="s">
        <v>11</v>
      </c>
      <c r="C25" s="194">
        <v>0</v>
      </c>
      <c r="D25" s="197">
        <v>119.63</v>
      </c>
      <c r="E25" s="111" t="e">
        <f>B25/#REF!*1</f>
        <v>#VALUE!</v>
      </c>
      <c r="F25" s="109"/>
      <c r="G25" s="109"/>
      <c r="H25" s="109"/>
    </row>
    <row r="26" spans="1:8" ht="15.75">
      <c r="A26" s="188" t="s">
        <v>24</v>
      </c>
      <c r="B26" s="191" t="s">
        <v>11</v>
      </c>
      <c r="C26" s="194">
        <v>0</v>
      </c>
      <c r="D26" s="197"/>
      <c r="E26" s="111" t="e">
        <f>B26/#REF!*1</f>
        <v>#VALUE!</v>
      </c>
      <c r="F26" s="109"/>
      <c r="G26" s="109"/>
      <c r="H26" s="109"/>
    </row>
    <row r="27" spans="1:8" ht="15.75">
      <c r="A27" s="20" t="s">
        <v>25</v>
      </c>
      <c r="B27" s="191" t="s">
        <v>11</v>
      </c>
      <c r="C27" s="194">
        <f>C15+C22</f>
        <v>258228.927138</v>
      </c>
      <c r="D27" s="195" t="s">
        <v>26</v>
      </c>
      <c r="E27" s="111" t="e">
        <f>B27/#REF!*1</f>
        <v>#VALUE!</v>
      </c>
      <c r="F27" s="109"/>
      <c r="G27" s="109"/>
      <c r="H27" s="109"/>
    </row>
    <row r="28" spans="1:8" ht="35.25" customHeight="1">
      <c r="A28" s="568" t="s">
        <v>27</v>
      </c>
      <c r="B28" s="568"/>
      <c r="C28" s="568"/>
      <c r="D28" s="568"/>
      <c r="E28" s="109"/>
      <c r="F28" s="109"/>
      <c r="G28" s="109"/>
      <c r="H28" s="109"/>
    </row>
    <row r="29" spans="1:8" ht="63">
      <c r="A29" s="271" t="s">
        <v>28</v>
      </c>
      <c r="B29" s="307" t="s">
        <v>29</v>
      </c>
      <c r="C29" s="286" t="s">
        <v>30</v>
      </c>
      <c r="D29" s="308" t="s">
        <v>31</v>
      </c>
      <c r="E29" s="109"/>
      <c r="F29" s="109"/>
      <c r="G29" s="109"/>
      <c r="H29" s="109"/>
    </row>
    <row r="30" spans="1:10" ht="31.5">
      <c r="A30" s="203" t="s">
        <v>32</v>
      </c>
      <c r="B30" s="204" t="s">
        <v>33</v>
      </c>
      <c r="C30" s="205" t="s">
        <v>34</v>
      </c>
      <c r="D30" s="206">
        <f>0.32*12*1934.47</f>
        <v>7428.364799999999</v>
      </c>
      <c r="E30" s="109"/>
      <c r="F30" s="109"/>
      <c r="G30" s="109"/>
      <c r="H30" s="109"/>
      <c r="I30" s="109"/>
      <c r="J30" s="109"/>
    </row>
    <row r="31" spans="1:10" ht="15.75">
      <c r="A31" s="207" t="s">
        <v>75</v>
      </c>
      <c r="B31" s="208" t="s">
        <v>76</v>
      </c>
      <c r="C31" s="209" t="s">
        <v>34</v>
      </c>
      <c r="D31" s="210">
        <f>2.4*12*1934.47</f>
        <v>55712.736</v>
      </c>
      <c r="E31" s="109"/>
      <c r="F31" s="109"/>
      <c r="G31" s="109"/>
      <c r="H31" s="109"/>
      <c r="I31" s="109"/>
      <c r="J31" s="109"/>
    </row>
    <row r="32" spans="1:10" ht="15.75">
      <c r="A32" s="207" t="s">
        <v>237</v>
      </c>
      <c r="B32" s="208" t="s">
        <v>78</v>
      </c>
      <c r="C32" s="362" t="s">
        <v>301</v>
      </c>
      <c r="D32" s="211">
        <f>1934.47*0.15*12</f>
        <v>3482.0460000000003</v>
      </c>
      <c r="E32" s="109"/>
      <c r="F32" s="109"/>
      <c r="G32" s="109"/>
      <c r="H32" s="109"/>
      <c r="I32" s="109"/>
      <c r="J32" s="109"/>
    </row>
    <row r="33" spans="1:10" ht="15.75">
      <c r="A33" s="207" t="s">
        <v>36</v>
      </c>
      <c r="B33" s="208" t="s">
        <v>78</v>
      </c>
      <c r="C33" s="209" t="s">
        <v>37</v>
      </c>
      <c r="D33" s="210">
        <f>0.48*12*1934.47</f>
        <v>11142.547199999999</v>
      </c>
      <c r="E33" s="109"/>
      <c r="F33" s="109"/>
      <c r="G33" s="109"/>
      <c r="H33" s="109"/>
      <c r="I33" s="109"/>
      <c r="J33" s="109"/>
    </row>
    <row r="34" spans="1:10" ht="15.75">
      <c r="A34" s="207" t="s">
        <v>79</v>
      </c>
      <c r="B34" s="363" t="s">
        <v>33</v>
      </c>
      <c r="C34" s="209" t="s">
        <v>34</v>
      </c>
      <c r="D34" s="210">
        <f>1.04*12*1934.47+2500</f>
        <v>26642.1856</v>
      </c>
      <c r="E34" s="109" t="s">
        <v>325</v>
      </c>
      <c r="F34" s="109"/>
      <c r="G34" s="109"/>
      <c r="H34" s="109"/>
      <c r="I34" s="109"/>
      <c r="J34" s="109"/>
    </row>
    <row r="35" spans="1:10" ht="15.75">
      <c r="A35" s="207" t="s">
        <v>90</v>
      </c>
      <c r="B35" s="208" t="s">
        <v>33</v>
      </c>
      <c r="C35" s="209" t="s">
        <v>34</v>
      </c>
      <c r="D35" s="211">
        <f>0.46*12*1934.47</f>
        <v>10678.2744</v>
      </c>
      <c r="E35" s="109"/>
      <c r="F35" s="109"/>
      <c r="G35" s="109"/>
      <c r="H35" s="109"/>
      <c r="I35" s="109"/>
      <c r="J35" s="109"/>
    </row>
    <row r="36" spans="1:10" ht="31.5">
      <c r="A36" s="207" t="s">
        <v>81</v>
      </c>
      <c r="B36" s="213" t="s">
        <v>82</v>
      </c>
      <c r="C36" s="209" t="s">
        <v>34</v>
      </c>
      <c r="D36" s="210">
        <f>1.33*12*1934.47</f>
        <v>30874.141200000002</v>
      </c>
      <c r="E36" s="109"/>
      <c r="F36" s="109"/>
      <c r="G36" s="109"/>
      <c r="H36" s="109"/>
      <c r="I36" s="109"/>
      <c r="J36" s="109"/>
    </row>
    <row r="37" spans="1:10" ht="15.75">
      <c r="A37" s="207" t="s">
        <v>38</v>
      </c>
      <c r="B37" s="208" t="s">
        <v>35</v>
      </c>
      <c r="C37" s="362" t="s">
        <v>221</v>
      </c>
      <c r="D37" s="210">
        <f>4.19*1934.47*12</f>
        <v>97265.15160000001</v>
      </c>
      <c r="E37" s="109"/>
      <c r="F37" s="109"/>
      <c r="G37" s="109"/>
      <c r="H37" s="109"/>
      <c r="I37" s="109"/>
      <c r="J37" s="109"/>
    </row>
    <row r="38" spans="1:10" ht="15.75">
      <c r="A38" s="207" t="s">
        <v>85</v>
      </c>
      <c r="B38" s="208" t="s">
        <v>222</v>
      </c>
      <c r="C38" s="209" t="s">
        <v>37</v>
      </c>
      <c r="D38" s="309">
        <f>1934.47*0.46*12-19.95</f>
        <v>10658.3244</v>
      </c>
      <c r="E38" s="109"/>
      <c r="F38" s="109"/>
      <c r="G38" s="109"/>
      <c r="H38" s="109"/>
      <c r="I38" s="109"/>
      <c r="J38" s="109"/>
    </row>
    <row r="39" spans="1:10" ht="15.75">
      <c r="A39" s="207" t="s">
        <v>214</v>
      </c>
      <c r="B39" s="208"/>
      <c r="C39" s="214"/>
      <c r="D39" s="309"/>
      <c r="E39" s="109"/>
      <c r="F39" s="109"/>
      <c r="G39" s="109"/>
      <c r="H39" s="109"/>
      <c r="I39" s="109"/>
      <c r="J39" s="109"/>
    </row>
    <row r="40" spans="1:10" ht="47.25">
      <c r="A40" s="207" t="s">
        <v>213</v>
      </c>
      <c r="B40" s="208" t="s">
        <v>35</v>
      </c>
      <c r="C40" s="275" t="s">
        <v>210</v>
      </c>
      <c r="D40" s="309">
        <v>16807.89</v>
      </c>
      <c r="E40" s="109"/>
      <c r="F40" s="109"/>
      <c r="G40" s="109"/>
      <c r="H40" s="109"/>
      <c r="I40" s="109"/>
      <c r="J40" s="109"/>
    </row>
    <row r="41" spans="1:10" ht="15.75">
      <c r="A41" s="207" t="s">
        <v>211</v>
      </c>
      <c r="B41" s="208" t="s">
        <v>35</v>
      </c>
      <c r="C41" s="214" t="s">
        <v>212</v>
      </c>
      <c r="D41" s="309">
        <v>13977.4</v>
      </c>
      <c r="E41" s="109"/>
      <c r="F41" s="109"/>
      <c r="G41" s="109"/>
      <c r="H41" s="109"/>
      <c r="I41" s="109"/>
      <c r="J41" s="109"/>
    </row>
    <row r="42" spans="1:14" s="1" customFormat="1" ht="78.75">
      <c r="A42" s="260" t="s">
        <v>207</v>
      </c>
      <c r="B42" s="215" t="s">
        <v>41</v>
      </c>
      <c r="C42" s="304"/>
      <c r="D42" s="382">
        <f>D43+D44+D45+D46+D47+D48+D49+D50</f>
        <v>17303.670000000002</v>
      </c>
      <c r="E42" s="109"/>
      <c r="F42" s="109"/>
      <c r="G42" s="109"/>
      <c r="H42" s="109"/>
      <c r="I42" s="109"/>
      <c r="J42" s="109"/>
      <c r="K42"/>
      <c r="L42"/>
      <c r="M42"/>
      <c r="N42"/>
    </row>
    <row r="43" spans="1:14" s="1" customFormat="1" ht="15.75">
      <c r="A43" s="220" t="s">
        <v>294</v>
      </c>
      <c r="B43" s="217" t="s">
        <v>225</v>
      </c>
      <c r="C43" s="209" t="s">
        <v>34</v>
      </c>
      <c r="D43" s="385">
        <v>555</v>
      </c>
      <c r="E43" s="109"/>
      <c r="F43" s="109"/>
      <c r="G43" s="109"/>
      <c r="H43" s="109"/>
      <c r="I43" s="109"/>
      <c r="J43" s="109"/>
      <c r="K43"/>
      <c r="L43"/>
      <c r="M43"/>
      <c r="N43"/>
    </row>
    <row r="44" spans="1:14" s="1" customFormat="1" ht="15.75">
      <c r="A44" s="220" t="s">
        <v>271</v>
      </c>
      <c r="B44" s="217" t="s">
        <v>159</v>
      </c>
      <c r="C44" s="214" t="s">
        <v>34</v>
      </c>
      <c r="D44" s="385">
        <v>352</v>
      </c>
      <c r="E44" s="109"/>
      <c r="F44" s="109"/>
      <c r="G44" s="109"/>
      <c r="H44" s="109"/>
      <c r="I44" s="109"/>
      <c r="J44" s="109"/>
      <c r="K44"/>
      <c r="L44"/>
      <c r="M44"/>
      <c r="N44"/>
    </row>
    <row r="45" spans="1:14" s="1" customFormat="1" ht="18.75" customHeight="1">
      <c r="A45" s="220" t="s">
        <v>277</v>
      </c>
      <c r="B45" s="217" t="s">
        <v>159</v>
      </c>
      <c r="C45" s="457" t="s">
        <v>34</v>
      </c>
      <c r="D45" s="458">
        <v>3823.54</v>
      </c>
      <c r="E45" s="109"/>
      <c r="F45" s="109"/>
      <c r="G45" s="109"/>
      <c r="H45" s="109"/>
      <c r="I45" s="109"/>
      <c r="J45" s="109"/>
      <c r="K45"/>
      <c r="L45"/>
      <c r="M45"/>
      <c r="N45"/>
    </row>
    <row r="46" spans="1:14" s="1" customFormat="1" ht="21" customHeight="1">
      <c r="A46" s="220" t="s">
        <v>295</v>
      </c>
      <c r="B46" s="217" t="s">
        <v>144</v>
      </c>
      <c r="C46" s="457" t="s">
        <v>34</v>
      </c>
      <c r="D46" s="385">
        <v>3620</v>
      </c>
      <c r="E46" s="109"/>
      <c r="F46" s="109"/>
      <c r="G46" s="109"/>
      <c r="H46" s="109"/>
      <c r="I46" s="109"/>
      <c r="J46" s="109"/>
      <c r="K46"/>
      <c r="L46"/>
      <c r="M46"/>
      <c r="N46"/>
    </row>
    <row r="47" spans="1:14" s="1" customFormat="1" ht="21.75" customHeight="1">
      <c r="A47" s="220" t="s">
        <v>296</v>
      </c>
      <c r="B47" s="217" t="s">
        <v>148</v>
      </c>
      <c r="C47" s="457" t="s">
        <v>34</v>
      </c>
      <c r="D47" s="385">
        <v>1692</v>
      </c>
      <c r="E47" s="109"/>
      <c r="F47" s="109"/>
      <c r="G47" s="109"/>
      <c r="H47" s="109"/>
      <c r="I47" s="109"/>
      <c r="J47" s="109"/>
      <c r="K47"/>
      <c r="L47"/>
      <c r="M47"/>
      <c r="N47"/>
    </row>
    <row r="48" spans="1:14" s="1" customFormat="1" ht="21" customHeight="1">
      <c r="A48" s="220" t="s">
        <v>293</v>
      </c>
      <c r="B48" s="217" t="s">
        <v>161</v>
      </c>
      <c r="C48" s="457" t="s">
        <v>34</v>
      </c>
      <c r="D48" s="458">
        <v>5605</v>
      </c>
      <c r="E48" s="109"/>
      <c r="F48" s="109"/>
      <c r="G48" s="109"/>
      <c r="H48" s="109"/>
      <c r="I48" s="109"/>
      <c r="J48" s="109"/>
      <c r="K48"/>
      <c r="L48"/>
      <c r="M48"/>
      <c r="N48"/>
    </row>
    <row r="49" spans="1:14" s="1" customFormat="1" ht="31.5">
      <c r="A49" s="220" t="s">
        <v>297</v>
      </c>
      <c r="B49" s="217" t="s">
        <v>149</v>
      </c>
      <c r="C49" s="275" t="s">
        <v>77</v>
      </c>
      <c r="D49" s="459">
        <v>1656.13</v>
      </c>
      <c r="E49" s="109"/>
      <c r="F49" s="109"/>
      <c r="G49" s="109"/>
      <c r="H49" s="109"/>
      <c r="I49" s="109"/>
      <c r="J49" s="109"/>
      <c r="K49"/>
      <c r="L49"/>
      <c r="M49"/>
      <c r="N49"/>
    </row>
    <row r="50" spans="1:14" s="1" customFormat="1" ht="15.75">
      <c r="A50" s="460"/>
      <c r="B50" s="461"/>
      <c r="C50" s="462"/>
      <c r="D50" s="463">
        <v>0</v>
      </c>
      <c r="E50" s="109"/>
      <c r="F50" s="109"/>
      <c r="G50" s="109"/>
      <c r="H50" s="109"/>
      <c r="I50" s="109"/>
      <c r="J50" s="109"/>
      <c r="K50"/>
      <c r="L50"/>
      <c r="M50"/>
      <c r="N50"/>
    </row>
    <row r="51" spans="1:14" s="1" customFormat="1" ht="15.75">
      <c r="A51" s="37" t="s">
        <v>42</v>
      </c>
      <c r="B51" s="222"/>
      <c r="C51" s="223"/>
      <c r="D51" s="152">
        <f>D30+D31+D32+D33+D34+D35+D36+D37+D38+D40+D41+D42</f>
        <v>301972.73120000004</v>
      </c>
      <c r="E51" s="112">
        <f>D51-D42-D40-D41</f>
        <v>253883.77120000005</v>
      </c>
      <c r="F51" s="109"/>
      <c r="G51" s="109"/>
      <c r="H51" s="109"/>
      <c r="I51" s="109"/>
      <c r="J51" s="109"/>
      <c r="K51"/>
      <c r="L51"/>
      <c r="M51"/>
      <c r="N51"/>
    </row>
    <row r="52" spans="1:14" s="1" customFormat="1" ht="15.75">
      <c r="A52" s="40" t="s">
        <v>43</v>
      </c>
      <c r="B52" s="224" t="s">
        <v>11</v>
      </c>
      <c r="C52" s="225"/>
      <c r="D52" s="226">
        <f>C27-D51</f>
        <v>-43743.80406200004</v>
      </c>
      <c r="E52" s="112"/>
      <c r="F52" s="109"/>
      <c r="G52" s="109"/>
      <c r="H52" s="109"/>
      <c r="I52" s="109"/>
      <c r="J52" s="109"/>
      <c r="K52"/>
      <c r="L52"/>
      <c r="M52"/>
      <c r="N52"/>
    </row>
    <row r="53" spans="1:14" s="1" customFormat="1" ht="15.75">
      <c r="A53" s="227" t="s">
        <v>12</v>
      </c>
      <c r="B53" s="228" t="s">
        <v>11</v>
      </c>
      <c r="C53" s="209"/>
      <c r="D53" s="193">
        <v>0</v>
      </c>
      <c r="E53" s="109"/>
      <c r="F53" s="109"/>
      <c r="G53" s="109"/>
      <c r="H53" s="109"/>
      <c r="I53" s="109"/>
      <c r="J53" s="109"/>
      <c r="K53"/>
      <c r="L53"/>
      <c r="M53"/>
      <c r="N53"/>
    </row>
    <row r="54" spans="1:14" s="1" customFormat="1" ht="15.75">
      <c r="A54" s="227" t="s">
        <v>13</v>
      </c>
      <c r="B54" s="228" t="s">
        <v>11</v>
      </c>
      <c r="C54" s="209"/>
      <c r="D54" s="195">
        <f>C17+C18-C23</f>
        <v>198862.81286199996</v>
      </c>
      <c r="E54" s="109"/>
      <c r="F54" s="109"/>
      <c r="G54" s="109"/>
      <c r="H54" s="109"/>
      <c r="I54" s="109"/>
      <c r="J54" s="109"/>
      <c r="K54"/>
      <c r="L54"/>
      <c r="M54"/>
      <c r="N54"/>
    </row>
    <row r="55" spans="1:14" s="1" customFormat="1" ht="24" customHeight="1">
      <c r="A55" s="569" t="s">
        <v>44</v>
      </c>
      <c r="B55" s="569"/>
      <c r="C55" s="569"/>
      <c r="D55" s="569"/>
      <c r="E55" s="109"/>
      <c r="F55" s="109"/>
      <c r="G55" s="109"/>
      <c r="H55" s="109"/>
      <c r="I55" s="109"/>
      <c r="J55" s="109"/>
      <c r="K55"/>
      <c r="L55"/>
      <c r="M55"/>
      <c r="N55"/>
    </row>
    <row r="56" spans="1:14" s="1" customFormat="1" ht="15.75">
      <c r="A56" s="227" t="s">
        <v>45</v>
      </c>
      <c r="B56" s="208" t="s">
        <v>46</v>
      </c>
      <c r="C56" s="209"/>
      <c r="D56" s="193">
        <v>0</v>
      </c>
      <c r="E56" s="109"/>
      <c r="F56" s="109"/>
      <c r="G56" s="109"/>
      <c r="H56" s="109"/>
      <c r="I56" s="109"/>
      <c r="J56" s="109"/>
      <c r="K56"/>
      <c r="L56"/>
      <c r="M56"/>
      <c r="N56"/>
    </row>
    <row r="57" spans="1:14" s="1" customFormat="1" ht="15.75">
      <c r="A57" s="227" t="s">
        <v>47</v>
      </c>
      <c r="B57" s="208" t="s">
        <v>46</v>
      </c>
      <c r="C57" s="209"/>
      <c r="D57" s="193">
        <v>0</v>
      </c>
      <c r="E57" s="109"/>
      <c r="F57" s="109"/>
      <c r="G57" s="109"/>
      <c r="H57" s="109"/>
      <c r="I57" s="109"/>
      <c r="J57" s="109"/>
      <c r="K57"/>
      <c r="L57"/>
      <c r="M57"/>
      <c r="N57"/>
    </row>
    <row r="58" spans="1:14" s="1" customFormat="1" ht="26.25">
      <c r="A58" s="229" t="s">
        <v>48</v>
      </c>
      <c r="B58" s="208" t="s">
        <v>46</v>
      </c>
      <c r="C58" s="209"/>
      <c r="D58" s="193">
        <v>0</v>
      </c>
      <c r="E58" s="109"/>
      <c r="F58" s="109"/>
      <c r="G58" s="109"/>
      <c r="H58" s="109"/>
      <c r="I58" s="109"/>
      <c r="J58" s="109"/>
      <c r="K58"/>
      <c r="L58"/>
      <c r="M58"/>
      <c r="N58"/>
    </row>
    <row r="59" spans="1:14" s="1" customFormat="1" ht="15.75">
      <c r="A59" s="227" t="s">
        <v>49</v>
      </c>
      <c r="B59" s="208" t="s">
        <v>11</v>
      </c>
      <c r="C59" s="209"/>
      <c r="D59" s="193">
        <v>0</v>
      </c>
      <c r="E59" s="109"/>
      <c r="F59" s="109"/>
      <c r="G59" s="109"/>
      <c r="H59" s="109"/>
      <c r="I59" s="109"/>
      <c r="J59" s="109"/>
      <c r="K59"/>
      <c r="L59"/>
      <c r="M59"/>
      <c r="N59"/>
    </row>
    <row r="60" spans="1:10" ht="20.25" customHeight="1">
      <c r="A60" s="570" t="s">
        <v>50</v>
      </c>
      <c r="B60" s="570"/>
      <c r="C60" s="570"/>
      <c r="D60" s="570"/>
      <c r="E60" s="109"/>
      <c r="F60" s="109"/>
      <c r="G60" s="109"/>
      <c r="H60" s="109"/>
      <c r="I60" s="109"/>
      <c r="J60" s="109"/>
    </row>
    <row r="61" spans="1:10" ht="26.25">
      <c r="A61" s="229" t="s">
        <v>51</v>
      </c>
      <c r="B61" s="208" t="s">
        <v>11</v>
      </c>
      <c r="C61" s="209"/>
      <c r="D61" s="193">
        <v>0</v>
      </c>
      <c r="E61" s="109"/>
      <c r="F61" s="109"/>
      <c r="G61" s="109"/>
      <c r="H61" s="109"/>
      <c r="I61" s="109"/>
      <c r="J61" s="109"/>
    </row>
    <row r="62" spans="1:10" ht="15.75">
      <c r="A62" s="227" t="s">
        <v>12</v>
      </c>
      <c r="B62" s="208" t="s">
        <v>11</v>
      </c>
      <c r="C62" s="209"/>
      <c r="D62" s="193">
        <v>0</v>
      </c>
      <c r="E62" s="109"/>
      <c r="F62" s="109"/>
      <c r="G62" s="109"/>
      <c r="H62" s="109"/>
      <c r="I62" s="109"/>
      <c r="J62" s="109"/>
    </row>
    <row r="63" spans="1:10" ht="15.75">
      <c r="A63" s="227" t="s">
        <v>13</v>
      </c>
      <c r="B63" s="208" t="s">
        <v>11</v>
      </c>
      <c r="C63" s="209"/>
      <c r="D63" s="237">
        <f>D66-D69-D70-D71-D72</f>
        <v>424709.513197</v>
      </c>
      <c r="E63" s="109"/>
      <c r="F63" s="109"/>
      <c r="G63" s="109"/>
      <c r="H63" s="113"/>
      <c r="I63" s="109"/>
      <c r="J63" s="109"/>
    </row>
    <row r="64" spans="1:10" ht="26.25">
      <c r="A64" s="231" t="s">
        <v>52</v>
      </c>
      <c r="B64" s="208" t="s">
        <v>11</v>
      </c>
      <c r="C64" s="232"/>
      <c r="D64" s="233">
        <v>0</v>
      </c>
      <c r="E64" s="109"/>
      <c r="F64" s="109"/>
      <c r="G64" s="109"/>
      <c r="H64" s="109"/>
      <c r="I64" s="109"/>
      <c r="J64" s="109"/>
    </row>
    <row r="65" spans="1:10" ht="17.25" customHeight="1">
      <c r="A65" s="254" t="s">
        <v>12</v>
      </c>
      <c r="B65" s="208" t="s">
        <v>11</v>
      </c>
      <c r="C65" s="276"/>
      <c r="D65" s="55">
        <v>0</v>
      </c>
      <c r="E65" s="109"/>
      <c r="F65" s="109"/>
      <c r="G65" s="109"/>
      <c r="H65" s="109"/>
      <c r="I65" s="113"/>
      <c r="J65" s="113"/>
    </row>
    <row r="66" spans="1:14" ht="15.75">
      <c r="A66" s="235" t="s">
        <v>13</v>
      </c>
      <c r="B66" s="208" t="s">
        <v>11</v>
      </c>
      <c r="C66" s="236"/>
      <c r="D66" s="237">
        <v>396069.98</v>
      </c>
      <c r="E66" s="109"/>
      <c r="F66" s="109"/>
      <c r="G66" s="109"/>
      <c r="H66" s="109" t="s">
        <v>26</v>
      </c>
      <c r="I66" s="124"/>
      <c r="J66" s="124"/>
      <c r="K66" s="61"/>
      <c r="L66" s="61"/>
      <c r="M66" s="61"/>
      <c r="N66" s="61"/>
    </row>
    <row r="67" spans="1:14" ht="18" customHeight="1">
      <c r="A67" s="571" t="s">
        <v>53</v>
      </c>
      <c r="B67" s="571"/>
      <c r="C67" s="571"/>
      <c r="D67" s="571"/>
      <c r="E67" s="114"/>
      <c r="F67" s="115"/>
      <c r="G67" s="116"/>
      <c r="H67" s="109"/>
      <c r="I67" s="120"/>
      <c r="J67" s="120"/>
      <c r="K67" s="66"/>
      <c r="L67" s="66"/>
      <c r="M67" s="66"/>
      <c r="N67" s="66"/>
    </row>
    <row r="68" spans="1:14" ht="47.25">
      <c r="A68" s="166" t="s">
        <v>54</v>
      </c>
      <c r="B68" s="167" t="s">
        <v>55</v>
      </c>
      <c r="C68" s="168" t="s">
        <v>56</v>
      </c>
      <c r="D68" s="169" t="s">
        <v>57</v>
      </c>
      <c r="E68" s="114"/>
      <c r="F68" s="115"/>
      <c r="G68" s="116"/>
      <c r="H68" s="109"/>
      <c r="I68" s="120"/>
      <c r="J68" s="173"/>
      <c r="K68" s="66"/>
      <c r="L68" s="66"/>
      <c r="M68" s="66"/>
      <c r="N68" s="66"/>
    </row>
    <row r="69" spans="1:14" ht="15.75">
      <c r="A69" s="310" t="s">
        <v>58</v>
      </c>
      <c r="B69" s="239">
        <v>27903.67</v>
      </c>
      <c r="C69" s="418">
        <f>B69*1.0781</f>
        <v>30082.946627</v>
      </c>
      <c r="D69" s="444">
        <f>B69-C69</f>
        <v>-2179.276627000003</v>
      </c>
      <c r="E69" s="117"/>
      <c r="F69" s="115"/>
      <c r="G69" s="116"/>
      <c r="H69" s="109"/>
      <c r="I69" s="120"/>
      <c r="J69" s="120"/>
      <c r="K69" s="66"/>
      <c r="L69" s="66"/>
      <c r="M69" s="66"/>
      <c r="N69" s="66"/>
    </row>
    <row r="70" spans="1:14" ht="15.75">
      <c r="A70" s="310" t="s">
        <v>59</v>
      </c>
      <c r="B70" s="239">
        <v>28098.55</v>
      </c>
      <c r="C70" s="418">
        <f>B70*1.0781</f>
        <v>30293.046755</v>
      </c>
      <c r="D70" s="444">
        <f>B70-C70</f>
        <v>-2194.496755</v>
      </c>
      <c r="E70" s="114"/>
      <c r="F70" s="115"/>
      <c r="G70" s="116"/>
      <c r="H70" s="109"/>
      <c r="I70" s="120"/>
      <c r="J70" s="120"/>
      <c r="K70" s="66"/>
      <c r="L70" s="66"/>
      <c r="M70" s="66"/>
      <c r="N70" s="66"/>
    </row>
    <row r="71" spans="1:14" ht="15.75">
      <c r="A71" s="310" t="s">
        <v>236</v>
      </c>
      <c r="B71" s="242">
        <v>103789.19</v>
      </c>
      <c r="C71" s="418">
        <f>B71*1.0781</f>
        <v>111895.12573900001</v>
      </c>
      <c r="D71" s="444">
        <f>B71-C71</f>
        <v>-8105.935739000008</v>
      </c>
      <c r="E71" s="114">
        <f>(2.07+1.8)*6*2301.2-0.37*2301.2*6</f>
        <v>48325.2</v>
      </c>
      <c r="F71" s="118"/>
      <c r="G71" s="119"/>
      <c r="H71" s="114"/>
      <c r="I71" s="120"/>
      <c r="J71" s="120"/>
      <c r="K71" s="66"/>
      <c r="L71" s="66"/>
      <c r="M71" s="66"/>
      <c r="N71" s="66"/>
    </row>
    <row r="72" spans="1:14" ht="15.75">
      <c r="A72" s="311" t="s">
        <v>61</v>
      </c>
      <c r="B72" s="312">
        <v>206911.96</v>
      </c>
      <c r="C72" s="418">
        <f>B72*1.0781</f>
        <v>223071.784076</v>
      </c>
      <c r="D72" s="445">
        <f>B72-C72</f>
        <v>-16159.824076000019</v>
      </c>
      <c r="E72" s="114"/>
      <c r="F72" s="118"/>
      <c r="G72" s="119"/>
      <c r="H72" s="109"/>
      <c r="I72" s="120"/>
      <c r="J72" s="120"/>
      <c r="K72" s="66"/>
      <c r="L72" s="66"/>
      <c r="M72" s="66"/>
      <c r="N72" s="66"/>
    </row>
    <row r="73" spans="1:14" ht="78.75">
      <c r="A73" s="163" t="s">
        <v>62</v>
      </c>
      <c r="B73" s="164" t="s">
        <v>63</v>
      </c>
      <c r="C73" s="165" t="s">
        <v>64</v>
      </c>
      <c r="D73" s="165" t="s">
        <v>65</v>
      </c>
      <c r="E73" s="114"/>
      <c r="F73" s="118"/>
      <c r="G73" s="109"/>
      <c r="H73" s="120"/>
      <c r="I73" s="120"/>
      <c r="J73" s="120"/>
      <c r="K73" s="66"/>
      <c r="L73" s="66"/>
      <c r="M73" s="66"/>
      <c r="N73" s="66"/>
    </row>
    <row r="74" spans="1:14" ht="15.75">
      <c r="A74" s="313" t="s">
        <v>58</v>
      </c>
      <c r="B74" s="314">
        <v>31187.52</v>
      </c>
      <c r="C74" s="418">
        <v>49162.76</v>
      </c>
      <c r="D74" s="446">
        <f>B74-C74</f>
        <v>-17975.24</v>
      </c>
      <c r="E74" s="114"/>
      <c r="F74" s="118"/>
      <c r="G74" s="109"/>
      <c r="H74" s="120"/>
      <c r="I74" s="120"/>
      <c r="J74" s="120" t="s">
        <v>26</v>
      </c>
      <c r="K74" s="66"/>
      <c r="L74" s="66"/>
      <c r="M74" s="66"/>
      <c r="N74" s="66"/>
    </row>
    <row r="75" spans="1:14" ht="15.75">
      <c r="A75" s="313" t="s">
        <v>59</v>
      </c>
      <c r="B75" s="314">
        <v>35691.84</v>
      </c>
      <c r="C75" s="418">
        <v>56263.19</v>
      </c>
      <c r="D75" s="446">
        <f>B75-C75</f>
        <v>-20571.350000000006</v>
      </c>
      <c r="E75" s="114"/>
      <c r="F75" s="118"/>
      <c r="G75" s="109"/>
      <c r="H75" s="120"/>
      <c r="I75" s="120"/>
      <c r="J75" s="120"/>
      <c r="K75" s="66"/>
      <c r="L75" s="66"/>
      <c r="M75" s="66"/>
      <c r="N75" s="66"/>
    </row>
    <row r="76" spans="1:14" ht="15.75">
      <c r="A76" s="310" t="s">
        <v>236</v>
      </c>
      <c r="B76" s="314">
        <f>B71</f>
        <v>103789.19</v>
      </c>
      <c r="C76" s="418">
        <f>B76*1.0781</f>
        <v>111895.12573900001</v>
      </c>
      <c r="D76" s="446">
        <f>B76-C76</f>
        <v>-8105.935739000008</v>
      </c>
      <c r="E76" s="114"/>
      <c r="F76" s="118"/>
      <c r="G76" s="109"/>
      <c r="H76" s="120"/>
      <c r="I76" s="65"/>
      <c r="J76" s="65"/>
      <c r="K76" s="66"/>
      <c r="L76" s="66"/>
      <c r="M76" s="66"/>
      <c r="N76" s="66"/>
    </row>
    <row r="77" spans="1:14" ht="15.75">
      <c r="A77" s="315" t="s">
        <v>61</v>
      </c>
      <c r="B77" s="314">
        <v>217263.23</v>
      </c>
      <c r="C77" s="418">
        <f>B77</f>
        <v>217263.23</v>
      </c>
      <c r="D77" s="446">
        <f>B77-C77</f>
        <v>0</v>
      </c>
      <c r="E77" s="114"/>
      <c r="F77" s="118"/>
      <c r="G77" s="109"/>
      <c r="H77" s="120" t="s">
        <v>26</v>
      </c>
      <c r="I77" s="65"/>
      <c r="J77" s="65"/>
      <c r="K77" s="66"/>
      <c r="L77" s="66"/>
      <c r="M77" s="66"/>
      <c r="N77" s="66"/>
    </row>
    <row r="78" spans="1:14" ht="15.75">
      <c r="A78" s="247"/>
      <c r="B78" s="248"/>
      <c r="C78" s="425"/>
      <c r="D78" s="426"/>
      <c r="E78" s="114"/>
      <c r="F78" s="118"/>
      <c r="G78" s="109"/>
      <c r="H78" s="120"/>
      <c r="I78" s="65"/>
      <c r="J78" s="65"/>
      <c r="K78" s="66"/>
      <c r="L78" s="66"/>
      <c r="M78" s="66"/>
      <c r="N78" s="66"/>
    </row>
    <row r="79" spans="1:14" ht="26.25">
      <c r="A79" s="251" t="s">
        <v>66</v>
      </c>
      <c r="B79" s="248" t="s">
        <v>11</v>
      </c>
      <c r="C79" s="427"/>
      <c r="D79" s="428"/>
      <c r="E79" s="114"/>
      <c r="F79" s="118"/>
      <c r="G79" s="109"/>
      <c r="H79" s="120"/>
      <c r="I79" s="65"/>
      <c r="J79" s="65" t="s">
        <v>26</v>
      </c>
      <c r="K79" s="66"/>
      <c r="L79" s="66"/>
      <c r="M79" s="66"/>
      <c r="N79" s="66"/>
    </row>
    <row r="80" spans="1:14" ht="17.25" customHeight="1">
      <c r="A80" s="572" t="s">
        <v>67</v>
      </c>
      <c r="B80" s="572"/>
      <c r="C80" s="572"/>
      <c r="D80" s="572"/>
      <c r="E80" s="121" t="e">
        <f>D80+B19</f>
        <v>#VALUE!</v>
      </c>
      <c r="F80" s="120"/>
      <c r="G80" s="109"/>
      <c r="H80" s="122" t="e">
        <f>E80-B18</f>
        <v>#VALUE!</v>
      </c>
      <c r="I80" s="65"/>
      <c r="J80" s="65"/>
      <c r="K80" s="66"/>
      <c r="L80" s="66"/>
      <c r="M80" s="66"/>
      <c r="N80" s="66"/>
    </row>
    <row r="81" spans="1:8" ht="21" customHeight="1">
      <c r="A81" s="86" t="s">
        <v>45</v>
      </c>
      <c r="B81" s="86" t="s">
        <v>46</v>
      </c>
      <c r="C81" s="86"/>
      <c r="D81" s="177">
        <v>0</v>
      </c>
      <c r="E81" s="123"/>
      <c r="F81" s="109"/>
      <c r="G81" s="109"/>
      <c r="H81" s="109"/>
    </row>
    <row r="82" spans="1:8" ht="21" customHeight="1">
      <c r="A82" s="86" t="s">
        <v>47</v>
      </c>
      <c r="B82" s="86" t="s">
        <v>46</v>
      </c>
      <c r="C82" s="86"/>
      <c r="D82" s="177">
        <v>0</v>
      </c>
      <c r="E82" s="123"/>
      <c r="F82" s="109"/>
      <c r="G82" s="109"/>
      <c r="H82" s="109"/>
    </row>
    <row r="83" spans="1:8" ht="18" customHeight="1">
      <c r="A83" s="86" t="s">
        <v>48</v>
      </c>
      <c r="B83" s="86" t="s">
        <v>46</v>
      </c>
      <c r="C83" s="86"/>
      <c r="D83" s="177">
        <v>0</v>
      </c>
      <c r="E83" s="123"/>
      <c r="F83" s="109"/>
      <c r="G83" s="109"/>
      <c r="H83" s="109"/>
    </row>
    <row r="84" spans="1:8" ht="16.5" customHeight="1">
      <c r="A84" s="86" t="s">
        <v>49</v>
      </c>
      <c r="B84" s="86" t="s">
        <v>11</v>
      </c>
      <c r="C84" s="86"/>
      <c r="D84" s="177">
        <v>0</v>
      </c>
      <c r="E84" s="123"/>
      <c r="F84" s="109"/>
      <c r="G84" s="109"/>
      <c r="H84" s="109"/>
    </row>
    <row r="85" spans="1:8" ht="15.75" customHeight="1">
      <c r="A85" s="566" t="s">
        <v>68</v>
      </c>
      <c r="B85" s="566"/>
      <c r="C85" s="566"/>
      <c r="D85" s="566"/>
      <c r="E85" s="123"/>
      <c r="F85" s="109"/>
      <c r="G85" s="109"/>
      <c r="H85" s="109"/>
    </row>
    <row r="86" spans="1:8" ht="18.75" customHeight="1">
      <c r="A86" s="86" t="s">
        <v>69</v>
      </c>
      <c r="B86" s="86" t="s">
        <v>46</v>
      </c>
      <c r="C86" s="86"/>
      <c r="D86" s="177">
        <v>1</v>
      </c>
      <c r="E86" s="123"/>
      <c r="F86" s="109"/>
      <c r="G86" s="109"/>
      <c r="H86" s="109"/>
    </row>
    <row r="87" spans="1:8" ht="21.75" customHeight="1">
      <c r="A87" s="86" t="s">
        <v>70</v>
      </c>
      <c r="B87" s="254" t="s">
        <v>46</v>
      </c>
      <c r="C87" s="254"/>
      <c r="D87" s="177">
        <v>11</v>
      </c>
      <c r="E87" s="123"/>
      <c r="F87" s="109"/>
      <c r="G87" s="109"/>
      <c r="H87" s="109"/>
    </row>
    <row r="88" spans="1:8" ht="36" customHeight="1">
      <c r="A88" s="255" t="s">
        <v>71</v>
      </c>
      <c r="B88" s="86" t="s">
        <v>11</v>
      </c>
      <c r="C88" s="86"/>
      <c r="D88" s="177">
        <v>120844.6</v>
      </c>
      <c r="E88" s="123"/>
      <c r="F88" s="109"/>
      <c r="G88" s="109"/>
      <c r="H88" s="109"/>
    </row>
    <row r="89" spans="1:8" ht="15.75">
      <c r="A89" s="256"/>
      <c r="B89" s="256"/>
      <c r="C89" s="256"/>
      <c r="D89" s="257"/>
      <c r="E89" s="109"/>
      <c r="F89" s="109"/>
      <c r="G89" s="109"/>
      <c r="H89" s="109"/>
    </row>
    <row r="90" spans="1:14" s="1" customFormat="1" ht="12.75">
      <c r="A90" s="178"/>
      <c r="B90" s="178"/>
      <c r="C90" s="178"/>
      <c r="D90" s="178"/>
      <c r="E90" s="109"/>
      <c r="F90" s="109"/>
      <c r="G90" s="109"/>
      <c r="H90" s="109" t="s">
        <v>26</v>
      </c>
      <c r="K90"/>
      <c r="L90"/>
      <c r="M90"/>
      <c r="N90"/>
    </row>
    <row r="91" spans="1:14" s="1" customFormat="1" ht="12.75">
      <c r="A91" s="182" t="s">
        <v>198</v>
      </c>
      <c r="B91" s="178"/>
      <c r="C91" s="178"/>
      <c r="D91" s="178"/>
      <c r="E91" s="109"/>
      <c r="F91" s="109"/>
      <c r="G91" s="109"/>
      <c r="H91" s="109"/>
      <c r="K91"/>
      <c r="L91"/>
      <c r="M91"/>
      <c r="N91"/>
    </row>
    <row r="92" spans="1:14" s="1" customFormat="1" ht="12.75">
      <c r="A92" s="178"/>
      <c r="B92" s="178"/>
      <c r="C92" s="178"/>
      <c r="D92" s="178"/>
      <c r="E92" s="109"/>
      <c r="H92" s="1" t="s">
        <v>26</v>
      </c>
      <c r="K92"/>
      <c r="L92"/>
      <c r="M92"/>
      <c r="N92"/>
    </row>
    <row r="93" spans="1:14" s="1" customFormat="1" ht="12.75">
      <c r="A93" s="178" t="s">
        <v>73</v>
      </c>
      <c r="B93" s="178"/>
      <c r="C93" s="178"/>
      <c r="D93" s="178"/>
      <c r="E93" s="109"/>
      <c r="K93"/>
      <c r="L93"/>
      <c r="M93"/>
      <c r="N93"/>
    </row>
    <row r="94" spans="1:5" ht="12.75">
      <c r="A94" s="178"/>
      <c r="B94" s="178"/>
      <c r="C94" s="178"/>
      <c r="D94" s="178"/>
      <c r="E94" s="109"/>
    </row>
    <row r="95" ht="12.75">
      <c r="E95" s="109"/>
    </row>
    <row r="97" spans="1:14" s="1" customFormat="1" ht="12.75">
      <c r="A97"/>
      <c r="B97"/>
      <c r="C97"/>
      <c r="D97"/>
      <c r="E97" s="1" t="s">
        <v>26</v>
      </c>
      <c r="K97"/>
      <c r="L97"/>
      <c r="M97"/>
      <c r="N97"/>
    </row>
  </sheetData>
  <sheetProtection selectLockedCells="1" selectUnlockedCells="1"/>
  <mergeCells count="13">
    <mergeCell ref="A85:D85"/>
    <mergeCell ref="A14:D14"/>
    <mergeCell ref="A28:D28"/>
    <mergeCell ref="A55:D55"/>
    <mergeCell ref="A60:D60"/>
    <mergeCell ref="A67:D67"/>
    <mergeCell ref="A80:D80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600" verticalDpi="600" orientation="portrait" paperSize="1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4"/>
  <sheetViews>
    <sheetView zoomScale="112" zoomScaleNormal="112" zoomScalePageLayoutView="0" workbookViewId="0" topLeftCell="A40">
      <selection activeCell="D49" sqref="D49"/>
    </sheetView>
  </sheetViews>
  <sheetFormatPr defaultColWidth="11.57421875" defaultRowHeight="12.75"/>
  <cols>
    <col min="1" max="1" width="54.421875" style="0" customWidth="1"/>
    <col min="2" max="2" width="14.57421875" style="0" customWidth="1"/>
    <col min="3" max="3" width="25.7109375" style="0" customWidth="1"/>
    <col min="4" max="4" width="18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560" t="s">
        <v>26</v>
      </c>
      <c r="B1" s="560"/>
      <c r="C1" s="560"/>
      <c r="D1" s="560"/>
    </row>
    <row r="2" spans="1:4" ht="15.75">
      <c r="A2" s="561" t="s">
        <v>220</v>
      </c>
      <c r="B2" s="562"/>
      <c r="C2" s="562"/>
      <c r="D2" s="562"/>
    </row>
    <row r="3" spans="1:4" ht="15.75">
      <c r="A3" s="562" t="s">
        <v>1</v>
      </c>
      <c r="B3" s="562"/>
      <c r="C3" s="562"/>
      <c r="D3" s="562"/>
    </row>
    <row r="4" spans="1:4" ht="12.75">
      <c r="A4" s="563" t="s">
        <v>94</v>
      </c>
      <c r="B4" s="563"/>
      <c r="C4" s="563"/>
      <c r="D4" s="563"/>
    </row>
    <row r="5" spans="1:4" ht="12.75">
      <c r="A5" s="564" t="s">
        <v>266</v>
      </c>
      <c r="B5" s="563"/>
      <c r="C5" s="563"/>
      <c r="D5" s="563"/>
    </row>
    <row r="6" ht="9" customHeight="1">
      <c r="A6" s="2"/>
    </row>
    <row r="7" spans="1:4" ht="35.25" customHeight="1">
      <c r="A7" s="565" t="s">
        <v>2</v>
      </c>
      <c r="B7" s="565"/>
      <c r="C7" s="565"/>
      <c r="D7" s="565"/>
    </row>
    <row r="8" spans="1:5" ht="12.75">
      <c r="A8" s="182" t="s">
        <v>244</v>
      </c>
      <c r="B8" s="178"/>
      <c r="C8" s="183"/>
      <c r="D8" s="178"/>
      <c r="E8" s="109"/>
    </row>
    <row r="9" spans="1:5" ht="12.75">
      <c r="A9" s="184" t="s">
        <v>3</v>
      </c>
      <c r="B9" s="184" t="s">
        <v>4</v>
      </c>
      <c r="C9" s="184" t="s">
        <v>5</v>
      </c>
      <c r="D9" s="185"/>
      <c r="E9" s="109"/>
    </row>
    <row r="10" spans="1:5" ht="12.75">
      <c r="A10" s="186">
        <v>1</v>
      </c>
      <c r="B10" s="186">
        <v>2</v>
      </c>
      <c r="C10" s="186">
        <v>3</v>
      </c>
      <c r="D10" s="187">
        <v>4</v>
      </c>
      <c r="E10" s="109"/>
    </row>
    <row r="11" spans="1:5" ht="12.75">
      <c r="A11" s="20" t="s">
        <v>6</v>
      </c>
      <c r="B11" s="188"/>
      <c r="C11" s="189" t="s">
        <v>262</v>
      </c>
      <c r="D11" s="190"/>
      <c r="E11" s="109"/>
    </row>
    <row r="12" spans="1:5" ht="12.75">
      <c r="A12" s="20" t="s">
        <v>7</v>
      </c>
      <c r="B12" s="188"/>
      <c r="C12" s="189" t="s">
        <v>263</v>
      </c>
      <c r="D12" s="190"/>
      <c r="E12" s="109"/>
    </row>
    <row r="13" spans="1:8" ht="12.75">
      <c r="A13" s="20" t="s">
        <v>8</v>
      </c>
      <c r="B13" s="188"/>
      <c r="C13" s="189" t="s">
        <v>267</v>
      </c>
      <c r="D13" s="190"/>
      <c r="E13" s="109"/>
      <c r="F13" s="109"/>
      <c r="G13" s="109"/>
      <c r="H13" s="109"/>
    </row>
    <row r="14" spans="1:8" ht="31.5" customHeight="1">
      <c r="A14" s="567" t="s">
        <v>9</v>
      </c>
      <c r="B14" s="567"/>
      <c r="C14" s="567"/>
      <c r="D14" s="567"/>
      <c r="E14" s="109"/>
      <c r="F14" s="109"/>
      <c r="G14" s="109"/>
      <c r="H14" s="109"/>
    </row>
    <row r="15" spans="1:8" ht="26.25">
      <c r="A15" s="17" t="s">
        <v>10</v>
      </c>
      <c r="B15" s="191" t="s">
        <v>11</v>
      </c>
      <c r="C15" s="194">
        <v>-18786.16</v>
      </c>
      <c r="D15" s="193"/>
      <c r="E15" s="109"/>
      <c r="F15" s="109"/>
      <c r="G15" s="109"/>
      <c r="H15" s="109"/>
    </row>
    <row r="16" spans="1:8" ht="15.75">
      <c r="A16" s="20" t="s">
        <v>12</v>
      </c>
      <c r="B16" s="191" t="s">
        <v>11</v>
      </c>
      <c r="C16" s="192">
        <v>0</v>
      </c>
      <c r="D16" s="193"/>
      <c r="E16" s="109"/>
      <c r="F16" s="109"/>
      <c r="G16" s="109"/>
      <c r="H16" s="109"/>
    </row>
    <row r="17" spans="1:8" ht="15.75">
      <c r="A17" s="20" t="s">
        <v>13</v>
      </c>
      <c r="B17" s="191" t="s">
        <v>11</v>
      </c>
      <c r="C17" s="194">
        <v>48135.5</v>
      </c>
      <c r="D17" s="195"/>
      <c r="E17" s="109"/>
      <c r="F17" s="109"/>
      <c r="G17" s="109"/>
      <c r="H17" s="109"/>
    </row>
    <row r="18" spans="1:8" ht="31.5" customHeight="1">
      <c r="A18" s="17" t="s">
        <v>14</v>
      </c>
      <c r="B18" s="191" t="s">
        <v>11</v>
      </c>
      <c r="C18" s="194">
        <f>211377.3+21575.26</f>
        <v>232952.56</v>
      </c>
      <c r="D18" s="195"/>
      <c r="E18" s="110">
        <f>C18-C20-21575.26</f>
        <v>157927.12559999997</v>
      </c>
      <c r="F18" s="109"/>
      <c r="G18" s="109"/>
      <c r="H18" s="109"/>
    </row>
    <row r="19" spans="1:8" ht="15.75">
      <c r="A19" s="20" t="s">
        <v>15</v>
      </c>
      <c r="B19" s="191" t="s">
        <v>11</v>
      </c>
      <c r="C19" s="194">
        <f>C18-C20-C21</f>
        <v>123090.23679999997</v>
      </c>
      <c r="D19" s="195"/>
      <c r="E19" s="110">
        <f>E18-E48</f>
        <v>-800.0040000000445</v>
      </c>
      <c r="F19" s="109"/>
      <c r="G19" s="109"/>
      <c r="H19" s="109"/>
    </row>
    <row r="20" spans="1:8" ht="15.75">
      <c r="A20" s="20" t="s">
        <v>16</v>
      </c>
      <c r="B20" s="191" t="s">
        <v>11</v>
      </c>
      <c r="C20" s="194">
        <f>(3.94+4)*6*1121.96</f>
        <v>53450.1744</v>
      </c>
      <c r="D20" s="195"/>
      <c r="E20" s="111"/>
      <c r="F20" s="109"/>
      <c r="G20" s="109"/>
      <c r="H20" s="109"/>
    </row>
    <row r="21" spans="1:8" ht="15.75">
      <c r="A21" s="20" t="s">
        <v>17</v>
      </c>
      <c r="B21" s="191" t="s">
        <v>11</v>
      </c>
      <c r="C21" s="196">
        <f>1121.96*4.19*12</f>
        <v>56412.14880000001</v>
      </c>
      <c r="D21" s="195"/>
      <c r="E21" s="109"/>
      <c r="F21" s="109"/>
      <c r="G21" s="109"/>
      <c r="H21" s="109"/>
    </row>
    <row r="22" spans="1:8" ht="15.75">
      <c r="A22" s="20" t="s">
        <v>18</v>
      </c>
      <c r="B22" s="191" t="s">
        <v>11</v>
      </c>
      <c r="C22" s="194">
        <f>C23+C24+C25+C26</f>
        <v>220046.98817599998</v>
      </c>
      <c r="D22" s="195" t="s">
        <v>19</v>
      </c>
      <c r="E22" s="110" t="e">
        <f>B24+B25+B26+#REF!+B27</f>
        <v>#VALUE!</v>
      </c>
      <c r="F22" s="109"/>
      <c r="G22" s="109"/>
      <c r="H22" s="109"/>
    </row>
    <row r="23" spans="1:8" ht="15.75">
      <c r="A23" s="20" t="s">
        <v>20</v>
      </c>
      <c r="B23" s="191" t="s">
        <v>11</v>
      </c>
      <c r="C23" s="194">
        <f>C18*0.9446</f>
        <v>220046.98817599998</v>
      </c>
      <c r="D23" s="195"/>
      <c r="E23" s="109"/>
      <c r="F23" s="109"/>
      <c r="G23" s="109"/>
      <c r="H23" s="109"/>
    </row>
    <row r="24" spans="1:8" ht="15.75">
      <c r="A24" s="20" t="s">
        <v>21</v>
      </c>
      <c r="B24" s="191" t="s">
        <v>11</v>
      </c>
      <c r="C24" s="194">
        <v>0</v>
      </c>
      <c r="D24" s="197">
        <v>65.21</v>
      </c>
      <c r="E24" s="111" t="e">
        <f>B24/#REF!*1</f>
        <v>#VALUE!</v>
      </c>
      <c r="F24" s="109"/>
      <c r="G24" s="109"/>
      <c r="H24" s="109" t="s">
        <v>22</v>
      </c>
    </row>
    <row r="25" spans="1:8" ht="15.75">
      <c r="A25" s="20" t="s">
        <v>23</v>
      </c>
      <c r="B25" s="191" t="s">
        <v>11</v>
      </c>
      <c r="C25" s="194">
        <v>0</v>
      </c>
      <c r="D25" s="197">
        <v>119.63</v>
      </c>
      <c r="E25" s="111" t="e">
        <f>B25/#REF!*1</f>
        <v>#VALUE!</v>
      </c>
      <c r="F25" s="109"/>
      <c r="G25" s="109"/>
      <c r="H25" s="109"/>
    </row>
    <row r="26" spans="1:8" ht="15.75">
      <c r="A26" s="188" t="s">
        <v>24</v>
      </c>
      <c r="B26" s="191" t="s">
        <v>11</v>
      </c>
      <c r="C26" s="194">
        <v>0</v>
      </c>
      <c r="D26" s="197"/>
      <c r="E26" s="111" t="e">
        <f>B26/#REF!*1</f>
        <v>#VALUE!</v>
      </c>
      <c r="F26" s="109"/>
      <c r="G26" s="109"/>
      <c r="H26" s="109"/>
    </row>
    <row r="27" spans="1:8" ht="15.75">
      <c r="A27" s="20" t="s">
        <v>25</v>
      </c>
      <c r="B27" s="191" t="s">
        <v>11</v>
      </c>
      <c r="C27" s="194">
        <f>C15+C22</f>
        <v>201260.82817599998</v>
      </c>
      <c r="D27" s="195" t="s">
        <v>26</v>
      </c>
      <c r="E27" s="111" t="e">
        <f>B27/#REF!*1</f>
        <v>#VALUE!</v>
      </c>
      <c r="F27" s="109"/>
      <c r="G27" s="109"/>
      <c r="H27" s="109"/>
    </row>
    <row r="28" spans="1:8" ht="35.25" customHeight="1">
      <c r="A28" s="568" t="s">
        <v>27</v>
      </c>
      <c r="B28" s="568"/>
      <c r="C28" s="568"/>
      <c r="D28" s="568"/>
      <c r="E28" s="109"/>
      <c r="F28" s="109"/>
      <c r="G28" s="109"/>
      <c r="H28" s="109"/>
    </row>
    <row r="29" spans="1:8" ht="51">
      <c r="A29" s="199" t="s">
        <v>28</v>
      </c>
      <c r="B29" s="200" t="s">
        <v>29</v>
      </c>
      <c r="C29" s="201" t="s">
        <v>30</v>
      </c>
      <c r="D29" s="202" t="s">
        <v>31</v>
      </c>
      <c r="E29" s="109"/>
      <c r="F29" s="109"/>
      <c r="G29" s="109"/>
      <c r="H29" s="109"/>
    </row>
    <row r="30" spans="1:8" ht="15.75">
      <c r="A30" s="203" t="s">
        <v>32</v>
      </c>
      <c r="B30" s="204" t="s">
        <v>33</v>
      </c>
      <c r="C30" s="209" t="s">
        <v>34</v>
      </c>
      <c r="D30" s="206">
        <f>(0.5+0.58)*6*1121.96</f>
        <v>7270.300800000001</v>
      </c>
      <c r="E30" s="109"/>
      <c r="F30" s="109"/>
      <c r="G30" s="109"/>
      <c r="H30" s="109"/>
    </row>
    <row r="31" spans="1:8" ht="15.75">
      <c r="A31" s="207" t="s">
        <v>75</v>
      </c>
      <c r="B31" s="208" t="s">
        <v>76</v>
      </c>
      <c r="C31" s="209" t="s">
        <v>34</v>
      </c>
      <c r="D31" s="210">
        <f>2.4*12*1121.96</f>
        <v>32312.447999999997</v>
      </c>
      <c r="E31" s="109"/>
      <c r="F31" s="109"/>
      <c r="G31" s="109"/>
      <c r="H31" s="109"/>
    </row>
    <row r="32" spans="1:8" ht="15.75">
      <c r="A32" s="207" t="s">
        <v>237</v>
      </c>
      <c r="B32" s="208" t="s">
        <v>35</v>
      </c>
      <c r="C32" s="362" t="s">
        <v>301</v>
      </c>
      <c r="D32" s="210">
        <f>(0.15*12*1121.96)+800</f>
        <v>2819.528</v>
      </c>
      <c r="E32" s="109" t="s">
        <v>305</v>
      </c>
      <c r="F32" s="109"/>
      <c r="G32" s="109"/>
      <c r="H32" s="109"/>
    </row>
    <row r="33" spans="1:8" ht="15.75">
      <c r="A33" s="207" t="s">
        <v>36</v>
      </c>
      <c r="B33" s="208" t="s">
        <v>78</v>
      </c>
      <c r="C33" s="209" t="s">
        <v>37</v>
      </c>
      <c r="D33" s="210">
        <f>0.48*12*1121.96</f>
        <v>6462.4896</v>
      </c>
      <c r="E33" s="109"/>
      <c r="F33" s="109"/>
      <c r="G33" s="109"/>
      <c r="H33" s="109"/>
    </row>
    <row r="34" spans="1:8" ht="15.75">
      <c r="A34" s="207" t="s">
        <v>79</v>
      </c>
      <c r="B34" s="363" t="s">
        <v>33</v>
      </c>
      <c r="C34" s="209" t="s">
        <v>34</v>
      </c>
      <c r="D34" s="210">
        <f>0.79*12*1121.96</f>
        <v>10636.1808</v>
      </c>
      <c r="E34" s="109"/>
      <c r="F34" s="109"/>
      <c r="G34" s="109"/>
      <c r="H34" s="109"/>
    </row>
    <row r="35" spans="1:8" ht="15.75">
      <c r="A35" s="207" t="s">
        <v>80</v>
      </c>
      <c r="B35" s="208" t="s">
        <v>33</v>
      </c>
      <c r="C35" s="209" t="s">
        <v>34</v>
      </c>
      <c r="D35" s="210">
        <f>(1.28+1.24)*6*1121.96</f>
        <v>16964.035200000002</v>
      </c>
      <c r="E35" s="109"/>
      <c r="F35" s="109"/>
      <c r="G35" s="109"/>
      <c r="H35" s="109"/>
    </row>
    <row r="36" spans="1:8" ht="31.5">
      <c r="A36" s="207" t="s">
        <v>81</v>
      </c>
      <c r="B36" s="213" t="s">
        <v>82</v>
      </c>
      <c r="C36" s="209" t="s">
        <v>34</v>
      </c>
      <c r="D36" s="210">
        <f>1.33*12*1121.96</f>
        <v>17906.481600000003</v>
      </c>
      <c r="E36" s="109"/>
      <c r="F36" s="109"/>
      <c r="G36" s="109"/>
      <c r="H36" s="109"/>
    </row>
    <row r="37" spans="1:8" ht="15.75">
      <c r="A37" s="207" t="s">
        <v>38</v>
      </c>
      <c r="B37" s="208" t="s">
        <v>35</v>
      </c>
      <c r="C37" s="362" t="s">
        <v>221</v>
      </c>
      <c r="D37" s="210">
        <f>4.19*1121.96*12</f>
        <v>56412.14880000001</v>
      </c>
      <c r="E37" s="109"/>
      <c r="F37" s="109"/>
      <c r="G37" s="109"/>
      <c r="H37" s="109"/>
    </row>
    <row r="38" spans="1:8" ht="19.5" customHeight="1">
      <c r="A38" s="207" t="s">
        <v>85</v>
      </c>
      <c r="B38" s="208" t="s">
        <v>222</v>
      </c>
      <c r="C38" s="275" t="s">
        <v>37</v>
      </c>
      <c r="D38" s="210">
        <f>1121.96*0.59*12+0.04</f>
        <v>7943.5168</v>
      </c>
      <c r="E38" s="109"/>
      <c r="F38" s="109"/>
      <c r="G38" s="109"/>
      <c r="H38" s="109"/>
    </row>
    <row r="39" spans="1:8" ht="21.75" customHeight="1">
      <c r="A39" s="207" t="s">
        <v>209</v>
      </c>
      <c r="B39" s="208"/>
      <c r="C39" s="275"/>
      <c r="D39" s="210"/>
      <c r="E39" s="109"/>
      <c r="F39" s="109"/>
      <c r="G39" s="109"/>
      <c r="H39" s="109"/>
    </row>
    <row r="40" spans="1:8" ht="18" customHeight="1">
      <c r="A40" s="207" t="s">
        <v>213</v>
      </c>
      <c r="B40" s="208" t="s">
        <v>35</v>
      </c>
      <c r="C40" s="275" t="s">
        <v>210</v>
      </c>
      <c r="D40" s="210">
        <v>12506.94</v>
      </c>
      <c r="E40" s="109"/>
      <c r="F40" s="109"/>
      <c r="G40" s="109"/>
      <c r="H40" s="109"/>
    </row>
    <row r="41" spans="1:8" ht="17.25" customHeight="1">
      <c r="A41" s="207" t="s">
        <v>211</v>
      </c>
      <c r="B41" s="208" t="s">
        <v>35</v>
      </c>
      <c r="C41" s="275" t="s">
        <v>212</v>
      </c>
      <c r="D41" s="210">
        <v>20363.5</v>
      </c>
      <c r="E41" s="109"/>
      <c r="F41" s="109"/>
      <c r="G41" s="109"/>
      <c r="H41" s="109"/>
    </row>
    <row r="42" spans="1:14" s="1" customFormat="1" ht="78.75">
      <c r="A42" s="260" t="s">
        <v>207</v>
      </c>
      <c r="B42" s="215" t="s">
        <v>41</v>
      </c>
      <c r="C42" s="221"/>
      <c r="D42" s="381">
        <f>D43+D44+D45+D46+D47</f>
        <v>23451</v>
      </c>
      <c r="E42" s="109"/>
      <c r="F42" s="109"/>
      <c r="G42" s="109"/>
      <c r="H42" s="109"/>
      <c r="K42"/>
      <c r="L42"/>
      <c r="M42"/>
      <c r="N42"/>
    </row>
    <row r="43" spans="1:14" s="1" customFormat="1" ht="15.75">
      <c r="A43" s="220" t="s">
        <v>299</v>
      </c>
      <c r="B43" s="217" t="s">
        <v>298</v>
      </c>
      <c r="C43" s="209" t="s">
        <v>34</v>
      </c>
      <c r="D43" s="176">
        <v>1136</v>
      </c>
      <c r="E43" s="109"/>
      <c r="F43" s="109"/>
      <c r="G43" s="109"/>
      <c r="H43" s="109"/>
      <c r="K43"/>
      <c r="L43"/>
      <c r="M43"/>
      <c r="N43"/>
    </row>
    <row r="44" spans="1:14" s="1" customFormat="1" ht="15.75">
      <c r="A44" s="220" t="s">
        <v>277</v>
      </c>
      <c r="B44" s="217" t="s">
        <v>159</v>
      </c>
      <c r="C44" s="209" t="s">
        <v>34</v>
      </c>
      <c r="D44" s="176">
        <v>5098</v>
      </c>
      <c r="E44" s="109"/>
      <c r="F44" s="109"/>
      <c r="G44" s="109"/>
      <c r="H44" s="109"/>
      <c r="K44"/>
      <c r="L44"/>
      <c r="M44"/>
      <c r="N44"/>
    </row>
    <row r="45" spans="1:14" s="1" customFormat="1" ht="15.75">
      <c r="A45" s="220" t="s">
        <v>300</v>
      </c>
      <c r="B45" s="217" t="s">
        <v>144</v>
      </c>
      <c r="C45" s="209" t="s">
        <v>34</v>
      </c>
      <c r="D45" s="176">
        <v>16437</v>
      </c>
      <c r="E45" s="109"/>
      <c r="F45" s="109"/>
      <c r="G45" s="109"/>
      <c r="H45" s="109"/>
      <c r="K45"/>
      <c r="L45"/>
      <c r="M45"/>
      <c r="N45"/>
    </row>
    <row r="46" spans="1:14" s="1" customFormat="1" ht="15.75">
      <c r="A46" s="220"/>
      <c r="B46" s="217"/>
      <c r="C46" s="275"/>
      <c r="D46" s="176"/>
      <c r="E46" s="109"/>
      <c r="F46" s="109"/>
      <c r="G46" s="109"/>
      <c r="H46" s="109"/>
      <c r="K46"/>
      <c r="L46"/>
      <c r="M46"/>
      <c r="N46"/>
    </row>
    <row r="47" spans="1:14" s="1" customFormat="1" ht="15.75">
      <c r="A47" s="220" t="s">
        <v>302</v>
      </c>
      <c r="B47" s="217" t="s">
        <v>146</v>
      </c>
      <c r="C47" s="209" t="s">
        <v>34</v>
      </c>
      <c r="D47" s="176">
        <v>780</v>
      </c>
      <c r="E47" s="109"/>
      <c r="F47" s="109"/>
      <c r="G47" s="109"/>
      <c r="H47" s="109"/>
      <c r="K47"/>
      <c r="L47"/>
      <c r="M47"/>
      <c r="N47"/>
    </row>
    <row r="48" spans="1:14" s="1" customFormat="1" ht="15.75">
      <c r="A48" s="37" t="s">
        <v>42</v>
      </c>
      <c r="B48" s="222"/>
      <c r="C48" s="223"/>
      <c r="D48" s="97">
        <f>D30+D31+D32+D33+D34+D35+D36+D37+D38+D40+D41+D42</f>
        <v>215048.56960000002</v>
      </c>
      <c r="E48" s="112">
        <f>D48-D40-D41-D42</f>
        <v>158727.12960000001</v>
      </c>
      <c r="F48" s="109"/>
      <c r="G48" s="109"/>
      <c r="H48" s="109"/>
      <c r="K48"/>
      <c r="L48"/>
      <c r="M48"/>
      <c r="N48"/>
    </row>
    <row r="49" spans="1:14" s="1" customFormat="1" ht="15.75">
      <c r="A49" s="40" t="s">
        <v>43</v>
      </c>
      <c r="B49" s="224" t="s">
        <v>11</v>
      </c>
      <c r="C49" s="225"/>
      <c r="D49" s="226">
        <f>C27-D48</f>
        <v>-13787.741424000036</v>
      </c>
      <c r="E49" s="112"/>
      <c r="F49" s="109"/>
      <c r="G49" s="109"/>
      <c r="H49" s="109"/>
      <c r="K49"/>
      <c r="L49"/>
      <c r="M49"/>
      <c r="N49"/>
    </row>
    <row r="50" spans="1:14" s="1" customFormat="1" ht="15.75">
      <c r="A50" s="227" t="s">
        <v>12</v>
      </c>
      <c r="B50" s="228" t="s">
        <v>11</v>
      </c>
      <c r="C50" s="209"/>
      <c r="D50" s="193">
        <v>0</v>
      </c>
      <c r="E50" s="109"/>
      <c r="F50" s="109"/>
      <c r="G50" s="109"/>
      <c r="H50" s="109"/>
      <c r="K50"/>
      <c r="L50"/>
      <c r="M50"/>
      <c r="N50"/>
    </row>
    <row r="51" spans="1:14" s="1" customFormat="1" ht="15.75">
      <c r="A51" s="227" t="s">
        <v>13</v>
      </c>
      <c r="B51" s="228" t="s">
        <v>11</v>
      </c>
      <c r="C51" s="209"/>
      <c r="D51" s="195">
        <v>48135.5</v>
      </c>
      <c r="E51" s="109"/>
      <c r="F51" s="109"/>
      <c r="G51" s="109"/>
      <c r="H51" s="109"/>
      <c r="K51"/>
      <c r="L51"/>
      <c r="M51"/>
      <c r="N51"/>
    </row>
    <row r="52" spans="1:14" s="1" customFormat="1" ht="24" customHeight="1">
      <c r="A52" s="569" t="s">
        <v>44</v>
      </c>
      <c r="B52" s="569"/>
      <c r="C52" s="569"/>
      <c r="D52" s="569"/>
      <c r="E52" s="109"/>
      <c r="F52" s="109"/>
      <c r="G52" s="109"/>
      <c r="H52" s="109"/>
      <c r="K52"/>
      <c r="L52"/>
      <c r="M52"/>
      <c r="N52"/>
    </row>
    <row r="53" spans="1:14" s="1" customFormat="1" ht="15.75">
      <c r="A53" s="227" t="s">
        <v>45</v>
      </c>
      <c r="B53" s="208" t="s">
        <v>46</v>
      </c>
      <c r="C53" s="209"/>
      <c r="D53" s="193">
        <v>0</v>
      </c>
      <c r="E53" s="109"/>
      <c r="F53" s="109"/>
      <c r="G53" s="109"/>
      <c r="H53" s="109"/>
      <c r="K53"/>
      <c r="L53"/>
      <c r="M53"/>
      <c r="N53"/>
    </row>
    <row r="54" spans="1:14" s="1" customFormat="1" ht="15.75">
      <c r="A54" s="227" t="s">
        <v>47</v>
      </c>
      <c r="B54" s="208" t="s">
        <v>46</v>
      </c>
      <c r="C54" s="209"/>
      <c r="D54" s="193">
        <v>0</v>
      </c>
      <c r="E54" s="109"/>
      <c r="F54" s="109"/>
      <c r="G54" s="109"/>
      <c r="H54" s="109"/>
      <c r="K54"/>
      <c r="L54"/>
      <c r="M54"/>
      <c r="N54"/>
    </row>
    <row r="55" spans="1:14" s="1" customFormat="1" ht="26.25">
      <c r="A55" s="229" t="s">
        <v>48</v>
      </c>
      <c r="B55" s="208" t="s">
        <v>46</v>
      </c>
      <c r="C55" s="209"/>
      <c r="D55" s="193">
        <v>0</v>
      </c>
      <c r="E55" s="109"/>
      <c r="F55" s="109"/>
      <c r="G55" s="109"/>
      <c r="H55" s="109"/>
      <c r="K55"/>
      <c r="L55"/>
      <c r="M55"/>
      <c r="N55"/>
    </row>
    <row r="56" spans="1:14" s="1" customFormat="1" ht="15.75">
      <c r="A56" s="227" t="s">
        <v>49</v>
      </c>
      <c r="B56" s="208" t="s">
        <v>11</v>
      </c>
      <c r="C56" s="209"/>
      <c r="D56" s="193">
        <v>0</v>
      </c>
      <c r="E56" s="109"/>
      <c r="F56" s="109"/>
      <c r="G56" s="109"/>
      <c r="H56" s="109"/>
      <c r="K56"/>
      <c r="L56"/>
      <c r="M56"/>
      <c r="N56"/>
    </row>
    <row r="57" spans="1:8" ht="20.25" customHeight="1">
      <c r="A57" s="570" t="s">
        <v>50</v>
      </c>
      <c r="B57" s="570"/>
      <c r="C57" s="570"/>
      <c r="D57" s="570"/>
      <c r="E57" s="109"/>
      <c r="F57" s="109"/>
      <c r="G57" s="109"/>
      <c r="H57" s="109"/>
    </row>
    <row r="58" spans="1:8" ht="26.25">
      <c r="A58" s="229" t="s">
        <v>51</v>
      </c>
      <c r="B58" s="208" t="s">
        <v>11</v>
      </c>
      <c r="C58" s="209"/>
      <c r="D58" s="193">
        <v>0</v>
      </c>
      <c r="E58" s="109"/>
      <c r="F58" s="109"/>
      <c r="G58" s="109"/>
      <c r="H58" s="109"/>
    </row>
    <row r="59" spans="1:8" ht="15.75">
      <c r="A59" s="227" t="s">
        <v>12</v>
      </c>
      <c r="B59" s="208" t="s">
        <v>11</v>
      </c>
      <c r="C59" s="209"/>
      <c r="D59" s="193">
        <v>0</v>
      </c>
      <c r="E59" s="109"/>
      <c r="F59" s="109"/>
      <c r="G59" s="109"/>
      <c r="H59" s="109"/>
    </row>
    <row r="60" spans="1:8" ht="15.75">
      <c r="A60" s="227" t="s">
        <v>13</v>
      </c>
      <c r="B60" s="208" t="s">
        <v>11</v>
      </c>
      <c r="C60" s="209"/>
      <c r="D60" s="237">
        <f>D63-D66-D67-D68-D69</f>
        <v>102812.411628</v>
      </c>
      <c r="E60" s="109"/>
      <c r="F60" s="109"/>
      <c r="G60" s="109"/>
      <c r="H60" s="113"/>
    </row>
    <row r="61" spans="1:8" ht="26.25">
      <c r="A61" s="231" t="s">
        <v>52</v>
      </c>
      <c r="B61" s="208" t="s">
        <v>11</v>
      </c>
      <c r="C61" s="232"/>
      <c r="D61" s="233">
        <v>0</v>
      </c>
      <c r="E61" s="109"/>
      <c r="F61" s="109"/>
      <c r="G61" s="109"/>
      <c r="H61" s="109"/>
    </row>
    <row r="62" spans="1:10" ht="17.25" customHeight="1">
      <c r="A62" s="254" t="s">
        <v>12</v>
      </c>
      <c r="B62" s="208" t="s">
        <v>11</v>
      </c>
      <c r="C62" s="209"/>
      <c r="D62" s="193">
        <v>0</v>
      </c>
      <c r="E62" s="109"/>
      <c r="F62" s="109"/>
      <c r="G62" s="109"/>
      <c r="H62" s="109"/>
      <c r="I62" s="49"/>
      <c r="J62" s="49"/>
    </row>
    <row r="63" spans="1:14" ht="15.75">
      <c r="A63" s="235" t="s">
        <v>13</v>
      </c>
      <c r="B63" s="208" t="s">
        <v>11</v>
      </c>
      <c r="C63" s="236"/>
      <c r="D63" s="237">
        <v>113166.46</v>
      </c>
      <c r="E63" s="109"/>
      <c r="F63" s="109"/>
      <c r="G63" s="109"/>
      <c r="H63" s="109" t="s">
        <v>26</v>
      </c>
      <c r="I63" s="60"/>
      <c r="J63" s="60"/>
      <c r="K63" s="61"/>
      <c r="L63" s="61"/>
      <c r="M63" s="61"/>
      <c r="N63" s="61"/>
    </row>
    <row r="64" spans="1:14" ht="18" customHeight="1">
      <c r="A64" s="571" t="s">
        <v>53</v>
      </c>
      <c r="B64" s="571"/>
      <c r="C64" s="571"/>
      <c r="D64" s="571"/>
      <c r="E64" s="114"/>
      <c r="F64" s="115"/>
      <c r="G64" s="116"/>
      <c r="H64" s="109"/>
      <c r="I64" s="65"/>
      <c r="J64" s="65"/>
      <c r="K64" s="66"/>
      <c r="L64" s="66"/>
      <c r="M64" s="66"/>
      <c r="N64" s="66"/>
    </row>
    <row r="65" spans="1:14" ht="38.25">
      <c r="A65" s="67" t="s">
        <v>54</v>
      </c>
      <c r="B65" s="68" t="s">
        <v>55</v>
      </c>
      <c r="C65" s="157" t="s">
        <v>56</v>
      </c>
      <c r="D65" s="158" t="s">
        <v>57</v>
      </c>
      <c r="E65" s="114"/>
      <c r="F65" s="115"/>
      <c r="G65" s="116"/>
      <c r="H65" s="109"/>
      <c r="I65" s="65"/>
      <c r="J65" s="71"/>
      <c r="K65" s="66"/>
      <c r="L65" s="66"/>
      <c r="M65" s="66"/>
      <c r="N65" s="66"/>
    </row>
    <row r="66" spans="1:14" ht="15.75">
      <c r="A66" s="238" t="s">
        <v>58</v>
      </c>
      <c r="B66" s="239">
        <v>12513.6</v>
      </c>
      <c r="C66" s="418">
        <f>B66*0.9446</f>
        <v>11820.34656</v>
      </c>
      <c r="D66" s="419">
        <f>B66-C66</f>
        <v>693.2534400000004</v>
      </c>
      <c r="E66" s="117"/>
      <c r="F66" s="115"/>
      <c r="G66" s="116"/>
      <c r="H66" s="109"/>
      <c r="I66" s="65"/>
      <c r="J66" s="65"/>
      <c r="K66" s="66"/>
      <c r="L66" s="66"/>
      <c r="M66" s="66"/>
      <c r="N66" s="66"/>
    </row>
    <row r="67" spans="1:14" ht="15.75">
      <c r="A67" s="238" t="s">
        <v>59</v>
      </c>
      <c r="B67" s="239">
        <v>14560.61</v>
      </c>
      <c r="C67" s="418">
        <f>B67*0.9446</f>
        <v>13753.952206</v>
      </c>
      <c r="D67" s="419">
        <f>B67-C67</f>
        <v>806.6577940000006</v>
      </c>
      <c r="E67" s="114"/>
      <c r="F67" s="115"/>
      <c r="G67" s="116"/>
      <c r="H67" s="109"/>
      <c r="I67" s="65"/>
      <c r="J67" s="65"/>
      <c r="K67" s="66"/>
      <c r="L67" s="66"/>
      <c r="M67" s="66"/>
      <c r="N67" s="66"/>
    </row>
    <row r="68" spans="1:14" ht="15.75">
      <c r="A68" s="238" t="s">
        <v>60</v>
      </c>
      <c r="B68" s="242">
        <v>96971.39</v>
      </c>
      <c r="C68" s="418">
        <f>B68*0.9446</f>
        <v>91599.174994</v>
      </c>
      <c r="D68" s="419">
        <f>B68-C68</f>
        <v>5372.2150059999985</v>
      </c>
      <c r="E68" s="114">
        <f>(2.07+1.8)*6*2301.2-0.37*2301.2*6</f>
        <v>48325.2</v>
      </c>
      <c r="F68" s="118"/>
      <c r="G68" s="119"/>
      <c r="H68" s="114"/>
      <c r="I68" s="65"/>
      <c r="J68" s="65"/>
      <c r="K68" s="66"/>
      <c r="L68" s="66"/>
      <c r="M68" s="66"/>
      <c r="N68" s="66"/>
    </row>
    <row r="69" spans="1:14" ht="16.5" thickBot="1">
      <c r="A69" s="261" t="s">
        <v>236</v>
      </c>
      <c r="B69" s="262">
        <v>62850.58</v>
      </c>
      <c r="C69" s="418">
        <f>B69*0.9446</f>
        <v>59368.657868</v>
      </c>
      <c r="D69" s="420">
        <f>B69-C69</f>
        <v>3481.9221319999997</v>
      </c>
      <c r="E69" s="114"/>
      <c r="F69" s="118"/>
      <c r="G69" s="119"/>
      <c r="H69" s="109"/>
      <c r="I69" s="65"/>
      <c r="J69" s="65"/>
      <c r="K69" s="66"/>
      <c r="L69" s="66"/>
      <c r="M69" s="66"/>
      <c r="N69" s="66"/>
    </row>
    <row r="70" spans="1:14" ht="63.75">
      <c r="A70" s="129" t="s">
        <v>62</v>
      </c>
      <c r="B70" s="130" t="s">
        <v>63</v>
      </c>
      <c r="C70" s="130" t="s">
        <v>64</v>
      </c>
      <c r="D70" s="159" t="s">
        <v>65</v>
      </c>
      <c r="E70" s="114"/>
      <c r="F70" s="118"/>
      <c r="G70" s="109"/>
      <c r="H70" s="120"/>
      <c r="I70" s="65"/>
      <c r="J70" s="65"/>
      <c r="K70" s="66"/>
      <c r="L70" s="66"/>
      <c r="M70" s="66"/>
      <c r="N70" s="66"/>
    </row>
    <row r="71" spans="1:14" ht="15.75">
      <c r="A71" s="265" t="s">
        <v>58</v>
      </c>
      <c r="B71" s="239">
        <v>7032.48</v>
      </c>
      <c r="C71" s="418">
        <v>11085.72</v>
      </c>
      <c r="D71" s="422">
        <f>B71-C71</f>
        <v>-4053.24</v>
      </c>
      <c r="E71" s="114"/>
      <c r="F71" s="118"/>
      <c r="G71" s="109"/>
      <c r="H71" s="120"/>
      <c r="I71" s="65"/>
      <c r="J71" s="65" t="s">
        <v>26</v>
      </c>
      <c r="K71" s="66"/>
      <c r="L71" s="66"/>
      <c r="M71" s="66"/>
      <c r="N71" s="66"/>
    </row>
    <row r="72" spans="1:14" ht="15.75">
      <c r="A72" s="265" t="s">
        <v>59</v>
      </c>
      <c r="B72" s="239">
        <v>8048.16</v>
      </c>
      <c r="C72" s="418">
        <v>12686.8</v>
      </c>
      <c r="D72" s="422">
        <f>B72-C72</f>
        <v>-4638.639999999999</v>
      </c>
      <c r="E72" s="114"/>
      <c r="F72" s="118"/>
      <c r="G72" s="109"/>
      <c r="H72" s="120"/>
      <c r="I72" s="65"/>
      <c r="J72" s="65"/>
      <c r="K72" s="66"/>
      <c r="L72" s="66"/>
      <c r="M72" s="66"/>
      <c r="N72" s="66"/>
    </row>
    <row r="73" spans="1:14" ht="15.75">
      <c r="A73" s="265" t="s">
        <v>60</v>
      </c>
      <c r="B73" s="242">
        <v>92267.94</v>
      </c>
      <c r="C73" s="418">
        <v>171153.34</v>
      </c>
      <c r="D73" s="422">
        <f>B73-C73</f>
        <v>-78885.4</v>
      </c>
      <c r="E73" s="114"/>
      <c r="F73" s="118"/>
      <c r="G73" s="109"/>
      <c r="H73" s="120"/>
      <c r="I73" s="65"/>
      <c r="J73" s="65"/>
      <c r="K73" s="66"/>
      <c r="L73" s="66"/>
      <c r="M73" s="66"/>
      <c r="N73" s="66"/>
    </row>
    <row r="74" spans="1:14" ht="15.75">
      <c r="A74" s="261" t="s">
        <v>236</v>
      </c>
      <c r="B74" s="262">
        <v>62850.58</v>
      </c>
      <c r="C74" s="418">
        <f>C69</f>
        <v>59368.657868</v>
      </c>
      <c r="D74" s="420">
        <f>B74-C74</f>
        <v>3481.9221319999997</v>
      </c>
      <c r="E74" s="114"/>
      <c r="F74" s="118"/>
      <c r="G74" s="109"/>
      <c r="H74" s="120"/>
      <c r="I74" s="65"/>
      <c r="J74" s="65"/>
      <c r="K74" s="66"/>
      <c r="L74" s="66"/>
      <c r="M74" s="66"/>
      <c r="N74" s="66"/>
    </row>
    <row r="75" spans="1:14" ht="15.75">
      <c r="A75" s="427"/>
      <c r="B75" s="427"/>
      <c r="C75" s="425"/>
      <c r="D75" s="428"/>
      <c r="E75" s="114"/>
      <c r="F75" s="73"/>
      <c r="H75" s="65"/>
      <c r="I75" s="65"/>
      <c r="J75" s="65"/>
      <c r="K75" s="66"/>
      <c r="L75" s="66"/>
      <c r="M75" s="66"/>
      <c r="N75" s="66"/>
    </row>
    <row r="76" spans="1:14" ht="26.25">
      <c r="A76" s="251" t="s">
        <v>66</v>
      </c>
      <c r="B76" s="248" t="s">
        <v>11</v>
      </c>
      <c r="C76" s="427"/>
      <c r="D76" s="428">
        <v>0</v>
      </c>
      <c r="E76" s="114"/>
      <c r="F76" s="73"/>
      <c r="H76" s="65"/>
      <c r="I76" s="65"/>
      <c r="J76" s="65" t="s">
        <v>26</v>
      </c>
      <c r="K76" s="66"/>
      <c r="L76" s="66"/>
      <c r="M76" s="66"/>
      <c r="N76" s="66"/>
    </row>
    <row r="77" spans="1:14" ht="17.25" customHeight="1">
      <c r="A77" s="572" t="s">
        <v>67</v>
      </c>
      <c r="B77" s="572"/>
      <c r="C77" s="572"/>
      <c r="D77" s="572"/>
      <c r="E77" s="121" t="e">
        <f>D77+B19</f>
        <v>#VALUE!</v>
      </c>
      <c r="F77" s="65"/>
      <c r="H77" s="84" t="e">
        <f>E77-B18</f>
        <v>#VALUE!</v>
      </c>
      <c r="I77" s="65"/>
      <c r="J77" s="65"/>
      <c r="K77" s="66"/>
      <c r="L77" s="66"/>
      <c r="M77" s="66"/>
      <c r="N77" s="66"/>
    </row>
    <row r="78" spans="1:5" ht="21" customHeight="1">
      <c r="A78" s="86" t="s">
        <v>45</v>
      </c>
      <c r="B78" s="86" t="s">
        <v>46</v>
      </c>
      <c r="C78" s="86"/>
      <c r="D78" s="177">
        <v>1</v>
      </c>
      <c r="E78" s="123"/>
    </row>
    <row r="79" spans="1:5" ht="21" customHeight="1">
      <c r="A79" s="86" t="s">
        <v>47</v>
      </c>
      <c r="B79" s="86" t="s">
        <v>46</v>
      </c>
      <c r="C79" s="86"/>
      <c r="D79" s="177">
        <v>1</v>
      </c>
      <c r="E79" s="123"/>
    </row>
    <row r="80" spans="1:5" ht="18" customHeight="1">
      <c r="A80" s="86" t="s">
        <v>48</v>
      </c>
      <c r="B80" s="86" t="s">
        <v>46</v>
      </c>
      <c r="C80" s="86"/>
      <c r="D80" s="177">
        <v>0</v>
      </c>
      <c r="E80" s="123"/>
    </row>
    <row r="81" spans="1:5" ht="16.5" customHeight="1">
      <c r="A81" s="86" t="s">
        <v>49</v>
      </c>
      <c r="B81" s="86" t="s">
        <v>11</v>
      </c>
      <c r="C81" s="86"/>
      <c r="D81" s="177">
        <v>831.44</v>
      </c>
      <c r="E81" s="123"/>
    </row>
    <row r="82" spans="1:5" ht="15.75" customHeight="1">
      <c r="A82" s="566" t="s">
        <v>68</v>
      </c>
      <c r="B82" s="566"/>
      <c r="C82" s="566"/>
      <c r="D82" s="566"/>
      <c r="E82" s="123"/>
    </row>
    <row r="83" spans="1:5" ht="18.75" customHeight="1">
      <c r="A83" s="86" t="s">
        <v>69</v>
      </c>
      <c r="B83" s="86" t="s">
        <v>46</v>
      </c>
      <c r="C83" s="86"/>
      <c r="D83" s="177">
        <v>3</v>
      </c>
      <c r="E83" s="123"/>
    </row>
    <row r="84" spans="1:5" ht="21.75" customHeight="1">
      <c r="A84" s="86" t="s">
        <v>70</v>
      </c>
      <c r="B84" s="254" t="s">
        <v>46</v>
      </c>
      <c r="C84" s="254"/>
      <c r="D84" s="177">
        <v>1</v>
      </c>
      <c r="E84" s="123"/>
    </row>
    <row r="85" spans="1:5" ht="36" customHeight="1">
      <c r="A85" s="255" t="s">
        <v>71</v>
      </c>
      <c r="B85" s="86" t="s">
        <v>11</v>
      </c>
      <c r="C85" s="86"/>
      <c r="D85" s="177">
        <v>14081.31</v>
      </c>
      <c r="E85" s="123"/>
    </row>
    <row r="86" spans="1:5" ht="15.75">
      <c r="A86" s="256"/>
      <c r="B86" s="256"/>
      <c r="C86" s="256"/>
      <c r="D86" s="257"/>
      <c r="E86" s="109"/>
    </row>
    <row r="87" spans="1:14" s="1" customFormat="1" ht="12.75">
      <c r="A87" s="178"/>
      <c r="B87" s="178"/>
      <c r="C87" s="178"/>
      <c r="D87" s="178"/>
      <c r="E87" s="109"/>
      <c r="H87" s="1" t="s">
        <v>26</v>
      </c>
      <c r="K87"/>
      <c r="L87"/>
      <c r="M87"/>
      <c r="N87"/>
    </row>
    <row r="88" spans="1:14" s="1" customFormat="1" ht="12.75">
      <c r="A88" s="182" t="s">
        <v>200</v>
      </c>
      <c r="B88" s="178"/>
      <c r="C88" s="178"/>
      <c r="D88" s="178"/>
      <c r="E88" s="109"/>
      <c r="K88"/>
      <c r="L88"/>
      <c r="M88"/>
      <c r="N88"/>
    </row>
    <row r="89" spans="1:14" s="1" customFormat="1" ht="12.75">
      <c r="A89" s="178"/>
      <c r="B89" s="178"/>
      <c r="C89" s="178"/>
      <c r="D89" s="178"/>
      <c r="E89" s="109"/>
      <c r="H89" s="1" t="s">
        <v>26</v>
      </c>
      <c r="K89"/>
      <c r="L89"/>
      <c r="M89"/>
      <c r="N89"/>
    </row>
    <row r="90" spans="1:14" s="1" customFormat="1" ht="12.75">
      <c r="A90" s="178" t="s">
        <v>73</v>
      </c>
      <c r="B90" s="178"/>
      <c r="C90" s="178"/>
      <c r="D90" s="178"/>
      <c r="E90" s="109"/>
      <c r="K90"/>
      <c r="L90"/>
      <c r="M90"/>
      <c r="N90"/>
    </row>
    <row r="91" spans="1:5" ht="12.75">
      <c r="A91" s="178"/>
      <c r="B91" s="178"/>
      <c r="C91" s="178"/>
      <c r="D91" s="178"/>
      <c r="E91" s="109"/>
    </row>
    <row r="92" spans="1:5" ht="12.75">
      <c r="A92" s="178"/>
      <c r="B92" s="178"/>
      <c r="C92" s="178"/>
      <c r="D92" s="178"/>
      <c r="E92" s="109"/>
    </row>
    <row r="94" spans="1:14" s="1" customFormat="1" ht="12.75">
      <c r="A94"/>
      <c r="B94"/>
      <c r="C94"/>
      <c r="D94"/>
      <c r="E94" s="1" t="s">
        <v>26</v>
      </c>
      <c r="K94"/>
      <c r="L94"/>
      <c r="M94"/>
      <c r="N94"/>
    </row>
  </sheetData>
  <sheetProtection selectLockedCells="1" selectUnlockedCells="1"/>
  <mergeCells count="13">
    <mergeCell ref="A82:D82"/>
    <mergeCell ref="A14:D14"/>
    <mergeCell ref="A28:D28"/>
    <mergeCell ref="A52:D52"/>
    <mergeCell ref="A57:D57"/>
    <mergeCell ref="A64:D64"/>
    <mergeCell ref="A77:D77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600" verticalDpi="600" orientation="portrait" paperSize="1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="80" zoomScaleNormal="80" zoomScalePageLayoutView="0" workbookViewId="0" topLeftCell="A22">
      <selection activeCell="C23" sqref="C23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560" t="s">
        <v>0</v>
      </c>
      <c r="B1" s="560"/>
      <c r="C1" s="560"/>
      <c r="D1" s="560"/>
    </row>
    <row r="2" spans="1:4" ht="15.75">
      <c r="A2" s="561" t="s">
        <v>220</v>
      </c>
      <c r="B2" s="562"/>
      <c r="C2" s="562"/>
      <c r="D2" s="562"/>
    </row>
    <row r="3" spans="1:4" ht="15.75">
      <c r="A3" s="562" t="s">
        <v>1</v>
      </c>
      <c r="B3" s="562"/>
      <c r="C3" s="562"/>
      <c r="D3" s="562"/>
    </row>
    <row r="4" spans="1:4" ht="12.75">
      <c r="A4" s="563" t="s">
        <v>95</v>
      </c>
      <c r="B4" s="563"/>
      <c r="C4" s="563"/>
      <c r="D4" s="563"/>
    </row>
    <row r="5" spans="1:4" ht="18.75" customHeight="1">
      <c r="A5" s="564" t="s">
        <v>266</v>
      </c>
      <c r="B5" s="563"/>
      <c r="C5" s="563"/>
      <c r="D5" s="563"/>
    </row>
    <row r="6" spans="1:4" ht="20.25" customHeight="1">
      <c r="A6" s="258" t="s">
        <v>156</v>
      </c>
      <c r="B6" s="178"/>
      <c r="C6" s="178"/>
      <c r="D6" s="178"/>
    </row>
    <row r="7" spans="1:4" ht="18" customHeight="1">
      <c r="A7" s="565" t="s">
        <v>2</v>
      </c>
      <c r="B7" s="565"/>
      <c r="C7" s="565"/>
      <c r="D7" s="565"/>
    </row>
    <row r="8" spans="1:4" ht="12.75">
      <c r="A8" s="258"/>
      <c r="B8" s="178"/>
      <c r="C8" s="183"/>
      <c r="D8" s="178"/>
    </row>
    <row r="9" spans="1:5" ht="12.75">
      <c r="A9" s="184" t="s">
        <v>3</v>
      </c>
      <c r="B9" s="184" t="s">
        <v>4</v>
      </c>
      <c r="C9" s="184" t="s">
        <v>5</v>
      </c>
      <c r="D9" s="185"/>
      <c r="E9" s="109"/>
    </row>
    <row r="10" spans="1:5" ht="12.75">
      <c r="A10" s="186">
        <v>1</v>
      </c>
      <c r="B10" s="186">
        <v>2</v>
      </c>
      <c r="C10" s="186">
        <v>3</v>
      </c>
      <c r="D10" s="187">
        <v>4</v>
      </c>
      <c r="E10" s="109"/>
    </row>
    <row r="11" spans="1:5" ht="12.75">
      <c r="A11" s="20" t="s">
        <v>6</v>
      </c>
      <c r="B11" s="188"/>
      <c r="C11" s="189" t="s">
        <v>262</v>
      </c>
      <c r="D11" s="190"/>
      <c r="E11" s="109"/>
    </row>
    <row r="12" spans="1:5" ht="12.75">
      <c r="A12" s="20" t="s">
        <v>7</v>
      </c>
      <c r="B12" s="188"/>
      <c r="C12" s="189" t="s">
        <v>303</v>
      </c>
      <c r="D12" s="190"/>
      <c r="E12" s="109"/>
    </row>
    <row r="13" spans="1:8" ht="12.75">
      <c r="A13" s="20" t="s">
        <v>8</v>
      </c>
      <c r="B13" s="188"/>
      <c r="C13" s="189" t="s">
        <v>267</v>
      </c>
      <c r="D13" s="190"/>
      <c r="E13" s="109"/>
      <c r="F13" s="109"/>
      <c r="G13" s="109"/>
      <c r="H13" s="109"/>
    </row>
    <row r="14" spans="1:8" ht="31.5" customHeight="1">
      <c r="A14" s="567" t="s">
        <v>9</v>
      </c>
      <c r="B14" s="567"/>
      <c r="C14" s="567"/>
      <c r="D14" s="567"/>
      <c r="E14" s="109"/>
      <c r="F14" s="109"/>
      <c r="G14" s="109"/>
      <c r="H14" s="109"/>
    </row>
    <row r="15" spans="1:8" ht="26.25">
      <c r="A15" s="17" t="s">
        <v>10</v>
      </c>
      <c r="B15" s="191" t="s">
        <v>11</v>
      </c>
      <c r="C15" s="194">
        <v>423.7</v>
      </c>
      <c r="D15" s="193"/>
      <c r="E15" s="109"/>
      <c r="F15" s="109"/>
      <c r="G15" s="109"/>
      <c r="H15" s="109"/>
    </row>
    <row r="16" spans="1:10" ht="15.75">
      <c r="A16" s="20" t="s">
        <v>12</v>
      </c>
      <c r="B16" s="191" t="s">
        <v>11</v>
      </c>
      <c r="C16" s="192">
        <v>0</v>
      </c>
      <c r="D16" s="193"/>
      <c r="E16" s="109"/>
      <c r="F16" s="109"/>
      <c r="G16" s="109"/>
      <c r="H16" s="109"/>
      <c r="I16" s="109"/>
      <c r="J16" s="109"/>
    </row>
    <row r="17" spans="1:10" ht="15.75">
      <c r="A17" s="20" t="s">
        <v>13</v>
      </c>
      <c r="B17" s="191" t="s">
        <v>11</v>
      </c>
      <c r="C17" s="194">
        <v>9039</v>
      </c>
      <c r="D17" s="195"/>
      <c r="E17" s="109"/>
      <c r="F17" s="109"/>
      <c r="G17" s="109"/>
      <c r="H17" s="109"/>
      <c r="I17" s="109"/>
      <c r="J17" s="109"/>
    </row>
    <row r="18" spans="1:10" ht="31.5" customHeight="1">
      <c r="A18" s="17" t="s">
        <v>14</v>
      </c>
      <c r="B18" s="191" t="s">
        <v>11</v>
      </c>
      <c r="C18" s="194">
        <f>8687.16+2204.88</f>
        <v>10892.04</v>
      </c>
      <c r="D18" s="195"/>
      <c r="E18" s="110">
        <f>C18-C20</f>
        <v>8564.460000000001</v>
      </c>
      <c r="F18" s="109"/>
      <c r="G18" s="109"/>
      <c r="H18" s="109"/>
      <c r="I18" s="109"/>
      <c r="J18" s="109"/>
    </row>
    <row r="19" spans="1:10" ht="15.75">
      <c r="A19" s="20" t="s">
        <v>15</v>
      </c>
      <c r="B19" s="191" t="s">
        <v>11</v>
      </c>
      <c r="C19" s="194">
        <f>C18-C20-C21</f>
        <v>3423.33</v>
      </c>
      <c r="D19" s="195"/>
      <c r="E19" s="110">
        <f>E18-E39</f>
        <v>0</v>
      </c>
      <c r="F19" s="109"/>
      <c r="G19" s="109"/>
      <c r="H19" s="109" t="s">
        <v>245</v>
      </c>
      <c r="I19" s="109"/>
      <c r="J19" s="109"/>
    </row>
    <row r="20" spans="1:10" ht="15.75">
      <c r="A20" s="20" t="s">
        <v>16</v>
      </c>
      <c r="B20" s="191" t="s">
        <v>11</v>
      </c>
      <c r="C20" s="194">
        <f>102.25*0.2*6+2204.88</f>
        <v>2327.58</v>
      </c>
      <c r="D20" s="195"/>
      <c r="E20" s="111"/>
      <c r="F20" s="109"/>
      <c r="G20" s="109"/>
      <c r="H20" s="109"/>
      <c r="I20" s="109"/>
      <c r="J20" s="109"/>
    </row>
    <row r="21" spans="1:10" ht="15.75">
      <c r="A21" s="20" t="s">
        <v>17</v>
      </c>
      <c r="B21" s="191" t="s">
        <v>11</v>
      </c>
      <c r="C21" s="196">
        <f>102.25*4.19*12</f>
        <v>5141.130000000001</v>
      </c>
      <c r="D21" s="195"/>
      <c r="E21" s="109"/>
      <c r="F21" s="109"/>
      <c r="G21" s="109"/>
      <c r="H21" s="109"/>
      <c r="I21" s="109"/>
      <c r="J21" s="109"/>
    </row>
    <row r="22" spans="1:10" ht="15.75">
      <c r="A22" s="20" t="s">
        <v>18</v>
      </c>
      <c r="B22" s="191" t="s">
        <v>11</v>
      </c>
      <c r="C22" s="194">
        <f>C23+C24+C25+C26+C27</f>
        <v>8417.368512000001</v>
      </c>
      <c r="D22" s="195" t="s">
        <v>19</v>
      </c>
      <c r="E22" s="110" t="e">
        <f>B24+B25+B26+B27+B28</f>
        <v>#VALUE!</v>
      </c>
      <c r="F22" s="109"/>
      <c r="G22" s="109"/>
      <c r="H22" s="109"/>
      <c r="I22" s="109"/>
      <c r="J22" s="109"/>
    </row>
    <row r="23" spans="1:10" ht="15.75">
      <c r="A23" s="20" t="s">
        <v>20</v>
      </c>
      <c r="B23" s="191" t="s">
        <v>11</v>
      </c>
      <c r="C23" s="194">
        <f>C18*0.7728</f>
        <v>8417.368512000001</v>
      </c>
      <c r="D23" s="195"/>
      <c r="E23" s="109"/>
      <c r="F23" s="109"/>
      <c r="G23" s="109"/>
      <c r="H23" s="109"/>
      <c r="I23" s="109"/>
      <c r="J23" s="109"/>
    </row>
    <row r="24" spans="1:10" ht="15.75">
      <c r="A24" s="20" t="s">
        <v>21</v>
      </c>
      <c r="B24" s="191" t="s">
        <v>11</v>
      </c>
      <c r="C24" s="194">
        <v>0</v>
      </c>
      <c r="D24" s="197">
        <v>65.21</v>
      </c>
      <c r="E24" s="111" t="e">
        <f>B24/#REF!*1</f>
        <v>#VALUE!</v>
      </c>
      <c r="F24" s="109"/>
      <c r="G24" s="109"/>
      <c r="H24" s="109" t="s">
        <v>22</v>
      </c>
      <c r="I24" s="109"/>
      <c r="J24" s="109"/>
    </row>
    <row r="25" spans="1:10" ht="15.75">
      <c r="A25" s="20" t="s">
        <v>23</v>
      </c>
      <c r="B25" s="191" t="s">
        <v>11</v>
      </c>
      <c r="C25" s="194">
        <v>0</v>
      </c>
      <c r="D25" s="197">
        <v>119.63</v>
      </c>
      <c r="E25" s="111" t="e">
        <f>B25/#REF!*1</f>
        <v>#VALUE!</v>
      </c>
      <c r="F25" s="109"/>
      <c r="G25" s="109"/>
      <c r="H25" s="109"/>
      <c r="I25" s="109"/>
      <c r="J25" s="109"/>
    </row>
    <row r="26" spans="1:10" ht="15.75">
      <c r="A26" s="188" t="s">
        <v>24</v>
      </c>
      <c r="B26" s="191" t="s">
        <v>11</v>
      </c>
      <c r="C26" s="194">
        <v>0</v>
      </c>
      <c r="D26" s="197"/>
      <c r="E26" s="111" t="e">
        <f>B26/#REF!*1</f>
        <v>#VALUE!</v>
      </c>
      <c r="F26" s="109"/>
      <c r="G26" s="109"/>
      <c r="H26" s="109"/>
      <c r="I26" s="109"/>
      <c r="J26" s="109"/>
    </row>
    <row r="27" spans="1:10" ht="16.5" customHeight="1">
      <c r="A27" s="198" t="s">
        <v>96</v>
      </c>
      <c r="B27" s="191" t="s">
        <v>11</v>
      </c>
      <c r="C27" s="194">
        <v>0</v>
      </c>
      <c r="D27" s="197">
        <v>139.18</v>
      </c>
      <c r="E27" s="111" t="e">
        <f>B27/#REF!*1</f>
        <v>#VALUE!</v>
      </c>
      <c r="F27" s="109"/>
      <c r="G27" s="109"/>
      <c r="H27" s="109"/>
      <c r="I27" s="109"/>
      <c r="J27" s="109"/>
    </row>
    <row r="28" spans="1:10" ht="15.75">
      <c r="A28" s="20" t="s">
        <v>25</v>
      </c>
      <c r="B28" s="191" t="s">
        <v>11</v>
      </c>
      <c r="C28" s="194">
        <f>C15+C22</f>
        <v>8841.068512000002</v>
      </c>
      <c r="D28" s="195" t="s">
        <v>26</v>
      </c>
      <c r="E28" s="111" t="e">
        <f>B28/#REF!*1</f>
        <v>#VALUE!</v>
      </c>
      <c r="F28" s="109"/>
      <c r="G28" s="109"/>
      <c r="H28" s="109"/>
      <c r="I28" s="109"/>
      <c r="J28" s="109"/>
    </row>
    <row r="29" spans="1:10" ht="35.25" customHeight="1">
      <c r="A29" s="568" t="s">
        <v>27</v>
      </c>
      <c r="B29" s="568"/>
      <c r="C29" s="568"/>
      <c r="D29" s="568"/>
      <c r="E29" s="109"/>
      <c r="F29" s="109"/>
      <c r="G29" s="109"/>
      <c r="H29" s="109"/>
      <c r="I29" s="109"/>
      <c r="J29" s="109"/>
    </row>
    <row r="30" spans="1:10" ht="63">
      <c r="A30" s="271" t="s">
        <v>28</v>
      </c>
      <c r="B30" s="307" t="s">
        <v>29</v>
      </c>
      <c r="C30" s="286" t="s">
        <v>30</v>
      </c>
      <c r="D30" s="308" t="s">
        <v>31</v>
      </c>
      <c r="E30" s="109"/>
      <c r="F30" s="109"/>
      <c r="G30" s="109"/>
      <c r="H30" s="109"/>
      <c r="I30" s="109"/>
      <c r="J30" s="109"/>
    </row>
    <row r="31" spans="1:10" ht="15.75">
      <c r="A31" s="203" t="s">
        <v>32</v>
      </c>
      <c r="B31" s="204" t="s">
        <v>33</v>
      </c>
      <c r="C31" s="205" t="s">
        <v>34</v>
      </c>
      <c r="D31" s="206">
        <f>0.5*12*102.25</f>
        <v>613.5</v>
      </c>
      <c r="E31" s="109"/>
      <c r="F31" s="109"/>
      <c r="G31" s="109"/>
      <c r="H31" s="109"/>
      <c r="I31" s="109"/>
      <c r="J31" s="109"/>
    </row>
    <row r="32" spans="1:10" ht="15.75">
      <c r="A32" s="207" t="s">
        <v>36</v>
      </c>
      <c r="B32" s="208" t="s">
        <v>33</v>
      </c>
      <c r="C32" s="209" t="s">
        <v>37</v>
      </c>
      <c r="D32" s="210">
        <f>0.24*12*102.25</f>
        <v>294.47999999999996</v>
      </c>
      <c r="E32" s="109"/>
      <c r="F32" s="109"/>
      <c r="G32" s="109"/>
      <c r="H32" s="109"/>
      <c r="I32" s="109"/>
      <c r="J32" s="109"/>
    </row>
    <row r="33" spans="1:10" ht="15.75">
      <c r="A33" s="293" t="s">
        <v>97</v>
      </c>
      <c r="B33" s="208" t="s">
        <v>33</v>
      </c>
      <c r="C33" s="209" t="s">
        <v>34</v>
      </c>
      <c r="D33" s="210">
        <f>0.64*12*102.25</f>
        <v>785.28</v>
      </c>
      <c r="E33" s="109"/>
      <c r="F33" s="109"/>
      <c r="G33" s="109"/>
      <c r="H33" s="109"/>
      <c r="I33" s="109"/>
      <c r="J33" s="109"/>
    </row>
    <row r="34" spans="1:10" ht="15.75">
      <c r="A34" s="207" t="s">
        <v>38</v>
      </c>
      <c r="B34" s="208" t="s">
        <v>35</v>
      </c>
      <c r="C34" s="362" t="s">
        <v>221</v>
      </c>
      <c r="D34" s="210">
        <f>4.19*102.25*12</f>
        <v>5141.130000000001</v>
      </c>
      <c r="E34" s="109"/>
      <c r="F34" s="109"/>
      <c r="G34" s="109"/>
      <c r="H34" s="109"/>
      <c r="I34" s="109"/>
      <c r="J34" s="109"/>
    </row>
    <row r="35" spans="1:10" ht="15.75">
      <c r="A35" s="207" t="s">
        <v>81</v>
      </c>
      <c r="B35" s="208" t="s">
        <v>82</v>
      </c>
      <c r="C35" s="362" t="s">
        <v>34</v>
      </c>
      <c r="D35" s="210">
        <f>102.25*(0.24+0.32)*6</f>
        <v>343.56000000000006</v>
      </c>
      <c r="E35" s="109"/>
      <c r="F35" s="109"/>
      <c r="G35" s="109"/>
      <c r="H35" s="109"/>
      <c r="I35" s="109"/>
      <c r="J35" s="109"/>
    </row>
    <row r="36" spans="1:10" ht="15.75">
      <c r="A36" s="207" t="s">
        <v>85</v>
      </c>
      <c r="B36" s="208" t="s">
        <v>222</v>
      </c>
      <c r="C36" s="362" t="s">
        <v>37</v>
      </c>
      <c r="D36" s="210">
        <f>102.25*1.13*12</f>
        <v>1386.5099999999998</v>
      </c>
      <c r="E36" s="109"/>
      <c r="F36" s="109"/>
      <c r="G36" s="109"/>
      <c r="H36" s="109"/>
      <c r="I36" s="109"/>
      <c r="J36" s="109"/>
    </row>
    <row r="37" spans="1:14" s="1" customFormat="1" ht="47.25">
      <c r="A37" s="294" t="s">
        <v>40</v>
      </c>
      <c r="B37" s="215" t="s">
        <v>41</v>
      </c>
      <c r="C37" s="221"/>
      <c r="D37" s="401">
        <f>D38</f>
        <v>0</v>
      </c>
      <c r="E37" s="109"/>
      <c r="F37" s="109"/>
      <c r="G37" s="109"/>
      <c r="H37" s="109"/>
      <c r="I37" s="109"/>
      <c r="J37" s="109"/>
      <c r="K37"/>
      <c r="L37"/>
      <c r="M37"/>
      <c r="N37"/>
    </row>
    <row r="38" spans="1:14" s="1" customFormat="1" ht="15.75">
      <c r="A38" s="216"/>
      <c r="B38" s="217"/>
      <c r="C38" s="366"/>
      <c r="D38" s="402"/>
      <c r="E38" s="109"/>
      <c r="F38" s="109"/>
      <c r="G38" s="109"/>
      <c r="H38" s="109"/>
      <c r="I38" s="109"/>
      <c r="J38" s="109"/>
      <c r="K38"/>
      <c r="L38"/>
      <c r="M38"/>
      <c r="N38"/>
    </row>
    <row r="39" spans="1:14" s="1" customFormat="1" ht="15.75">
      <c r="A39" s="37" t="s">
        <v>42</v>
      </c>
      <c r="B39" s="222"/>
      <c r="C39" s="223"/>
      <c r="D39" s="97">
        <f>D31+D32+D33+D34+D35+D36+D37</f>
        <v>8564.460000000001</v>
      </c>
      <c r="E39" s="112">
        <f>D39-D38</f>
        <v>8564.460000000001</v>
      </c>
      <c r="F39" s="109"/>
      <c r="G39" s="109"/>
      <c r="H39" s="109"/>
      <c r="I39" s="109"/>
      <c r="J39" s="109"/>
      <c r="K39"/>
      <c r="L39"/>
      <c r="M39"/>
      <c r="N39"/>
    </row>
    <row r="40" spans="1:14" s="1" customFormat="1" ht="15.75">
      <c r="A40" s="40" t="s">
        <v>43</v>
      </c>
      <c r="B40" s="224" t="s">
        <v>11</v>
      </c>
      <c r="C40" s="225"/>
      <c r="D40" s="226">
        <f>C28-D39</f>
        <v>276.6085120000007</v>
      </c>
      <c r="E40" s="112"/>
      <c r="F40" s="109"/>
      <c r="G40" s="109"/>
      <c r="H40" s="109"/>
      <c r="I40" s="109"/>
      <c r="J40" s="109"/>
      <c r="K40"/>
      <c r="L40"/>
      <c r="M40"/>
      <c r="N40"/>
    </row>
    <row r="41" spans="1:14" s="1" customFormat="1" ht="15.75">
      <c r="A41" s="227" t="s">
        <v>12</v>
      </c>
      <c r="B41" s="228" t="s">
        <v>11</v>
      </c>
      <c r="C41" s="209"/>
      <c r="D41" s="193">
        <v>0</v>
      </c>
      <c r="E41" s="109"/>
      <c r="F41" s="109"/>
      <c r="G41" s="109"/>
      <c r="H41" s="109"/>
      <c r="I41" s="109"/>
      <c r="J41" s="109"/>
      <c r="K41"/>
      <c r="L41"/>
      <c r="M41"/>
      <c r="N41"/>
    </row>
    <row r="42" spans="1:14" s="1" customFormat="1" ht="15.75">
      <c r="A42" s="227" t="s">
        <v>13</v>
      </c>
      <c r="B42" s="228" t="s">
        <v>11</v>
      </c>
      <c r="C42" s="209"/>
      <c r="D42" s="195">
        <f>C17+C18-C23</f>
        <v>11513.671488</v>
      </c>
      <c r="E42" s="109"/>
      <c r="F42" s="109"/>
      <c r="G42" s="109"/>
      <c r="H42" s="109"/>
      <c r="I42" s="109"/>
      <c r="J42" s="109"/>
      <c r="K42"/>
      <c r="L42"/>
      <c r="M42"/>
      <c r="N42"/>
    </row>
    <row r="43" spans="1:14" s="1" customFormat="1" ht="24" customHeight="1">
      <c r="A43" s="569" t="s">
        <v>44</v>
      </c>
      <c r="B43" s="569"/>
      <c r="C43" s="569"/>
      <c r="D43" s="569"/>
      <c r="E43" s="109"/>
      <c r="F43" s="109"/>
      <c r="G43" s="109"/>
      <c r="H43" s="109"/>
      <c r="I43" s="109"/>
      <c r="J43" s="109"/>
      <c r="K43"/>
      <c r="L43"/>
      <c r="M43"/>
      <c r="N43"/>
    </row>
    <row r="44" spans="1:14" s="1" customFormat="1" ht="15.75">
      <c r="A44" s="227" t="s">
        <v>45</v>
      </c>
      <c r="B44" s="208" t="s">
        <v>46</v>
      </c>
      <c r="C44" s="209"/>
      <c r="D44" s="193">
        <v>0</v>
      </c>
      <c r="E44" s="109"/>
      <c r="F44" s="109"/>
      <c r="G44" s="109"/>
      <c r="H44" s="109"/>
      <c r="I44" s="109"/>
      <c r="J44" s="109"/>
      <c r="K44"/>
      <c r="L44"/>
      <c r="M44"/>
      <c r="N44"/>
    </row>
    <row r="45" spans="1:14" s="1" customFormat="1" ht="15.75">
      <c r="A45" s="227" t="s">
        <v>47</v>
      </c>
      <c r="B45" s="208" t="s">
        <v>46</v>
      </c>
      <c r="C45" s="209"/>
      <c r="D45" s="193">
        <v>0</v>
      </c>
      <c r="E45" s="109"/>
      <c r="F45" s="109"/>
      <c r="G45" s="109"/>
      <c r="H45" s="109"/>
      <c r="I45" s="109"/>
      <c r="J45" s="109"/>
      <c r="K45"/>
      <c r="L45"/>
      <c r="M45"/>
      <c r="N45"/>
    </row>
    <row r="46" spans="1:14" s="1" customFormat="1" ht="15.75">
      <c r="A46" s="229" t="s">
        <v>48</v>
      </c>
      <c r="B46" s="208" t="s">
        <v>46</v>
      </c>
      <c r="C46" s="209"/>
      <c r="D46" s="193">
        <v>0</v>
      </c>
      <c r="E46" s="109"/>
      <c r="F46" s="109"/>
      <c r="G46" s="109"/>
      <c r="H46" s="109"/>
      <c r="I46" s="109"/>
      <c r="J46" s="109"/>
      <c r="K46"/>
      <c r="L46"/>
      <c r="M46"/>
      <c r="N46"/>
    </row>
    <row r="47" spans="1:14" s="1" customFormat="1" ht="15.75">
      <c r="A47" s="227" t="s">
        <v>49</v>
      </c>
      <c r="B47" s="208" t="s">
        <v>11</v>
      </c>
      <c r="C47" s="209"/>
      <c r="D47" s="193">
        <v>0</v>
      </c>
      <c r="E47" s="109"/>
      <c r="F47" s="109"/>
      <c r="G47" s="109"/>
      <c r="H47" s="109"/>
      <c r="I47" s="109"/>
      <c r="J47" s="109"/>
      <c r="K47"/>
      <c r="L47"/>
      <c r="M47"/>
      <c r="N47"/>
    </row>
    <row r="48" spans="1:10" ht="20.25" customHeight="1">
      <c r="A48" s="570" t="s">
        <v>50</v>
      </c>
      <c r="B48" s="570"/>
      <c r="C48" s="570"/>
      <c r="D48" s="570"/>
      <c r="E48" s="109"/>
      <c r="F48" s="109"/>
      <c r="G48" s="109"/>
      <c r="H48" s="109"/>
      <c r="I48" s="109"/>
      <c r="J48" s="109"/>
    </row>
    <row r="49" spans="1:10" ht="26.25">
      <c r="A49" s="229" t="s">
        <v>51</v>
      </c>
      <c r="B49" s="208" t="s">
        <v>11</v>
      </c>
      <c r="C49" s="209"/>
      <c r="D49" s="193">
        <v>0</v>
      </c>
      <c r="E49" s="109"/>
      <c r="F49" s="109"/>
      <c r="G49" s="109"/>
      <c r="H49" s="109"/>
      <c r="I49" s="109"/>
      <c r="J49" s="109"/>
    </row>
    <row r="50" spans="1:8" ht="15.75">
      <c r="A50" s="227" t="s">
        <v>12</v>
      </c>
      <c r="B50" s="208" t="s">
        <v>11</v>
      </c>
      <c r="C50" s="209"/>
      <c r="D50" s="193">
        <v>0</v>
      </c>
      <c r="E50" s="109"/>
      <c r="F50" s="109"/>
      <c r="G50" s="109"/>
      <c r="H50" s="109"/>
    </row>
    <row r="51" spans="1:8" ht="15.75">
      <c r="A51" s="227" t="s">
        <v>13</v>
      </c>
      <c r="B51" s="208" t="s">
        <v>11</v>
      </c>
      <c r="C51" s="209"/>
      <c r="D51" s="237">
        <f>D54-D57-D59-D60</f>
        <v>60381.40483200001</v>
      </c>
      <c r="E51" s="109"/>
      <c r="F51" s="109"/>
      <c r="G51" s="109"/>
      <c r="H51" s="113"/>
    </row>
    <row r="52" spans="1:8" ht="26.25">
      <c r="A52" s="231" t="s">
        <v>52</v>
      </c>
      <c r="B52" s="208" t="s">
        <v>11</v>
      </c>
      <c r="C52" s="232"/>
      <c r="D52" s="233">
        <v>0</v>
      </c>
      <c r="E52" s="109"/>
      <c r="F52" s="109"/>
      <c r="G52" s="109"/>
      <c r="H52" s="109"/>
    </row>
    <row r="53" spans="1:10" ht="17.25" customHeight="1">
      <c r="A53" s="254" t="s">
        <v>12</v>
      </c>
      <c r="B53" s="208" t="s">
        <v>11</v>
      </c>
      <c r="C53" s="276"/>
      <c r="D53" s="55">
        <v>0</v>
      </c>
      <c r="E53" s="109"/>
      <c r="F53" s="109"/>
      <c r="G53" s="109"/>
      <c r="H53" s="109"/>
      <c r="I53" s="49"/>
      <c r="J53" s="49"/>
    </row>
    <row r="54" spans="1:14" ht="15.75">
      <c r="A54" s="235" t="s">
        <v>13</v>
      </c>
      <c r="B54" s="208" t="s">
        <v>11</v>
      </c>
      <c r="C54" s="236"/>
      <c r="D54" s="237">
        <v>62827.54</v>
      </c>
      <c r="E54" s="109"/>
      <c r="F54" s="109"/>
      <c r="G54" s="109"/>
      <c r="H54" s="109" t="s">
        <v>26</v>
      </c>
      <c r="I54" s="60"/>
      <c r="J54" s="60"/>
      <c r="K54" s="61"/>
      <c r="L54" s="61"/>
      <c r="M54" s="61"/>
      <c r="N54" s="61"/>
    </row>
    <row r="55" spans="1:14" ht="18" customHeight="1">
      <c r="A55" s="571" t="s">
        <v>53</v>
      </c>
      <c r="B55" s="571"/>
      <c r="C55" s="571"/>
      <c r="D55" s="571"/>
      <c r="E55" s="114"/>
      <c r="F55" s="115"/>
      <c r="G55" s="116"/>
      <c r="H55" s="109"/>
      <c r="I55" s="65"/>
      <c r="J55" s="65"/>
      <c r="K55" s="66"/>
      <c r="L55" s="66"/>
      <c r="M55" s="66"/>
      <c r="N55" s="66"/>
    </row>
    <row r="56" spans="1:14" ht="47.25">
      <c r="A56" s="67" t="s">
        <v>54</v>
      </c>
      <c r="B56" s="68" t="s">
        <v>55</v>
      </c>
      <c r="C56" s="69" t="s">
        <v>56</v>
      </c>
      <c r="D56" s="70" t="s">
        <v>57</v>
      </c>
      <c r="E56" s="114"/>
      <c r="F56" s="115"/>
      <c r="G56" s="116"/>
      <c r="H56" s="109"/>
      <c r="I56" s="65"/>
      <c r="J56" s="71"/>
      <c r="K56" s="66"/>
      <c r="L56" s="66"/>
      <c r="M56" s="66"/>
      <c r="N56" s="66"/>
    </row>
    <row r="57" spans="1:14" ht="15.75">
      <c r="A57" s="238" t="s">
        <v>58</v>
      </c>
      <c r="B57" s="239">
        <v>3904.56</v>
      </c>
      <c r="C57" s="240">
        <f>B57*0.7728</f>
        <v>3017.443968</v>
      </c>
      <c r="D57" s="241">
        <f>B57-C57</f>
        <v>887.1160319999999</v>
      </c>
      <c r="E57" s="117"/>
      <c r="F57" s="115"/>
      <c r="G57" s="116"/>
      <c r="H57" s="109"/>
      <c r="I57" s="65"/>
      <c r="J57" s="65"/>
      <c r="K57" s="66"/>
      <c r="L57" s="66"/>
      <c r="M57" s="66"/>
      <c r="N57" s="66"/>
    </row>
    <row r="58" spans="1:14" ht="15.75">
      <c r="A58" s="238" t="s">
        <v>59</v>
      </c>
      <c r="B58" s="239">
        <v>0</v>
      </c>
      <c r="C58" s="240">
        <f>B58*0.7728</f>
        <v>0</v>
      </c>
      <c r="D58" s="241">
        <f>B58-C58</f>
        <v>0</v>
      </c>
      <c r="E58" s="114"/>
      <c r="F58" s="115"/>
      <c r="G58" s="116"/>
      <c r="H58" s="109"/>
      <c r="I58" s="65"/>
      <c r="J58" s="65"/>
      <c r="K58" s="66"/>
      <c r="L58" s="66"/>
      <c r="M58" s="66"/>
      <c r="N58" s="66"/>
    </row>
    <row r="59" spans="1:14" ht="15.75">
      <c r="A59" s="238" t="s">
        <v>60</v>
      </c>
      <c r="B59" s="242">
        <v>1134.02</v>
      </c>
      <c r="C59" s="240">
        <f>B59*0.7728</f>
        <v>876.370656</v>
      </c>
      <c r="D59" s="241">
        <f>B59-C59</f>
        <v>257.6493439999999</v>
      </c>
      <c r="E59" s="114">
        <f>(2.07+1.8)*6*2301.2-0.37*2301.2*6</f>
        <v>48325.2</v>
      </c>
      <c r="F59" s="118"/>
      <c r="G59" s="119"/>
      <c r="H59" s="114"/>
      <c r="I59" s="65"/>
      <c r="J59" s="65"/>
      <c r="K59" s="66"/>
      <c r="L59" s="66"/>
      <c r="M59" s="66"/>
      <c r="N59" s="66"/>
    </row>
    <row r="60" spans="1:14" ht="16.5" thickBot="1">
      <c r="A60" s="261" t="s">
        <v>236</v>
      </c>
      <c r="B60" s="262">
        <v>5727.86</v>
      </c>
      <c r="C60" s="240">
        <f>B60*0.7728</f>
        <v>4426.490208</v>
      </c>
      <c r="D60" s="264">
        <f>B60-C60</f>
        <v>1301.3697919999995</v>
      </c>
      <c r="E60" s="114"/>
      <c r="F60" s="118"/>
      <c r="G60" s="119"/>
      <c r="H60" s="109"/>
      <c r="I60" s="65"/>
      <c r="J60" s="65"/>
      <c r="K60" s="66"/>
      <c r="L60" s="66"/>
      <c r="M60" s="66"/>
      <c r="N60" s="66"/>
    </row>
    <row r="61" spans="1:14" ht="63">
      <c r="A61" s="129" t="s">
        <v>62</v>
      </c>
      <c r="B61" s="130" t="s">
        <v>63</v>
      </c>
      <c r="C61" s="131" t="s">
        <v>64</v>
      </c>
      <c r="D61" s="132" t="s">
        <v>65</v>
      </c>
      <c r="E61" s="114"/>
      <c r="F61" s="118"/>
      <c r="G61" s="109"/>
      <c r="H61" s="120"/>
      <c r="I61" s="65"/>
      <c r="J61" s="65"/>
      <c r="K61" s="66"/>
      <c r="L61" s="66"/>
      <c r="M61" s="66"/>
      <c r="N61" s="66"/>
    </row>
    <row r="62" spans="1:14" ht="15.75">
      <c r="A62" s="265" t="s">
        <v>58</v>
      </c>
      <c r="B62" s="244">
        <f>B57</f>
        <v>3904.56</v>
      </c>
      <c r="C62" s="245">
        <f>B62</f>
        <v>3904.56</v>
      </c>
      <c r="D62" s="266">
        <f>B62-C62</f>
        <v>0</v>
      </c>
      <c r="E62" s="114"/>
      <c r="F62" s="118"/>
      <c r="G62" s="109"/>
      <c r="H62" s="120"/>
      <c r="I62" s="65"/>
      <c r="J62" s="65" t="s">
        <v>26</v>
      </c>
      <c r="K62" s="66"/>
      <c r="L62" s="66"/>
      <c r="M62" s="66"/>
      <c r="N62" s="66"/>
    </row>
    <row r="63" spans="1:14" ht="15.75">
      <c r="A63" s="265" t="s">
        <v>59</v>
      </c>
      <c r="B63" s="244">
        <f>B58</f>
        <v>0</v>
      </c>
      <c r="C63" s="245">
        <f>C58*1.0063</f>
        <v>0</v>
      </c>
      <c r="D63" s="266">
        <f>B63-C63</f>
        <v>0</v>
      </c>
      <c r="E63" s="114"/>
      <c r="F63" s="118"/>
      <c r="G63" s="109"/>
      <c r="H63" s="120"/>
      <c r="I63" s="65"/>
      <c r="J63" s="65"/>
      <c r="K63" s="66"/>
      <c r="L63" s="66"/>
      <c r="M63" s="66"/>
      <c r="N63" s="66"/>
    </row>
    <row r="64" spans="1:14" ht="15.75">
      <c r="A64" s="265" t="s">
        <v>60</v>
      </c>
      <c r="B64" s="244">
        <f>B59</f>
        <v>1134.02</v>
      </c>
      <c r="C64" s="245">
        <f>B64</f>
        <v>1134.02</v>
      </c>
      <c r="D64" s="266">
        <f>B64-C64</f>
        <v>0</v>
      </c>
      <c r="E64" s="114"/>
      <c r="F64" s="118"/>
      <c r="G64" s="109"/>
      <c r="H64" s="120"/>
      <c r="I64" s="65"/>
      <c r="J64" s="65"/>
      <c r="K64" s="66"/>
      <c r="L64" s="66"/>
      <c r="M64" s="66"/>
      <c r="N64" s="66"/>
    </row>
    <row r="65" spans="1:14" ht="16.5" thickBot="1">
      <c r="A65" s="405" t="s">
        <v>236</v>
      </c>
      <c r="B65" s="262">
        <v>5727.86</v>
      </c>
      <c r="C65" s="406">
        <f>C60</f>
        <v>4426.490208</v>
      </c>
      <c r="D65" s="407">
        <f>B65-C65</f>
        <v>1301.3697919999995</v>
      </c>
      <c r="E65" s="114"/>
      <c r="F65" s="118"/>
      <c r="G65" s="109"/>
      <c r="H65" s="120" t="s">
        <v>26</v>
      </c>
      <c r="I65" s="65"/>
      <c r="J65" s="65"/>
      <c r="K65" s="66"/>
      <c r="L65" s="66"/>
      <c r="M65" s="66"/>
      <c r="N65" s="66"/>
    </row>
    <row r="66" spans="1:14" ht="26.25">
      <c r="A66" s="403" t="s">
        <v>66</v>
      </c>
      <c r="B66" s="248" t="s">
        <v>11</v>
      </c>
      <c r="C66" s="404"/>
      <c r="D66" s="250">
        <v>0</v>
      </c>
      <c r="E66" s="114"/>
      <c r="F66" s="73"/>
      <c r="H66" s="65"/>
      <c r="I66" s="65"/>
      <c r="J66" s="65"/>
      <c r="K66" s="66"/>
      <c r="L66" s="66"/>
      <c r="M66" s="66"/>
      <c r="N66" s="66"/>
    </row>
    <row r="67" spans="1:14" ht="15.75">
      <c r="A67" s="572" t="s">
        <v>67</v>
      </c>
      <c r="B67" s="572"/>
      <c r="C67" s="572"/>
      <c r="D67" s="572"/>
      <c r="E67" s="114"/>
      <c r="F67" s="73"/>
      <c r="H67" s="65"/>
      <c r="I67" s="65"/>
      <c r="J67" s="65" t="s">
        <v>26</v>
      </c>
      <c r="K67" s="66"/>
      <c r="L67" s="66"/>
      <c r="M67" s="66"/>
      <c r="N67" s="66"/>
    </row>
    <row r="68" spans="1:14" ht="17.25" customHeight="1">
      <c r="A68" s="86" t="s">
        <v>45</v>
      </c>
      <c r="B68" s="86" t="s">
        <v>46</v>
      </c>
      <c r="C68" s="86"/>
      <c r="D68" s="177">
        <v>0</v>
      </c>
      <c r="E68" s="121" t="e">
        <f>D67+B19</f>
        <v>#VALUE!</v>
      </c>
      <c r="F68" s="65"/>
      <c r="H68" s="84" t="e">
        <f>E68-B18</f>
        <v>#VALUE!</v>
      </c>
      <c r="I68" s="65"/>
      <c r="J68" s="65"/>
      <c r="K68" s="66"/>
      <c r="L68" s="66"/>
      <c r="M68" s="66"/>
      <c r="N68" s="66"/>
    </row>
    <row r="69" spans="1:5" ht="21" customHeight="1">
      <c r="A69" s="86" t="s">
        <v>47</v>
      </c>
      <c r="B69" s="86" t="s">
        <v>46</v>
      </c>
      <c r="C69" s="86"/>
      <c r="D69" s="177">
        <v>0</v>
      </c>
      <c r="E69" s="123"/>
    </row>
    <row r="70" spans="1:5" ht="21" customHeight="1">
      <c r="A70" s="86" t="s">
        <v>48</v>
      </c>
      <c r="B70" s="86" t="s">
        <v>46</v>
      </c>
      <c r="C70" s="86"/>
      <c r="D70" s="177">
        <v>0</v>
      </c>
      <c r="E70" s="123"/>
    </row>
    <row r="71" spans="1:5" ht="18" customHeight="1">
      <c r="A71" s="86" t="s">
        <v>49</v>
      </c>
      <c r="B71" s="86" t="s">
        <v>11</v>
      </c>
      <c r="C71" s="86"/>
      <c r="D71" s="177">
        <v>0</v>
      </c>
      <c r="E71" s="123"/>
    </row>
    <row r="72" spans="1:5" ht="16.5" customHeight="1">
      <c r="A72" s="566" t="s">
        <v>68</v>
      </c>
      <c r="B72" s="566"/>
      <c r="C72" s="566"/>
      <c r="D72" s="566"/>
      <c r="E72" s="123"/>
    </row>
    <row r="73" spans="1:5" ht="15.75" customHeight="1">
      <c r="A73" s="86" t="s">
        <v>69</v>
      </c>
      <c r="B73" s="86" t="s">
        <v>46</v>
      </c>
      <c r="C73" s="86"/>
      <c r="D73" s="177"/>
      <c r="E73" s="123"/>
    </row>
    <row r="74" spans="1:5" ht="18.75" customHeight="1">
      <c r="A74" s="86" t="s">
        <v>70</v>
      </c>
      <c r="B74" s="254" t="s">
        <v>46</v>
      </c>
      <c r="C74" s="254"/>
      <c r="D74" s="177">
        <v>0</v>
      </c>
      <c r="E74" s="123"/>
    </row>
    <row r="75" spans="1:5" ht="21.75" customHeight="1">
      <c r="A75" s="255" t="s">
        <v>71</v>
      </c>
      <c r="B75" s="86" t="s">
        <v>11</v>
      </c>
      <c r="C75" s="86"/>
      <c r="D75" s="177">
        <v>0</v>
      </c>
      <c r="E75" s="123"/>
    </row>
    <row r="76" spans="1:5" ht="36" customHeight="1">
      <c r="A76" s="256"/>
      <c r="B76" s="256"/>
      <c r="C76" s="256"/>
      <c r="D76" s="257"/>
      <c r="E76" s="123"/>
    </row>
    <row r="77" spans="1:5" ht="12.75">
      <c r="A77" s="178"/>
      <c r="B77" s="178"/>
      <c r="C77" s="178"/>
      <c r="D77" s="178"/>
      <c r="E77" s="109"/>
    </row>
    <row r="78" spans="1:14" s="1" customFormat="1" ht="12.75">
      <c r="A78" s="178" t="s">
        <v>72</v>
      </c>
      <c r="B78" s="178"/>
      <c r="C78" s="178"/>
      <c r="D78" s="178"/>
      <c r="E78" s="109"/>
      <c r="H78" s="1" t="s">
        <v>26</v>
      </c>
      <c r="K78"/>
      <c r="L78"/>
      <c r="M78"/>
      <c r="N78"/>
    </row>
    <row r="79" spans="1:14" s="1" customFormat="1" ht="12.75">
      <c r="A79" s="178"/>
      <c r="B79" s="178"/>
      <c r="C79" s="178"/>
      <c r="D79" s="178"/>
      <c r="E79" s="109"/>
      <c r="K79"/>
      <c r="L79"/>
      <c r="M79"/>
      <c r="N79"/>
    </row>
    <row r="80" spans="1:14" s="1" customFormat="1" ht="12.75">
      <c r="A80" s="178" t="s">
        <v>73</v>
      </c>
      <c r="B80" s="178"/>
      <c r="C80" s="178"/>
      <c r="D80" s="178"/>
      <c r="E80" s="109"/>
      <c r="H80" s="1" t="s">
        <v>26</v>
      </c>
      <c r="K80"/>
      <c r="L80"/>
      <c r="M80"/>
      <c r="N80"/>
    </row>
    <row r="81" spans="1:14" s="1" customFormat="1" ht="12.75">
      <c r="A81" s="178"/>
      <c r="B81" s="178"/>
      <c r="C81" s="178"/>
      <c r="D81" s="178"/>
      <c r="E81" s="109"/>
      <c r="K81"/>
      <c r="L81"/>
      <c r="M81"/>
      <c r="N81"/>
    </row>
    <row r="82" spans="1:5" ht="12.75">
      <c r="A82" s="178"/>
      <c r="B82" s="178"/>
      <c r="C82" s="178"/>
      <c r="D82" s="178"/>
      <c r="E82" s="109"/>
    </row>
    <row r="83" ht="12.75">
      <c r="E83" s="109"/>
    </row>
    <row r="85" spans="1:14" s="1" customFormat="1" ht="12.75">
      <c r="A85"/>
      <c r="B85"/>
      <c r="C85"/>
      <c r="D85"/>
      <c r="E85" s="1" t="s">
        <v>26</v>
      </c>
      <c r="K85"/>
      <c r="L85"/>
      <c r="M85"/>
      <c r="N85"/>
    </row>
  </sheetData>
  <sheetProtection selectLockedCells="1" selectUnlockedCells="1"/>
  <mergeCells count="13">
    <mergeCell ref="A72:D72"/>
    <mergeCell ref="A14:D14"/>
    <mergeCell ref="A29:D29"/>
    <mergeCell ref="A43:D43"/>
    <mergeCell ref="A48:D48"/>
    <mergeCell ref="A55:D55"/>
    <mergeCell ref="A67:D67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zoomScale="80" zoomScaleNormal="80" zoomScalePageLayoutView="0" workbookViewId="0" topLeftCell="A19">
      <selection activeCell="D40" sqref="D40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560" t="s">
        <v>0</v>
      </c>
      <c r="B1" s="560"/>
      <c r="C1" s="560"/>
      <c r="D1" s="560"/>
    </row>
    <row r="2" spans="1:4" ht="15.75">
      <c r="A2" s="561" t="s">
        <v>220</v>
      </c>
      <c r="B2" s="562"/>
      <c r="C2" s="562"/>
      <c r="D2" s="562"/>
    </row>
    <row r="3" spans="1:4" ht="15.75">
      <c r="A3" s="562" t="s">
        <v>1</v>
      </c>
      <c r="B3" s="562"/>
      <c r="C3" s="562"/>
      <c r="D3" s="562"/>
    </row>
    <row r="4" spans="1:4" ht="12.75">
      <c r="A4" s="563" t="s">
        <v>98</v>
      </c>
      <c r="B4" s="563"/>
      <c r="C4" s="563"/>
      <c r="D4" s="563"/>
    </row>
    <row r="5" spans="1:4" ht="12.75">
      <c r="A5" s="564" t="s">
        <v>266</v>
      </c>
      <c r="B5" s="563"/>
      <c r="C5" s="563"/>
      <c r="D5" s="563"/>
    </row>
    <row r="6" spans="1:4" ht="9" customHeight="1">
      <c r="A6" s="258"/>
      <c r="B6" s="178"/>
      <c r="C6" s="178"/>
      <c r="D6" s="178"/>
    </row>
    <row r="7" spans="1:4" ht="18" customHeight="1">
      <c r="A7" s="565" t="s">
        <v>2</v>
      </c>
      <c r="B7" s="565"/>
      <c r="C7" s="565"/>
      <c r="D7" s="565"/>
    </row>
    <row r="8" spans="1:4" ht="12.75">
      <c r="A8" s="182" t="s">
        <v>246</v>
      </c>
      <c r="B8" s="178"/>
      <c r="C8" s="183"/>
      <c r="D8" s="178"/>
    </row>
    <row r="9" spans="1:5" ht="12.75">
      <c r="A9" s="184" t="s">
        <v>3</v>
      </c>
      <c r="B9" s="184" t="s">
        <v>4</v>
      </c>
      <c r="C9" s="184" t="s">
        <v>5</v>
      </c>
      <c r="D9" s="185"/>
      <c r="E9" s="109"/>
    </row>
    <row r="10" spans="1:5" ht="12.75">
      <c r="A10" s="186">
        <v>1</v>
      </c>
      <c r="B10" s="186">
        <v>2</v>
      </c>
      <c r="C10" s="186">
        <v>3</v>
      </c>
      <c r="D10" s="187">
        <v>4</v>
      </c>
      <c r="E10" s="109"/>
    </row>
    <row r="11" spans="1:5" ht="12.75">
      <c r="A11" s="20" t="s">
        <v>6</v>
      </c>
      <c r="B11" s="188"/>
      <c r="C11" s="189" t="s">
        <v>262</v>
      </c>
      <c r="D11" s="190"/>
      <c r="E11" s="109"/>
    </row>
    <row r="12" spans="1:5" ht="12.75">
      <c r="A12" s="20" t="s">
        <v>7</v>
      </c>
      <c r="B12" s="188"/>
      <c r="C12" s="189" t="s">
        <v>263</v>
      </c>
      <c r="D12" s="190"/>
      <c r="E12" s="109"/>
    </row>
    <row r="13" spans="1:5" ht="12.75">
      <c r="A13" s="20" t="s">
        <v>8</v>
      </c>
      <c r="B13" s="188"/>
      <c r="C13" s="189" t="s">
        <v>267</v>
      </c>
      <c r="D13" s="190"/>
      <c r="E13" s="109"/>
    </row>
    <row r="14" spans="1:5" ht="31.5" customHeight="1">
      <c r="A14" s="567" t="s">
        <v>9</v>
      </c>
      <c r="B14" s="567"/>
      <c r="C14" s="567"/>
      <c r="D14" s="567"/>
      <c r="E14" s="109"/>
    </row>
    <row r="15" spans="1:10" ht="26.25">
      <c r="A15" s="17" t="s">
        <v>10</v>
      </c>
      <c r="B15" s="191" t="s">
        <v>11</v>
      </c>
      <c r="C15" s="194">
        <v>44794.04</v>
      </c>
      <c r="D15" s="193"/>
      <c r="E15" s="109"/>
      <c r="F15" s="109"/>
      <c r="G15" s="109"/>
      <c r="H15" s="109"/>
      <c r="I15" s="109"/>
      <c r="J15" s="109"/>
    </row>
    <row r="16" spans="1:10" ht="15.75">
      <c r="A16" s="20" t="s">
        <v>12</v>
      </c>
      <c r="B16" s="191" t="s">
        <v>11</v>
      </c>
      <c r="C16" s="192">
        <v>0</v>
      </c>
      <c r="D16" s="193"/>
      <c r="E16" s="109"/>
      <c r="F16" s="109"/>
      <c r="G16" s="109"/>
      <c r="H16" s="109"/>
      <c r="I16" s="109"/>
      <c r="J16" s="109"/>
    </row>
    <row r="17" spans="1:10" ht="15.75">
      <c r="A17" s="20" t="s">
        <v>13</v>
      </c>
      <c r="B17" s="191" t="s">
        <v>11</v>
      </c>
      <c r="C17" s="194">
        <v>855.5</v>
      </c>
      <c r="D17" s="195"/>
      <c r="E17" s="109"/>
      <c r="F17" s="109"/>
      <c r="G17" s="109"/>
      <c r="H17" s="109"/>
      <c r="I17" s="109"/>
      <c r="J17" s="109"/>
    </row>
    <row r="18" spans="1:10" ht="31.5" customHeight="1">
      <c r="A18" s="17" t="s">
        <v>14</v>
      </c>
      <c r="B18" s="191" t="s">
        <v>11</v>
      </c>
      <c r="C18" s="194">
        <f>21455.64+3499.2</f>
        <v>24954.84</v>
      </c>
      <c r="D18" s="195"/>
      <c r="E18" s="110">
        <f>C18-C20</f>
        <v>13432.776</v>
      </c>
      <c r="F18" s="109"/>
      <c r="G18" s="109"/>
      <c r="H18" s="109"/>
      <c r="I18" s="109"/>
      <c r="J18" s="109"/>
    </row>
    <row r="19" spans="1:10" ht="15.75">
      <c r="A19" s="20" t="s">
        <v>15</v>
      </c>
      <c r="B19" s="191" t="s">
        <v>11</v>
      </c>
      <c r="C19" s="194">
        <f>C18-C20-C21</f>
        <v>6172.343999999999</v>
      </c>
      <c r="D19" s="195"/>
      <c r="E19" s="110">
        <f>E18-E39</f>
        <v>0</v>
      </c>
      <c r="F19" s="109"/>
      <c r="G19" s="109"/>
      <c r="H19" s="379" t="s">
        <v>247</v>
      </c>
      <c r="I19" s="109"/>
      <c r="J19" s="109"/>
    </row>
    <row r="20" spans="1:10" ht="15.75">
      <c r="A20" s="20" t="s">
        <v>16</v>
      </c>
      <c r="B20" s="191" t="s">
        <v>11</v>
      </c>
      <c r="C20" s="194">
        <f>4.63*12*144.4+3499.2</f>
        <v>11522.064</v>
      </c>
      <c r="D20" s="195"/>
      <c r="E20" s="111"/>
      <c r="F20" s="109"/>
      <c r="G20" s="109"/>
      <c r="H20" s="109"/>
      <c r="I20" s="109"/>
      <c r="J20" s="109"/>
    </row>
    <row r="21" spans="1:10" ht="15.75">
      <c r="A21" s="20" t="s">
        <v>17</v>
      </c>
      <c r="B21" s="191" t="s">
        <v>11</v>
      </c>
      <c r="C21" s="196">
        <f>144.4*4.19*12</f>
        <v>7260.432000000001</v>
      </c>
      <c r="D21" s="195"/>
      <c r="E21" s="109"/>
      <c r="F21" s="109"/>
      <c r="G21" s="109"/>
      <c r="H21" s="109"/>
      <c r="I21" s="109"/>
      <c r="J21" s="109"/>
    </row>
    <row r="22" spans="1:10" ht="15.75">
      <c r="A22" s="20" t="s">
        <v>18</v>
      </c>
      <c r="B22" s="191" t="s">
        <v>11</v>
      </c>
      <c r="C22" s="194">
        <f>C23+C24+C25+C26+C27</f>
        <v>24228.654156</v>
      </c>
      <c r="D22" s="195" t="s">
        <v>19</v>
      </c>
      <c r="E22" s="110"/>
      <c r="F22" s="109"/>
      <c r="G22" s="109"/>
      <c r="H22" s="109"/>
      <c r="I22" s="109"/>
      <c r="J22" s="109"/>
    </row>
    <row r="23" spans="1:10" ht="15.75">
      <c r="A23" s="20" t="s">
        <v>20</v>
      </c>
      <c r="B23" s="191" t="s">
        <v>11</v>
      </c>
      <c r="C23" s="194">
        <f>C18*0.9709</f>
        <v>24228.654156</v>
      </c>
      <c r="D23" s="195"/>
      <c r="E23" s="109"/>
      <c r="F23" s="109"/>
      <c r="G23" s="109"/>
      <c r="H23" s="109"/>
      <c r="I23" s="109"/>
      <c r="J23" s="109"/>
    </row>
    <row r="24" spans="1:10" ht="15.75">
      <c r="A24" s="20" t="s">
        <v>21</v>
      </c>
      <c r="B24" s="191" t="s">
        <v>11</v>
      </c>
      <c r="C24" s="194">
        <v>0</v>
      </c>
      <c r="D24" s="197">
        <v>65.21</v>
      </c>
      <c r="E24" s="111" t="e">
        <f>B24/#REF!*1</f>
        <v>#VALUE!</v>
      </c>
      <c r="F24" s="109"/>
      <c r="G24" s="109"/>
      <c r="H24" s="109" t="s">
        <v>22</v>
      </c>
      <c r="I24" s="109"/>
      <c r="J24" s="109"/>
    </row>
    <row r="25" spans="1:10" ht="15.75">
      <c r="A25" s="20" t="s">
        <v>23</v>
      </c>
      <c r="B25" s="191" t="s">
        <v>11</v>
      </c>
      <c r="C25" s="194">
        <v>0</v>
      </c>
      <c r="D25" s="197">
        <v>119.63</v>
      </c>
      <c r="E25" s="111" t="e">
        <f>B25/#REF!*1</f>
        <v>#VALUE!</v>
      </c>
      <c r="F25" s="109"/>
      <c r="G25" s="109"/>
      <c r="H25" s="109"/>
      <c r="I25" s="109"/>
      <c r="J25" s="109"/>
    </row>
    <row r="26" spans="1:10" ht="15.75">
      <c r="A26" s="188" t="s">
        <v>24</v>
      </c>
      <c r="B26" s="191" t="s">
        <v>11</v>
      </c>
      <c r="C26" s="194">
        <v>0</v>
      </c>
      <c r="D26" s="197"/>
      <c r="E26" s="111" t="e">
        <f>B26/#REF!*1</f>
        <v>#VALUE!</v>
      </c>
      <c r="F26" s="109"/>
      <c r="G26" s="109"/>
      <c r="H26" s="109"/>
      <c r="I26" s="109"/>
      <c r="J26" s="109"/>
    </row>
    <row r="27" spans="1:10" ht="16.5" customHeight="1">
      <c r="A27" s="198" t="s">
        <v>96</v>
      </c>
      <c r="B27" s="191" t="s">
        <v>11</v>
      </c>
      <c r="C27" s="194">
        <v>0</v>
      </c>
      <c r="D27" s="197">
        <v>139.18</v>
      </c>
      <c r="E27" s="111" t="e">
        <f>B27/#REF!*1</f>
        <v>#VALUE!</v>
      </c>
      <c r="F27" s="109"/>
      <c r="G27" s="109"/>
      <c r="H27" s="109"/>
      <c r="I27" s="109"/>
      <c r="J27" s="109"/>
    </row>
    <row r="28" spans="1:10" ht="15.75">
      <c r="A28" s="20" t="s">
        <v>25</v>
      </c>
      <c r="B28" s="191" t="s">
        <v>11</v>
      </c>
      <c r="C28" s="194">
        <f>C15+C22</f>
        <v>69022.694156</v>
      </c>
      <c r="D28" s="195" t="s">
        <v>26</v>
      </c>
      <c r="E28" s="111" t="e">
        <f>B28/#REF!*1</f>
        <v>#VALUE!</v>
      </c>
      <c r="F28" s="109"/>
      <c r="G28" s="109"/>
      <c r="H28" s="109"/>
      <c r="I28" s="109"/>
      <c r="J28" s="109"/>
    </row>
    <row r="29" spans="1:10" ht="35.25" customHeight="1">
      <c r="A29" s="568" t="s">
        <v>27</v>
      </c>
      <c r="B29" s="568"/>
      <c r="C29" s="568"/>
      <c r="D29" s="568"/>
      <c r="E29" s="109"/>
      <c r="F29" s="109"/>
      <c r="G29" s="109"/>
      <c r="H29" s="109"/>
      <c r="I29" s="109"/>
      <c r="J29" s="109"/>
    </row>
    <row r="30" spans="1:10" ht="63">
      <c r="A30" s="271" t="s">
        <v>28</v>
      </c>
      <c r="B30" s="307" t="s">
        <v>29</v>
      </c>
      <c r="C30" s="286" t="s">
        <v>30</v>
      </c>
      <c r="D30" s="308" t="s">
        <v>31</v>
      </c>
      <c r="E30" s="109"/>
      <c r="F30" s="109"/>
      <c r="G30" s="109"/>
      <c r="H30" s="109"/>
      <c r="I30" s="109"/>
      <c r="J30" s="109"/>
    </row>
    <row r="31" spans="1:10" ht="15.75">
      <c r="A31" s="203" t="s">
        <v>32</v>
      </c>
      <c r="B31" s="204" t="s">
        <v>33</v>
      </c>
      <c r="C31" s="205" t="s">
        <v>34</v>
      </c>
      <c r="D31" s="206">
        <f>0.85*12*144.4</f>
        <v>1472.8799999999999</v>
      </c>
      <c r="E31" s="109"/>
      <c r="F31" s="109"/>
      <c r="G31" s="109"/>
      <c r="H31" s="109"/>
      <c r="I31" s="109"/>
      <c r="J31" s="109"/>
    </row>
    <row r="32" spans="1:10" ht="15.75">
      <c r="A32" s="207" t="s">
        <v>36</v>
      </c>
      <c r="B32" s="208" t="s">
        <v>33</v>
      </c>
      <c r="C32" s="209" t="s">
        <v>37</v>
      </c>
      <c r="D32" s="210">
        <f>0.24*12*144.4</f>
        <v>415.872</v>
      </c>
      <c r="E32" s="109"/>
      <c r="F32" s="109"/>
      <c r="G32" s="109"/>
      <c r="H32" s="109"/>
      <c r="I32" s="109"/>
      <c r="J32" s="109"/>
    </row>
    <row r="33" spans="1:10" ht="15.75">
      <c r="A33" s="207" t="s">
        <v>99</v>
      </c>
      <c r="B33" s="208" t="s">
        <v>33</v>
      </c>
      <c r="C33" s="209" t="s">
        <v>34</v>
      </c>
      <c r="D33" s="210">
        <v>142.2</v>
      </c>
      <c r="E33" s="109"/>
      <c r="F33" s="109"/>
      <c r="G33" s="109"/>
      <c r="H33" s="109"/>
      <c r="I33" s="109"/>
      <c r="J33" s="109"/>
    </row>
    <row r="34" spans="1:10" ht="15.75">
      <c r="A34" s="207" t="s">
        <v>81</v>
      </c>
      <c r="B34" s="213" t="s">
        <v>82</v>
      </c>
      <c r="C34" s="209" t="s">
        <v>34</v>
      </c>
      <c r="D34" s="210">
        <f>1.33*12*144.4</f>
        <v>2304.6240000000003</v>
      </c>
      <c r="E34" s="109"/>
      <c r="F34" s="109"/>
      <c r="G34" s="109"/>
      <c r="H34" s="109"/>
      <c r="I34" s="109"/>
      <c r="J34" s="109"/>
    </row>
    <row r="35" spans="1:10" ht="15.75">
      <c r="A35" s="207" t="s">
        <v>38</v>
      </c>
      <c r="B35" s="208" t="s">
        <v>35</v>
      </c>
      <c r="C35" s="362" t="s">
        <v>221</v>
      </c>
      <c r="D35" s="210">
        <f>4.19*144.4*12</f>
        <v>7260.432000000001</v>
      </c>
      <c r="E35" s="109"/>
      <c r="F35" s="109"/>
      <c r="G35" s="109"/>
      <c r="H35" s="109"/>
      <c r="I35" s="109"/>
      <c r="J35" s="109"/>
    </row>
    <row r="36" spans="1:10" ht="15.75">
      <c r="A36" s="207" t="s">
        <v>85</v>
      </c>
      <c r="B36" s="208" t="s">
        <v>222</v>
      </c>
      <c r="C36" s="214" t="s">
        <v>37</v>
      </c>
      <c r="D36" s="210">
        <f>144.4*1.06*12</f>
        <v>1836.7680000000003</v>
      </c>
      <c r="E36" s="109"/>
      <c r="F36" s="109"/>
      <c r="G36" s="109"/>
      <c r="H36" s="109"/>
      <c r="I36" s="109"/>
      <c r="J36" s="109"/>
    </row>
    <row r="37" spans="1:14" s="1" customFormat="1" ht="47.25">
      <c r="A37" s="365" t="s">
        <v>40</v>
      </c>
      <c r="B37" s="215" t="s">
        <v>41</v>
      </c>
      <c r="C37" s="221"/>
      <c r="D37" s="175">
        <f>D38</f>
        <v>13512</v>
      </c>
      <c r="E37" s="109"/>
      <c r="F37" s="109"/>
      <c r="G37" s="109"/>
      <c r="H37" s="109"/>
      <c r="I37" s="109"/>
      <c r="J37" s="109"/>
      <c r="K37"/>
      <c r="L37"/>
      <c r="M37"/>
      <c r="N37"/>
    </row>
    <row r="38" spans="1:14" s="1" customFormat="1" ht="15.75">
      <c r="A38" s="216" t="s">
        <v>226</v>
      </c>
      <c r="B38" s="217" t="s">
        <v>148</v>
      </c>
      <c r="C38" s="366" t="s">
        <v>227</v>
      </c>
      <c r="D38" s="176">
        <v>13512</v>
      </c>
      <c r="E38" s="109"/>
      <c r="F38" s="109"/>
      <c r="G38" s="109"/>
      <c r="H38" s="109"/>
      <c r="I38" s="109"/>
      <c r="J38" s="109"/>
      <c r="K38"/>
      <c r="L38"/>
      <c r="M38"/>
      <c r="N38"/>
    </row>
    <row r="39" spans="1:14" s="1" customFormat="1" ht="15.75">
      <c r="A39" s="37" t="s">
        <v>231</v>
      </c>
      <c r="B39" s="222"/>
      <c r="C39" s="223"/>
      <c r="D39" s="97">
        <f>D31+D32+D33+D34+D35+D36+D37</f>
        <v>26944.776</v>
      </c>
      <c r="E39" s="112">
        <f>D39-D38</f>
        <v>13432.776000000002</v>
      </c>
      <c r="F39" s="109"/>
      <c r="G39" s="109"/>
      <c r="H39" s="109"/>
      <c r="I39" s="109"/>
      <c r="J39" s="109"/>
      <c r="K39"/>
      <c r="L39"/>
      <c r="M39"/>
      <c r="N39"/>
    </row>
    <row r="40" spans="1:14" s="1" customFormat="1" ht="15.75">
      <c r="A40" s="40" t="s">
        <v>43</v>
      </c>
      <c r="B40" s="224" t="s">
        <v>11</v>
      </c>
      <c r="C40" s="225"/>
      <c r="D40" s="226">
        <f>C28-D39</f>
        <v>42077.918156</v>
      </c>
      <c r="E40" s="112"/>
      <c r="F40" s="109"/>
      <c r="G40" s="109"/>
      <c r="H40" s="109"/>
      <c r="I40" s="109"/>
      <c r="J40" s="109"/>
      <c r="K40"/>
      <c r="L40"/>
      <c r="M40"/>
      <c r="N40"/>
    </row>
    <row r="41" spans="1:14" s="1" customFormat="1" ht="15.75">
      <c r="A41" s="227" t="s">
        <v>12</v>
      </c>
      <c r="B41" s="228" t="s">
        <v>11</v>
      </c>
      <c r="C41" s="209"/>
      <c r="D41" s="193">
        <v>0</v>
      </c>
      <c r="E41" s="109"/>
      <c r="F41" s="109"/>
      <c r="G41" s="109"/>
      <c r="H41" s="109"/>
      <c r="I41" s="109"/>
      <c r="J41" s="109"/>
      <c r="K41"/>
      <c r="L41"/>
      <c r="M41"/>
      <c r="N41"/>
    </row>
    <row r="42" spans="1:14" s="1" customFormat="1" ht="15.75">
      <c r="A42" s="227" t="s">
        <v>13</v>
      </c>
      <c r="B42" s="228" t="s">
        <v>11</v>
      </c>
      <c r="C42" s="209"/>
      <c r="D42" s="195">
        <f>C17+C18-C23</f>
        <v>1581.6858439999996</v>
      </c>
      <c r="E42" s="109"/>
      <c r="F42" s="109"/>
      <c r="G42" s="109"/>
      <c r="H42" s="109"/>
      <c r="I42" s="109"/>
      <c r="J42" s="109"/>
      <c r="K42"/>
      <c r="L42"/>
      <c r="M42"/>
      <c r="N42"/>
    </row>
    <row r="43" spans="1:14" s="1" customFormat="1" ht="24" customHeight="1">
      <c r="A43" s="569" t="s">
        <v>44</v>
      </c>
      <c r="B43" s="569"/>
      <c r="C43" s="569"/>
      <c r="D43" s="569"/>
      <c r="E43" s="109"/>
      <c r="F43" s="109"/>
      <c r="G43" s="109"/>
      <c r="H43" s="109"/>
      <c r="I43" s="109"/>
      <c r="J43" s="109"/>
      <c r="K43"/>
      <c r="L43"/>
      <c r="M43"/>
      <c r="N43"/>
    </row>
    <row r="44" spans="1:14" s="1" customFormat="1" ht="15.75">
      <c r="A44" s="227" t="s">
        <v>45</v>
      </c>
      <c r="B44" s="208" t="s">
        <v>46</v>
      </c>
      <c r="C44" s="209"/>
      <c r="D44" s="193">
        <v>0</v>
      </c>
      <c r="E44" s="109"/>
      <c r="F44" s="109"/>
      <c r="G44" s="109"/>
      <c r="H44" s="109"/>
      <c r="I44" s="109"/>
      <c r="J44" s="109"/>
      <c r="K44"/>
      <c r="L44"/>
      <c r="M44"/>
      <c r="N44"/>
    </row>
    <row r="45" spans="1:14" s="1" customFormat="1" ht="15.75">
      <c r="A45" s="227" t="s">
        <v>47</v>
      </c>
      <c r="B45" s="208" t="s">
        <v>46</v>
      </c>
      <c r="C45" s="209"/>
      <c r="D45" s="193">
        <v>0</v>
      </c>
      <c r="E45" s="109"/>
      <c r="F45" s="109"/>
      <c r="G45" s="109"/>
      <c r="H45" s="109"/>
      <c r="I45" s="109"/>
      <c r="J45" s="109"/>
      <c r="K45"/>
      <c r="L45"/>
      <c r="M45"/>
      <c r="N45"/>
    </row>
    <row r="46" spans="1:14" s="1" customFormat="1" ht="15.75">
      <c r="A46" s="229" t="s">
        <v>48</v>
      </c>
      <c r="B46" s="208" t="s">
        <v>46</v>
      </c>
      <c r="C46" s="209"/>
      <c r="D46" s="193">
        <v>0</v>
      </c>
      <c r="E46" s="109"/>
      <c r="F46" s="109"/>
      <c r="G46" s="109"/>
      <c r="H46" s="109"/>
      <c r="I46" s="109"/>
      <c r="J46" s="109"/>
      <c r="K46"/>
      <c r="L46"/>
      <c r="M46"/>
      <c r="N46"/>
    </row>
    <row r="47" spans="1:14" s="1" customFormat="1" ht="15.75">
      <c r="A47" s="227" t="s">
        <v>49</v>
      </c>
      <c r="B47" s="208" t="s">
        <v>11</v>
      </c>
      <c r="C47" s="209"/>
      <c r="D47" s="193">
        <v>0</v>
      </c>
      <c r="E47" s="109"/>
      <c r="F47" s="109"/>
      <c r="G47" s="109"/>
      <c r="H47" s="109"/>
      <c r="I47" s="109"/>
      <c r="J47" s="109"/>
      <c r="K47"/>
      <c r="L47"/>
      <c r="M47"/>
      <c r="N47"/>
    </row>
    <row r="48" spans="1:10" ht="20.25" customHeight="1">
      <c r="A48" s="570" t="s">
        <v>50</v>
      </c>
      <c r="B48" s="570"/>
      <c r="C48" s="570"/>
      <c r="D48" s="570"/>
      <c r="E48" s="109"/>
      <c r="F48" s="109"/>
      <c r="G48" s="109"/>
      <c r="H48" s="109"/>
      <c r="I48" s="109"/>
      <c r="J48" s="109"/>
    </row>
    <row r="49" spans="1:10" ht="26.25">
      <c r="A49" s="229" t="s">
        <v>51</v>
      </c>
      <c r="B49" s="208" t="s">
        <v>11</v>
      </c>
      <c r="C49" s="209"/>
      <c r="D49" s="193">
        <v>0</v>
      </c>
      <c r="E49" s="109"/>
      <c r="F49" s="109"/>
      <c r="G49" s="109"/>
      <c r="H49" s="109"/>
      <c r="I49" s="109"/>
      <c r="J49" s="109"/>
    </row>
    <row r="50" spans="1:10" ht="15.75">
      <c r="A50" s="227" t="s">
        <v>12</v>
      </c>
      <c r="B50" s="208" t="s">
        <v>11</v>
      </c>
      <c r="C50" s="209"/>
      <c r="D50" s="193">
        <v>0</v>
      </c>
      <c r="E50" s="109"/>
      <c r="F50" s="109"/>
      <c r="G50" s="109"/>
      <c r="H50" s="109"/>
      <c r="I50" s="109"/>
      <c r="J50" s="109"/>
    </row>
    <row r="51" spans="1:10" ht="15.75">
      <c r="A51" s="227" t="s">
        <v>13</v>
      </c>
      <c r="B51" s="208" t="s">
        <v>11</v>
      </c>
      <c r="C51" s="209"/>
      <c r="D51" s="237">
        <f>D54-D57-D58-D59-D60</f>
        <v>1758.670784</v>
      </c>
      <c r="E51" s="109"/>
      <c r="F51" s="109"/>
      <c r="G51" s="109"/>
      <c r="H51" s="113"/>
      <c r="I51" s="109"/>
      <c r="J51" s="109"/>
    </row>
    <row r="52" spans="1:10" ht="26.25">
      <c r="A52" s="231" t="s">
        <v>52</v>
      </c>
      <c r="B52" s="208" t="s">
        <v>11</v>
      </c>
      <c r="C52" s="232"/>
      <c r="D52" s="233">
        <v>0</v>
      </c>
      <c r="E52" s="109"/>
      <c r="F52" s="109"/>
      <c r="G52" s="109"/>
      <c r="H52" s="109"/>
      <c r="I52" s="109"/>
      <c r="J52" s="109"/>
    </row>
    <row r="53" spans="1:10" ht="17.25" customHeight="1">
      <c r="A53" s="254" t="s">
        <v>12</v>
      </c>
      <c r="B53" s="208" t="s">
        <v>11</v>
      </c>
      <c r="C53" s="276"/>
      <c r="D53" s="55">
        <v>0</v>
      </c>
      <c r="E53" s="109"/>
      <c r="F53" s="109"/>
      <c r="G53" s="109"/>
      <c r="H53" s="109"/>
      <c r="I53" s="113"/>
      <c r="J53" s="113"/>
    </row>
    <row r="54" spans="1:14" ht="15.75">
      <c r="A54" s="235" t="s">
        <v>13</v>
      </c>
      <c r="B54" s="208" t="s">
        <v>11</v>
      </c>
      <c r="C54" s="236"/>
      <c r="D54" s="237">
        <v>1793.06</v>
      </c>
      <c r="E54" s="109"/>
      <c r="F54" s="109"/>
      <c r="G54" s="109"/>
      <c r="H54" s="109" t="s">
        <v>26</v>
      </c>
      <c r="I54" s="124"/>
      <c r="J54" s="124"/>
      <c r="K54" s="61"/>
      <c r="L54" s="61"/>
      <c r="M54" s="61"/>
      <c r="N54" s="61"/>
    </row>
    <row r="55" spans="1:14" ht="18" customHeight="1">
      <c r="A55" s="571" t="s">
        <v>53</v>
      </c>
      <c r="B55" s="571"/>
      <c r="C55" s="571"/>
      <c r="D55" s="571"/>
      <c r="E55" s="114"/>
      <c r="F55" s="115"/>
      <c r="G55" s="116"/>
      <c r="H55" s="109"/>
      <c r="I55" s="120"/>
      <c r="J55" s="120"/>
      <c r="K55" s="66"/>
      <c r="L55" s="66"/>
      <c r="M55" s="66"/>
      <c r="N55" s="66"/>
    </row>
    <row r="56" spans="1:14" ht="47.25">
      <c r="A56" s="67" t="s">
        <v>54</v>
      </c>
      <c r="B56" s="68" t="s">
        <v>55</v>
      </c>
      <c r="C56" s="69" t="s">
        <v>56</v>
      </c>
      <c r="D56" s="70" t="s">
        <v>57</v>
      </c>
      <c r="E56" s="114"/>
      <c r="F56" s="63"/>
      <c r="G56" s="64"/>
      <c r="I56" s="65"/>
      <c r="J56" s="71"/>
      <c r="K56" s="66"/>
      <c r="L56" s="66"/>
      <c r="M56" s="66"/>
      <c r="N56" s="66"/>
    </row>
    <row r="57" spans="1:14" ht="15.75">
      <c r="A57" s="238" t="s">
        <v>58</v>
      </c>
      <c r="B57" s="239">
        <v>1181.76</v>
      </c>
      <c r="C57" s="240">
        <f>B57*0.9709</f>
        <v>1147.370784</v>
      </c>
      <c r="D57" s="241">
        <f>B57-C57</f>
        <v>34.38921600000003</v>
      </c>
      <c r="E57" s="117"/>
      <c r="F57" s="63"/>
      <c r="G57" s="64"/>
      <c r="I57" s="65"/>
      <c r="J57" s="65"/>
      <c r="K57" s="66"/>
      <c r="L57" s="66"/>
      <c r="M57" s="66"/>
      <c r="N57" s="66"/>
    </row>
    <row r="58" spans="1:14" ht="15.75">
      <c r="A58" s="238" t="s">
        <v>59</v>
      </c>
      <c r="B58" s="239">
        <v>0</v>
      </c>
      <c r="C58" s="240">
        <f>B58*0.8866</f>
        <v>0</v>
      </c>
      <c r="D58" s="241">
        <f>B58-C58</f>
        <v>0</v>
      </c>
      <c r="E58" s="114"/>
      <c r="F58" s="63"/>
      <c r="G58" s="64"/>
      <c r="I58" s="65"/>
      <c r="J58" s="65"/>
      <c r="K58" s="66"/>
      <c r="L58" s="66"/>
      <c r="M58" s="66"/>
      <c r="N58" s="66"/>
    </row>
    <row r="59" spans="1:14" ht="15.75">
      <c r="A59" s="238" t="s">
        <v>60</v>
      </c>
      <c r="B59" s="242">
        <v>0</v>
      </c>
      <c r="C59" s="240">
        <f>B59*0.8866</f>
        <v>0</v>
      </c>
      <c r="D59" s="241">
        <f>B59-C59</f>
        <v>0</v>
      </c>
      <c r="E59" s="114">
        <f>(2.07+1.8)*6*2301.2-0.37*2301.2*6</f>
        <v>48325.2</v>
      </c>
      <c r="F59" s="73"/>
      <c r="G59" s="74"/>
      <c r="H59" s="62"/>
      <c r="I59" s="65"/>
      <c r="J59" s="65"/>
      <c r="K59" s="66"/>
      <c r="L59" s="66"/>
      <c r="M59" s="66"/>
      <c r="N59" s="66"/>
    </row>
    <row r="60" spans="1:14" ht="16.5" thickBot="1">
      <c r="A60" s="261" t="s">
        <v>236</v>
      </c>
      <c r="B60" s="262">
        <v>8089.09</v>
      </c>
      <c r="C60" s="263">
        <f>B60</f>
        <v>8089.09</v>
      </c>
      <c r="D60" s="264">
        <f>B60-C60</f>
        <v>0</v>
      </c>
      <c r="E60" s="114"/>
      <c r="F60" s="73"/>
      <c r="G60" s="74"/>
      <c r="I60" s="65"/>
      <c r="J60" s="65"/>
      <c r="K60" s="66"/>
      <c r="L60" s="66"/>
      <c r="M60" s="66"/>
      <c r="N60" s="66"/>
    </row>
    <row r="61" spans="1:14" ht="63">
      <c r="A61" s="129" t="s">
        <v>62</v>
      </c>
      <c r="B61" s="130" t="s">
        <v>63</v>
      </c>
      <c r="C61" s="131" t="s">
        <v>64</v>
      </c>
      <c r="D61" s="132" t="s">
        <v>65</v>
      </c>
      <c r="E61" s="114"/>
      <c r="F61" s="73"/>
      <c r="H61" s="65"/>
      <c r="I61" s="65"/>
      <c r="J61" s="65"/>
      <c r="K61" s="66"/>
      <c r="L61" s="66"/>
      <c r="M61" s="66"/>
      <c r="N61" s="66"/>
    </row>
    <row r="62" spans="1:14" ht="15.75">
      <c r="A62" s="265" t="s">
        <v>58</v>
      </c>
      <c r="B62" s="244">
        <f>B57</f>
        <v>1181.76</v>
      </c>
      <c r="C62" s="245">
        <f>B62</f>
        <v>1181.76</v>
      </c>
      <c r="D62" s="266">
        <f>B62-C62</f>
        <v>0</v>
      </c>
      <c r="E62" s="114"/>
      <c r="F62" s="73"/>
      <c r="H62" s="65"/>
      <c r="I62" s="65"/>
      <c r="J62" s="65" t="s">
        <v>26</v>
      </c>
      <c r="K62" s="66"/>
      <c r="L62" s="66"/>
      <c r="M62" s="66"/>
      <c r="N62" s="66"/>
    </row>
    <row r="63" spans="1:14" ht="15.75">
      <c r="A63" s="265" t="s">
        <v>59</v>
      </c>
      <c r="B63" s="244">
        <v>0</v>
      </c>
      <c r="C63" s="245">
        <f>C58*1.0063</f>
        <v>0</v>
      </c>
      <c r="D63" s="266">
        <f>B63-C63</f>
        <v>0</v>
      </c>
      <c r="E63" s="114"/>
      <c r="F63" s="73"/>
      <c r="H63" s="65"/>
      <c r="I63" s="65"/>
      <c r="J63" s="65"/>
      <c r="K63" s="66"/>
      <c r="L63" s="66"/>
      <c r="M63" s="66"/>
      <c r="N63" s="66"/>
    </row>
    <row r="64" spans="1:14" ht="15.75">
      <c r="A64" s="265" t="s">
        <v>60</v>
      </c>
      <c r="B64" s="244">
        <v>0</v>
      </c>
      <c r="C64" s="245">
        <f>C59*1.0063</f>
        <v>0</v>
      </c>
      <c r="D64" s="266">
        <f>B64-C64</f>
        <v>0</v>
      </c>
      <c r="E64" s="114"/>
      <c r="F64" s="73"/>
      <c r="H64" s="65"/>
      <c r="I64" s="65"/>
      <c r="J64" s="65"/>
      <c r="K64" s="66"/>
      <c r="L64" s="66"/>
      <c r="M64" s="66"/>
      <c r="N64" s="66"/>
    </row>
    <row r="65" spans="1:14" ht="15.75">
      <c r="A65" s="265" t="s">
        <v>236</v>
      </c>
      <c r="B65" s="244">
        <f>B60</f>
        <v>8089.09</v>
      </c>
      <c r="C65" s="245">
        <f>B65</f>
        <v>8089.09</v>
      </c>
      <c r="D65" s="266">
        <f>B65-C65</f>
        <v>0</v>
      </c>
      <c r="E65" s="114"/>
      <c r="F65" s="73"/>
      <c r="H65" s="65"/>
      <c r="I65" s="65"/>
      <c r="J65" s="65"/>
      <c r="K65" s="66"/>
      <c r="L65" s="66"/>
      <c r="M65" s="66"/>
      <c r="N65" s="66"/>
    </row>
    <row r="66" spans="1:14" ht="16.5" thickBot="1">
      <c r="A66" s="267"/>
      <c r="B66" s="268"/>
      <c r="C66" s="298"/>
      <c r="D66" s="270"/>
      <c r="E66" s="62"/>
      <c r="F66" s="73"/>
      <c r="H66" s="65" t="s">
        <v>26</v>
      </c>
      <c r="I66" s="65"/>
      <c r="J66" s="65"/>
      <c r="K66" s="66"/>
      <c r="L66" s="66"/>
      <c r="M66" s="66"/>
      <c r="N66" s="66"/>
    </row>
    <row r="67" spans="1:14" ht="15.75">
      <c r="A67" s="247"/>
      <c r="B67" s="248"/>
      <c r="C67" s="249"/>
      <c r="D67" s="250"/>
      <c r="E67" s="62"/>
      <c r="F67" s="73"/>
      <c r="H67" s="65"/>
      <c r="I67" s="65"/>
      <c r="J67" s="65"/>
      <c r="K67" s="66"/>
      <c r="L67" s="66"/>
      <c r="M67" s="66"/>
      <c r="N67" s="66"/>
    </row>
    <row r="68" spans="1:14" ht="26.25">
      <c r="A68" s="251" t="s">
        <v>66</v>
      </c>
      <c r="B68" s="248" t="s">
        <v>11</v>
      </c>
      <c r="C68" s="252"/>
      <c r="D68" s="253">
        <v>0</v>
      </c>
      <c r="E68" s="62"/>
      <c r="F68" s="73"/>
      <c r="H68" s="65"/>
      <c r="I68" s="65"/>
      <c r="J68" s="65" t="s">
        <v>26</v>
      </c>
      <c r="K68" s="66"/>
      <c r="L68" s="66"/>
      <c r="M68" s="66"/>
      <c r="N68" s="66"/>
    </row>
    <row r="69" spans="1:14" ht="17.25" customHeight="1">
      <c r="A69" s="572" t="s">
        <v>67</v>
      </c>
      <c r="B69" s="572"/>
      <c r="C69" s="572"/>
      <c r="D69" s="572"/>
      <c r="E69" s="83" t="e">
        <f>D69+B19</f>
        <v>#VALUE!</v>
      </c>
      <c r="F69" s="65"/>
      <c r="H69" s="84" t="e">
        <f>E69-B18</f>
        <v>#VALUE!</v>
      </c>
      <c r="I69" s="65"/>
      <c r="J69" s="65"/>
      <c r="K69" s="66"/>
      <c r="L69" s="66"/>
      <c r="M69" s="66"/>
      <c r="N69" s="66"/>
    </row>
    <row r="70" spans="1:5" ht="21" customHeight="1">
      <c r="A70" s="86" t="s">
        <v>45</v>
      </c>
      <c r="B70" s="86" t="s">
        <v>46</v>
      </c>
      <c r="C70" s="86"/>
      <c r="D70" s="177">
        <v>0</v>
      </c>
      <c r="E70" s="88"/>
    </row>
    <row r="71" spans="1:5" ht="21" customHeight="1">
      <c r="A71" s="86" t="s">
        <v>47</v>
      </c>
      <c r="B71" s="86" t="s">
        <v>46</v>
      </c>
      <c r="C71" s="86"/>
      <c r="D71" s="177">
        <v>0</v>
      </c>
      <c r="E71" s="88"/>
    </row>
    <row r="72" spans="1:5" ht="18" customHeight="1">
      <c r="A72" s="86" t="s">
        <v>48</v>
      </c>
      <c r="B72" s="86" t="s">
        <v>46</v>
      </c>
      <c r="C72" s="86"/>
      <c r="D72" s="177">
        <v>0</v>
      </c>
      <c r="E72" s="88"/>
    </row>
    <row r="73" spans="1:5" ht="16.5" customHeight="1">
      <c r="A73" s="86" t="s">
        <v>49</v>
      </c>
      <c r="B73" s="86" t="s">
        <v>11</v>
      </c>
      <c r="C73" s="86"/>
      <c r="D73" s="177">
        <v>0</v>
      </c>
      <c r="E73" s="88"/>
    </row>
    <row r="74" spans="1:5" ht="15.75" customHeight="1">
      <c r="A74" s="566" t="s">
        <v>68</v>
      </c>
      <c r="B74" s="566"/>
      <c r="C74" s="566"/>
      <c r="D74" s="566"/>
      <c r="E74" s="88"/>
    </row>
    <row r="75" spans="1:5" ht="18.75" customHeight="1">
      <c r="A75" s="86" t="s">
        <v>69</v>
      </c>
      <c r="B75" s="86" t="s">
        <v>46</v>
      </c>
      <c r="C75" s="86"/>
      <c r="D75" s="177">
        <v>0</v>
      </c>
      <c r="E75" s="88"/>
    </row>
    <row r="76" spans="1:5" ht="21.75" customHeight="1">
      <c r="A76" s="86" t="s">
        <v>70</v>
      </c>
      <c r="B76" s="254" t="s">
        <v>46</v>
      </c>
      <c r="C76" s="254"/>
      <c r="D76" s="177">
        <v>0</v>
      </c>
      <c r="E76" s="88"/>
    </row>
    <row r="77" spans="1:5" ht="36" customHeight="1">
      <c r="A77" s="255" t="s">
        <v>71</v>
      </c>
      <c r="B77" s="86" t="s">
        <v>11</v>
      </c>
      <c r="C77" s="86"/>
      <c r="D77" s="177">
        <v>0</v>
      </c>
      <c r="E77" s="88"/>
    </row>
    <row r="78" spans="1:4" ht="15.75">
      <c r="A78" s="256"/>
      <c r="B78" s="256"/>
      <c r="C78" s="256"/>
      <c r="D78" s="257"/>
    </row>
    <row r="79" spans="1:14" s="1" customFormat="1" ht="12.75">
      <c r="A79" s="178"/>
      <c r="B79" s="178"/>
      <c r="C79" s="178"/>
      <c r="D79" s="178"/>
      <c r="H79" s="1" t="s">
        <v>26</v>
      </c>
      <c r="K79"/>
      <c r="L79"/>
      <c r="M79"/>
      <c r="N79"/>
    </row>
    <row r="80" spans="1:14" s="1" customFormat="1" ht="12.75">
      <c r="A80" s="178" t="s">
        <v>72</v>
      </c>
      <c r="B80" s="178"/>
      <c r="C80" s="178"/>
      <c r="D80" s="178"/>
      <c r="K80"/>
      <c r="L80"/>
      <c r="M80"/>
      <c r="N80"/>
    </row>
    <row r="81" spans="1:14" s="1" customFormat="1" ht="12.75">
      <c r="A81" s="178"/>
      <c r="B81" s="178"/>
      <c r="C81" s="178"/>
      <c r="D81" s="178"/>
      <c r="H81" s="1" t="s">
        <v>26</v>
      </c>
      <c r="K81"/>
      <c r="L81"/>
      <c r="M81"/>
      <c r="N81"/>
    </row>
    <row r="82" spans="1:14" s="1" customFormat="1" ht="12.75">
      <c r="A82" s="178" t="s">
        <v>73</v>
      </c>
      <c r="B82" s="178"/>
      <c r="C82" s="178"/>
      <c r="D82" s="178"/>
      <c r="K82"/>
      <c r="L82"/>
      <c r="M82"/>
      <c r="N82"/>
    </row>
    <row r="83" spans="1:4" ht="12.75">
      <c r="A83" s="178"/>
      <c r="B83" s="178"/>
      <c r="C83" s="178"/>
      <c r="D83" s="178"/>
    </row>
    <row r="84" spans="1:4" ht="12.75">
      <c r="A84" s="178"/>
      <c r="B84" s="178"/>
      <c r="C84" s="178"/>
      <c r="D84" s="178"/>
    </row>
    <row r="85" spans="1:4" ht="12.75">
      <c r="A85" s="178"/>
      <c r="B85" s="178"/>
      <c r="C85" s="178"/>
      <c r="D85" s="178"/>
    </row>
    <row r="86" spans="1:14" s="1" customFormat="1" ht="12.75">
      <c r="A86"/>
      <c r="B86"/>
      <c r="C86"/>
      <c r="D86"/>
      <c r="E86" s="1" t="s">
        <v>26</v>
      </c>
      <c r="K86"/>
      <c r="L86"/>
      <c r="M86"/>
      <c r="N86"/>
    </row>
  </sheetData>
  <sheetProtection selectLockedCells="1" selectUnlockedCells="1"/>
  <mergeCells count="13">
    <mergeCell ref="A74:D74"/>
    <mergeCell ref="A14:D14"/>
    <mergeCell ref="A29:D29"/>
    <mergeCell ref="A43:D43"/>
    <mergeCell ref="A48:D48"/>
    <mergeCell ref="A55:D55"/>
    <mergeCell ref="A69:D69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="80" zoomScaleNormal="80" zoomScalePageLayoutView="0" workbookViewId="0" topLeftCell="A19">
      <selection activeCell="D40" sqref="D40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560" t="s">
        <v>0</v>
      </c>
      <c r="B1" s="560"/>
      <c r="C1" s="560"/>
      <c r="D1" s="560"/>
    </row>
    <row r="2" spans="1:4" ht="15.75">
      <c r="A2" s="561" t="s">
        <v>220</v>
      </c>
      <c r="B2" s="562"/>
      <c r="C2" s="562"/>
      <c r="D2" s="562"/>
    </row>
    <row r="3" spans="1:4" ht="15.75">
      <c r="A3" s="562" t="s">
        <v>1</v>
      </c>
      <c r="B3" s="562"/>
      <c r="C3" s="562"/>
      <c r="D3" s="562"/>
    </row>
    <row r="4" spans="1:4" ht="12.75">
      <c r="A4" s="563" t="s">
        <v>100</v>
      </c>
      <c r="B4" s="563"/>
      <c r="C4" s="563"/>
      <c r="D4" s="563"/>
    </row>
    <row r="5" spans="1:5" ht="12.75">
      <c r="A5" s="564" t="s">
        <v>266</v>
      </c>
      <c r="B5" s="563"/>
      <c r="C5" s="563"/>
      <c r="D5" s="563"/>
      <c r="E5" s="109"/>
    </row>
    <row r="6" spans="1:5" ht="9" customHeight="1">
      <c r="A6" s="258"/>
      <c r="B6" s="178"/>
      <c r="C6" s="178"/>
      <c r="D6" s="178"/>
      <c r="E6" s="109"/>
    </row>
    <row r="7" spans="1:5" ht="18" customHeight="1">
      <c r="A7" s="565" t="s">
        <v>2</v>
      </c>
      <c r="B7" s="565"/>
      <c r="C7" s="565"/>
      <c r="D7" s="565"/>
      <c r="E7" s="109"/>
    </row>
    <row r="8" spans="1:5" ht="12.75">
      <c r="A8" s="258" t="s">
        <v>162</v>
      </c>
      <c r="B8" s="178"/>
      <c r="C8" s="183"/>
      <c r="D8" s="178"/>
      <c r="E8" s="109"/>
    </row>
    <row r="9" spans="1:5" ht="12.75">
      <c r="A9" s="184" t="s">
        <v>3</v>
      </c>
      <c r="B9" s="184" t="s">
        <v>4</v>
      </c>
      <c r="C9" s="184" t="s">
        <v>5</v>
      </c>
      <c r="D9" s="185"/>
      <c r="E9" s="109"/>
    </row>
    <row r="10" spans="1:5" ht="12.75">
      <c r="A10" s="186">
        <v>1</v>
      </c>
      <c r="B10" s="186">
        <v>2</v>
      </c>
      <c r="C10" s="186">
        <v>3</v>
      </c>
      <c r="D10" s="187">
        <v>4</v>
      </c>
      <c r="E10" s="109"/>
    </row>
    <row r="11" spans="1:5" ht="12.75">
      <c r="A11" s="20" t="s">
        <v>6</v>
      </c>
      <c r="B11" s="188"/>
      <c r="C11" s="189" t="s">
        <v>262</v>
      </c>
      <c r="D11" s="190"/>
      <c r="E11" s="109"/>
    </row>
    <row r="12" spans="1:5" ht="12.75">
      <c r="A12" s="20" t="s">
        <v>7</v>
      </c>
      <c r="B12" s="188"/>
      <c r="C12" s="189" t="s">
        <v>263</v>
      </c>
      <c r="D12" s="190"/>
      <c r="E12" s="109"/>
    </row>
    <row r="13" spans="1:5" ht="12.75">
      <c r="A13" s="20" t="s">
        <v>8</v>
      </c>
      <c r="B13" s="188"/>
      <c r="C13" s="189" t="s">
        <v>267</v>
      </c>
      <c r="D13" s="190"/>
      <c r="E13" s="109"/>
    </row>
    <row r="14" spans="1:8" ht="31.5" customHeight="1">
      <c r="A14" s="567" t="s">
        <v>9</v>
      </c>
      <c r="B14" s="567"/>
      <c r="C14" s="567"/>
      <c r="D14" s="567"/>
      <c r="E14" s="109"/>
      <c r="F14" s="109"/>
      <c r="G14" s="109"/>
      <c r="H14" s="109"/>
    </row>
    <row r="15" spans="1:8" ht="26.25">
      <c r="A15" s="17" t="s">
        <v>10</v>
      </c>
      <c r="B15" s="191" t="s">
        <v>11</v>
      </c>
      <c r="C15" s="194">
        <v>49418.91</v>
      </c>
      <c r="D15" s="193"/>
      <c r="E15" s="109"/>
      <c r="F15" s="109"/>
      <c r="G15" s="109"/>
      <c r="H15" s="109"/>
    </row>
    <row r="16" spans="1:8" ht="15.75">
      <c r="A16" s="20" t="s">
        <v>12</v>
      </c>
      <c r="B16" s="191" t="s">
        <v>11</v>
      </c>
      <c r="C16" s="192">
        <v>0</v>
      </c>
      <c r="D16" s="193"/>
      <c r="E16" s="109"/>
      <c r="F16" s="109"/>
      <c r="G16" s="109"/>
      <c r="H16" s="109"/>
    </row>
    <row r="17" spans="1:8" ht="15.75">
      <c r="A17" s="20" t="s">
        <v>13</v>
      </c>
      <c r="B17" s="191" t="s">
        <v>11</v>
      </c>
      <c r="C17" s="194">
        <v>1747.9</v>
      </c>
      <c r="D17" s="195"/>
      <c r="E17" s="109"/>
      <c r="F17" s="109"/>
      <c r="G17" s="109"/>
      <c r="H17" s="109"/>
    </row>
    <row r="18" spans="1:8" ht="31.5" customHeight="1">
      <c r="A18" s="17" t="s">
        <v>14</v>
      </c>
      <c r="B18" s="191" t="s">
        <v>11</v>
      </c>
      <c r="C18" s="194">
        <f>18420.84+2280.96</f>
        <v>20701.8</v>
      </c>
      <c r="D18" s="195"/>
      <c r="E18" s="110">
        <f>C18-C20</f>
        <v>11398.439999999999</v>
      </c>
      <c r="F18" s="109"/>
      <c r="G18" s="109"/>
      <c r="H18" s="109"/>
    </row>
    <row r="19" spans="1:8" ht="15.75">
      <c r="A19" s="20" t="s">
        <v>15</v>
      </c>
      <c r="B19" s="191" t="s">
        <v>11</v>
      </c>
      <c r="C19" s="194">
        <f>C18-C20-C21</f>
        <v>5203.943999999998</v>
      </c>
      <c r="D19" s="195"/>
      <c r="E19" s="110">
        <f>E18-E39</f>
        <v>-0.004000000000814907</v>
      </c>
      <c r="F19" s="109"/>
      <c r="G19" s="109"/>
      <c r="H19" s="109"/>
    </row>
    <row r="20" spans="1:8" ht="15.75">
      <c r="A20" s="20" t="s">
        <v>16</v>
      </c>
      <c r="B20" s="191" t="s">
        <v>11</v>
      </c>
      <c r="C20" s="194">
        <f>4.75*12*123.2+2280.96</f>
        <v>9303.36</v>
      </c>
      <c r="D20" s="195"/>
      <c r="E20" s="111"/>
      <c r="F20" s="109"/>
      <c r="G20" s="109"/>
      <c r="H20" s="109"/>
    </row>
    <row r="21" spans="1:8" ht="15.75">
      <c r="A21" s="20" t="s">
        <v>17</v>
      </c>
      <c r="B21" s="191" t="s">
        <v>11</v>
      </c>
      <c r="C21" s="196">
        <f>123.2*4.19*12</f>
        <v>6194.496000000001</v>
      </c>
      <c r="D21" s="195"/>
      <c r="E21" s="109"/>
      <c r="F21" s="109"/>
      <c r="G21" s="109"/>
      <c r="H21" s="109"/>
    </row>
    <row r="22" spans="1:8" ht="15.75">
      <c r="A22" s="20" t="s">
        <v>18</v>
      </c>
      <c r="B22" s="191" t="s">
        <v>11</v>
      </c>
      <c r="C22" s="194">
        <f>C23+C24+C25+C26+C27</f>
        <v>21399.450660000002</v>
      </c>
      <c r="D22" s="195" t="s">
        <v>19</v>
      </c>
      <c r="E22" s="110"/>
      <c r="F22" s="109"/>
      <c r="G22" s="109"/>
      <c r="H22" s="109"/>
    </row>
    <row r="23" spans="1:8" ht="15.75">
      <c r="A23" s="20" t="s">
        <v>20</v>
      </c>
      <c r="B23" s="191" t="s">
        <v>11</v>
      </c>
      <c r="C23" s="194">
        <f>C18*1.0337</f>
        <v>21399.450660000002</v>
      </c>
      <c r="D23" s="195"/>
      <c r="E23" s="109"/>
      <c r="F23" s="109"/>
      <c r="G23" s="109"/>
      <c r="H23" s="109"/>
    </row>
    <row r="24" spans="1:8" ht="15.75">
      <c r="A24" s="20" t="s">
        <v>21</v>
      </c>
      <c r="B24" s="191" t="s">
        <v>11</v>
      </c>
      <c r="C24" s="194">
        <v>0</v>
      </c>
      <c r="D24" s="197">
        <v>65.21</v>
      </c>
      <c r="E24" s="111" t="e">
        <f>B24/#REF!*1</f>
        <v>#VALUE!</v>
      </c>
      <c r="F24" s="109"/>
      <c r="G24" s="109"/>
      <c r="H24" s="109" t="s">
        <v>22</v>
      </c>
    </row>
    <row r="25" spans="1:8" ht="15.75">
      <c r="A25" s="20" t="s">
        <v>23</v>
      </c>
      <c r="B25" s="191" t="s">
        <v>11</v>
      </c>
      <c r="C25" s="194">
        <v>0</v>
      </c>
      <c r="D25" s="197">
        <v>119.63</v>
      </c>
      <c r="E25" s="111" t="e">
        <f>B25/#REF!*1</f>
        <v>#VALUE!</v>
      </c>
      <c r="F25" s="109"/>
      <c r="G25" s="109"/>
      <c r="H25" s="109"/>
    </row>
    <row r="26" spans="1:8" ht="15.75">
      <c r="A26" s="188" t="s">
        <v>24</v>
      </c>
      <c r="B26" s="191" t="s">
        <v>11</v>
      </c>
      <c r="C26" s="194">
        <v>0</v>
      </c>
      <c r="D26" s="197"/>
      <c r="E26" s="111" t="e">
        <f>B26/#REF!*1</f>
        <v>#VALUE!</v>
      </c>
      <c r="F26" s="109"/>
      <c r="G26" s="109"/>
      <c r="H26" s="109"/>
    </row>
    <row r="27" spans="1:8" ht="16.5" customHeight="1">
      <c r="A27" s="198" t="s">
        <v>96</v>
      </c>
      <c r="B27" s="191" t="s">
        <v>11</v>
      </c>
      <c r="C27" s="194">
        <v>0</v>
      </c>
      <c r="D27" s="197">
        <v>139.18</v>
      </c>
      <c r="E27" s="111" t="e">
        <f>B27/#REF!*1</f>
        <v>#VALUE!</v>
      </c>
      <c r="F27" s="109"/>
      <c r="G27" s="109"/>
      <c r="H27" s="109"/>
    </row>
    <row r="28" spans="1:8" ht="15.75">
      <c r="A28" s="20" t="s">
        <v>25</v>
      </c>
      <c r="B28" s="191" t="s">
        <v>11</v>
      </c>
      <c r="C28" s="194">
        <f>C15+C22</f>
        <v>70818.36066</v>
      </c>
      <c r="D28" s="195" t="s">
        <v>26</v>
      </c>
      <c r="E28" s="111" t="e">
        <f>B28/#REF!*1</f>
        <v>#VALUE!</v>
      </c>
      <c r="F28" s="109"/>
      <c r="G28" s="109"/>
      <c r="H28" s="109"/>
    </row>
    <row r="29" spans="1:8" ht="35.25" customHeight="1">
      <c r="A29" s="568" t="s">
        <v>27</v>
      </c>
      <c r="B29" s="568"/>
      <c r="C29" s="568"/>
      <c r="D29" s="568"/>
      <c r="E29" s="109"/>
      <c r="F29" s="109"/>
      <c r="G29" s="109"/>
      <c r="H29" s="109"/>
    </row>
    <row r="30" spans="1:8" ht="63">
      <c r="A30" s="271" t="s">
        <v>28</v>
      </c>
      <c r="B30" s="307" t="s">
        <v>29</v>
      </c>
      <c r="C30" s="286" t="s">
        <v>30</v>
      </c>
      <c r="D30" s="308" t="s">
        <v>31</v>
      </c>
      <c r="E30" s="109"/>
      <c r="F30" s="109"/>
      <c r="G30" s="109"/>
      <c r="H30" s="109"/>
    </row>
    <row r="31" spans="1:8" ht="15.75">
      <c r="A31" s="203" t="s">
        <v>32</v>
      </c>
      <c r="B31" s="204" t="s">
        <v>33</v>
      </c>
      <c r="C31" s="205" t="s">
        <v>34</v>
      </c>
      <c r="D31" s="206">
        <f>0.85*12*123.2</f>
        <v>1256.6399999999999</v>
      </c>
      <c r="E31" s="109"/>
      <c r="F31" s="109"/>
      <c r="G31" s="109"/>
      <c r="H31" s="109"/>
    </row>
    <row r="32" spans="1:8" ht="15.75">
      <c r="A32" s="207" t="s">
        <v>36</v>
      </c>
      <c r="B32" s="208" t="s">
        <v>33</v>
      </c>
      <c r="C32" s="209" t="s">
        <v>37</v>
      </c>
      <c r="D32" s="210">
        <f>0.24*12*123.2</f>
        <v>354.816</v>
      </c>
      <c r="E32" s="109"/>
      <c r="F32" s="109"/>
      <c r="G32" s="109"/>
      <c r="H32" s="109"/>
    </row>
    <row r="33" spans="1:8" ht="15.75">
      <c r="A33" s="207" t="s">
        <v>99</v>
      </c>
      <c r="B33" s="208" t="s">
        <v>33</v>
      </c>
      <c r="C33" s="209" t="s">
        <v>34</v>
      </c>
      <c r="D33" s="210">
        <f>0.16*12*123.2</f>
        <v>236.54399999999998</v>
      </c>
      <c r="E33" s="109"/>
      <c r="F33" s="109"/>
      <c r="G33" s="109"/>
      <c r="H33" s="109"/>
    </row>
    <row r="34" spans="1:8" ht="15.75">
      <c r="A34" s="207" t="s">
        <v>81</v>
      </c>
      <c r="B34" s="213" t="s">
        <v>82</v>
      </c>
      <c r="C34" s="209" t="s">
        <v>34</v>
      </c>
      <c r="D34" s="210">
        <f>1.33*12*123.2</f>
        <v>1966.2720000000002</v>
      </c>
      <c r="E34" s="109"/>
      <c r="F34" s="109"/>
      <c r="G34" s="109"/>
      <c r="H34" s="109"/>
    </row>
    <row r="35" spans="1:8" ht="15.75">
      <c r="A35" s="207" t="s">
        <v>38</v>
      </c>
      <c r="B35" s="208" t="s">
        <v>35</v>
      </c>
      <c r="C35" s="362" t="s">
        <v>221</v>
      </c>
      <c r="D35" s="210">
        <f>4.19*123.2*12</f>
        <v>6194.496000000001</v>
      </c>
      <c r="E35" s="109"/>
      <c r="F35" s="109"/>
      <c r="G35" s="109"/>
      <c r="H35" s="109"/>
    </row>
    <row r="36" spans="1:8" ht="15.75">
      <c r="A36" s="207" t="s">
        <v>85</v>
      </c>
      <c r="B36" s="208" t="s">
        <v>222</v>
      </c>
      <c r="C36" s="214" t="s">
        <v>37</v>
      </c>
      <c r="D36" s="210">
        <f>123.2*12*0.94-0.02</f>
        <v>1389.676</v>
      </c>
      <c r="E36" s="109"/>
      <c r="F36" s="109"/>
      <c r="G36" s="109"/>
      <c r="H36" s="109"/>
    </row>
    <row r="37" spans="1:14" s="1" customFormat="1" ht="47.25">
      <c r="A37" s="365" t="s">
        <v>40</v>
      </c>
      <c r="B37" s="215" t="s">
        <v>41</v>
      </c>
      <c r="C37" s="221"/>
      <c r="D37" s="175">
        <v>0</v>
      </c>
      <c r="E37" s="109"/>
      <c r="F37" s="109"/>
      <c r="G37" s="109"/>
      <c r="H37" s="109"/>
      <c r="K37"/>
      <c r="L37"/>
      <c r="M37"/>
      <c r="N37"/>
    </row>
    <row r="38" spans="1:14" s="1" customFormat="1" ht="15.75">
      <c r="A38" s="216" t="s">
        <v>304</v>
      </c>
      <c r="B38" s="217" t="s">
        <v>148</v>
      </c>
      <c r="C38" s="366" t="s">
        <v>227</v>
      </c>
      <c r="D38" s="176">
        <v>19783</v>
      </c>
      <c r="E38" s="109"/>
      <c r="F38" s="109"/>
      <c r="G38" s="109"/>
      <c r="H38" s="109"/>
      <c r="K38"/>
      <c r="L38"/>
      <c r="M38"/>
      <c r="N38"/>
    </row>
    <row r="39" spans="1:14" s="1" customFormat="1" ht="15.75">
      <c r="A39" s="37" t="s">
        <v>42</v>
      </c>
      <c r="B39" s="222"/>
      <c r="C39" s="223"/>
      <c r="D39" s="97">
        <f>D31+D32+D33+D34+D35+D36+D37</f>
        <v>11398.444</v>
      </c>
      <c r="E39" s="112">
        <f>D39-D37</f>
        <v>11398.444</v>
      </c>
      <c r="F39" s="109"/>
      <c r="G39" s="109"/>
      <c r="H39" s="109"/>
      <c r="K39"/>
      <c r="L39"/>
      <c r="M39"/>
      <c r="N39"/>
    </row>
    <row r="40" spans="1:14" s="1" customFormat="1" ht="15.75">
      <c r="A40" s="40" t="s">
        <v>43</v>
      </c>
      <c r="B40" s="224" t="s">
        <v>11</v>
      </c>
      <c r="C40" s="225"/>
      <c r="D40" s="226">
        <f>C28-D39</f>
        <v>59419.91666</v>
      </c>
      <c r="E40" s="112"/>
      <c r="F40" s="109"/>
      <c r="G40" s="109"/>
      <c r="H40" s="109"/>
      <c r="K40"/>
      <c r="L40"/>
      <c r="M40"/>
      <c r="N40"/>
    </row>
    <row r="41" spans="1:14" s="1" customFormat="1" ht="15.75">
      <c r="A41" s="227" t="s">
        <v>12</v>
      </c>
      <c r="B41" s="228" t="s">
        <v>11</v>
      </c>
      <c r="C41" s="209"/>
      <c r="D41" s="193">
        <v>0</v>
      </c>
      <c r="E41" s="109"/>
      <c r="F41" s="109"/>
      <c r="G41" s="109"/>
      <c r="H41" s="109"/>
      <c r="K41"/>
      <c r="L41"/>
      <c r="M41"/>
      <c r="N41"/>
    </row>
    <row r="42" spans="1:14" s="1" customFormat="1" ht="15.75">
      <c r="A42" s="227" t="s">
        <v>13</v>
      </c>
      <c r="B42" s="228" t="s">
        <v>11</v>
      </c>
      <c r="C42" s="209"/>
      <c r="D42" s="195">
        <f>C17+C18-C23</f>
        <v>1050.2493399999985</v>
      </c>
      <c r="E42" s="109"/>
      <c r="F42" s="109"/>
      <c r="G42" s="109"/>
      <c r="H42" s="109"/>
      <c r="K42"/>
      <c r="L42"/>
      <c r="M42"/>
      <c r="N42"/>
    </row>
    <row r="43" spans="1:14" s="1" customFormat="1" ht="24" customHeight="1">
      <c r="A43" s="569" t="s">
        <v>44</v>
      </c>
      <c r="B43" s="569"/>
      <c r="C43" s="569"/>
      <c r="D43" s="569"/>
      <c r="E43" s="109"/>
      <c r="F43" s="109"/>
      <c r="G43" s="109"/>
      <c r="H43" s="109"/>
      <c r="K43"/>
      <c r="L43"/>
      <c r="M43"/>
      <c r="N43"/>
    </row>
    <row r="44" spans="1:14" s="1" customFormat="1" ht="15.75">
      <c r="A44" s="227" t="s">
        <v>45</v>
      </c>
      <c r="B44" s="208" t="s">
        <v>46</v>
      </c>
      <c r="C44" s="209"/>
      <c r="D44" s="193">
        <v>0</v>
      </c>
      <c r="E44" s="109"/>
      <c r="F44" s="109"/>
      <c r="G44" s="109"/>
      <c r="H44" s="109"/>
      <c r="K44"/>
      <c r="L44"/>
      <c r="M44"/>
      <c r="N44"/>
    </row>
    <row r="45" spans="1:14" s="1" customFormat="1" ht="15.75">
      <c r="A45" s="227" t="s">
        <v>47</v>
      </c>
      <c r="B45" s="208" t="s">
        <v>46</v>
      </c>
      <c r="C45" s="209"/>
      <c r="D45" s="193">
        <v>0</v>
      </c>
      <c r="E45" s="109"/>
      <c r="F45" s="109"/>
      <c r="G45" s="109"/>
      <c r="H45" s="109"/>
      <c r="K45"/>
      <c r="L45"/>
      <c r="M45"/>
      <c r="N45"/>
    </row>
    <row r="46" spans="1:14" s="1" customFormat="1" ht="15.75">
      <c r="A46" s="229" t="s">
        <v>48</v>
      </c>
      <c r="B46" s="208" t="s">
        <v>46</v>
      </c>
      <c r="C46" s="209"/>
      <c r="D46" s="193">
        <v>0</v>
      </c>
      <c r="E46" s="109"/>
      <c r="F46" s="109"/>
      <c r="G46" s="109"/>
      <c r="H46" s="109"/>
      <c r="K46"/>
      <c r="L46"/>
      <c r="M46"/>
      <c r="N46"/>
    </row>
    <row r="47" spans="1:14" s="1" customFormat="1" ht="15.75">
      <c r="A47" s="227" t="s">
        <v>49</v>
      </c>
      <c r="B47" s="208" t="s">
        <v>11</v>
      </c>
      <c r="C47" s="209"/>
      <c r="D47" s="193">
        <v>0</v>
      </c>
      <c r="E47" s="109"/>
      <c r="F47" s="109"/>
      <c r="G47" s="109"/>
      <c r="H47" s="109"/>
      <c r="K47"/>
      <c r="L47"/>
      <c r="M47"/>
      <c r="N47"/>
    </row>
    <row r="48" spans="1:8" ht="20.25" customHeight="1">
      <c r="A48" s="570" t="s">
        <v>50</v>
      </c>
      <c r="B48" s="570"/>
      <c r="C48" s="570"/>
      <c r="D48" s="570"/>
      <c r="E48" s="109"/>
      <c r="F48" s="109"/>
      <c r="G48" s="109"/>
      <c r="H48" s="109"/>
    </row>
    <row r="49" spans="1:8" ht="26.25">
      <c r="A49" s="229" t="s">
        <v>51</v>
      </c>
      <c r="B49" s="208" t="s">
        <v>11</v>
      </c>
      <c r="C49" s="209"/>
      <c r="D49" s="193">
        <v>0</v>
      </c>
      <c r="E49" s="109"/>
      <c r="F49" s="109"/>
      <c r="G49" s="109"/>
      <c r="H49" s="109"/>
    </row>
    <row r="50" spans="1:8" ht="15.75">
      <c r="A50" s="227" t="s">
        <v>12</v>
      </c>
      <c r="B50" s="208" t="s">
        <v>11</v>
      </c>
      <c r="C50" s="209"/>
      <c r="D50" s="193">
        <v>0</v>
      </c>
      <c r="E50" s="109"/>
      <c r="F50" s="109"/>
      <c r="G50" s="109"/>
      <c r="H50" s="109"/>
    </row>
    <row r="51" spans="1:8" ht="15.75">
      <c r="A51" s="227" t="s">
        <v>13</v>
      </c>
      <c r="B51" s="208" t="s">
        <v>11</v>
      </c>
      <c r="C51" s="209"/>
      <c r="D51" s="237">
        <f>D54-D57-D60</f>
        <v>1968.6124370000002</v>
      </c>
      <c r="E51" s="109"/>
      <c r="F51" s="109"/>
      <c r="G51" s="109"/>
      <c r="H51" s="113"/>
    </row>
    <row r="52" spans="1:8" ht="26.25">
      <c r="A52" s="231" t="s">
        <v>52</v>
      </c>
      <c r="B52" s="208" t="s">
        <v>11</v>
      </c>
      <c r="C52" s="232"/>
      <c r="D52" s="233">
        <v>0</v>
      </c>
      <c r="E52" s="109"/>
      <c r="F52" s="109"/>
      <c r="G52" s="109"/>
      <c r="H52" s="109"/>
    </row>
    <row r="53" spans="1:10" ht="17.25" customHeight="1">
      <c r="A53" s="254" t="s">
        <v>12</v>
      </c>
      <c r="B53" s="208" t="s">
        <v>11</v>
      </c>
      <c r="C53" s="276"/>
      <c r="D53" s="55">
        <v>0</v>
      </c>
      <c r="E53" s="109"/>
      <c r="F53" s="109"/>
      <c r="G53" s="109"/>
      <c r="H53" s="109"/>
      <c r="I53" s="49"/>
      <c r="J53" s="49"/>
    </row>
    <row r="54" spans="1:14" ht="15.75">
      <c r="A54" s="235" t="s">
        <v>13</v>
      </c>
      <c r="B54" s="208" t="s">
        <v>11</v>
      </c>
      <c r="C54" s="236"/>
      <c r="D54" s="237">
        <v>1708.01</v>
      </c>
      <c r="E54" s="109"/>
      <c r="F54" s="109"/>
      <c r="G54" s="109"/>
      <c r="H54" s="109" t="s">
        <v>26</v>
      </c>
      <c r="I54" s="60"/>
      <c r="J54" s="60"/>
      <c r="K54" s="61"/>
      <c r="L54" s="61"/>
      <c r="M54" s="61"/>
      <c r="N54" s="61"/>
    </row>
    <row r="55" spans="1:14" ht="18" customHeight="1">
      <c r="A55" s="571" t="s">
        <v>53</v>
      </c>
      <c r="B55" s="571"/>
      <c r="C55" s="571"/>
      <c r="D55" s="571"/>
      <c r="E55" s="114"/>
      <c r="F55" s="115"/>
      <c r="G55" s="116"/>
      <c r="H55" s="109"/>
      <c r="I55" s="65"/>
      <c r="J55" s="65"/>
      <c r="K55" s="66"/>
      <c r="L55" s="66"/>
      <c r="M55" s="66"/>
      <c r="N55" s="66"/>
    </row>
    <row r="56" spans="1:14" ht="47.25">
      <c r="A56" s="67" t="s">
        <v>54</v>
      </c>
      <c r="B56" s="68" t="s">
        <v>55</v>
      </c>
      <c r="C56" s="69" t="s">
        <v>56</v>
      </c>
      <c r="D56" s="70" t="s">
        <v>57</v>
      </c>
      <c r="E56" s="114"/>
      <c r="F56" s="115"/>
      <c r="G56" s="116"/>
      <c r="H56" s="109"/>
      <c r="I56" s="65"/>
      <c r="J56" s="71"/>
      <c r="K56" s="66"/>
      <c r="L56" s="66"/>
      <c r="M56" s="66"/>
      <c r="N56" s="66"/>
    </row>
    <row r="57" spans="1:14" ht="15.75">
      <c r="A57" s="238" t="s">
        <v>58</v>
      </c>
      <c r="B57" s="239">
        <v>831.66</v>
      </c>
      <c r="C57" s="240">
        <f>B57*1.0337</f>
        <v>859.686942</v>
      </c>
      <c r="D57" s="367">
        <f>B57-C57</f>
        <v>-28.026942000000076</v>
      </c>
      <c r="E57" s="117"/>
      <c r="F57" s="115"/>
      <c r="G57" s="116"/>
      <c r="H57" s="109"/>
      <c r="I57" s="65"/>
      <c r="J57" s="65"/>
      <c r="K57" s="66"/>
      <c r="L57" s="66"/>
      <c r="M57" s="66"/>
      <c r="N57" s="66"/>
    </row>
    <row r="58" spans="1:14" ht="15.75">
      <c r="A58" s="238" t="s">
        <v>59</v>
      </c>
      <c r="B58" s="239">
        <v>0</v>
      </c>
      <c r="C58" s="240">
        <f>B58*1.0337</f>
        <v>0</v>
      </c>
      <c r="D58" s="367">
        <f>B58-C58</f>
        <v>0</v>
      </c>
      <c r="E58" s="114"/>
      <c r="F58" s="115"/>
      <c r="G58" s="116"/>
      <c r="H58" s="109"/>
      <c r="I58" s="65"/>
      <c r="J58" s="65"/>
      <c r="K58" s="66"/>
      <c r="L58" s="66"/>
      <c r="M58" s="66"/>
      <c r="N58" s="66"/>
    </row>
    <row r="59" spans="1:14" ht="15.75">
      <c r="A59" s="238" t="s">
        <v>60</v>
      </c>
      <c r="B59" s="242">
        <v>0</v>
      </c>
      <c r="C59" s="240">
        <f>B59*1.0337</f>
        <v>0</v>
      </c>
      <c r="D59" s="367">
        <f>B59-C59</f>
        <v>0</v>
      </c>
      <c r="E59" s="114">
        <f>(2.07+1.8)*6*2301.2-0.37*2301.2*6</f>
        <v>48325.2</v>
      </c>
      <c r="F59" s="118"/>
      <c r="G59" s="119"/>
      <c r="H59" s="114"/>
      <c r="I59" s="65"/>
      <c r="J59" s="65"/>
      <c r="K59" s="66"/>
      <c r="L59" s="66"/>
      <c r="M59" s="66"/>
      <c r="N59" s="66"/>
    </row>
    <row r="60" spans="1:14" ht="16.5" thickBot="1">
      <c r="A60" s="261" t="s">
        <v>236</v>
      </c>
      <c r="B60" s="262">
        <v>6901.35</v>
      </c>
      <c r="C60" s="240">
        <f>B60*1.0337</f>
        <v>7133.925495</v>
      </c>
      <c r="D60" s="408">
        <f>B60-C60</f>
        <v>-232.57549500000005</v>
      </c>
      <c r="E60" s="114"/>
      <c r="F60" s="118"/>
      <c r="G60" s="119"/>
      <c r="H60" s="109"/>
      <c r="I60" s="65"/>
      <c r="J60" s="65"/>
      <c r="K60" s="66"/>
      <c r="L60" s="66"/>
      <c r="M60" s="66"/>
      <c r="N60" s="66"/>
    </row>
    <row r="61" spans="1:14" ht="63">
      <c r="A61" s="129" t="s">
        <v>62</v>
      </c>
      <c r="B61" s="141" t="s">
        <v>63</v>
      </c>
      <c r="C61" s="142" t="s">
        <v>64</v>
      </c>
      <c r="D61" s="143" t="s">
        <v>65</v>
      </c>
      <c r="E61" s="114"/>
      <c r="F61" s="118"/>
      <c r="G61" s="109"/>
      <c r="H61" s="120"/>
      <c r="I61" s="65"/>
      <c r="J61" s="65"/>
      <c r="K61" s="66"/>
      <c r="L61" s="66"/>
      <c r="M61" s="66"/>
      <c r="N61" s="66"/>
    </row>
    <row r="62" spans="1:14" ht="15.75">
      <c r="A62" s="265" t="s">
        <v>58</v>
      </c>
      <c r="B62" s="244">
        <f>B57</f>
        <v>831.66</v>
      </c>
      <c r="C62" s="245">
        <f>C57</f>
        <v>859.686942</v>
      </c>
      <c r="D62" s="409">
        <f>B62-C62</f>
        <v>-28.026942000000076</v>
      </c>
      <c r="E62" s="114"/>
      <c r="F62" s="118"/>
      <c r="G62" s="109"/>
      <c r="H62" s="120"/>
      <c r="I62" s="65"/>
      <c r="J62" s="65" t="s">
        <v>26</v>
      </c>
      <c r="K62" s="66"/>
      <c r="L62" s="66"/>
      <c r="M62" s="66"/>
      <c r="N62" s="66"/>
    </row>
    <row r="63" spans="1:14" ht="15.75">
      <c r="A63" s="265" t="s">
        <v>59</v>
      </c>
      <c r="B63" s="244">
        <v>0</v>
      </c>
      <c r="C63" s="245">
        <f>C58*1.0063</f>
        <v>0</v>
      </c>
      <c r="D63" s="409">
        <f>D58*1.0063</f>
        <v>0</v>
      </c>
      <c r="E63" s="114"/>
      <c r="F63" s="73"/>
      <c r="H63" s="65"/>
      <c r="I63" s="65"/>
      <c r="J63" s="65"/>
      <c r="K63" s="66"/>
      <c r="L63" s="66"/>
      <c r="M63" s="66"/>
      <c r="N63" s="66"/>
    </row>
    <row r="64" spans="1:14" ht="15.75">
      <c r="A64" s="265" t="s">
        <v>60</v>
      </c>
      <c r="B64" s="244">
        <v>0</v>
      </c>
      <c r="C64" s="245">
        <f>C59*1.0063</f>
        <v>0</v>
      </c>
      <c r="D64" s="409">
        <f>D59*1.0063</f>
        <v>0</v>
      </c>
      <c r="E64" s="114"/>
      <c r="F64" s="73"/>
      <c r="H64" s="65"/>
      <c r="I64" s="65"/>
      <c r="J64" s="65"/>
      <c r="K64" s="66"/>
      <c r="L64" s="66"/>
      <c r="M64" s="66"/>
      <c r="N64" s="66"/>
    </row>
    <row r="65" spans="1:14" ht="16.5" thickBot="1">
      <c r="A65" s="396" t="s">
        <v>236</v>
      </c>
      <c r="B65" s="397">
        <f>B60</f>
        <v>6901.35</v>
      </c>
      <c r="C65" s="398">
        <f>C60</f>
        <v>7133.925495</v>
      </c>
      <c r="D65" s="410">
        <f>B65-C65</f>
        <v>-232.57549500000005</v>
      </c>
      <c r="E65" s="114"/>
      <c r="F65" s="73"/>
      <c r="H65" s="65" t="s">
        <v>26</v>
      </c>
      <c r="I65" s="65"/>
      <c r="J65" s="65"/>
      <c r="K65" s="66"/>
      <c r="L65" s="66"/>
      <c r="M65" s="66"/>
      <c r="N65" s="66"/>
    </row>
    <row r="66" spans="1:14" ht="15.75">
      <c r="A66" s="247"/>
      <c r="B66" s="248"/>
      <c r="C66" s="249"/>
      <c r="D66" s="250"/>
      <c r="E66" s="114"/>
      <c r="F66" s="73"/>
      <c r="H66" s="65"/>
      <c r="I66" s="65"/>
      <c r="J66" s="65"/>
      <c r="K66" s="66"/>
      <c r="L66" s="66"/>
      <c r="M66" s="66"/>
      <c r="N66" s="66"/>
    </row>
    <row r="67" spans="1:14" ht="26.25">
      <c r="A67" s="251" t="s">
        <v>66</v>
      </c>
      <c r="B67" s="248" t="s">
        <v>11</v>
      </c>
      <c r="C67" s="252"/>
      <c r="D67" s="253">
        <v>0</v>
      </c>
      <c r="E67" s="114"/>
      <c r="F67" s="73"/>
      <c r="H67" s="65"/>
      <c r="I67" s="65"/>
      <c r="J67" s="65" t="s">
        <v>26</v>
      </c>
      <c r="K67" s="66"/>
      <c r="L67" s="66"/>
      <c r="M67" s="66"/>
      <c r="N67" s="66"/>
    </row>
    <row r="68" spans="1:14" ht="17.25" customHeight="1">
      <c r="A68" s="572" t="s">
        <v>67</v>
      </c>
      <c r="B68" s="572"/>
      <c r="C68" s="572"/>
      <c r="D68" s="572"/>
      <c r="E68" s="121" t="e">
        <f>D68+B19</f>
        <v>#VALUE!</v>
      </c>
      <c r="F68" s="65"/>
      <c r="H68" s="84" t="e">
        <f>E68-B18</f>
        <v>#VALUE!</v>
      </c>
      <c r="I68" s="65"/>
      <c r="J68" s="65"/>
      <c r="K68" s="66"/>
      <c r="L68" s="66"/>
      <c r="M68" s="66"/>
      <c r="N68" s="66"/>
    </row>
    <row r="69" spans="1:5" ht="21" customHeight="1">
      <c r="A69" s="86" t="s">
        <v>45</v>
      </c>
      <c r="B69" s="86" t="s">
        <v>46</v>
      </c>
      <c r="C69" s="86"/>
      <c r="D69" s="177">
        <v>0</v>
      </c>
      <c r="E69" s="123"/>
    </row>
    <row r="70" spans="1:5" ht="21" customHeight="1">
      <c r="A70" s="86" t="s">
        <v>47</v>
      </c>
      <c r="B70" s="86" t="s">
        <v>46</v>
      </c>
      <c r="C70" s="86"/>
      <c r="D70" s="177">
        <v>0</v>
      </c>
      <c r="E70" s="123"/>
    </row>
    <row r="71" spans="1:5" ht="18" customHeight="1">
      <c r="A71" s="86" t="s">
        <v>48</v>
      </c>
      <c r="B71" s="86" t="s">
        <v>46</v>
      </c>
      <c r="C71" s="86"/>
      <c r="D71" s="177">
        <v>0</v>
      </c>
      <c r="E71" s="123"/>
    </row>
    <row r="72" spans="1:5" ht="16.5" customHeight="1">
      <c r="A72" s="86" t="s">
        <v>49</v>
      </c>
      <c r="B72" s="86" t="s">
        <v>11</v>
      </c>
      <c r="C72" s="86"/>
      <c r="D72" s="177">
        <v>0</v>
      </c>
      <c r="E72" s="123"/>
    </row>
    <row r="73" spans="1:5" ht="15.75" customHeight="1">
      <c r="A73" s="566" t="s">
        <v>68</v>
      </c>
      <c r="B73" s="566"/>
      <c r="C73" s="566"/>
      <c r="D73" s="566"/>
      <c r="E73" s="123"/>
    </row>
    <row r="74" spans="1:5" ht="18.75" customHeight="1">
      <c r="A74" s="86" t="s">
        <v>69</v>
      </c>
      <c r="B74" s="86" t="s">
        <v>46</v>
      </c>
      <c r="C74" s="86"/>
      <c r="D74" s="177">
        <v>0</v>
      </c>
      <c r="E74" s="123"/>
    </row>
    <row r="75" spans="1:5" ht="21.75" customHeight="1">
      <c r="A75" s="86" t="s">
        <v>70</v>
      </c>
      <c r="B75" s="254" t="s">
        <v>46</v>
      </c>
      <c r="C75" s="254"/>
      <c r="D75" s="177">
        <v>0</v>
      </c>
      <c r="E75" s="123"/>
    </row>
    <row r="76" spans="1:5" ht="36" customHeight="1">
      <c r="A76" s="255" t="s">
        <v>71</v>
      </c>
      <c r="B76" s="86" t="s">
        <v>11</v>
      </c>
      <c r="C76" s="86"/>
      <c r="D76" s="177">
        <v>0</v>
      </c>
      <c r="E76" s="123"/>
    </row>
    <row r="77" spans="1:5" ht="15.75">
      <c r="A77" s="256"/>
      <c r="B77" s="256"/>
      <c r="C77" s="256"/>
      <c r="D77" s="257"/>
      <c r="E77" s="109"/>
    </row>
    <row r="78" spans="1:14" s="1" customFormat="1" ht="12.75">
      <c r="A78" s="178"/>
      <c r="B78" s="178"/>
      <c r="C78" s="178"/>
      <c r="D78" s="178"/>
      <c r="E78" s="109"/>
      <c r="H78" s="1" t="s">
        <v>26</v>
      </c>
      <c r="K78"/>
      <c r="L78"/>
      <c r="M78"/>
      <c r="N78"/>
    </row>
    <row r="79" spans="1:14" s="1" customFormat="1" ht="12.75">
      <c r="A79" s="178" t="s">
        <v>72</v>
      </c>
      <c r="B79" s="178"/>
      <c r="C79" s="178"/>
      <c r="D79" s="178"/>
      <c r="E79" s="109"/>
      <c r="K79"/>
      <c r="L79"/>
      <c r="M79"/>
      <c r="N79"/>
    </row>
    <row r="80" spans="1:14" s="1" customFormat="1" ht="12.75">
      <c r="A80" s="178"/>
      <c r="B80" s="178"/>
      <c r="C80" s="178"/>
      <c r="D80" s="178"/>
      <c r="E80" s="109"/>
      <c r="H80" s="1" t="s">
        <v>26</v>
      </c>
      <c r="K80"/>
      <c r="L80"/>
      <c r="M80"/>
      <c r="N80"/>
    </row>
    <row r="81" spans="1:14" s="1" customFormat="1" ht="12.75">
      <c r="A81" s="178" t="s">
        <v>73</v>
      </c>
      <c r="B81" s="178"/>
      <c r="C81" s="178"/>
      <c r="D81" s="178"/>
      <c r="E81" s="109"/>
      <c r="K81"/>
      <c r="L81"/>
      <c r="M81"/>
      <c r="N81"/>
    </row>
    <row r="82" spans="1:4" ht="12.75">
      <c r="A82" s="178"/>
      <c r="B82" s="178"/>
      <c r="C82" s="178"/>
      <c r="D82" s="178"/>
    </row>
    <row r="83" spans="1:4" ht="12.75">
      <c r="A83" s="178"/>
      <c r="B83" s="178"/>
      <c r="C83" s="178"/>
      <c r="D83" s="178"/>
    </row>
    <row r="84" spans="1:4" ht="12.75">
      <c r="A84" s="178"/>
      <c r="B84" s="178"/>
      <c r="C84" s="178"/>
      <c r="D84" s="178"/>
    </row>
    <row r="85" spans="1:14" s="1" customFormat="1" ht="12.75">
      <c r="A85" s="178"/>
      <c r="B85" s="178"/>
      <c r="C85" s="178"/>
      <c r="D85" s="178"/>
      <c r="E85" s="1" t="s">
        <v>26</v>
      </c>
      <c r="K85"/>
      <c r="L85"/>
      <c r="M85"/>
      <c r="N85"/>
    </row>
  </sheetData>
  <sheetProtection selectLockedCells="1" selectUnlockedCells="1"/>
  <mergeCells count="13">
    <mergeCell ref="A73:D73"/>
    <mergeCell ref="A14:D14"/>
    <mergeCell ref="A29:D29"/>
    <mergeCell ref="A43:D43"/>
    <mergeCell ref="A48:D48"/>
    <mergeCell ref="A55:D55"/>
    <mergeCell ref="A68:D68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zoomScale="80" zoomScaleNormal="80" zoomScalePageLayoutView="0" workbookViewId="0" topLeftCell="A28">
      <selection activeCell="D38" sqref="D38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560" t="s">
        <v>0</v>
      </c>
      <c r="B1" s="560"/>
      <c r="C1" s="560"/>
      <c r="D1" s="560"/>
    </row>
    <row r="2" spans="1:4" ht="15.75">
      <c r="A2" s="561" t="s">
        <v>220</v>
      </c>
      <c r="B2" s="562"/>
      <c r="C2" s="562"/>
      <c r="D2" s="562"/>
    </row>
    <row r="3" spans="1:4" ht="15.75">
      <c r="A3" s="562" t="s">
        <v>1</v>
      </c>
      <c r="B3" s="562"/>
      <c r="C3" s="562"/>
      <c r="D3" s="562"/>
    </row>
    <row r="4" spans="1:4" ht="12.75">
      <c r="A4" s="563" t="s">
        <v>101</v>
      </c>
      <c r="B4" s="563"/>
      <c r="C4" s="563"/>
      <c r="D4" s="563"/>
    </row>
    <row r="5" spans="1:4" ht="12.75">
      <c r="A5" s="564" t="s">
        <v>266</v>
      </c>
      <c r="B5" s="563"/>
      <c r="C5" s="563"/>
      <c r="D5" s="563"/>
    </row>
    <row r="6" spans="1:4" ht="9" customHeight="1">
      <c r="A6" s="258"/>
      <c r="B6" s="178"/>
      <c r="C6" s="178"/>
      <c r="D6" s="178"/>
    </row>
    <row r="7" spans="1:4" ht="18" customHeight="1">
      <c r="A7" s="565" t="s">
        <v>2</v>
      </c>
      <c r="B7" s="565"/>
      <c r="C7" s="565"/>
      <c r="D7" s="565"/>
    </row>
    <row r="8" spans="1:5" ht="12.75">
      <c r="A8" s="258" t="s">
        <v>163</v>
      </c>
      <c r="B8" s="178"/>
      <c r="C8" s="183"/>
      <c r="D8" s="178"/>
      <c r="E8" s="109"/>
    </row>
    <row r="9" spans="1:5" ht="12.75">
      <c r="A9" s="184" t="s">
        <v>3</v>
      </c>
      <c r="B9" s="184" t="s">
        <v>4</v>
      </c>
      <c r="C9" s="184" t="s">
        <v>5</v>
      </c>
      <c r="D9" s="185"/>
      <c r="E9" s="109"/>
    </row>
    <row r="10" spans="1:5" ht="12.75">
      <c r="A10" s="186">
        <v>1</v>
      </c>
      <c r="B10" s="186">
        <v>2</v>
      </c>
      <c r="C10" s="186">
        <v>3</v>
      </c>
      <c r="D10" s="187">
        <v>4</v>
      </c>
      <c r="E10" s="109"/>
    </row>
    <row r="11" spans="1:5" ht="12.75">
      <c r="A11" s="20" t="s">
        <v>6</v>
      </c>
      <c r="B11" s="188"/>
      <c r="C11" s="189" t="s">
        <v>262</v>
      </c>
      <c r="D11" s="190"/>
      <c r="E11" s="109"/>
    </row>
    <row r="12" spans="1:8" ht="12.75">
      <c r="A12" s="20" t="s">
        <v>7</v>
      </c>
      <c r="B12" s="188"/>
      <c r="C12" s="189" t="s">
        <v>263</v>
      </c>
      <c r="D12" s="190"/>
      <c r="E12" s="109"/>
      <c r="F12" s="109"/>
      <c r="G12" s="109"/>
      <c r="H12" s="109"/>
    </row>
    <row r="13" spans="1:8" ht="12.75">
      <c r="A13" s="20" t="s">
        <v>8</v>
      </c>
      <c r="B13" s="188"/>
      <c r="C13" s="189" t="s">
        <v>267</v>
      </c>
      <c r="D13" s="190"/>
      <c r="E13" s="109"/>
      <c r="F13" s="109"/>
      <c r="G13" s="109"/>
      <c r="H13" s="109"/>
    </row>
    <row r="14" spans="1:8" ht="31.5" customHeight="1">
      <c r="A14" s="567" t="s">
        <v>9</v>
      </c>
      <c r="B14" s="567"/>
      <c r="C14" s="567"/>
      <c r="D14" s="567"/>
      <c r="E14" s="109"/>
      <c r="F14" s="109"/>
      <c r="G14" s="109"/>
      <c r="H14" s="109"/>
    </row>
    <row r="15" spans="1:8" ht="26.25">
      <c r="A15" s="17" t="s">
        <v>10</v>
      </c>
      <c r="B15" s="191" t="s">
        <v>11</v>
      </c>
      <c r="C15" s="194">
        <v>-13170.98</v>
      </c>
      <c r="D15" s="193"/>
      <c r="E15" s="109"/>
      <c r="F15" s="109"/>
      <c r="G15" s="109"/>
      <c r="H15" s="109"/>
    </row>
    <row r="16" spans="1:8" ht="15.75">
      <c r="A16" s="20" t="s">
        <v>12</v>
      </c>
      <c r="B16" s="191" t="s">
        <v>11</v>
      </c>
      <c r="C16" s="192">
        <v>0</v>
      </c>
      <c r="D16" s="193"/>
      <c r="E16" s="109"/>
      <c r="F16" s="109"/>
      <c r="G16" s="109"/>
      <c r="H16" s="109"/>
    </row>
    <row r="17" spans="1:9" ht="15.75">
      <c r="A17" s="20" t="s">
        <v>13</v>
      </c>
      <c r="B17" s="191" t="s">
        <v>11</v>
      </c>
      <c r="C17" s="194">
        <v>24593.2</v>
      </c>
      <c r="D17" s="195"/>
      <c r="E17" s="109"/>
      <c r="F17" s="109"/>
      <c r="G17" s="109"/>
      <c r="H17" s="109"/>
      <c r="I17" s="109"/>
    </row>
    <row r="18" spans="1:9" ht="31.5" customHeight="1">
      <c r="A18" s="17" t="s">
        <v>14</v>
      </c>
      <c r="B18" s="191" t="s">
        <v>11</v>
      </c>
      <c r="C18" s="194">
        <f>15415.56</f>
        <v>15415.56</v>
      </c>
      <c r="D18" s="195"/>
      <c r="E18" s="110">
        <f>C18-C20</f>
        <v>9761.556</v>
      </c>
      <c r="F18" s="109"/>
      <c r="G18" s="109"/>
      <c r="H18" s="109"/>
      <c r="I18" s="109"/>
    </row>
    <row r="19" spans="1:9" ht="15.75">
      <c r="A19" s="20" t="s">
        <v>15</v>
      </c>
      <c r="B19" s="191" t="s">
        <v>11</v>
      </c>
      <c r="C19" s="194">
        <f>C18-C20-C21</f>
        <v>4577.688</v>
      </c>
      <c r="D19" s="195"/>
      <c r="E19" s="110">
        <f>E18-E38</f>
        <v>-0.0020000000004074536</v>
      </c>
      <c r="F19" s="109"/>
      <c r="G19" s="109"/>
      <c r="H19" s="109"/>
      <c r="I19" s="109"/>
    </row>
    <row r="20" spans="1:9" ht="15.75">
      <c r="A20" s="20" t="s">
        <v>16</v>
      </c>
      <c r="B20" s="191" t="s">
        <v>11</v>
      </c>
      <c r="C20" s="194">
        <f>4.57*12*103.1</f>
        <v>5654.004</v>
      </c>
      <c r="D20" s="195"/>
      <c r="E20" s="111"/>
      <c r="F20" s="109"/>
      <c r="G20" s="109"/>
      <c r="H20" s="109"/>
      <c r="I20" s="109"/>
    </row>
    <row r="21" spans="1:9" ht="15.75">
      <c r="A21" s="20" t="s">
        <v>17</v>
      </c>
      <c r="B21" s="191" t="s">
        <v>11</v>
      </c>
      <c r="C21" s="196">
        <f>103.1*4.19*12</f>
        <v>5183.868</v>
      </c>
      <c r="D21" s="195"/>
      <c r="E21" s="109"/>
      <c r="F21" s="109"/>
      <c r="G21" s="109"/>
      <c r="H21" s="109"/>
      <c r="I21" s="109"/>
    </row>
    <row r="22" spans="1:9" ht="15.75">
      <c r="A22" s="20" t="s">
        <v>18</v>
      </c>
      <c r="B22" s="191" t="s">
        <v>11</v>
      </c>
      <c r="C22" s="194">
        <f>C23+C24+C25+C26+C27</f>
        <v>7559.790624</v>
      </c>
      <c r="D22" s="195" t="s">
        <v>19</v>
      </c>
      <c r="E22" s="110"/>
      <c r="F22" s="109"/>
      <c r="G22" s="109"/>
      <c r="H22" s="109"/>
      <c r="I22" s="109"/>
    </row>
    <row r="23" spans="1:9" ht="15.75">
      <c r="A23" s="20" t="s">
        <v>20</v>
      </c>
      <c r="B23" s="191" t="s">
        <v>11</v>
      </c>
      <c r="C23" s="194">
        <f>C18*0.4904</f>
        <v>7559.790624</v>
      </c>
      <c r="D23" s="195"/>
      <c r="E23" s="109"/>
      <c r="F23" s="109"/>
      <c r="G23" s="109"/>
      <c r="H23" s="109"/>
      <c r="I23" s="109"/>
    </row>
    <row r="24" spans="1:9" ht="15.75">
      <c r="A24" s="20" t="s">
        <v>21</v>
      </c>
      <c r="B24" s="191" t="s">
        <v>11</v>
      </c>
      <c r="C24" s="194">
        <v>0</v>
      </c>
      <c r="D24" s="197">
        <v>65.21</v>
      </c>
      <c r="E24" s="111" t="e">
        <f>B24/#REF!*1</f>
        <v>#VALUE!</v>
      </c>
      <c r="F24" s="109"/>
      <c r="G24" s="109"/>
      <c r="H24" s="109" t="s">
        <v>22</v>
      </c>
      <c r="I24" s="109"/>
    </row>
    <row r="25" spans="1:9" ht="15.75">
      <c r="A25" s="20" t="s">
        <v>23</v>
      </c>
      <c r="B25" s="191" t="s">
        <v>11</v>
      </c>
      <c r="C25" s="194">
        <v>0</v>
      </c>
      <c r="D25" s="197">
        <v>119.63</v>
      </c>
      <c r="E25" s="111" t="e">
        <f>B25/#REF!*1</f>
        <v>#VALUE!</v>
      </c>
      <c r="F25" s="109"/>
      <c r="G25" s="109"/>
      <c r="H25" s="109"/>
      <c r="I25" s="109"/>
    </row>
    <row r="26" spans="1:9" ht="15.75">
      <c r="A26" s="188" t="s">
        <v>24</v>
      </c>
      <c r="B26" s="191" t="s">
        <v>11</v>
      </c>
      <c r="C26" s="194">
        <v>0</v>
      </c>
      <c r="D26" s="197"/>
      <c r="E26" s="111" t="e">
        <f>B26/#REF!*1</f>
        <v>#VALUE!</v>
      </c>
      <c r="F26" s="109"/>
      <c r="G26" s="109"/>
      <c r="H26" s="109"/>
      <c r="I26" s="109"/>
    </row>
    <row r="27" spans="1:9" ht="16.5" customHeight="1">
      <c r="A27" s="198" t="s">
        <v>96</v>
      </c>
      <c r="B27" s="191" t="s">
        <v>11</v>
      </c>
      <c r="C27" s="194">
        <v>0</v>
      </c>
      <c r="D27" s="197">
        <v>139.18</v>
      </c>
      <c r="E27" s="111" t="e">
        <f>B27/#REF!*1</f>
        <v>#VALUE!</v>
      </c>
      <c r="F27" s="109"/>
      <c r="G27" s="109"/>
      <c r="H27" s="109"/>
      <c r="I27" s="109"/>
    </row>
    <row r="28" spans="1:9" ht="15.75">
      <c r="A28" s="20" t="s">
        <v>25</v>
      </c>
      <c r="B28" s="191" t="s">
        <v>11</v>
      </c>
      <c r="C28" s="194">
        <f>C15+C22</f>
        <v>-5611.189375999999</v>
      </c>
      <c r="D28" s="195" t="s">
        <v>26</v>
      </c>
      <c r="E28" s="111" t="e">
        <f>B28/#REF!*1</f>
        <v>#VALUE!</v>
      </c>
      <c r="F28" s="109"/>
      <c r="G28" s="109"/>
      <c r="H28" s="109"/>
      <c r="I28" s="109"/>
    </row>
    <row r="29" spans="1:9" ht="35.25" customHeight="1">
      <c r="A29" s="568" t="s">
        <v>27</v>
      </c>
      <c r="B29" s="568"/>
      <c r="C29" s="568"/>
      <c r="D29" s="568"/>
      <c r="E29" s="109"/>
      <c r="F29" s="109"/>
      <c r="G29" s="109"/>
      <c r="H29" s="109"/>
      <c r="I29" s="109"/>
    </row>
    <row r="30" spans="1:9" ht="63">
      <c r="A30" s="271" t="s">
        <v>28</v>
      </c>
      <c r="B30" s="307" t="s">
        <v>29</v>
      </c>
      <c r="C30" s="286" t="s">
        <v>30</v>
      </c>
      <c r="D30" s="308" t="s">
        <v>31</v>
      </c>
      <c r="E30" s="109"/>
      <c r="F30" s="109"/>
      <c r="G30" s="109"/>
      <c r="H30" s="109"/>
      <c r="I30" s="109"/>
    </row>
    <row r="31" spans="1:9" ht="15.75">
      <c r="A31" s="203" t="s">
        <v>32</v>
      </c>
      <c r="B31" s="204" t="s">
        <v>33</v>
      </c>
      <c r="C31" s="205" t="s">
        <v>34</v>
      </c>
      <c r="D31" s="206">
        <f>0.85*12*103.1</f>
        <v>1051.62</v>
      </c>
      <c r="E31" s="109"/>
      <c r="F31" s="109"/>
      <c r="G31" s="109"/>
      <c r="H31" s="109"/>
      <c r="I31" s="109"/>
    </row>
    <row r="32" spans="1:9" ht="15.75">
      <c r="A32" s="207" t="s">
        <v>36</v>
      </c>
      <c r="B32" s="208" t="s">
        <v>33</v>
      </c>
      <c r="C32" s="209" t="s">
        <v>37</v>
      </c>
      <c r="D32" s="210">
        <f>0.24*12*103.1</f>
        <v>296.928</v>
      </c>
      <c r="E32" s="109"/>
      <c r="F32" s="109"/>
      <c r="G32" s="109"/>
      <c r="H32" s="109"/>
      <c r="I32" s="109"/>
    </row>
    <row r="33" spans="1:9" ht="15.75">
      <c r="A33" s="207" t="s">
        <v>99</v>
      </c>
      <c r="B33" s="208" t="s">
        <v>33</v>
      </c>
      <c r="C33" s="209" t="s">
        <v>34</v>
      </c>
      <c r="D33" s="210">
        <f>0.16*12*103.1</f>
        <v>197.95199999999997</v>
      </c>
      <c r="E33" s="109"/>
      <c r="F33" s="109"/>
      <c r="G33" s="109"/>
      <c r="H33" s="109"/>
      <c r="I33" s="109"/>
    </row>
    <row r="34" spans="1:9" ht="15.75">
      <c r="A34" s="207" t="s">
        <v>81</v>
      </c>
      <c r="B34" s="213" t="s">
        <v>82</v>
      </c>
      <c r="C34" s="209" t="s">
        <v>34</v>
      </c>
      <c r="D34" s="210">
        <f>1.33*12*103.1</f>
        <v>1645.4759999999999</v>
      </c>
      <c r="E34" s="109"/>
      <c r="F34" s="109"/>
      <c r="G34" s="109"/>
      <c r="H34" s="109"/>
      <c r="I34" s="109"/>
    </row>
    <row r="35" spans="1:9" ht="15.75">
      <c r="A35" s="207" t="s">
        <v>38</v>
      </c>
      <c r="B35" s="208" t="s">
        <v>35</v>
      </c>
      <c r="C35" s="362" t="s">
        <v>221</v>
      </c>
      <c r="D35" s="210">
        <f>4.19*103.1*12</f>
        <v>5183.868</v>
      </c>
      <c r="E35" s="109"/>
      <c r="F35" s="109"/>
      <c r="G35" s="109"/>
      <c r="H35" s="109"/>
      <c r="I35" s="109"/>
    </row>
    <row r="36" spans="1:9" ht="15.75">
      <c r="A36" s="207" t="s">
        <v>85</v>
      </c>
      <c r="B36" s="208" t="s">
        <v>222</v>
      </c>
      <c r="C36" s="362" t="s">
        <v>37</v>
      </c>
      <c r="D36" s="210">
        <f>103.1*1.12*12+0.05</f>
        <v>1385.7140000000002</v>
      </c>
      <c r="E36" s="109"/>
      <c r="F36" s="109"/>
      <c r="G36" s="109"/>
      <c r="H36" s="109"/>
      <c r="I36" s="109"/>
    </row>
    <row r="37" spans="1:14" s="1" customFormat="1" ht="47.25">
      <c r="A37" s="294" t="s">
        <v>215</v>
      </c>
      <c r="B37" s="215" t="s">
        <v>41</v>
      </c>
      <c r="C37" s="221"/>
      <c r="D37" s="175">
        <v>0</v>
      </c>
      <c r="E37" s="109"/>
      <c r="F37" s="109"/>
      <c r="G37" s="109"/>
      <c r="H37" s="109"/>
      <c r="I37" s="109"/>
      <c r="K37"/>
      <c r="L37"/>
      <c r="M37"/>
      <c r="N37"/>
    </row>
    <row r="38" spans="1:14" s="1" customFormat="1" ht="15.75">
      <c r="A38" s="37" t="s">
        <v>42</v>
      </c>
      <c r="B38" s="222"/>
      <c r="C38" s="223"/>
      <c r="D38" s="97">
        <f>SUM(D31:D37)</f>
        <v>9761.558</v>
      </c>
      <c r="E38" s="112">
        <f>D38-D37</f>
        <v>9761.558</v>
      </c>
      <c r="F38" s="109"/>
      <c r="G38" s="109"/>
      <c r="H38" s="109"/>
      <c r="I38" s="109"/>
      <c r="K38"/>
      <c r="L38"/>
      <c r="M38"/>
      <c r="N38"/>
    </row>
    <row r="39" spans="1:14" s="1" customFormat="1" ht="15.75">
      <c r="A39" s="40" t="s">
        <v>43</v>
      </c>
      <c r="B39" s="224" t="s">
        <v>11</v>
      </c>
      <c r="C39" s="225"/>
      <c r="D39" s="226">
        <f>C28-D38</f>
        <v>-15372.747376</v>
      </c>
      <c r="E39" s="112"/>
      <c r="F39" s="109"/>
      <c r="G39" s="109"/>
      <c r="H39" s="109"/>
      <c r="I39" s="109"/>
      <c r="K39"/>
      <c r="L39"/>
      <c r="M39"/>
      <c r="N39"/>
    </row>
    <row r="40" spans="1:14" s="1" customFormat="1" ht="15.75">
      <c r="A40" s="227" t="s">
        <v>12</v>
      </c>
      <c r="B40" s="228" t="s">
        <v>11</v>
      </c>
      <c r="C40" s="209"/>
      <c r="D40" s="193">
        <v>0</v>
      </c>
      <c r="E40" s="109"/>
      <c r="F40" s="109"/>
      <c r="G40" s="109"/>
      <c r="H40" s="109"/>
      <c r="I40" s="109"/>
      <c r="K40"/>
      <c r="L40"/>
      <c r="M40"/>
      <c r="N40"/>
    </row>
    <row r="41" spans="1:14" s="1" customFormat="1" ht="15.75">
      <c r="A41" s="227" t="s">
        <v>13</v>
      </c>
      <c r="B41" s="228" t="s">
        <v>11</v>
      </c>
      <c r="C41" s="209"/>
      <c r="D41" s="195">
        <v>24593.2</v>
      </c>
      <c r="E41" s="109"/>
      <c r="F41" s="109"/>
      <c r="G41" s="109"/>
      <c r="H41" s="109"/>
      <c r="I41" s="109"/>
      <c r="K41"/>
      <c r="L41"/>
      <c r="M41"/>
      <c r="N41"/>
    </row>
    <row r="42" spans="1:14" s="1" customFormat="1" ht="24" customHeight="1">
      <c r="A42" s="569" t="s">
        <v>44</v>
      </c>
      <c r="B42" s="569"/>
      <c r="C42" s="569"/>
      <c r="D42" s="569"/>
      <c r="E42" s="109"/>
      <c r="F42" s="109"/>
      <c r="G42" s="109"/>
      <c r="H42" s="109"/>
      <c r="I42" s="109"/>
      <c r="K42"/>
      <c r="L42"/>
      <c r="M42"/>
      <c r="N42"/>
    </row>
    <row r="43" spans="1:14" s="1" customFormat="1" ht="15.75">
      <c r="A43" s="227" t="s">
        <v>45</v>
      </c>
      <c r="B43" s="208" t="s">
        <v>46</v>
      </c>
      <c r="C43" s="209"/>
      <c r="D43" s="193">
        <v>0</v>
      </c>
      <c r="E43" s="109"/>
      <c r="F43" s="109"/>
      <c r="G43" s="109"/>
      <c r="H43" s="109"/>
      <c r="I43" s="109"/>
      <c r="K43"/>
      <c r="L43"/>
      <c r="M43"/>
      <c r="N43"/>
    </row>
    <row r="44" spans="1:14" s="1" customFormat="1" ht="15.75">
      <c r="A44" s="227" t="s">
        <v>47</v>
      </c>
      <c r="B44" s="208" t="s">
        <v>46</v>
      </c>
      <c r="C44" s="209"/>
      <c r="D44" s="193">
        <v>0</v>
      </c>
      <c r="E44" s="109"/>
      <c r="F44" s="109"/>
      <c r="G44" s="109"/>
      <c r="H44" s="109"/>
      <c r="I44" s="109"/>
      <c r="K44"/>
      <c r="L44"/>
      <c r="M44"/>
      <c r="N44"/>
    </row>
    <row r="45" spans="1:14" s="1" customFormat="1" ht="15.75">
      <c r="A45" s="229" t="s">
        <v>48</v>
      </c>
      <c r="B45" s="208" t="s">
        <v>46</v>
      </c>
      <c r="C45" s="209"/>
      <c r="D45" s="193">
        <v>0</v>
      </c>
      <c r="E45" s="109"/>
      <c r="F45" s="109"/>
      <c r="G45" s="109"/>
      <c r="H45" s="109"/>
      <c r="I45" s="109"/>
      <c r="K45"/>
      <c r="L45"/>
      <c r="M45"/>
      <c r="N45"/>
    </row>
    <row r="46" spans="1:14" s="1" customFormat="1" ht="15.75">
      <c r="A46" s="227" t="s">
        <v>49</v>
      </c>
      <c r="B46" s="208" t="s">
        <v>11</v>
      </c>
      <c r="C46" s="209"/>
      <c r="D46" s="193">
        <v>0</v>
      </c>
      <c r="E46" s="109"/>
      <c r="F46" s="109"/>
      <c r="G46" s="109"/>
      <c r="H46" s="109"/>
      <c r="I46" s="109"/>
      <c r="K46"/>
      <c r="L46"/>
      <c r="M46"/>
      <c r="N46"/>
    </row>
    <row r="47" spans="1:9" ht="20.25" customHeight="1">
      <c r="A47" s="570" t="s">
        <v>50</v>
      </c>
      <c r="B47" s="570"/>
      <c r="C47" s="570"/>
      <c r="D47" s="570"/>
      <c r="E47" s="109"/>
      <c r="F47" s="109"/>
      <c r="G47" s="109"/>
      <c r="H47" s="109"/>
      <c r="I47" s="109"/>
    </row>
    <row r="48" spans="1:9" ht="26.25">
      <c r="A48" s="229" t="s">
        <v>51</v>
      </c>
      <c r="B48" s="208" t="s">
        <v>11</v>
      </c>
      <c r="C48" s="209"/>
      <c r="D48" s="193">
        <v>0</v>
      </c>
      <c r="E48" s="109"/>
      <c r="F48" s="109"/>
      <c r="G48" s="109"/>
      <c r="H48" s="109"/>
      <c r="I48" s="109"/>
    </row>
    <row r="49" spans="1:9" ht="15.75">
      <c r="A49" s="227" t="s">
        <v>12</v>
      </c>
      <c r="B49" s="208" t="s">
        <v>11</v>
      </c>
      <c r="C49" s="209"/>
      <c r="D49" s="193">
        <v>0</v>
      </c>
      <c r="E49" s="109"/>
      <c r="F49" s="109"/>
      <c r="G49" s="109"/>
      <c r="H49" s="109"/>
      <c r="I49" s="109"/>
    </row>
    <row r="50" spans="1:9" ht="15.75">
      <c r="A50" s="227" t="s">
        <v>13</v>
      </c>
      <c r="B50" s="208" t="s">
        <v>11</v>
      </c>
      <c r="C50" s="209"/>
      <c r="D50" s="237">
        <f>D53-D56-D57-D58-D59</f>
        <v>31086.073688</v>
      </c>
      <c r="E50" s="109"/>
      <c r="F50" s="109"/>
      <c r="G50" s="109"/>
      <c r="H50" s="113"/>
      <c r="I50" s="109"/>
    </row>
    <row r="51" spans="1:9" ht="26.25">
      <c r="A51" s="231" t="s">
        <v>52</v>
      </c>
      <c r="B51" s="208" t="s">
        <v>11</v>
      </c>
      <c r="C51" s="232"/>
      <c r="D51" s="233">
        <v>0</v>
      </c>
      <c r="E51" s="109"/>
      <c r="F51" s="109"/>
      <c r="G51" s="109"/>
      <c r="H51" s="109"/>
      <c r="I51" s="109"/>
    </row>
    <row r="52" spans="1:10" ht="17.25" customHeight="1">
      <c r="A52" s="254" t="s">
        <v>12</v>
      </c>
      <c r="B52" s="208" t="s">
        <v>11</v>
      </c>
      <c r="C52" s="276"/>
      <c r="D52" s="55">
        <v>0</v>
      </c>
      <c r="E52" s="109"/>
      <c r="F52" s="109"/>
      <c r="G52" s="109"/>
      <c r="H52" s="109"/>
      <c r="I52" s="113"/>
      <c r="J52" s="49"/>
    </row>
    <row r="53" spans="1:14" ht="15.75">
      <c r="A53" s="235" t="s">
        <v>13</v>
      </c>
      <c r="B53" s="208" t="s">
        <v>11</v>
      </c>
      <c r="C53" s="236"/>
      <c r="D53" s="237">
        <v>34759.51</v>
      </c>
      <c r="E53" s="109"/>
      <c r="F53" s="109"/>
      <c r="G53" s="109"/>
      <c r="H53" s="109" t="s">
        <v>26</v>
      </c>
      <c r="I53" s="124"/>
      <c r="J53" s="60"/>
      <c r="K53" s="61"/>
      <c r="L53" s="61"/>
      <c r="M53" s="61"/>
      <c r="N53" s="61"/>
    </row>
    <row r="54" spans="1:14" ht="18" customHeight="1">
      <c r="A54" s="571" t="s">
        <v>53</v>
      </c>
      <c r="B54" s="571"/>
      <c r="C54" s="571"/>
      <c r="D54" s="571"/>
      <c r="E54" s="114"/>
      <c r="F54" s="115"/>
      <c r="G54" s="116"/>
      <c r="H54" s="109"/>
      <c r="I54" s="120"/>
      <c r="J54" s="65"/>
      <c r="K54" s="66"/>
      <c r="L54" s="66"/>
      <c r="M54" s="66"/>
      <c r="N54" s="66"/>
    </row>
    <row r="55" spans="1:14" ht="47.25">
      <c r="A55" s="67" t="s">
        <v>54</v>
      </c>
      <c r="B55" s="68" t="s">
        <v>55</v>
      </c>
      <c r="C55" s="69" t="s">
        <v>56</v>
      </c>
      <c r="D55" s="70" t="s">
        <v>57</v>
      </c>
      <c r="E55" s="114"/>
      <c r="F55" s="115"/>
      <c r="G55" s="116"/>
      <c r="H55" s="109"/>
      <c r="I55" s="120"/>
      <c r="J55" s="71"/>
      <c r="K55" s="66"/>
      <c r="L55" s="66"/>
      <c r="M55" s="66"/>
      <c r="N55" s="66"/>
    </row>
    <row r="56" spans="1:14" ht="15.75">
      <c r="A56" s="238" t="s">
        <v>58</v>
      </c>
      <c r="B56" s="239">
        <v>1432.99</v>
      </c>
      <c r="C56" s="240">
        <f>B56*0.4904</f>
        <v>702.738296</v>
      </c>
      <c r="D56" s="241">
        <f>B56-C56</f>
        <v>730.251704</v>
      </c>
      <c r="E56" s="117"/>
      <c r="F56" s="115"/>
      <c r="G56" s="116"/>
      <c r="H56" s="109"/>
      <c r="I56" s="120"/>
      <c r="J56" s="65"/>
      <c r="K56" s="66"/>
      <c r="L56" s="66"/>
      <c r="M56" s="66"/>
      <c r="N56" s="66"/>
    </row>
    <row r="57" spans="1:14" ht="15.75">
      <c r="A57" s="238" t="s">
        <v>59</v>
      </c>
      <c r="B57" s="239">
        <v>0</v>
      </c>
      <c r="C57" s="240">
        <f>B57*0.4904</f>
        <v>0</v>
      </c>
      <c r="D57" s="241">
        <f>B57-C57</f>
        <v>0</v>
      </c>
      <c r="E57" s="114"/>
      <c r="F57" s="115"/>
      <c r="G57" s="116"/>
      <c r="H57" s="109"/>
      <c r="I57" s="120"/>
      <c r="J57" s="65"/>
      <c r="K57" s="66"/>
      <c r="L57" s="66"/>
      <c r="M57" s="66"/>
      <c r="N57" s="66"/>
    </row>
    <row r="58" spans="1:14" ht="15.75">
      <c r="A58" s="238" t="s">
        <v>60</v>
      </c>
      <c r="B58" s="242">
        <v>0</v>
      </c>
      <c r="C58" s="240">
        <f>B58*0.4904</f>
        <v>0</v>
      </c>
      <c r="D58" s="241">
        <f>B58-C58</f>
        <v>0</v>
      </c>
      <c r="E58" s="114">
        <f>(2.07+1.8)*6*2301.2-0.37*2301.2*6</f>
        <v>48325.2</v>
      </c>
      <c r="F58" s="118"/>
      <c r="G58" s="119"/>
      <c r="H58" s="114"/>
      <c r="I58" s="120"/>
      <c r="J58" s="65"/>
      <c r="K58" s="66"/>
      <c r="L58" s="66"/>
      <c r="M58" s="66"/>
      <c r="N58" s="66"/>
    </row>
    <row r="59" spans="1:14" ht="16.5" thickBot="1">
      <c r="A59" s="261" t="s">
        <v>236</v>
      </c>
      <c r="B59" s="262">
        <v>5775.48</v>
      </c>
      <c r="C59" s="240">
        <f>B59*0.4904</f>
        <v>2832.295392</v>
      </c>
      <c r="D59" s="264">
        <f>B59-C59</f>
        <v>2943.1846079999996</v>
      </c>
      <c r="E59" s="114"/>
      <c r="F59" s="118"/>
      <c r="G59" s="119"/>
      <c r="H59" s="109"/>
      <c r="I59" s="120"/>
      <c r="J59" s="65"/>
      <c r="K59" s="66"/>
      <c r="L59" s="66"/>
      <c r="M59" s="66"/>
      <c r="N59" s="66"/>
    </row>
    <row r="60" spans="1:14" ht="63">
      <c r="A60" s="129" t="s">
        <v>62</v>
      </c>
      <c r="B60" s="130" t="s">
        <v>63</v>
      </c>
      <c r="C60" s="131" t="s">
        <v>64</v>
      </c>
      <c r="D60" s="132" t="s">
        <v>65</v>
      </c>
      <c r="E60" s="114"/>
      <c r="F60" s="118"/>
      <c r="G60" s="109"/>
      <c r="H60" s="120"/>
      <c r="I60" s="120"/>
      <c r="J60" s="65"/>
      <c r="K60" s="66"/>
      <c r="L60" s="66"/>
      <c r="M60" s="66"/>
      <c r="N60" s="66"/>
    </row>
    <row r="61" spans="1:14" ht="15.75">
      <c r="A61" s="265" t="s">
        <v>58</v>
      </c>
      <c r="B61" s="244">
        <f>B56</f>
        <v>1432.99</v>
      </c>
      <c r="C61" s="245">
        <f>B61</f>
        <v>1432.99</v>
      </c>
      <c r="D61" s="266">
        <f>B61-C61</f>
        <v>0</v>
      </c>
      <c r="E61" s="114"/>
      <c r="F61" s="118"/>
      <c r="G61" s="109"/>
      <c r="H61" s="120"/>
      <c r="I61" s="120"/>
      <c r="J61" s="65" t="s">
        <v>26</v>
      </c>
      <c r="K61" s="66"/>
      <c r="L61" s="66"/>
      <c r="M61" s="66"/>
      <c r="N61" s="66"/>
    </row>
    <row r="62" spans="1:14" ht="15.75">
      <c r="A62" s="265" t="s">
        <v>59</v>
      </c>
      <c r="B62" s="244">
        <v>0</v>
      </c>
      <c r="C62" s="245">
        <f>C57*1.0063</f>
        <v>0</v>
      </c>
      <c r="D62" s="266">
        <f>B62-C62</f>
        <v>0</v>
      </c>
      <c r="E62" s="114"/>
      <c r="F62" s="118"/>
      <c r="G62" s="109"/>
      <c r="H62" s="120"/>
      <c r="I62" s="120"/>
      <c r="J62" s="65"/>
      <c r="K62" s="66"/>
      <c r="L62" s="66"/>
      <c r="M62" s="66"/>
      <c r="N62" s="66"/>
    </row>
    <row r="63" spans="1:14" ht="15.75">
      <c r="A63" s="265" t="s">
        <v>60</v>
      </c>
      <c r="B63" s="244">
        <v>0</v>
      </c>
      <c r="C63" s="245">
        <f>C58*1.0063</f>
        <v>0</v>
      </c>
      <c r="D63" s="266">
        <f>B63-C63</f>
        <v>0</v>
      </c>
      <c r="E63" s="114"/>
      <c r="F63" s="118"/>
      <c r="G63" s="109"/>
      <c r="H63" s="120"/>
      <c r="I63" s="120"/>
      <c r="J63" s="65"/>
      <c r="K63" s="66"/>
      <c r="L63" s="66"/>
      <c r="M63" s="66"/>
      <c r="N63" s="66"/>
    </row>
    <row r="64" spans="1:14" ht="16.5" thickBot="1">
      <c r="A64" s="267" t="s">
        <v>236</v>
      </c>
      <c r="B64" s="268">
        <f>B59</f>
        <v>5775.48</v>
      </c>
      <c r="C64" s="298">
        <f>C59</f>
        <v>2832.295392</v>
      </c>
      <c r="D64" s="270">
        <f>B64-C64</f>
        <v>2943.1846079999996</v>
      </c>
      <c r="E64" s="114"/>
      <c r="F64" s="118"/>
      <c r="G64" s="109"/>
      <c r="H64" s="120" t="s">
        <v>26</v>
      </c>
      <c r="I64" s="120"/>
      <c r="J64" s="65"/>
      <c r="K64" s="66"/>
      <c r="L64" s="66"/>
      <c r="M64" s="66"/>
      <c r="N64" s="66"/>
    </row>
    <row r="65" spans="1:14" ht="15.75">
      <c r="A65" s="247"/>
      <c r="B65" s="248"/>
      <c r="C65" s="249"/>
      <c r="D65" s="250"/>
      <c r="E65" s="114"/>
      <c r="F65" s="118"/>
      <c r="G65" s="109"/>
      <c r="H65" s="120"/>
      <c r="I65" s="120"/>
      <c r="J65" s="65"/>
      <c r="K65" s="66"/>
      <c r="L65" s="66"/>
      <c r="M65" s="66"/>
      <c r="N65" s="66"/>
    </row>
    <row r="66" spans="1:14" ht="26.25">
      <c r="A66" s="251" t="s">
        <v>66</v>
      </c>
      <c r="B66" s="248" t="s">
        <v>11</v>
      </c>
      <c r="C66" s="252"/>
      <c r="D66" s="253">
        <v>0</v>
      </c>
      <c r="E66" s="114"/>
      <c r="F66" s="118"/>
      <c r="G66" s="109"/>
      <c r="H66" s="120"/>
      <c r="I66" s="120"/>
      <c r="J66" s="65" t="s">
        <v>26</v>
      </c>
      <c r="K66" s="66"/>
      <c r="L66" s="66"/>
      <c r="M66" s="66"/>
      <c r="N66" s="66"/>
    </row>
    <row r="67" spans="1:14" ht="17.25" customHeight="1">
      <c r="A67" s="572" t="s">
        <v>67</v>
      </c>
      <c r="B67" s="572"/>
      <c r="C67" s="572"/>
      <c r="D67" s="572"/>
      <c r="E67" s="121" t="e">
        <f>D67+B19</f>
        <v>#VALUE!</v>
      </c>
      <c r="F67" s="120"/>
      <c r="G67" s="109"/>
      <c r="H67" s="122" t="e">
        <f>E67-B18</f>
        <v>#VALUE!</v>
      </c>
      <c r="I67" s="120"/>
      <c r="J67" s="65"/>
      <c r="K67" s="66"/>
      <c r="L67" s="66"/>
      <c r="M67" s="66"/>
      <c r="N67" s="66"/>
    </row>
    <row r="68" spans="1:9" ht="21" customHeight="1">
      <c r="A68" s="86" t="s">
        <v>45</v>
      </c>
      <c r="B68" s="86" t="s">
        <v>46</v>
      </c>
      <c r="C68" s="86"/>
      <c r="D68" s="177">
        <v>0</v>
      </c>
      <c r="E68" s="123"/>
      <c r="F68" s="109"/>
      <c r="G68" s="109"/>
      <c r="H68" s="109"/>
      <c r="I68" s="109"/>
    </row>
    <row r="69" spans="1:9" ht="21" customHeight="1">
      <c r="A69" s="86" t="s">
        <v>47</v>
      </c>
      <c r="B69" s="86" t="s">
        <v>46</v>
      </c>
      <c r="C69" s="86"/>
      <c r="D69" s="177">
        <v>0</v>
      </c>
      <c r="E69" s="123"/>
      <c r="F69" s="109"/>
      <c r="G69" s="109"/>
      <c r="H69" s="109"/>
      <c r="I69" s="109"/>
    </row>
    <row r="70" spans="1:9" ht="18" customHeight="1">
      <c r="A70" s="86" t="s">
        <v>48</v>
      </c>
      <c r="B70" s="86" t="s">
        <v>46</v>
      </c>
      <c r="C70" s="86"/>
      <c r="D70" s="177">
        <v>0</v>
      </c>
      <c r="E70" s="123"/>
      <c r="F70" s="109"/>
      <c r="G70" s="109"/>
      <c r="H70" s="109"/>
      <c r="I70" s="109"/>
    </row>
    <row r="71" spans="1:9" ht="16.5" customHeight="1">
      <c r="A71" s="86" t="s">
        <v>49</v>
      </c>
      <c r="B71" s="86" t="s">
        <v>11</v>
      </c>
      <c r="C71" s="86"/>
      <c r="D71" s="177">
        <v>0</v>
      </c>
      <c r="E71" s="123"/>
      <c r="F71" s="109"/>
      <c r="G71" s="109"/>
      <c r="H71" s="109"/>
      <c r="I71" s="109"/>
    </row>
    <row r="72" spans="1:9" ht="15.75" customHeight="1">
      <c r="A72" s="566" t="s">
        <v>68</v>
      </c>
      <c r="B72" s="566"/>
      <c r="C72" s="566"/>
      <c r="D72" s="566"/>
      <c r="E72" s="123"/>
      <c r="F72" s="109"/>
      <c r="G72" s="109"/>
      <c r="H72" s="109"/>
      <c r="I72" s="109"/>
    </row>
    <row r="73" spans="1:9" ht="18.75" customHeight="1">
      <c r="A73" s="86" t="s">
        <v>69</v>
      </c>
      <c r="B73" s="86" t="s">
        <v>46</v>
      </c>
      <c r="C73" s="86"/>
      <c r="D73" s="177">
        <v>0</v>
      </c>
      <c r="E73" s="123"/>
      <c r="F73" s="109"/>
      <c r="G73" s="109"/>
      <c r="H73" s="109"/>
      <c r="I73" s="109"/>
    </row>
    <row r="74" spans="1:9" ht="21.75" customHeight="1">
      <c r="A74" s="86" t="s">
        <v>70</v>
      </c>
      <c r="B74" s="254" t="s">
        <v>46</v>
      </c>
      <c r="C74" s="254"/>
      <c r="D74" s="177">
        <v>1</v>
      </c>
      <c r="E74" s="123"/>
      <c r="F74" s="109"/>
      <c r="G74" s="109"/>
      <c r="H74" s="109"/>
      <c r="I74" s="109"/>
    </row>
    <row r="75" spans="1:9" ht="36" customHeight="1">
      <c r="A75" s="255" t="s">
        <v>71</v>
      </c>
      <c r="B75" s="86" t="s">
        <v>11</v>
      </c>
      <c r="C75" s="86"/>
      <c r="D75" s="177">
        <v>0</v>
      </c>
      <c r="E75" s="123"/>
      <c r="F75" s="109"/>
      <c r="G75" s="109"/>
      <c r="H75" s="109"/>
      <c r="I75" s="109"/>
    </row>
    <row r="76" spans="1:9" ht="15.75">
      <c r="A76" s="256"/>
      <c r="B76" s="256"/>
      <c r="C76" s="256"/>
      <c r="D76" s="257"/>
      <c r="E76" s="109"/>
      <c r="F76" s="109"/>
      <c r="G76" s="109"/>
      <c r="H76" s="109"/>
      <c r="I76" s="109"/>
    </row>
    <row r="77" spans="1:14" s="1" customFormat="1" ht="12.75">
      <c r="A77" s="178"/>
      <c r="B77" s="178"/>
      <c r="C77" s="178"/>
      <c r="D77" s="178"/>
      <c r="E77" s="109"/>
      <c r="H77" s="1" t="s">
        <v>26</v>
      </c>
      <c r="K77"/>
      <c r="L77"/>
      <c r="M77"/>
      <c r="N77"/>
    </row>
    <row r="78" spans="1:14" s="1" customFormat="1" ht="12.75">
      <c r="A78" s="178" t="s">
        <v>72</v>
      </c>
      <c r="B78" s="178"/>
      <c r="C78" s="178"/>
      <c r="D78" s="178"/>
      <c r="E78" s="109"/>
      <c r="K78"/>
      <c r="L78"/>
      <c r="M78"/>
      <c r="N78"/>
    </row>
    <row r="79" spans="1:14" s="1" customFormat="1" ht="12.75">
      <c r="A79" s="178"/>
      <c r="B79" s="178"/>
      <c r="C79" s="178"/>
      <c r="D79" s="178"/>
      <c r="E79" s="109"/>
      <c r="H79" s="1" t="s">
        <v>26</v>
      </c>
      <c r="K79"/>
      <c r="L79"/>
      <c r="M79"/>
      <c r="N79"/>
    </row>
    <row r="80" spans="1:14" s="1" customFormat="1" ht="12.75">
      <c r="A80" s="178" t="s">
        <v>73</v>
      </c>
      <c r="B80" s="178"/>
      <c r="C80" s="178"/>
      <c r="D80" s="178"/>
      <c r="E80" s="109"/>
      <c r="K80"/>
      <c r="L80"/>
      <c r="M80"/>
      <c r="N80"/>
    </row>
    <row r="81" spans="1:5" ht="12.75">
      <c r="A81" s="178"/>
      <c r="B81" s="178"/>
      <c r="C81" s="178"/>
      <c r="D81" s="178"/>
      <c r="E81" s="109"/>
    </row>
    <row r="82" spans="1:5" ht="12.75">
      <c r="A82" s="178"/>
      <c r="B82" s="178"/>
      <c r="C82" s="178"/>
      <c r="D82" s="178"/>
      <c r="E82" s="109"/>
    </row>
    <row r="83" spans="1:4" ht="12.75">
      <c r="A83" s="178"/>
      <c r="B83" s="178"/>
      <c r="C83" s="178"/>
      <c r="D83" s="178"/>
    </row>
    <row r="84" spans="1:14" s="1" customFormat="1" ht="12.75">
      <c r="A84" s="178"/>
      <c r="B84" s="178"/>
      <c r="C84" s="178"/>
      <c r="D84" s="178"/>
      <c r="E84" s="1" t="s">
        <v>26</v>
      </c>
      <c r="K84"/>
      <c r="L84"/>
      <c r="M84"/>
      <c r="N84"/>
    </row>
  </sheetData>
  <sheetProtection selectLockedCells="1" selectUnlockedCells="1"/>
  <mergeCells count="13">
    <mergeCell ref="A72:D72"/>
    <mergeCell ref="A14:D14"/>
    <mergeCell ref="A29:D29"/>
    <mergeCell ref="A42:D42"/>
    <mergeCell ref="A47:D47"/>
    <mergeCell ref="A54:D54"/>
    <mergeCell ref="A67:D67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="80" zoomScaleNormal="80" zoomScalePageLayoutView="0" workbookViewId="0" topLeftCell="A28">
      <selection activeCell="D38" sqref="D38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560" t="s">
        <v>0</v>
      </c>
      <c r="B1" s="560"/>
      <c r="C1" s="560"/>
      <c r="D1" s="560"/>
    </row>
    <row r="2" spans="1:4" ht="15.75">
      <c r="A2" s="561" t="s">
        <v>220</v>
      </c>
      <c r="B2" s="562"/>
      <c r="C2" s="562"/>
      <c r="D2" s="562"/>
    </row>
    <row r="3" spans="1:4" ht="15.75">
      <c r="A3" s="562" t="s">
        <v>1</v>
      </c>
      <c r="B3" s="562"/>
      <c r="C3" s="562"/>
      <c r="D3" s="562"/>
    </row>
    <row r="4" spans="1:4" ht="12.75">
      <c r="A4" s="563" t="s">
        <v>102</v>
      </c>
      <c r="B4" s="563"/>
      <c r="C4" s="563"/>
      <c r="D4" s="563"/>
    </row>
    <row r="5" spans="1:4" ht="12.75">
      <c r="A5" s="564" t="s">
        <v>266</v>
      </c>
      <c r="B5" s="563"/>
      <c r="C5" s="563"/>
      <c r="D5" s="563"/>
    </row>
    <row r="6" spans="1:4" ht="9" customHeight="1">
      <c r="A6" s="258"/>
      <c r="B6" s="178"/>
      <c r="C6" s="178"/>
      <c r="D6" s="178"/>
    </row>
    <row r="7" spans="1:5" ht="18" customHeight="1">
      <c r="A7" s="565" t="s">
        <v>2</v>
      </c>
      <c r="B7" s="565"/>
      <c r="C7" s="565"/>
      <c r="D7" s="565"/>
      <c r="E7" s="109"/>
    </row>
    <row r="8" spans="1:5" ht="12.75">
      <c r="A8" s="182" t="s">
        <v>248</v>
      </c>
      <c r="B8" s="178"/>
      <c r="C8" s="183"/>
      <c r="D8" s="178"/>
      <c r="E8" s="109"/>
    </row>
    <row r="9" spans="1:5" ht="12.75">
      <c r="A9" s="184" t="s">
        <v>3</v>
      </c>
      <c r="B9" s="184" t="s">
        <v>4</v>
      </c>
      <c r="C9" s="184" t="s">
        <v>5</v>
      </c>
      <c r="D9" s="185"/>
      <c r="E9" s="109"/>
    </row>
    <row r="10" spans="1:5" ht="12.75">
      <c r="A10" s="186">
        <v>1</v>
      </c>
      <c r="B10" s="186">
        <v>2</v>
      </c>
      <c r="C10" s="186">
        <v>3</v>
      </c>
      <c r="D10" s="187">
        <v>4</v>
      </c>
      <c r="E10" s="109"/>
    </row>
    <row r="11" spans="1:5" ht="12.75">
      <c r="A11" s="20" t="s">
        <v>6</v>
      </c>
      <c r="B11" s="188"/>
      <c r="C11" s="189" t="s">
        <v>262</v>
      </c>
      <c r="D11" s="190"/>
      <c r="E11" s="109"/>
    </row>
    <row r="12" spans="1:5" ht="12.75">
      <c r="A12" s="20" t="s">
        <v>7</v>
      </c>
      <c r="B12" s="188"/>
      <c r="C12" s="189" t="s">
        <v>263</v>
      </c>
      <c r="D12" s="190"/>
      <c r="E12" s="109"/>
    </row>
    <row r="13" spans="1:5" ht="12.75">
      <c r="A13" s="20" t="s">
        <v>8</v>
      </c>
      <c r="B13" s="188"/>
      <c r="C13" s="189" t="s">
        <v>267</v>
      </c>
      <c r="D13" s="190"/>
      <c r="E13" s="109"/>
    </row>
    <row r="14" spans="1:5" ht="31.5" customHeight="1">
      <c r="A14" s="567" t="s">
        <v>9</v>
      </c>
      <c r="B14" s="567"/>
      <c r="C14" s="567"/>
      <c r="D14" s="567"/>
      <c r="E14" s="109"/>
    </row>
    <row r="15" spans="1:8" ht="26.25">
      <c r="A15" s="17" t="s">
        <v>10</v>
      </c>
      <c r="B15" s="191" t="s">
        <v>11</v>
      </c>
      <c r="C15" s="194">
        <v>41936.54</v>
      </c>
      <c r="D15" s="193"/>
      <c r="E15" s="319"/>
      <c r="F15" s="319"/>
      <c r="G15" s="319"/>
      <c r="H15" s="319"/>
    </row>
    <row r="16" spans="1:8" ht="15.75">
      <c r="A16" s="20" t="s">
        <v>12</v>
      </c>
      <c r="B16" s="191" t="s">
        <v>11</v>
      </c>
      <c r="C16" s="192">
        <v>0</v>
      </c>
      <c r="D16" s="193"/>
      <c r="E16" s="319"/>
      <c r="F16" s="319"/>
      <c r="G16" s="319"/>
      <c r="H16" s="319"/>
    </row>
    <row r="17" spans="1:8" ht="15.75">
      <c r="A17" s="20" t="s">
        <v>13</v>
      </c>
      <c r="B17" s="191" t="s">
        <v>11</v>
      </c>
      <c r="C17" s="194">
        <v>6653.7</v>
      </c>
      <c r="D17" s="195"/>
      <c r="E17" s="319" t="e">
        <f>B17/12/1022.6</f>
        <v>#VALUE!</v>
      </c>
      <c r="F17" s="319"/>
      <c r="G17" s="319"/>
      <c r="H17" s="319"/>
    </row>
    <row r="18" spans="1:8" ht="31.5" customHeight="1">
      <c r="A18" s="17" t="s">
        <v>14</v>
      </c>
      <c r="B18" s="191" t="s">
        <v>11</v>
      </c>
      <c r="C18" s="194">
        <f>17046.36+5099.76</f>
        <v>22146.120000000003</v>
      </c>
      <c r="D18" s="195"/>
      <c r="E18" s="320">
        <f>C18-C20</f>
        <v>14439.816000000003</v>
      </c>
      <c r="F18" s="319"/>
      <c r="G18" s="319"/>
      <c r="H18" s="319"/>
    </row>
    <row r="19" spans="1:8" ht="15.75">
      <c r="A19" s="20" t="s">
        <v>15</v>
      </c>
      <c r="B19" s="191" t="s">
        <v>11</v>
      </c>
      <c r="C19" s="194">
        <f>C18-C20-C21</f>
        <v>6525.7440000000015</v>
      </c>
      <c r="D19" s="195"/>
      <c r="E19" s="320">
        <f>E18-E38</f>
        <v>0</v>
      </c>
      <c r="F19" s="319"/>
      <c r="G19" s="319"/>
      <c r="H19" s="319"/>
    </row>
    <row r="20" spans="1:8" ht="15.75">
      <c r="A20" s="20" t="s">
        <v>16</v>
      </c>
      <c r="B20" s="191" t="s">
        <v>11</v>
      </c>
      <c r="C20" s="194">
        <f>(1.35+1.41)*6*157.4+5099.76</f>
        <v>7706.304</v>
      </c>
      <c r="D20" s="195"/>
      <c r="E20" s="321"/>
      <c r="F20" s="319"/>
      <c r="G20" s="319"/>
      <c r="H20" s="319"/>
    </row>
    <row r="21" spans="1:8" ht="15.75">
      <c r="A21" s="20" t="s">
        <v>17</v>
      </c>
      <c r="B21" s="191" t="s">
        <v>11</v>
      </c>
      <c r="C21" s="196">
        <f>157.4*4.19*12</f>
        <v>7914.072000000001</v>
      </c>
      <c r="D21" s="195"/>
      <c r="E21" s="319"/>
      <c r="F21" s="319"/>
      <c r="G21" s="319"/>
      <c r="H21" s="319"/>
    </row>
    <row r="22" spans="1:8" ht="15.75">
      <c r="A22" s="20" t="s">
        <v>18</v>
      </c>
      <c r="B22" s="191" t="s">
        <v>11</v>
      </c>
      <c r="C22" s="194">
        <f>C23+C24+C25+C26+C27</f>
        <v>27797.809824000004</v>
      </c>
      <c r="D22" s="195" t="s">
        <v>19</v>
      </c>
      <c r="E22" s="320"/>
      <c r="F22" s="319"/>
      <c r="G22" s="319"/>
      <c r="H22" s="319"/>
    </row>
    <row r="23" spans="1:8" ht="15.75">
      <c r="A23" s="20" t="s">
        <v>20</v>
      </c>
      <c r="B23" s="191" t="s">
        <v>11</v>
      </c>
      <c r="C23" s="194">
        <f>C18*1.2552</f>
        <v>27797.809824000004</v>
      </c>
      <c r="D23" s="195"/>
      <c r="E23" s="319"/>
      <c r="F23" s="319"/>
      <c r="G23" s="319"/>
      <c r="H23" s="319"/>
    </row>
    <row r="24" spans="1:8" ht="15.75">
      <c r="A24" s="20" t="s">
        <v>21</v>
      </c>
      <c r="B24" s="191" t="s">
        <v>11</v>
      </c>
      <c r="C24" s="194">
        <v>0</v>
      </c>
      <c r="D24" s="197">
        <v>65.21</v>
      </c>
      <c r="E24" s="321" t="e">
        <f>B24/#REF!*1</f>
        <v>#VALUE!</v>
      </c>
      <c r="F24" s="319"/>
      <c r="G24" s="319"/>
      <c r="H24" s="319" t="s">
        <v>22</v>
      </c>
    </row>
    <row r="25" spans="1:8" ht="15.75">
      <c r="A25" s="20" t="s">
        <v>23</v>
      </c>
      <c r="B25" s="191" t="s">
        <v>11</v>
      </c>
      <c r="C25" s="194">
        <v>0</v>
      </c>
      <c r="D25" s="197">
        <v>119.63</v>
      </c>
      <c r="E25" s="321" t="e">
        <f>B25/#REF!*1</f>
        <v>#VALUE!</v>
      </c>
      <c r="F25" s="319"/>
      <c r="G25" s="319"/>
      <c r="H25" s="319"/>
    </row>
    <row r="26" spans="1:8" ht="15.75">
      <c r="A26" s="188" t="s">
        <v>24</v>
      </c>
      <c r="B26" s="191" t="s">
        <v>11</v>
      </c>
      <c r="C26" s="194">
        <v>0</v>
      </c>
      <c r="D26" s="197"/>
      <c r="E26" s="321" t="e">
        <f>B26/#REF!*1</f>
        <v>#VALUE!</v>
      </c>
      <c r="F26" s="319"/>
      <c r="G26" s="319"/>
      <c r="H26" s="319"/>
    </row>
    <row r="27" spans="1:8" ht="16.5" customHeight="1">
      <c r="A27" s="198" t="s">
        <v>96</v>
      </c>
      <c r="B27" s="191" t="s">
        <v>11</v>
      </c>
      <c r="C27" s="194">
        <v>0</v>
      </c>
      <c r="D27" s="197">
        <v>139.18</v>
      </c>
      <c r="E27" s="321" t="e">
        <f>B27/#REF!*1</f>
        <v>#VALUE!</v>
      </c>
      <c r="F27" s="319"/>
      <c r="G27" s="319"/>
      <c r="H27" s="319"/>
    </row>
    <row r="28" spans="1:8" ht="15.75">
      <c r="A28" s="20" t="s">
        <v>25</v>
      </c>
      <c r="B28" s="191" t="s">
        <v>11</v>
      </c>
      <c r="C28" s="194">
        <f>C15+C22</f>
        <v>69734.349824</v>
      </c>
      <c r="D28" s="195" t="s">
        <v>26</v>
      </c>
      <c r="E28" s="321" t="e">
        <f>B28/#REF!*1</f>
        <v>#VALUE!</v>
      </c>
      <c r="F28" s="319"/>
      <c r="G28" s="319"/>
      <c r="H28" s="319"/>
    </row>
    <row r="29" spans="1:8" ht="35.25" customHeight="1">
      <c r="A29" s="568" t="s">
        <v>27</v>
      </c>
      <c r="B29" s="568"/>
      <c r="C29" s="568"/>
      <c r="D29" s="568"/>
      <c r="E29" s="319"/>
      <c r="F29" s="319"/>
      <c r="G29" s="319"/>
      <c r="H29" s="319"/>
    </row>
    <row r="30" spans="1:8" ht="63">
      <c r="A30" s="271" t="s">
        <v>28</v>
      </c>
      <c r="B30" s="307" t="s">
        <v>29</v>
      </c>
      <c r="C30" s="286" t="s">
        <v>30</v>
      </c>
      <c r="D30" s="308" t="s">
        <v>31</v>
      </c>
      <c r="E30" s="319"/>
      <c r="F30" s="319"/>
      <c r="G30" s="319"/>
      <c r="H30" s="319"/>
    </row>
    <row r="31" spans="1:8" ht="15.75">
      <c r="A31" s="203" t="s">
        <v>32</v>
      </c>
      <c r="B31" s="204" t="s">
        <v>33</v>
      </c>
      <c r="C31" s="205" t="s">
        <v>34</v>
      </c>
      <c r="D31" s="206">
        <f>(0.95+0.85)*6*157.4</f>
        <v>1699.9199999999998</v>
      </c>
      <c r="E31" s="319"/>
      <c r="F31" s="319"/>
      <c r="G31" s="319"/>
      <c r="H31" s="319"/>
    </row>
    <row r="32" spans="1:8" ht="15.75">
      <c r="A32" s="207" t="s">
        <v>36</v>
      </c>
      <c r="B32" s="208" t="s">
        <v>33</v>
      </c>
      <c r="C32" s="209" t="s">
        <v>37</v>
      </c>
      <c r="D32" s="210">
        <f>0.24*12*157.4</f>
        <v>453.312</v>
      </c>
      <c r="E32" s="319"/>
      <c r="F32" s="319"/>
      <c r="G32" s="319"/>
      <c r="H32" s="319"/>
    </row>
    <row r="33" spans="1:8" ht="15.75">
      <c r="A33" s="207" t="s">
        <v>99</v>
      </c>
      <c r="B33" s="208" t="s">
        <v>33</v>
      </c>
      <c r="C33" s="209" t="s">
        <v>34</v>
      </c>
      <c r="D33" s="210">
        <f>(0.35+0.16)*6*157.4</f>
        <v>481.644</v>
      </c>
      <c r="E33" s="319"/>
      <c r="F33" s="319"/>
      <c r="G33" s="319"/>
      <c r="H33" s="319"/>
    </row>
    <row r="34" spans="1:8" ht="15.75">
      <c r="A34" s="207" t="s">
        <v>81</v>
      </c>
      <c r="B34" s="213" t="s">
        <v>82</v>
      </c>
      <c r="C34" s="209" t="s">
        <v>34</v>
      </c>
      <c r="D34" s="210">
        <f>1.33*12*157.4</f>
        <v>2512.1040000000003</v>
      </c>
      <c r="E34" s="319"/>
      <c r="F34" s="319"/>
      <c r="G34" s="319"/>
      <c r="H34" s="319"/>
    </row>
    <row r="35" spans="1:8" ht="15.75">
      <c r="A35" s="207" t="s">
        <v>38</v>
      </c>
      <c r="B35" s="208" t="s">
        <v>35</v>
      </c>
      <c r="C35" s="214" t="s">
        <v>39</v>
      </c>
      <c r="D35" s="210">
        <f>4.19*157.4*12</f>
        <v>7914.072000000001</v>
      </c>
      <c r="E35" s="319"/>
      <c r="F35" s="319"/>
      <c r="G35" s="319"/>
      <c r="H35" s="319"/>
    </row>
    <row r="36" spans="1:8" ht="15.75">
      <c r="A36" s="207" t="s">
        <v>85</v>
      </c>
      <c r="B36" s="208" t="s">
        <v>222</v>
      </c>
      <c r="C36" s="214" t="s">
        <v>37</v>
      </c>
      <c r="D36" s="210">
        <f>0.73*12*157.4-0.06</f>
        <v>1378.7640000000001</v>
      </c>
      <c r="E36" s="319"/>
      <c r="F36" s="319"/>
      <c r="G36" s="319"/>
      <c r="H36" s="319"/>
    </row>
    <row r="37" spans="1:14" s="1" customFormat="1" ht="47.25">
      <c r="A37" s="294" t="s">
        <v>216</v>
      </c>
      <c r="B37" s="215" t="s">
        <v>41</v>
      </c>
      <c r="C37" s="221"/>
      <c r="D37" s="175">
        <v>0</v>
      </c>
      <c r="E37" s="319"/>
      <c r="F37" s="319"/>
      <c r="G37" s="319"/>
      <c r="H37" s="319"/>
      <c r="K37"/>
      <c r="L37"/>
      <c r="M37"/>
      <c r="N37"/>
    </row>
    <row r="38" spans="1:14" s="1" customFormat="1" ht="15.75">
      <c r="A38" s="37" t="s">
        <v>42</v>
      </c>
      <c r="B38" s="222"/>
      <c r="C38" s="223"/>
      <c r="D38" s="97">
        <f>D31+D32+D33+D34+D35+D36+D37</f>
        <v>14439.816000000003</v>
      </c>
      <c r="E38" s="181">
        <f>D38-D37</f>
        <v>14439.816000000003</v>
      </c>
      <c r="F38" s="319"/>
      <c r="G38" s="319"/>
      <c r="H38" s="319"/>
      <c r="K38"/>
      <c r="L38"/>
      <c r="M38"/>
      <c r="N38"/>
    </row>
    <row r="39" spans="1:14" s="1" customFormat="1" ht="15.75">
      <c r="A39" s="40" t="s">
        <v>43</v>
      </c>
      <c r="B39" s="224" t="s">
        <v>11</v>
      </c>
      <c r="C39" s="225"/>
      <c r="D39" s="226">
        <f>C28-D38</f>
        <v>55294.533824</v>
      </c>
      <c r="E39" s="181"/>
      <c r="F39" s="319"/>
      <c r="G39" s="319"/>
      <c r="H39" s="319"/>
      <c r="K39"/>
      <c r="L39"/>
      <c r="M39"/>
      <c r="N39"/>
    </row>
    <row r="40" spans="1:14" s="1" customFormat="1" ht="15.75">
      <c r="A40" s="227" t="s">
        <v>12</v>
      </c>
      <c r="B40" s="228" t="s">
        <v>11</v>
      </c>
      <c r="C40" s="209"/>
      <c r="D40" s="193">
        <v>0</v>
      </c>
      <c r="E40" s="319"/>
      <c r="F40" s="319"/>
      <c r="G40" s="319"/>
      <c r="H40" s="319"/>
      <c r="K40"/>
      <c r="L40"/>
      <c r="M40"/>
      <c r="N40"/>
    </row>
    <row r="41" spans="1:14" s="1" customFormat="1" ht="15.75">
      <c r="A41" s="227" t="s">
        <v>13</v>
      </c>
      <c r="B41" s="228" t="s">
        <v>11</v>
      </c>
      <c r="C41" s="209"/>
      <c r="D41" s="195">
        <f>C17+C18-C23</f>
        <v>1002.0101759999998</v>
      </c>
      <c r="E41" s="319"/>
      <c r="F41" s="319"/>
      <c r="G41" s="319"/>
      <c r="H41" s="319"/>
      <c r="K41"/>
      <c r="L41"/>
      <c r="M41"/>
      <c r="N41"/>
    </row>
    <row r="42" spans="1:14" s="1" customFormat="1" ht="24" customHeight="1">
      <c r="A42" s="569" t="s">
        <v>44</v>
      </c>
      <c r="B42" s="569"/>
      <c r="C42" s="569"/>
      <c r="D42" s="569"/>
      <c r="E42" s="319"/>
      <c r="F42" s="319"/>
      <c r="G42" s="319"/>
      <c r="H42" s="319"/>
      <c r="K42"/>
      <c r="L42"/>
      <c r="M42"/>
      <c r="N42"/>
    </row>
    <row r="43" spans="1:14" s="1" customFormat="1" ht="15.75">
      <c r="A43" s="227" t="s">
        <v>45</v>
      </c>
      <c r="B43" s="208" t="s">
        <v>46</v>
      </c>
      <c r="C43" s="209"/>
      <c r="D43" s="193">
        <v>0</v>
      </c>
      <c r="E43" s="319"/>
      <c r="F43" s="319"/>
      <c r="G43" s="319"/>
      <c r="H43" s="319"/>
      <c r="K43"/>
      <c r="L43"/>
      <c r="M43"/>
      <c r="N43"/>
    </row>
    <row r="44" spans="1:14" s="1" customFormat="1" ht="15.75">
      <c r="A44" s="227" t="s">
        <v>47</v>
      </c>
      <c r="B44" s="208" t="s">
        <v>46</v>
      </c>
      <c r="C44" s="209"/>
      <c r="D44" s="193">
        <v>0</v>
      </c>
      <c r="E44" s="319"/>
      <c r="F44" s="319"/>
      <c r="G44" s="319"/>
      <c r="H44" s="319"/>
      <c r="K44"/>
      <c r="L44"/>
      <c r="M44"/>
      <c r="N44"/>
    </row>
    <row r="45" spans="1:14" s="1" customFormat="1" ht="15.75">
      <c r="A45" s="229" t="s">
        <v>48</v>
      </c>
      <c r="B45" s="208" t="s">
        <v>46</v>
      </c>
      <c r="C45" s="209"/>
      <c r="D45" s="193">
        <v>0</v>
      </c>
      <c r="E45" s="319"/>
      <c r="F45" s="319"/>
      <c r="G45" s="319"/>
      <c r="H45" s="319"/>
      <c r="K45"/>
      <c r="L45"/>
      <c r="M45"/>
      <c r="N45"/>
    </row>
    <row r="46" spans="1:14" s="1" customFormat="1" ht="15.75">
      <c r="A46" s="227" t="s">
        <v>49</v>
      </c>
      <c r="B46" s="208" t="s">
        <v>11</v>
      </c>
      <c r="C46" s="209"/>
      <c r="D46" s="193">
        <v>0</v>
      </c>
      <c r="E46" s="319"/>
      <c r="F46" s="319"/>
      <c r="G46" s="319"/>
      <c r="H46" s="319"/>
      <c r="K46"/>
      <c r="L46"/>
      <c r="M46"/>
      <c r="N46"/>
    </row>
    <row r="47" spans="1:8" ht="20.25" customHeight="1">
      <c r="A47" s="570" t="s">
        <v>50</v>
      </c>
      <c r="B47" s="570"/>
      <c r="C47" s="570"/>
      <c r="D47" s="570"/>
      <c r="E47" s="319"/>
      <c r="F47" s="319"/>
      <c r="G47" s="319"/>
      <c r="H47" s="319"/>
    </row>
    <row r="48" spans="1:8" ht="26.25">
      <c r="A48" s="229" t="s">
        <v>51</v>
      </c>
      <c r="B48" s="208" t="s">
        <v>11</v>
      </c>
      <c r="C48" s="209"/>
      <c r="D48" s="193">
        <v>0</v>
      </c>
      <c r="E48" s="109"/>
      <c r="F48" s="109"/>
      <c r="G48" s="109"/>
      <c r="H48" s="109"/>
    </row>
    <row r="49" spans="1:8" ht="15.75">
      <c r="A49" s="227" t="s">
        <v>12</v>
      </c>
      <c r="B49" s="208" t="s">
        <v>11</v>
      </c>
      <c r="C49" s="209"/>
      <c r="D49" s="193">
        <v>0</v>
      </c>
      <c r="E49" s="109"/>
      <c r="F49" s="109"/>
      <c r="G49" s="109"/>
      <c r="H49" s="109"/>
    </row>
    <row r="50" spans="1:8" ht="15.75">
      <c r="A50" s="227" t="s">
        <v>13</v>
      </c>
      <c r="B50" s="208" t="s">
        <v>11</v>
      </c>
      <c r="C50" s="209"/>
      <c r="D50" s="237">
        <f>D53-D56-D57-D58-D59</f>
        <v>9386.270272000002</v>
      </c>
      <c r="E50" s="109"/>
      <c r="F50" s="109"/>
      <c r="G50" s="109"/>
      <c r="H50" s="113"/>
    </row>
    <row r="51" spans="1:8" ht="26.25">
      <c r="A51" s="231" t="s">
        <v>52</v>
      </c>
      <c r="B51" s="208" t="s">
        <v>11</v>
      </c>
      <c r="C51" s="232"/>
      <c r="D51" s="233">
        <v>0</v>
      </c>
      <c r="E51" s="109"/>
      <c r="F51" s="109"/>
      <c r="G51" s="109"/>
      <c r="H51" s="109"/>
    </row>
    <row r="52" spans="1:10" ht="17.25" customHeight="1">
      <c r="A52" s="254" t="s">
        <v>12</v>
      </c>
      <c r="B52" s="208" t="s">
        <v>11</v>
      </c>
      <c r="C52" s="276"/>
      <c r="D52" s="55">
        <v>0</v>
      </c>
      <c r="E52" s="109"/>
      <c r="F52" s="109"/>
      <c r="G52" s="109"/>
      <c r="H52" s="109"/>
      <c r="I52" s="49"/>
      <c r="J52" s="49"/>
    </row>
    <row r="53" spans="1:14" ht="15.75">
      <c r="A53" s="235" t="s">
        <v>13</v>
      </c>
      <c r="B53" s="208" t="s">
        <v>11</v>
      </c>
      <c r="C53" s="236"/>
      <c r="D53" s="237">
        <v>6670.34</v>
      </c>
      <c r="E53" s="109"/>
      <c r="F53" s="109"/>
      <c r="G53" s="109"/>
      <c r="H53" s="109" t="s">
        <v>26</v>
      </c>
      <c r="I53" s="60"/>
      <c r="J53" s="60"/>
      <c r="K53" s="61"/>
      <c r="L53" s="61"/>
      <c r="M53" s="61"/>
      <c r="N53" s="61"/>
    </row>
    <row r="54" spans="1:14" ht="18" customHeight="1">
      <c r="A54" s="571" t="s">
        <v>53</v>
      </c>
      <c r="B54" s="571"/>
      <c r="C54" s="571"/>
      <c r="D54" s="571"/>
      <c r="E54" s="114"/>
      <c r="F54" s="115"/>
      <c r="G54" s="116"/>
      <c r="H54" s="109"/>
      <c r="I54" s="65"/>
      <c r="J54" s="65"/>
      <c r="K54" s="66"/>
      <c r="L54" s="66"/>
      <c r="M54" s="66"/>
      <c r="N54" s="66"/>
    </row>
    <row r="55" spans="1:14" ht="47.25">
      <c r="A55" s="67" t="s">
        <v>54</v>
      </c>
      <c r="B55" s="68" t="s">
        <v>55</v>
      </c>
      <c r="C55" s="69" t="s">
        <v>56</v>
      </c>
      <c r="D55" s="70" t="s">
        <v>57</v>
      </c>
      <c r="E55" s="114"/>
      <c r="F55" s="115"/>
      <c r="G55" s="116"/>
      <c r="H55" s="109"/>
      <c r="I55" s="65"/>
      <c r="J55" s="71"/>
      <c r="K55" s="66"/>
      <c r="L55" s="66"/>
      <c r="M55" s="66"/>
      <c r="N55" s="66"/>
    </row>
    <row r="56" spans="1:14" ht="15.75">
      <c r="A56" s="238" t="s">
        <v>58</v>
      </c>
      <c r="B56" s="239">
        <v>2564.58</v>
      </c>
      <c r="C56" s="240">
        <f>B56*1.2552</f>
        <v>3219.060816</v>
      </c>
      <c r="D56" s="241">
        <f>B56-C56</f>
        <v>-654.4808160000002</v>
      </c>
      <c r="E56" s="117"/>
      <c r="F56" s="115"/>
      <c r="G56" s="116"/>
      <c r="H56" s="109"/>
      <c r="I56" s="65"/>
      <c r="J56" s="65"/>
      <c r="K56" s="66"/>
      <c r="L56" s="66"/>
      <c r="M56" s="66"/>
      <c r="N56" s="66"/>
    </row>
    <row r="57" spans="1:14" ht="15.75">
      <c r="A57" s="238" t="s">
        <v>59</v>
      </c>
      <c r="B57" s="239">
        <v>0</v>
      </c>
      <c r="C57" s="240">
        <f>B57*1.2552</f>
        <v>0</v>
      </c>
      <c r="D57" s="241">
        <f>B57-C57</f>
        <v>0</v>
      </c>
      <c r="E57" s="114"/>
      <c r="F57" s="115"/>
      <c r="G57" s="116"/>
      <c r="H57" s="109"/>
      <c r="I57" s="65"/>
      <c r="J57" s="65"/>
      <c r="K57" s="66"/>
      <c r="L57" s="66"/>
      <c r="M57" s="66"/>
      <c r="N57" s="66"/>
    </row>
    <row r="58" spans="1:14" ht="15.75">
      <c r="A58" s="238" t="s">
        <v>60</v>
      </c>
      <c r="B58" s="242">
        <v>0</v>
      </c>
      <c r="C58" s="240">
        <f>B58*1.2552</f>
        <v>0</v>
      </c>
      <c r="D58" s="241">
        <f>B58-C58</f>
        <v>0</v>
      </c>
      <c r="E58" s="114">
        <f>(2.07+1.8)*6*2301.2-0.37*2301.2*6</f>
        <v>48325.2</v>
      </c>
      <c r="F58" s="118"/>
      <c r="G58" s="119"/>
      <c r="H58" s="114"/>
      <c r="I58" s="65"/>
      <c r="J58" s="65"/>
      <c r="K58" s="66"/>
      <c r="L58" s="66"/>
      <c r="M58" s="66"/>
      <c r="N58" s="66"/>
    </row>
    <row r="59" spans="1:14" ht="16.5" thickBot="1">
      <c r="A59" s="261" t="s">
        <v>236</v>
      </c>
      <c r="B59" s="262">
        <v>8077.78</v>
      </c>
      <c r="C59" s="240">
        <f>B59*1.2552</f>
        <v>10139.229456000001</v>
      </c>
      <c r="D59" s="264">
        <f>B59-C59</f>
        <v>-2061.449456000001</v>
      </c>
      <c r="E59" s="114"/>
      <c r="F59" s="118"/>
      <c r="G59" s="119"/>
      <c r="H59" s="109"/>
      <c r="I59" s="65"/>
      <c r="J59" s="65"/>
      <c r="K59" s="66"/>
      <c r="L59" s="66"/>
      <c r="M59" s="66"/>
      <c r="N59" s="66"/>
    </row>
    <row r="60" spans="1:14" ht="63">
      <c r="A60" s="129" t="s">
        <v>62</v>
      </c>
      <c r="B60" s="130" t="s">
        <v>63</v>
      </c>
      <c r="C60" s="131" t="s">
        <v>64</v>
      </c>
      <c r="D60" s="132" t="s">
        <v>65</v>
      </c>
      <c r="E60" s="114"/>
      <c r="F60" s="118"/>
      <c r="G60" s="109"/>
      <c r="H60" s="120"/>
      <c r="I60" s="65"/>
      <c r="J60" s="65"/>
      <c r="K60" s="66"/>
      <c r="L60" s="66"/>
      <c r="M60" s="66"/>
      <c r="N60" s="66"/>
    </row>
    <row r="61" spans="1:14" ht="15.75">
      <c r="A61" s="265" t="s">
        <v>58</v>
      </c>
      <c r="B61" s="244">
        <f>B56</f>
        <v>2564.58</v>
      </c>
      <c r="C61" s="245">
        <f>C56</f>
        <v>3219.060816</v>
      </c>
      <c r="D61" s="266">
        <f>B61-C61</f>
        <v>-654.4808160000002</v>
      </c>
      <c r="E61" s="114"/>
      <c r="F61" s="118"/>
      <c r="G61" s="109"/>
      <c r="H61" s="120"/>
      <c r="I61" s="65"/>
      <c r="J61" s="65" t="s">
        <v>26</v>
      </c>
      <c r="K61" s="66"/>
      <c r="L61" s="66"/>
      <c r="M61" s="66"/>
      <c r="N61" s="66"/>
    </row>
    <row r="62" spans="1:14" ht="15.75">
      <c r="A62" s="265" t="s">
        <v>59</v>
      </c>
      <c r="B62" s="244">
        <v>0</v>
      </c>
      <c r="C62" s="245">
        <f>C57*1.0063</f>
        <v>0</v>
      </c>
      <c r="D62" s="266">
        <f>B62-C62</f>
        <v>0</v>
      </c>
      <c r="E62" s="114"/>
      <c r="F62" s="118"/>
      <c r="G62" s="109"/>
      <c r="H62" s="120"/>
      <c r="I62" s="65"/>
      <c r="J62" s="65"/>
      <c r="K62" s="66"/>
      <c r="L62" s="66"/>
      <c r="M62" s="66"/>
      <c r="N62" s="66"/>
    </row>
    <row r="63" spans="1:14" ht="15.75">
      <c r="A63" s="265" t="s">
        <v>60</v>
      </c>
      <c r="B63" s="244">
        <v>0</v>
      </c>
      <c r="C63" s="245">
        <f>C58*1.0063</f>
        <v>0</v>
      </c>
      <c r="D63" s="266">
        <f>B63-C63</f>
        <v>0</v>
      </c>
      <c r="E63" s="114"/>
      <c r="F63" s="118"/>
      <c r="G63" s="109"/>
      <c r="H63" s="120"/>
      <c r="I63" s="65"/>
      <c r="J63" s="65"/>
      <c r="K63" s="66"/>
      <c r="L63" s="66"/>
      <c r="M63" s="66"/>
      <c r="N63" s="66"/>
    </row>
    <row r="64" spans="1:14" ht="16.5" thickBot="1">
      <c r="A64" s="267" t="s">
        <v>236</v>
      </c>
      <c r="B64" s="268">
        <f>B59</f>
        <v>8077.78</v>
      </c>
      <c r="C64" s="298">
        <f>C59</f>
        <v>10139.229456000001</v>
      </c>
      <c r="D64" s="270">
        <f>B64-C64</f>
        <v>-2061.449456000001</v>
      </c>
      <c r="E64" s="114"/>
      <c r="F64" s="118"/>
      <c r="G64" s="109"/>
      <c r="H64" s="120" t="s">
        <v>26</v>
      </c>
      <c r="I64" s="65"/>
      <c r="J64" s="65"/>
      <c r="K64" s="66"/>
      <c r="L64" s="66"/>
      <c r="M64" s="66"/>
      <c r="N64" s="66"/>
    </row>
    <row r="65" spans="1:14" ht="15.75">
      <c r="A65" s="247"/>
      <c r="B65" s="248"/>
      <c r="C65" s="249"/>
      <c r="D65" s="250"/>
      <c r="E65" s="62"/>
      <c r="F65" s="73"/>
      <c r="H65" s="65"/>
      <c r="I65" s="65"/>
      <c r="J65" s="65"/>
      <c r="K65" s="66"/>
      <c r="L65" s="66"/>
      <c r="M65" s="66"/>
      <c r="N65" s="66"/>
    </row>
    <row r="66" spans="1:14" ht="26.25">
      <c r="A66" s="251" t="s">
        <v>66</v>
      </c>
      <c r="B66" s="248" t="s">
        <v>11</v>
      </c>
      <c r="C66" s="252"/>
      <c r="D66" s="253">
        <v>0</v>
      </c>
      <c r="E66" s="62"/>
      <c r="F66" s="73"/>
      <c r="H66" s="65"/>
      <c r="I66" s="65"/>
      <c r="J66" s="65" t="s">
        <v>26</v>
      </c>
      <c r="K66" s="66"/>
      <c r="L66" s="66"/>
      <c r="M66" s="66"/>
      <c r="N66" s="66"/>
    </row>
    <row r="67" spans="1:14" ht="17.25" customHeight="1">
      <c r="A67" s="572" t="s">
        <v>67</v>
      </c>
      <c r="B67" s="572"/>
      <c r="C67" s="572"/>
      <c r="D67" s="572"/>
      <c r="E67" s="83" t="e">
        <f>D67+B19</f>
        <v>#VALUE!</v>
      </c>
      <c r="F67" s="65"/>
      <c r="H67" s="84" t="e">
        <f>E67-B18</f>
        <v>#VALUE!</v>
      </c>
      <c r="I67" s="65"/>
      <c r="J67" s="65"/>
      <c r="K67" s="66"/>
      <c r="L67" s="66"/>
      <c r="M67" s="66"/>
      <c r="N67" s="66"/>
    </row>
    <row r="68" spans="1:5" ht="21" customHeight="1">
      <c r="A68" s="86" t="s">
        <v>45</v>
      </c>
      <c r="B68" s="86" t="s">
        <v>46</v>
      </c>
      <c r="C68" s="86"/>
      <c r="D68" s="177">
        <v>0</v>
      </c>
      <c r="E68" s="88"/>
    </row>
    <row r="69" spans="1:5" ht="21" customHeight="1">
      <c r="A69" s="86" t="s">
        <v>47</v>
      </c>
      <c r="B69" s="86" t="s">
        <v>46</v>
      </c>
      <c r="C69" s="86"/>
      <c r="D69" s="177">
        <v>0</v>
      </c>
      <c r="E69" s="88"/>
    </row>
    <row r="70" spans="1:5" ht="18" customHeight="1">
      <c r="A70" s="86" t="s">
        <v>48</v>
      </c>
      <c r="B70" s="86" t="s">
        <v>46</v>
      </c>
      <c r="C70" s="86"/>
      <c r="D70" s="177">
        <v>0</v>
      </c>
      <c r="E70" s="88"/>
    </row>
    <row r="71" spans="1:5" ht="16.5" customHeight="1">
      <c r="A71" s="86" t="s">
        <v>49</v>
      </c>
      <c r="B71" s="86" t="s">
        <v>11</v>
      </c>
      <c r="C71" s="86"/>
      <c r="D71" s="177">
        <v>0</v>
      </c>
      <c r="E71" s="88"/>
    </row>
    <row r="72" spans="1:5" ht="15.75" customHeight="1">
      <c r="A72" s="566" t="s">
        <v>68</v>
      </c>
      <c r="B72" s="566"/>
      <c r="C72" s="566"/>
      <c r="D72" s="566"/>
      <c r="E72" s="88"/>
    </row>
    <row r="73" spans="1:5" ht="18.75" customHeight="1">
      <c r="A73" s="86" t="s">
        <v>69</v>
      </c>
      <c r="B73" s="86" t="s">
        <v>46</v>
      </c>
      <c r="C73" s="86"/>
      <c r="D73" s="177">
        <v>1</v>
      </c>
      <c r="E73" s="88"/>
    </row>
    <row r="74" spans="1:5" ht="21.75" customHeight="1">
      <c r="A74" s="86" t="s">
        <v>70</v>
      </c>
      <c r="B74" s="254" t="s">
        <v>46</v>
      </c>
      <c r="C74" s="254"/>
      <c r="D74" s="177">
        <v>0</v>
      </c>
      <c r="E74" s="88"/>
    </row>
    <row r="75" spans="1:5" ht="36" customHeight="1">
      <c r="A75" s="255" t="s">
        <v>71</v>
      </c>
      <c r="B75" s="86" t="s">
        <v>11</v>
      </c>
      <c r="C75" s="86"/>
      <c r="D75" s="177">
        <v>14500</v>
      </c>
      <c r="E75" s="88"/>
    </row>
    <row r="76" spans="1:4" ht="15.75">
      <c r="A76" s="256"/>
      <c r="B76" s="256"/>
      <c r="C76" s="256"/>
      <c r="D76" s="257"/>
    </row>
    <row r="77" spans="1:14" s="1" customFormat="1" ht="12.75">
      <c r="A77" s="178"/>
      <c r="B77" s="178"/>
      <c r="C77" s="178"/>
      <c r="D77" s="178"/>
      <c r="H77" s="1" t="s">
        <v>26</v>
      </c>
      <c r="K77"/>
      <c r="L77"/>
      <c r="M77"/>
      <c r="N77"/>
    </row>
    <row r="78" spans="1:14" s="1" customFormat="1" ht="12.75">
      <c r="A78" s="178" t="s">
        <v>72</v>
      </c>
      <c r="B78" s="178"/>
      <c r="C78" s="178"/>
      <c r="D78" s="178"/>
      <c r="K78"/>
      <c r="L78"/>
      <c r="M78"/>
      <c r="N78"/>
    </row>
    <row r="79" spans="1:14" s="1" customFormat="1" ht="12.75">
      <c r="A79" s="178"/>
      <c r="B79" s="178"/>
      <c r="C79" s="178"/>
      <c r="D79" s="178"/>
      <c r="H79" s="1" t="s">
        <v>26</v>
      </c>
      <c r="K79"/>
      <c r="L79"/>
      <c r="M79"/>
      <c r="N79"/>
    </row>
    <row r="80" spans="1:14" s="1" customFormat="1" ht="12.75">
      <c r="A80" s="178" t="s">
        <v>73</v>
      </c>
      <c r="B80" s="178"/>
      <c r="C80" s="178"/>
      <c r="D80" s="178"/>
      <c r="K80"/>
      <c r="L80"/>
      <c r="M80"/>
      <c r="N80"/>
    </row>
    <row r="81" spans="1:4" ht="12.75">
      <c r="A81" s="178"/>
      <c r="B81" s="178"/>
      <c r="C81" s="178"/>
      <c r="D81" s="178"/>
    </row>
    <row r="82" spans="1:4" ht="12.75">
      <c r="A82" s="178"/>
      <c r="B82" s="178"/>
      <c r="C82" s="178"/>
      <c r="D82" s="178"/>
    </row>
    <row r="83" spans="1:4" ht="12.75">
      <c r="A83" s="178"/>
      <c r="B83" s="178"/>
      <c r="C83" s="178"/>
      <c r="D83" s="178"/>
    </row>
    <row r="84" spans="1:14" s="1" customFormat="1" ht="12.75">
      <c r="A84" s="178"/>
      <c r="B84" s="178"/>
      <c r="C84" s="178"/>
      <c r="D84" s="178"/>
      <c r="E84" s="1" t="s">
        <v>26</v>
      </c>
      <c r="K84"/>
      <c r="L84"/>
      <c r="M84"/>
      <c r="N84"/>
    </row>
    <row r="85" spans="1:4" ht="12.75">
      <c r="A85" s="178"/>
      <c r="B85" s="178"/>
      <c r="C85" s="178"/>
      <c r="D85" s="178"/>
    </row>
  </sheetData>
  <sheetProtection selectLockedCells="1" selectUnlockedCells="1"/>
  <mergeCells count="13">
    <mergeCell ref="A72:D72"/>
    <mergeCell ref="A14:D14"/>
    <mergeCell ref="A29:D29"/>
    <mergeCell ref="A42:D42"/>
    <mergeCell ref="A47:D47"/>
    <mergeCell ref="A54:D54"/>
    <mergeCell ref="A67:D67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zoomScale="80" zoomScaleNormal="80" zoomScalePageLayoutView="0" workbookViewId="0" topLeftCell="A22">
      <selection activeCell="D39" sqref="D39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560" t="s">
        <v>0</v>
      </c>
      <c r="B1" s="560"/>
      <c r="C1" s="560"/>
      <c r="D1" s="560"/>
    </row>
    <row r="2" spans="1:4" ht="15.75">
      <c r="A2" s="561" t="s">
        <v>220</v>
      </c>
      <c r="B2" s="562"/>
      <c r="C2" s="562"/>
      <c r="D2" s="562"/>
    </row>
    <row r="3" spans="1:4" ht="15.75">
      <c r="A3" s="562" t="s">
        <v>1</v>
      </c>
      <c r="B3" s="562"/>
      <c r="C3" s="562"/>
      <c r="D3" s="562"/>
    </row>
    <row r="4" spans="1:4" ht="12.75">
      <c r="A4" s="563" t="s">
        <v>103</v>
      </c>
      <c r="B4" s="563"/>
      <c r="C4" s="563"/>
      <c r="D4" s="563"/>
    </row>
    <row r="5" spans="1:4" ht="12.75">
      <c r="A5" s="564" t="s">
        <v>266</v>
      </c>
      <c r="B5" s="563"/>
      <c r="C5" s="563"/>
      <c r="D5" s="563"/>
    </row>
    <row r="6" spans="1:4" ht="9" customHeight="1">
      <c r="A6" s="258"/>
      <c r="B6" s="178"/>
      <c r="C6" s="178"/>
      <c r="D6" s="178"/>
    </row>
    <row r="7" spans="1:8" ht="18" customHeight="1">
      <c r="A7" s="565" t="s">
        <v>2</v>
      </c>
      <c r="B7" s="565"/>
      <c r="C7" s="565"/>
      <c r="D7" s="565"/>
      <c r="E7" s="109"/>
      <c r="F7" s="109"/>
      <c r="G7" s="109"/>
      <c r="H7" s="109"/>
    </row>
    <row r="8" spans="1:8" ht="12.75">
      <c r="A8" s="258" t="s">
        <v>164</v>
      </c>
      <c r="B8" s="178"/>
      <c r="C8" s="183"/>
      <c r="D8" s="178"/>
      <c r="E8" s="109"/>
      <c r="F8" s="109"/>
      <c r="G8" s="109"/>
      <c r="H8" s="109"/>
    </row>
    <row r="9" spans="1:8" ht="12.75">
      <c r="A9" s="184" t="s">
        <v>3</v>
      </c>
      <c r="B9" s="184" t="s">
        <v>4</v>
      </c>
      <c r="C9" s="184" t="s">
        <v>5</v>
      </c>
      <c r="D9" s="185"/>
      <c r="E9" s="109"/>
      <c r="F9" s="109"/>
      <c r="G9" s="109"/>
      <c r="H9" s="109"/>
    </row>
    <row r="10" spans="1:8" ht="12.75">
      <c r="A10" s="186">
        <v>1</v>
      </c>
      <c r="B10" s="186">
        <v>2</v>
      </c>
      <c r="C10" s="186">
        <v>3</v>
      </c>
      <c r="D10" s="187">
        <v>4</v>
      </c>
      <c r="E10" s="109"/>
      <c r="F10" s="109"/>
      <c r="G10" s="109"/>
      <c r="H10" s="109"/>
    </row>
    <row r="11" spans="1:8" ht="12.75">
      <c r="A11" s="20" t="s">
        <v>6</v>
      </c>
      <c r="B11" s="188"/>
      <c r="C11" s="189" t="s">
        <v>262</v>
      </c>
      <c r="D11" s="190"/>
      <c r="E11" s="109"/>
      <c r="F11" s="109"/>
      <c r="G11" s="109"/>
      <c r="H11" s="109"/>
    </row>
    <row r="12" spans="1:8" ht="12.75">
      <c r="A12" s="20" t="s">
        <v>7</v>
      </c>
      <c r="B12" s="188"/>
      <c r="C12" s="189" t="s">
        <v>263</v>
      </c>
      <c r="D12" s="190"/>
      <c r="E12" s="109"/>
      <c r="F12" s="109"/>
      <c r="G12" s="109"/>
      <c r="H12" s="109"/>
    </row>
    <row r="13" spans="1:8" ht="12.75">
      <c r="A13" s="20" t="s">
        <v>8</v>
      </c>
      <c r="B13" s="188"/>
      <c r="C13" s="189" t="s">
        <v>267</v>
      </c>
      <c r="D13" s="190"/>
      <c r="E13" s="109"/>
      <c r="F13" s="109"/>
      <c r="G13" s="109"/>
      <c r="H13" s="109"/>
    </row>
    <row r="14" spans="1:8" ht="31.5" customHeight="1">
      <c r="A14" s="567" t="s">
        <v>9</v>
      </c>
      <c r="B14" s="567"/>
      <c r="C14" s="567"/>
      <c r="D14" s="567"/>
      <c r="E14" s="109"/>
      <c r="F14" s="109"/>
      <c r="G14" s="109"/>
      <c r="H14" s="109"/>
    </row>
    <row r="15" spans="1:8" ht="26.25">
      <c r="A15" s="17" t="s">
        <v>10</v>
      </c>
      <c r="B15" s="191" t="s">
        <v>11</v>
      </c>
      <c r="C15" s="194">
        <v>11940.88</v>
      </c>
      <c r="D15" s="193"/>
      <c r="E15" s="109"/>
      <c r="F15" s="109"/>
      <c r="G15" s="109"/>
      <c r="H15" s="109"/>
    </row>
    <row r="16" spans="1:8" ht="15.75">
      <c r="A16" s="20" t="s">
        <v>12</v>
      </c>
      <c r="B16" s="191" t="s">
        <v>11</v>
      </c>
      <c r="C16" s="192">
        <v>0</v>
      </c>
      <c r="D16" s="193"/>
      <c r="E16" s="109"/>
      <c r="F16" s="109"/>
      <c r="G16" s="109"/>
      <c r="H16" s="109"/>
    </row>
    <row r="17" spans="1:8" ht="15.75">
      <c r="A17" s="20" t="s">
        <v>13</v>
      </c>
      <c r="B17" s="191" t="s">
        <v>11</v>
      </c>
      <c r="C17" s="194">
        <v>18679.3</v>
      </c>
      <c r="D17" s="195"/>
      <c r="E17" s="109"/>
      <c r="F17" s="109"/>
      <c r="G17" s="109"/>
      <c r="H17" s="109"/>
    </row>
    <row r="18" spans="1:8" ht="31.5" customHeight="1">
      <c r="A18" s="17" t="s">
        <v>14</v>
      </c>
      <c r="B18" s="191" t="s">
        <v>11</v>
      </c>
      <c r="C18" s="194">
        <f>10783.68+2640.6</f>
        <v>13424.28</v>
      </c>
      <c r="D18" s="195"/>
      <c r="E18" s="110">
        <f>C18-C20</f>
        <v>9953.178</v>
      </c>
      <c r="F18" s="109"/>
      <c r="G18" s="109"/>
      <c r="H18" s="109"/>
    </row>
    <row r="19" spans="1:8" ht="15.75">
      <c r="A19" s="20" t="s">
        <v>15</v>
      </c>
      <c r="B19" s="191" t="s">
        <v>11</v>
      </c>
      <c r="C19" s="194">
        <f>C18-C20-C21</f>
        <v>4558.133999999999</v>
      </c>
      <c r="D19" s="195"/>
      <c r="E19" s="110">
        <f>E18-E38</f>
        <v>0</v>
      </c>
      <c r="F19" s="109"/>
      <c r="G19" s="109"/>
      <c r="H19" s="109"/>
    </row>
    <row r="20" spans="1:8" ht="15.75">
      <c r="A20" s="20" t="s">
        <v>16</v>
      </c>
      <c r="B20" s="191" t="s">
        <v>11</v>
      </c>
      <c r="C20" s="194">
        <f>(0.53+0.76)*6*107.3+2640.6</f>
        <v>3471.102</v>
      </c>
      <c r="D20" s="195"/>
      <c r="E20" s="111"/>
      <c r="F20" s="109"/>
      <c r="G20" s="109"/>
      <c r="H20" s="109"/>
    </row>
    <row r="21" spans="1:8" ht="15.75">
      <c r="A21" s="20" t="s">
        <v>17</v>
      </c>
      <c r="B21" s="191" t="s">
        <v>11</v>
      </c>
      <c r="C21" s="196">
        <f>107.3*4.19*12</f>
        <v>5395.044000000001</v>
      </c>
      <c r="D21" s="195"/>
      <c r="E21" s="109"/>
      <c r="F21" s="109"/>
      <c r="G21" s="109"/>
      <c r="H21" s="109"/>
    </row>
    <row r="22" spans="1:8" ht="15.75">
      <c r="A22" s="20" t="s">
        <v>18</v>
      </c>
      <c r="B22" s="191" t="s">
        <v>11</v>
      </c>
      <c r="C22" s="194">
        <f>C23+C24+C25+C26+C27</f>
        <v>10069.552428</v>
      </c>
      <c r="D22" s="195" t="s">
        <v>19</v>
      </c>
      <c r="E22" s="110" t="e">
        <f>B24+B25+B26+B27+B28</f>
        <v>#VALUE!</v>
      </c>
      <c r="F22" s="109"/>
      <c r="G22" s="109"/>
      <c r="H22" s="109"/>
    </row>
    <row r="23" spans="1:8" ht="15.75">
      <c r="A23" s="20" t="s">
        <v>20</v>
      </c>
      <c r="B23" s="191" t="s">
        <v>11</v>
      </c>
      <c r="C23" s="194">
        <f>C18*0.7501</f>
        <v>10069.552428</v>
      </c>
      <c r="D23" s="195"/>
      <c r="E23" s="109"/>
      <c r="F23" s="109"/>
      <c r="G23" s="109"/>
      <c r="H23" s="109"/>
    </row>
    <row r="24" spans="1:8" ht="15.75">
      <c r="A24" s="20" t="s">
        <v>21</v>
      </c>
      <c r="B24" s="191" t="s">
        <v>11</v>
      </c>
      <c r="C24" s="194">
        <v>0</v>
      </c>
      <c r="D24" s="197">
        <v>65.21</v>
      </c>
      <c r="E24" s="111" t="e">
        <f>B24/#REF!*1</f>
        <v>#VALUE!</v>
      </c>
      <c r="F24" s="109"/>
      <c r="G24" s="109"/>
      <c r="H24" s="109" t="s">
        <v>22</v>
      </c>
    </row>
    <row r="25" spans="1:8" ht="15.75">
      <c r="A25" s="20" t="s">
        <v>23</v>
      </c>
      <c r="B25" s="191" t="s">
        <v>11</v>
      </c>
      <c r="C25" s="194">
        <v>0</v>
      </c>
      <c r="D25" s="197">
        <v>119.63</v>
      </c>
      <c r="E25" s="111" t="e">
        <f>B25/#REF!*1</f>
        <v>#VALUE!</v>
      </c>
      <c r="F25" s="109"/>
      <c r="G25" s="109"/>
      <c r="H25" s="109"/>
    </row>
    <row r="26" spans="1:8" ht="15.75">
      <c r="A26" s="188" t="s">
        <v>24</v>
      </c>
      <c r="B26" s="191" t="s">
        <v>11</v>
      </c>
      <c r="C26" s="194">
        <v>0</v>
      </c>
      <c r="D26" s="197"/>
      <c r="E26" s="111" t="e">
        <f>B26/#REF!*1</f>
        <v>#VALUE!</v>
      </c>
      <c r="F26" s="109"/>
      <c r="G26" s="109"/>
      <c r="H26" s="109"/>
    </row>
    <row r="27" spans="1:8" ht="16.5" customHeight="1">
      <c r="A27" s="198" t="s">
        <v>96</v>
      </c>
      <c r="B27" s="191" t="s">
        <v>11</v>
      </c>
      <c r="C27" s="194">
        <v>0</v>
      </c>
      <c r="D27" s="197">
        <v>139.18</v>
      </c>
      <c r="E27" s="111" t="e">
        <f>B27/#REF!*1</f>
        <v>#VALUE!</v>
      </c>
      <c r="F27" s="109"/>
      <c r="G27" s="109"/>
      <c r="H27" s="109"/>
    </row>
    <row r="28" spans="1:8" ht="15.75">
      <c r="A28" s="20" t="s">
        <v>25</v>
      </c>
      <c r="B28" s="191" t="s">
        <v>11</v>
      </c>
      <c r="C28" s="194">
        <f>C15+C22</f>
        <v>22010.432428</v>
      </c>
      <c r="D28" s="195" t="s">
        <v>26</v>
      </c>
      <c r="E28" s="111" t="e">
        <f>B28/#REF!*1</f>
        <v>#VALUE!</v>
      </c>
      <c r="F28" s="109"/>
      <c r="G28" s="109"/>
      <c r="H28" s="109"/>
    </row>
    <row r="29" spans="1:8" ht="35.25" customHeight="1">
      <c r="A29" s="568" t="s">
        <v>27</v>
      </c>
      <c r="B29" s="568"/>
      <c r="C29" s="568"/>
      <c r="D29" s="568"/>
      <c r="E29" s="109"/>
      <c r="F29" s="109"/>
      <c r="G29" s="109"/>
      <c r="H29" s="109"/>
    </row>
    <row r="30" spans="1:8" ht="63">
      <c r="A30" s="271" t="s">
        <v>28</v>
      </c>
      <c r="B30" s="307" t="s">
        <v>29</v>
      </c>
      <c r="C30" s="286" t="s">
        <v>30</v>
      </c>
      <c r="D30" s="308" t="s">
        <v>31</v>
      </c>
      <c r="E30" s="109"/>
      <c r="F30" s="109"/>
      <c r="G30" s="109"/>
      <c r="H30" s="109"/>
    </row>
    <row r="31" spans="1:8" ht="15.75">
      <c r="A31" s="203" t="s">
        <v>32</v>
      </c>
      <c r="B31" s="204" t="s">
        <v>33</v>
      </c>
      <c r="C31" s="205" t="s">
        <v>34</v>
      </c>
      <c r="D31" s="206">
        <f>(0.85+0.95)*6*107.3</f>
        <v>1158.84</v>
      </c>
      <c r="E31" s="109"/>
      <c r="F31" s="109"/>
      <c r="G31" s="109"/>
      <c r="H31" s="109"/>
    </row>
    <row r="32" spans="1:8" ht="15.75">
      <c r="A32" s="207" t="s">
        <v>36</v>
      </c>
      <c r="B32" s="208" t="s">
        <v>33</v>
      </c>
      <c r="C32" s="209" t="s">
        <v>37</v>
      </c>
      <c r="D32" s="210">
        <f>0.24*12*107.3</f>
        <v>309.024</v>
      </c>
      <c r="E32" s="109"/>
      <c r="F32" s="109"/>
      <c r="G32" s="109"/>
      <c r="H32" s="109"/>
    </row>
    <row r="33" spans="1:8" ht="15.75">
      <c r="A33" s="207" t="s">
        <v>99</v>
      </c>
      <c r="B33" s="208" t="s">
        <v>33</v>
      </c>
      <c r="C33" s="209" t="s">
        <v>34</v>
      </c>
      <c r="D33" s="210">
        <v>0</v>
      </c>
      <c r="E33" s="109"/>
      <c r="F33" s="109"/>
      <c r="G33" s="109"/>
      <c r="H33" s="109"/>
    </row>
    <row r="34" spans="1:8" ht="15.75">
      <c r="A34" s="207" t="s">
        <v>81</v>
      </c>
      <c r="B34" s="213" t="s">
        <v>82</v>
      </c>
      <c r="C34" s="209" t="s">
        <v>34</v>
      </c>
      <c r="D34" s="210">
        <f>1.33*12*107.3</f>
        <v>1712.508</v>
      </c>
      <c r="E34" s="109"/>
      <c r="F34" s="109"/>
      <c r="G34" s="109"/>
      <c r="H34" s="109"/>
    </row>
    <row r="35" spans="1:8" ht="15.75">
      <c r="A35" s="207" t="s">
        <v>38</v>
      </c>
      <c r="B35" s="208" t="s">
        <v>35</v>
      </c>
      <c r="C35" s="214" t="s">
        <v>39</v>
      </c>
      <c r="D35" s="210">
        <f>4.19*107.3*12</f>
        <v>5395.044000000001</v>
      </c>
      <c r="E35" s="109"/>
      <c r="F35" s="109"/>
      <c r="G35" s="109"/>
      <c r="H35" s="109"/>
    </row>
    <row r="36" spans="1:8" ht="15.75">
      <c r="A36" s="207" t="s">
        <v>85</v>
      </c>
      <c r="B36" s="208" t="s">
        <v>222</v>
      </c>
      <c r="C36" s="214" t="s">
        <v>37</v>
      </c>
      <c r="D36" s="394">
        <f>107.3*1.07*12+0.03</f>
        <v>1377.762</v>
      </c>
      <c r="E36" s="109"/>
      <c r="F36" s="109"/>
      <c r="G36" s="109"/>
      <c r="H36" s="109"/>
    </row>
    <row r="37" spans="1:14" s="1" customFormat="1" ht="47.25">
      <c r="A37" s="365" t="s">
        <v>40</v>
      </c>
      <c r="B37" s="215" t="s">
        <v>41</v>
      </c>
      <c r="C37" s="221"/>
      <c r="D37" s="175">
        <v>0</v>
      </c>
      <c r="E37" s="109"/>
      <c r="F37" s="109"/>
      <c r="G37" s="109"/>
      <c r="H37" s="109"/>
      <c r="K37"/>
      <c r="L37"/>
      <c r="M37"/>
      <c r="N37"/>
    </row>
    <row r="38" spans="1:14" s="1" customFormat="1" ht="15.75">
      <c r="A38" s="37" t="s">
        <v>42</v>
      </c>
      <c r="B38" s="222"/>
      <c r="C38" s="223"/>
      <c r="D38" s="97">
        <f>D31+D32+D33+D34+D35+D36+D37</f>
        <v>9953.178000000002</v>
      </c>
      <c r="E38" s="112">
        <f>D38-D37</f>
        <v>9953.178000000002</v>
      </c>
      <c r="F38" s="109"/>
      <c r="G38" s="109"/>
      <c r="H38" s="109"/>
      <c r="K38"/>
      <c r="L38"/>
      <c r="M38"/>
      <c r="N38"/>
    </row>
    <row r="39" spans="1:14" s="1" customFormat="1" ht="15.75">
      <c r="A39" s="40" t="s">
        <v>43</v>
      </c>
      <c r="B39" s="224" t="s">
        <v>11</v>
      </c>
      <c r="C39" s="225"/>
      <c r="D39" s="226">
        <f>C28-D38</f>
        <v>12057.254427999998</v>
      </c>
      <c r="E39" s="112"/>
      <c r="F39" s="109"/>
      <c r="G39" s="109"/>
      <c r="H39" s="109"/>
      <c r="K39"/>
      <c r="L39"/>
      <c r="M39"/>
      <c r="N39"/>
    </row>
    <row r="40" spans="1:14" s="1" customFormat="1" ht="15.75">
      <c r="A40" s="227" t="s">
        <v>12</v>
      </c>
      <c r="B40" s="228" t="s">
        <v>11</v>
      </c>
      <c r="C40" s="209"/>
      <c r="D40" s="193">
        <v>0</v>
      </c>
      <c r="E40" s="109"/>
      <c r="F40" s="109"/>
      <c r="G40" s="109"/>
      <c r="H40" s="109"/>
      <c r="K40"/>
      <c r="L40"/>
      <c r="M40"/>
      <c r="N40"/>
    </row>
    <row r="41" spans="1:14" s="1" customFormat="1" ht="15.75">
      <c r="A41" s="227" t="s">
        <v>13</v>
      </c>
      <c r="B41" s="228" t="s">
        <v>11</v>
      </c>
      <c r="C41" s="209"/>
      <c r="D41" s="195">
        <f>C17+C18-C23</f>
        <v>22034.027572</v>
      </c>
      <c r="E41" s="109"/>
      <c r="F41" s="109"/>
      <c r="G41" s="109"/>
      <c r="H41" s="109"/>
      <c r="K41"/>
      <c r="L41"/>
      <c r="M41"/>
      <c r="N41"/>
    </row>
    <row r="42" spans="1:14" s="1" customFormat="1" ht="24" customHeight="1">
      <c r="A42" s="569" t="s">
        <v>44</v>
      </c>
      <c r="B42" s="569"/>
      <c r="C42" s="569"/>
      <c r="D42" s="569"/>
      <c r="E42" s="109"/>
      <c r="F42" s="109"/>
      <c r="G42" s="109"/>
      <c r="H42" s="109"/>
      <c r="K42"/>
      <c r="L42"/>
      <c r="M42"/>
      <c r="N42"/>
    </row>
    <row r="43" spans="1:14" s="1" customFormat="1" ht="15.75">
      <c r="A43" s="227" t="s">
        <v>45</v>
      </c>
      <c r="B43" s="208" t="s">
        <v>46</v>
      </c>
      <c r="C43" s="209"/>
      <c r="D43" s="193">
        <v>0</v>
      </c>
      <c r="E43" s="109"/>
      <c r="F43" s="109"/>
      <c r="G43" s="109"/>
      <c r="H43" s="109"/>
      <c r="K43"/>
      <c r="L43"/>
      <c r="M43"/>
      <c r="N43"/>
    </row>
    <row r="44" spans="1:14" s="1" customFormat="1" ht="15.75">
      <c r="A44" s="227" t="s">
        <v>47</v>
      </c>
      <c r="B44" s="208" t="s">
        <v>46</v>
      </c>
      <c r="C44" s="209"/>
      <c r="D44" s="193">
        <v>0</v>
      </c>
      <c r="E44" s="109"/>
      <c r="F44" s="109"/>
      <c r="G44" s="109"/>
      <c r="H44" s="109"/>
      <c r="K44"/>
      <c r="L44"/>
      <c r="M44"/>
      <c r="N44"/>
    </row>
    <row r="45" spans="1:14" s="1" customFormat="1" ht="15.75">
      <c r="A45" s="229" t="s">
        <v>48</v>
      </c>
      <c r="B45" s="208" t="s">
        <v>46</v>
      </c>
      <c r="C45" s="209"/>
      <c r="D45" s="193">
        <v>0</v>
      </c>
      <c r="E45" s="109"/>
      <c r="F45" s="109"/>
      <c r="G45" s="109"/>
      <c r="H45" s="109"/>
      <c r="K45"/>
      <c r="L45"/>
      <c r="M45"/>
      <c r="N45"/>
    </row>
    <row r="46" spans="1:14" s="1" customFormat="1" ht="15.75">
      <c r="A46" s="227" t="s">
        <v>49</v>
      </c>
      <c r="B46" s="208" t="s">
        <v>11</v>
      </c>
      <c r="C46" s="209"/>
      <c r="D46" s="193">
        <v>0</v>
      </c>
      <c r="E46" s="109"/>
      <c r="F46" s="109"/>
      <c r="G46" s="109"/>
      <c r="H46" s="109"/>
      <c r="K46"/>
      <c r="L46"/>
      <c r="M46"/>
      <c r="N46"/>
    </row>
    <row r="47" spans="1:8" ht="20.25" customHeight="1">
      <c r="A47" s="570" t="s">
        <v>50</v>
      </c>
      <c r="B47" s="570"/>
      <c r="C47" s="570"/>
      <c r="D47" s="570"/>
      <c r="E47" s="109"/>
      <c r="F47" s="109"/>
      <c r="G47" s="109"/>
      <c r="H47" s="109"/>
    </row>
    <row r="48" spans="1:8" ht="26.25">
      <c r="A48" s="229" t="s">
        <v>51</v>
      </c>
      <c r="B48" s="208" t="s">
        <v>11</v>
      </c>
      <c r="C48" s="209"/>
      <c r="D48" s="193">
        <v>0</v>
      </c>
      <c r="E48" s="109"/>
      <c r="F48" s="109"/>
      <c r="G48" s="109"/>
      <c r="H48" s="109"/>
    </row>
    <row r="49" spans="1:8" ht="15.75">
      <c r="A49" s="227" t="s">
        <v>12</v>
      </c>
      <c r="B49" s="208" t="s">
        <v>11</v>
      </c>
      <c r="C49" s="209"/>
      <c r="D49" s="193">
        <v>0</v>
      </c>
      <c r="E49" s="109"/>
      <c r="F49" s="109"/>
      <c r="G49" s="109"/>
      <c r="H49" s="109"/>
    </row>
    <row r="50" spans="1:8" ht="15.75">
      <c r="A50" s="227" t="s">
        <v>13</v>
      </c>
      <c r="B50" s="208" t="s">
        <v>11</v>
      </c>
      <c r="C50" s="209"/>
      <c r="D50" s="230">
        <f>D53-D56-D57-D58-D59</f>
        <v>20464.045488</v>
      </c>
      <c r="E50" s="109"/>
      <c r="F50" s="109"/>
      <c r="G50" s="109"/>
      <c r="H50" s="113"/>
    </row>
    <row r="51" spans="1:8" ht="26.25">
      <c r="A51" s="231" t="s">
        <v>52</v>
      </c>
      <c r="B51" s="208" t="s">
        <v>11</v>
      </c>
      <c r="C51" s="232"/>
      <c r="D51" s="233">
        <v>0</v>
      </c>
      <c r="E51" s="109"/>
      <c r="F51" s="109"/>
      <c r="G51" s="109"/>
      <c r="H51" s="109"/>
    </row>
    <row r="52" spans="1:10" ht="17.25" customHeight="1">
      <c r="A52" s="254" t="s">
        <v>12</v>
      </c>
      <c r="B52" s="208" t="s">
        <v>11</v>
      </c>
      <c r="C52" s="276"/>
      <c r="D52" s="55">
        <v>0</v>
      </c>
      <c r="E52" s="109"/>
      <c r="F52" s="109"/>
      <c r="G52" s="109"/>
      <c r="H52" s="109"/>
      <c r="I52" s="49"/>
      <c r="J52" s="49"/>
    </row>
    <row r="53" spans="1:14" ht="15.75">
      <c r="A53" s="235" t="s">
        <v>13</v>
      </c>
      <c r="B53" s="208" t="s">
        <v>11</v>
      </c>
      <c r="C53" s="236"/>
      <c r="D53" s="237">
        <v>22302.03</v>
      </c>
      <c r="E53" s="109"/>
      <c r="F53" s="109"/>
      <c r="G53" s="109"/>
      <c r="H53" s="109" t="s">
        <v>26</v>
      </c>
      <c r="I53" s="60"/>
      <c r="J53" s="60"/>
      <c r="K53" s="61"/>
      <c r="L53" s="61"/>
      <c r="M53" s="61"/>
      <c r="N53" s="61"/>
    </row>
    <row r="54" spans="1:14" ht="18" customHeight="1">
      <c r="A54" s="571" t="s">
        <v>53</v>
      </c>
      <c r="B54" s="571"/>
      <c r="C54" s="571"/>
      <c r="D54" s="571"/>
      <c r="E54" s="114"/>
      <c r="F54" s="115"/>
      <c r="G54" s="116"/>
      <c r="H54" s="109"/>
      <c r="I54" s="65"/>
      <c r="J54" s="65"/>
      <c r="K54" s="66"/>
      <c r="L54" s="66"/>
      <c r="M54" s="66"/>
      <c r="N54" s="66"/>
    </row>
    <row r="55" spans="1:14" ht="47.25">
      <c r="A55" s="67" t="s">
        <v>54</v>
      </c>
      <c r="B55" s="68" t="s">
        <v>55</v>
      </c>
      <c r="C55" s="69" t="s">
        <v>56</v>
      </c>
      <c r="D55" s="70" t="s">
        <v>57</v>
      </c>
      <c r="E55" s="114"/>
      <c r="F55" s="115"/>
      <c r="G55" s="116"/>
      <c r="H55" s="109"/>
      <c r="I55" s="65"/>
      <c r="J55" s="71"/>
      <c r="K55" s="66"/>
      <c r="L55" s="66"/>
      <c r="M55" s="66"/>
      <c r="N55" s="66"/>
    </row>
    <row r="56" spans="1:14" ht="15.75">
      <c r="A56" s="238" t="s">
        <v>58</v>
      </c>
      <c r="B56" s="239">
        <v>1344.12</v>
      </c>
      <c r="C56" s="240">
        <f>B56*0.7501</f>
        <v>1008.2244119999999</v>
      </c>
      <c r="D56" s="241">
        <f>B56-C56</f>
        <v>335.895588</v>
      </c>
      <c r="E56" s="117"/>
      <c r="F56" s="115"/>
      <c r="G56" s="116"/>
      <c r="H56" s="109"/>
      <c r="I56" s="65"/>
      <c r="J56" s="65"/>
      <c r="K56" s="66"/>
      <c r="L56" s="66"/>
      <c r="M56" s="66"/>
      <c r="N56" s="66"/>
    </row>
    <row r="57" spans="1:14" ht="15.75">
      <c r="A57" s="238" t="s">
        <v>59</v>
      </c>
      <c r="B57" s="239">
        <v>0</v>
      </c>
      <c r="C57" s="240">
        <f>B57*0.7501</f>
        <v>0</v>
      </c>
      <c r="D57" s="241">
        <f>B57-C57</f>
        <v>0</v>
      </c>
      <c r="E57" s="114"/>
      <c r="F57" s="115"/>
      <c r="G57" s="116"/>
      <c r="H57" s="109"/>
      <c r="I57" s="65"/>
      <c r="J57" s="65"/>
      <c r="K57" s="66"/>
      <c r="L57" s="66"/>
      <c r="M57" s="66"/>
      <c r="N57" s="66"/>
    </row>
    <row r="58" spans="1:14" ht="15.75">
      <c r="A58" s="238" t="s">
        <v>60</v>
      </c>
      <c r="B58" s="242">
        <v>0</v>
      </c>
      <c r="C58" s="240">
        <f>B58*0.7501</f>
        <v>0</v>
      </c>
      <c r="D58" s="241">
        <f>B58-C58</f>
        <v>0</v>
      </c>
      <c r="E58" s="114">
        <f>(2.07+1.8)*6*2301.2-0.37*2301.2*6</f>
        <v>48325.2</v>
      </c>
      <c r="F58" s="118"/>
      <c r="G58" s="119"/>
      <c r="H58" s="114"/>
      <c r="I58" s="65"/>
      <c r="J58" s="65"/>
      <c r="K58" s="66"/>
      <c r="L58" s="66"/>
      <c r="M58" s="66"/>
      <c r="N58" s="66"/>
    </row>
    <row r="59" spans="1:14" ht="16.5" thickBot="1">
      <c r="A59" s="261" t="s">
        <v>236</v>
      </c>
      <c r="B59" s="262">
        <v>6010.76</v>
      </c>
      <c r="C59" s="240">
        <f>B59*0.7501</f>
        <v>4508.6710760000005</v>
      </c>
      <c r="D59" s="264">
        <f>B59-C59</f>
        <v>1502.0889239999997</v>
      </c>
      <c r="E59" s="114"/>
      <c r="F59" s="118"/>
      <c r="G59" s="119"/>
      <c r="H59" s="109"/>
      <c r="I59" s="65"/>
      <c r="J59" s="65"/>
      <c r="K59" s="66"/>
      <c r="L59" s="66"/>
      <c r="M59" s="66"/>
      <c r="N59" s="66"/>
    </row>
    <row r="60" spans="1:14" ht="63">
      <c r="A60" s="129" t="s">
        <v>62</v>
      </c>
      <c r="B60" s="130" t="s">
        <v>63</v>
      </c>
      <c r="C60" s="131" t="s">
        <v>64</v>
      </c>
      <c r="D60" s="132" t="s">
        <v>65</v>
      </c>
      <c r="E60" s="114"/>
      <c r="F60" s="118"/>
      <c r="G60" s="109"/>
      <c r="H60" s="120"/>
      <c r="I60" s="65"/>
      <c r="J60" s="65"/>
      <c r="K60" s="66"/>
      <c r="L60" s="66"/>
      <c r="M60" s="66"/>
      <c r="N60" s="66"/>
    </row>
    <row r="61" spans="1:14" ht="15.75">
      <c r="A61" s="265" t="s">
        <v>58</v>
      </c>
      <c r="B61" s="244">
        <f>B56</f>
        <v>1344.12</v>
      </c>
      <c r="C61" s="245">
        <f>B61</f>
        <v>1344.12</v>
      </c>
      <c r="D61" s="266">
        <f>B61-C61</f>
        <v>0</v>
      </c>
      <c r="E61" s="114"/>
      <c r="F61" s="118"/>
      <c r="G61" s="109"/>
      <c r="H61" s="120"/>
      <c r="I61" s="65"/>
      <c r="J61" s="65" t="s">
        <v>26</v>
      </c>
      <c r="K61" s="66"/>
      <c r="L61" s="66"/>
      <c r="M61" s="66"/>
      <c r="N61" s="66"/>
    </row>
    <row r="62" spans="1:14" ht="15.75">
      <c r="A62" s="265" t="s">
        <v>59</v>
      </c>
      <c r="B62" s="244">
        <v>0</v>
      </c>
      <c r="C62" s="245">
        <v>0</v>
      </c>
      <c r="D62" s="266">
        <f>B62-C62</f>
        <v>0</v>
      </c>
      <c r="E62" s="114"/>
      <c r="F62" s="118"/>
      <c r="G62" s="109"/>
      <c r="H62" s="120"/>
      <c r="I62" s="65"/>
      <c r="J62" s="65"/>
      <c r="K62" s="66"/>
      <c r="L62" s="66"/>
      <c r="M62" s="66"/>
      <c r="N62" s="66"/>
    </row>
    <row r="63" spans="1:14" ht="15.75">
      <c r="A63" s="265" t="s">
        <v>60</v>
      </c>
      <c r="B63" s="244">
        <v>0</v>
      </c>
      <c r="C63" s="245">
        <v>0</v>
      </c>
      <c r="D63" s="266">
        <f>B63-C63</f>
        <v>0</v>
      </c>
      <c r="E63" s="114"/>
      <c r="F63" s="118"/>
      <c r="G63" s="109"/>
      <c r="H63" s="120"/>
      <c r="I63" s="65"/>
      <c r="J63" s="65"/>
      <c r="K63" s="66"/>
      <c r="L63" s="66"/>
      <c r="M63" s="66"/>
      <c r="N63" s="66"/>
    </row>
    <row r="64" spans="1:14" ht="16.5" thickBot="1">
      <c r="A64" s="267" t="s">
        <v>236</v>
      </c>
      <c r="B64" s="268">
        <f>B59</f>
        <v>6010.76</v>
      </c>
      <c r="C64" s="269">
        <f>C59</f>
        <v>4508.6710760000005</v>
      </c>
      <c r="D64" s="270">
        <f>B64-C64</f>
        <v>1502.0889239999997</v>
      </c>
      <c r="E64" s="114"/>
      <c r="F64" s="118"/>
      <c r="G64" s="109"/>
      <c r="H64" s="120" t="s">
        <v>26</v>
      </c>
      <c r="I64" s="65"/>
      <c r="J64" s="65"/>
      <c r="K64" s="66"/>
      <c r="L64" s="66"/>
      <c r="M64" s="66"/>
      <c r="N64" s="66"/>
    </row>
    <row r="65" spans="1:14" ht="15.75">
      <c r="A65" s="247"/>
      <c r="B65" s="248"/>
      <c r="C65" s="249" t="s">
        <v>26</v>
      </c>
      <c r="D65" s="250"/>
      <c r="E65" s="114"/>
      <c r="F65" s="118"/>
      <c r="G65" s="109"/>
      <c r="H65" s="120"/>
      <c r="I65" s="65"/>
      <c r="J65" s="65"/>
      <c r="K65" s="66"/>
      <c r="L65" s="66"/>
      <c r="M65" s="66"/>
      <c r="N65" s="66"/>
    </row>
    <row r="66" spans="1:14" ht="26.25">
      <c r="A66" s="251" t="s">
        <v>66</v>
      </c>
      <c r="B66" s="248" t="s">
        <v>11</v>
      </c>
      <c r="C66" s="252"/>
      <c r="D66" s="253">
        <v>0</v>
      </c>
      <c r="E66" s="114"/>
      <c r="F66" s="118"/>
      <c r="G66" s="109"/>
      <c r="H66" s="120"/>
      <c r="I66" s="65"/>
      <c r="J66" s="65" t="s">
        <v>26</v>
      </c>
      <c r="K66" s="66"/>
      <c r="L66" s="66"/>
      <c r="M66" s="66"/>
      <c r="N66" s="66"/>
    </row>
    <row r="67" spans="1:14" ht="17.25" customHeight="1">
      <c r="A67" s="572" t="s">
        <v>67</v>
      </c>
      <c r="B67" s="572"/>
      <c r="C67" s="572"/>
      <c r="D67" s="572"/>
      <c r="E67" s="121" t="e">
        <f>D67+B19</f>
        <v>#VALUE!</v>
      </c>
      <c r="F67" s="120"/>
      <c r="G67" s="109"/>
      <c r="H67" s="122" t="e">
        <f>E67-B18</f>
        <v>#VALUE!</v>
      </c>
      <c r="I67" s="65"/>
      <c r="J67" s="65"/>
      <c r="K67" s="66"/>
      <c r="L67" s="66"/>
      <c r="M67" s="66"/>
      <c r="N67" s="66"/>
    </row>
    <row r="68" spans="1:8" ht="21" customHeight="1">
      <c r="A68" s="86" t="s">
        <v>45</v>
      </c>
      <c r="B68" s="86" t="s">
        <v>46</v>
      </c>
      <c r="C68" s="86"/>
      <c r="D68" s="177">
        <v>0</v>
      </c>
      <c r="E68" s="123"/>
      <c r="F68" s="109"/>
      <c r="G68" s="109"/>
      <c r="H68" s="109"/>
    </row>
    <row r="69" spans="1:8" ht="21" customHeight="1">
      <c r="A69" s="86" t="s">
        <v>47</v>
      </c>
      <c r="B69" s="86" t="s">
        <v>46</v>
      </c>
      <c r="C69" s="86"/>
      <c r="D69" s="177">
        <v>0</v>
      </c>
      <c r="E69" s="123"/>
      <c r="F69" s="109"/>
      <c r="G69" s="109"/>
      <c r="H69" s="109"/>
    </row>
    <row r="70" spans="1:8" ht="18" customHeight="1">
      <c r="A70" s="86" t="s">
        <v>48</v>
      </c>
      <c r="B70" s="86" t="s">
        <v>46</v>
      </c>
      <c r="C70" s="86"/>
      <c r="D70" s="177">
        <v>0</v>
      </c>
      <c r="E70" s="123"/>
      <c r="F70" s="109"/>
      <c r="G70" s="109"/>
      <c r="H70" s="109"/>
    </row>
    <row r="71" spans="1:8" ht="16.5" customHeight="1">
      <c r="A71" s="86" t="s">
        <v>49</v>
      </c>
      <c r="B71" s="86" t="s">
        <v>11</v>
      </c>
      <c r="C71" s="86"/>
      <c r="D71" s="177">
        <v>0</v>
      </c>
      <c r="E71" s="123"/>
      <c r="F71" s="109"/>
      <c r="G71" s="109"/>
      <c r="H71" s="109"/>
    </row>
    <row r="72" spans="1:8" ht="15.75" customHeight="1">
      <c r="A72" s="566" t="s">
        <v>68</v>
      </c>
      <c r="B72" s="566"/>
      <c r="C72" s="566"/>
      <c r="D72" s="566"/>
      <c r="E72" s="123"/>
      <c r="F72" s="109"/>
      <c r="G72" s="109"/>
      <c r="H72" s="109"/>
    </row>
    <row r="73" spans="1:8" ht="18.75" customHeight="1">
      <c r="A73" s="86" t="s">
        <v>69</v>
      </c>
      <c r="B73" s="86" t="s">
        <v>46</v>
      </c>
      <c r="C73" s="86"/>
      <c r="D73" s="177">
        <v>0</v>
      </c>
      <c r="E73" s="123"/>
      <c r="F73" s="109"/>
      <c r="G73" s="109"/>
      <c r="H73" s="109"/>
    </row>
    <row r="74" spans="1:8" ht="21.75" customHeight="1">
      <c r="A74" s="86" t="s">
        <v>70</v>
      </c>
      <c r="B74" s="254" t="s">
        <v>46</v>
      </c>
      <c r="C74" s="254"/>
      <c r="D74" s="177">
        <v>1</v>
      </c>
      <c r="E74" s="123"/>
      <c r="F74" s="109"/>
      <c r="G74" s="109"/>
      <c r="H74" s="109"/>
    </row>
    <row r="75" spans="1:8" ht="36" customHeight="1">
      <c r="A75" s="255" t="s">
        <v>71</v>
      </c>
      <c r="B75" s="86" t="s">
        <v>11</v>
      </c>
      <c r="C75" s="86"/>
      <c r="D75" s="177">
        <v>0</v>
      </c>
      <c r="E75" s="123"/>
      <c r="F75" s="109"/>
      <c r="G75" s="109"/>
      <c r="H75" s="109"/>
    </row>
    <row r="76" spans="1:8" ht="15.75">
      <c r="A76" s="256"/>
      <c r="B76" s="256"/>
      <c r="C76" s="256"/>
      <c r="D76" s="257"/>
      <c r="E76" s="109"/>
      <c r="F76" s="109"/>
      <c r="G76" s="109"/>
      <c r="H76" s="109"/>
    </row>
    <row r="77" spans="1:14" s="1" customFormat="1" ht="12.75">
      <c r="A77" s="178"/>
      <c r="B77" s="178"/>
      <c r="C77" s="178"/>
      <c r="D77" s="178"/>
      <c r="E77" s="109"/>
      <c r="F77" s="109"/>
      <c r="G77" s="109"/>
      <c r="H77" s="109" t="s">
        <v>26</v>
      </c>
      <c r="K77"/>
      <c r="L77"/>
      <c r="M77"/>
      <c r="N77"/>
    </row>
    <row r="78" spans="1:14" s="1" customFormat="1" ht="12.75">
      <c r="A78" s="178" t="s">
        <v>72</v>
      </c>
      <c r="B78" s="178"/>
      <c r="C78" s="178"/>
      <c r="D78" s="178"/>
      <c r="E78" s="109"/>
      <c r="F78" s="109"/>
      <c r="G78" s="109"/>
      <c r="H78" s="109"/>
      <c r="K78"/>
      <c r="L78"/>
      <c r="M78"/>
      <c r="N78"/>
    </row>
    <row r="79" spans="1:14" s="1" customFormat="1" ht="12.75">
      <c r="A79" s="178"/>
      <c r="B79" s="178"/>
      <c r="C79" s="178"/>
      <c r="D79" s="178"/>
      <c r="E79" s="109"/>
      <c r="F79" s="109"/>
      <c r="G79" s="109"/>
      <c r="H79" s="109" t="s">
        <v>26</v>
      </c>
      <c r="K79"/>
      <c r="L79"/>
      <c r="M79"/>
      <c r="N79"/>
    </row>
    <row r="80" spans="1:14" s="1" customFormat="1" ht="12.75">
      <c r="A80" s="178" t="s">
        <v>73</v>
      </c>
      <c r="B80" s="178"/>
      <c r="C80" s="178"/>
      <c r="D80" s="178"/>
      <c r="E80" s="109"/>
      <c r="F80" s="109"/>
      <c r="G80" s="109"/>
      <c r="H80" s="109"/>
      <c r="K80"/>
      <c r="L80"/>
      <c r="M80"/>
      <c r="N80"/>
    </row>
    <row r="81" spans="1:8" ht="12.75">
      <c r="A81" s="178"/>
      <c r="B81" s="178"/>
      <c r="C81" s="178"/>
      <c r="D81" s="178"/>
      <c r="E81" s="109"/>
      <c r="F81" s="109"/>
      <c r="G81" s="109"/>
      <c r="H81" s="109"/>
    </row>
    <row r="82" spans="5:8" ht="12.75">
      <c r="E82" s="109"/>
      <c r="F82" s="109"/>
      <c r="G82" s="109"/>
      <c r="H82" s="109"/>
    </row>
    <row r="83" spans="5:8" ht="12.75">
      <c r="E83" s="109"/>
      <c r="F83" s="109"/>
      <c r="G83" s="109"/>
      <c r="H83" s="109"/>
    </row>
    <row r="84" spans="1:14" s="1" customFormat="1" ht="12.75">
      <c r="A84"/>
      <c r="B84"/>
      <c r="C84"/>
      <c r="D84"/>
      <c r="E84" s="1" t="s">
        <v>26</v>
      </c>
      <c r="K84"/>
      <c r="L84"/>
      <c r="M84"/>
      <c r="N84"/>
    </row>
  </sheetData>
  <sheetProtection selectLockedCells="1" selectUnlockedCells="1"/>
  <mergeCells count="13">
    <mergeCell ref="A72:D72"/>
    <mergeCell ref="A14:D14"/>
    <mergeCell ref="A29:D29"/>
    <mergeCell ref="A42:D42"/>
    <mergeCell ref="A47:D47"/>
    <mergeCell ref="A54:D54"/>
    <mergeCell ref="A67:D67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9"/>
  <sheetViews>
    <sheetView zoomScale="80" zoomScaleNormal="80" zoomScalePageLayoutView="0" workbookViewId="0" topLeftCell="A28">
      <selection activeCell="D44" sqref="D44"/>
    </sheetView>
  </sheetViews>
  <sheetFormatPr defaultColWidth="11.57421875" defaultRowHeight="12.75"/>
  <cols>
    <col min="1" max="1" width="52.8515625" style="0" customWidth="1"/>
    <col min="2" max="2" width="19.8515625" style="0" customWidth="1"/>
    <col min="3" max="3" width="23.8515625" style="0" customWidth="1"/>
    <col min="4" max="4" width="15.71093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560" t="s">
        <v>0</v>
      </c>
      <c r="B1" s="560"/>
      <c r="C1" s="560"/>
      <c r="D1" s="560"/>
    </row>
    <row r="2" spans="1:4" ht="15.75">
      <c r="A2" s="561" t="s">
        <v>220</v>
      </c>
      <c r="B2" s="562"/>
      <c r="C2" s="562"/>
      <c r="D2" s="562"/>
    </row>
    <row r="3" spans="1:4" ht="15.75">
      <c r="A3" s="562" t="s">
        <v>1</v>
      </c>
      <c r="B3" s="562"/>
      <c r="C3" s="562"/>
      <c r="D3" s="562"/>
    </row>
    <row r="4" spans="1:4" ht="12.75">
      <c r="A4" s="563" t="s">
        <v>104</v>
      </c>
      <c r="B4" s="563"/>
      <c r="C4" s="563"/>
      <c r="D4" s="563"/>
    </row>
    <row r="5" spans="1:4" ht="12.75">
      <c r="A5" s="564" t="s">
        <v>266</v>
      </c>
      <c r="B5" s="563"/>
      <c r="C5" s="563"/>
      <c r="D5" s="563"/>
    </row>
    <row r="6" spans="1:4" ht="9" customHeight="1">
      <c r="A6" s="258"/>
      <c r="B6" s="178"/>
      <c r="C6" s="178"/>
      <c r="D6" s="178"/>
    </row>
    <row r="7" spans="1:4" ht="30" customHeight="1">
      <c r="A7" s="565" t="s">
        <v>2</v>
      </c>
      <c r="B7" s="565"/>
      <c r="C7" s="565"/>
      <c r="D7" s="565"/>
    </row>
    <row r="8" spans="1:4" ht="12.75">
      <c r="A8" s="258" t="s">
        <v>165</v>
      </c>
      <c r="B8" s="178"/>
      <c r="C8" s="183"/>
      <c r="D8" s="178"/>
    </row>
    <row r="9" spans="1:5" ht="12.75">
      <c r="A9" s="184" t="s">
        <v>3</v>
      </c>
      <c r="B9" s="184" t="s">
        <v>4</v>
      </c>
      <c r="C9" s="184" t="s">
        <v>5</v>
      </c>
      <c r="D9" s="185"/>
      <c r="E9" s="109"/>
    </row>
    <row r="10" spans="1:5" ht="12.75">
      <c r="A10" s="186">
        <v>1</v>
      </c>
      <c r="B10" s="186">
        <v>2</v>
      </c>
      <c r="C10" s="186">
        <v>3</v>
      </c>
      <c r="D10" s="187">
        <v>4</v>
      </c>
      <c r="E10" s="109"/>
    </row>
    <row r="11" spans="1:8" ht="12.75">
      <c r="A11" s="20" t="s">
        <v>6</v>
      </c>
      <c r="B11" s="188"/>
      <c r="C11" s="189" t="s">
        <v>262</v>
      </c>
      <c r="D11" s="190"/>
      <c r="E11" s="109"/>
      <c r="F11" s="109"/>
      <c r="G11" s="109"/>
      <c r="H11" s="109"/>
    </row>
    <row r="12" spans="1:8" ht="12.75">
      <c r="A12" s="20" t="s">
        <v>7</v>
      </c>
      <c r="B12" s="188"/>
      <c r="C12" s="189" t="s">
        <v>263</v>
      </c>
      <c r="D12" s="190"/>
      <c r="E12" s="109"/>
      <c r="F12" s="109"/>
      <c r="G12" s="109"/>
      <c r="H12" s="109"/>
    </row>
    <row r="13" spans="1:8" ht="12.75">
      <c r="A13" s="20" t="s">
        <v>8</v>
      </c>
      <c r="B13" s="188"/>
      <c r="C13" s="189" t="s">
        <v>267</v>
      </c>
      <c r="D13" s="190"/>
      <c r="E13" s="109"/>
      <c r="F13" s="109"/>
      <c r="G13" s="109"/>
      <c r="H13" s="109"/>
    </row>
    <row r="14" spans="1:8" ht="31.5" customHeight="1">
      <c r="A14" s="567" t="s">
        <v>9</v>
      </c>
      <c r="B14" s="567"/>
      <c r="C14" s="567"/>
      <c r="D14" s="567"/>
      <c r="E14" s="109"/>
      <c r="F14" s="109"/>
      <c r="G14" s="109"/>
      <c r="H14" s="109"/>
    </row>
    <row r="15" spans="1:8" ht="26.25">
      <c r="A15" s="17" t="s">
        <v>10</v>
      </c>
      <c r="B15" s="191" t="s">
        <v>11</v>
      </c>
      <c r="C15" s="194">
        <v>17567.49</v>
      </c>
      <c r="D15" s="193"/>
      <c r="E15" s="109"/>
      <c r="F15" s="109"/>
      <c r="G15" s="109"/>
      <c r="H15" s="109"/>
    </row>
    <row r="16" spans="1:8" ht="15.75">
      <c r="A16" s="20" t="s">
        <v>12</v>
      </c>
      <c r="B16" s="191" t="s">
        <v>11</v>
      </c>
      <c r="C16" s="192">
        <v>0</v>
      </c>
      <c r="D16" s="193"/>
      <c r="E16" s="109"/>
      <c r="F16" s="109"/>
      <c r="G16" s="109"/>
      <c r="H16" s="109"/>
    </row>
    <row r="17" spans="1:8" ht="15.75">
      <c r="A17" s="20" t="s">
        <v>13</v>
      </c>
      <c r="B17" s="191" t="s">
        <v>11</v>
      </c>
      <c r="C17" s="194">
        <v>32209.63</v>
      </c>
      <c r="D17" s="195"/>
      <c r="E17" s="109"/>
      <c r="F17" s="109"/>
      <c r="G17" s="109"/>
      <c r="H17" s="109"/>
    </row>
    <row r="18" spans="1:8" ht="31.5" customHeight="1">
      <c r="A18" s="17" t="s">
        <v>14</v>
      </c>
      <c r="B18" s="191" t="s">
        <v>11</v>
      </c>
      <c r="C18" s="194">
        <f>62069.28+5428.8</f>
        <v>67498.08</v>
      </c>
      <c r="D18" s="195"/>
      <c r="E18" s="110">
        <f>C18-C20-5428.8</f>
        <v>53066.52</v>
      </c>
      <c r="F18" s="109"/>
      <c r="G18" s="109"/>
      <c r="H18" s="109"/>
    </row>
    <row r="19" spans="1:8" ht="15.75">
      <c r="A19" s="20" t="s">
        <v>15</v>
      </c>
      <c r="B19" s="191" t="s">
        <v>11</v>
      </c>
      <c r="C19" s="194">
        <f>C18-C20-C21</f>
        <v>39539.759999999995</v>
      </c>
      <c r="D19" s="195"/>
      <c r="E19" s="110">
        <f>E18-E43</f>
        <v>0</v>
      </c>
      <c r="F19" s="109"/>
      <c r="G19" s="109"/>
      <c r="H19" s="109"/>
    </row>
    <row r="20" spans="1:8" ht="15.75">
      <c r="A20" s="20" t="s">
        <v>16</v>
      </c>
      <c r="B20" s="191" t="s">
        <v>11</v>
      </c>
      <c r="C20" s="194">
        <f>1.99*12*377</f>
        <v>9002.76</v>
      </c>
      <c r="D20" s="195"/>
      <c r="E20" s="111"/>
      <c r="F20" s="109"/>
      <c r="G20" s="109"/>
      <c r="H20" s="109"/>
    </row>
    <row r="21" spans="1:8" ht="15.75">
      <c r="A21" s="20" t="s">
        <v>17</v>
      </c>
      <c r="B21" s="191" t="s">
        <v>11</v>
      </c>
      <c r="C21" s="196">
        <f>377*4.19*12</f>
        <v>18955.56</v>
      </c>
      <c r="D21" s="195"/>
      <c r="E21" s="109"/>
      <c r="F21" s="109"/>
      <c r="G21" s="109"/>
      <c r="H21" s="109"/>
    </row>
    <row r="22" spans="1:8" ht="15.75">
      <c r="A22" s="20" t="s">
        <v>18</v>
      </c>
      <c r="B22" s="191" t="s">
        <v>11</v>
      </c>
      <c r="C22" s="194">
        <f>C23+C24+C25+C26</f>
        <v>68834.54198400001</v>
      </c>
      <c r="D22" s="195" t="s">
        <v>19</v>
      </c>
      <c r="E22" s="110"/>
      <c r="F22" s="109"/>
      <c r="G22" s="109"/>
      <c r="H22" s="109"/>
    </row>
    <row r="23" spans="1:8" ht="15.75">
      <c r="A23" s="20" t="s">
        <v>20</v>
      </c>
      <c r="B23" s="191" t="s">
        <v>11</v>
      </c>
      <c r="C23" s="194">
        <f>C18*1.0198</f>
        <v>68834.54198400001</v>
      </c>
      <c r="D23" s="195"/>
      <c r="E23" s="109"/>
      <c r="F23" s="109"/>
      <c r="G23" s="109"/>
      <c r="H23" s="109"/>
    </row>
    <row r="24" spans="1:8" ht="15.75">
      <c r="A24" s="20" t="s">
        <v>21</v>
      </c>
      <c r="B24" s="191" t="s">
        <v>11</v>
      </c>
      <c r="C24" s="194">
        <v>0</v>
      </c>
      <c r="D24" s="197">
        <v>65.21</v>
      </c>
      <c r="E24" s="111" t="e">
        <f>B24/#REF!*1</f>
        <v>#VALUE!</v>
      </c>
      <c r="F24" s="109"/>
      <c r="G24" s="109"/>
      <c r="H24" s="109" t="s">
        <v>22</v>
      </c>
    </row>
    <row r="25" spans="1:8" ht="15.75">
      <c r="A25" s="20" t="s">
        <v>23</v>
      </c>
      <c r="B25" s="191" t="s">
        <v>11</v>
      </c>
      <c r="C25" s="194">
        <v>0</v>
      </c>
      <c r="D25" s="197">
        <v>119.63</v>
      </c>
      <c r="E25" s="111" t="e">
        <f>B25/#REF!*1</f>
        <v>#VALUE!</v>
      </c>
      <c r="F25" s="109"/>
      <c r="G25" s="109"/>
      <c r="H25" s="109"/>
    </row>
    <row r="26" spans="1:8" ht="15.75">
      <c r="A26" s="188" t="s">
        <v>24</v>
      </c>
      <c r="B26" s="191" t="s">
        <v>11</v>
      </c>
      <c r="C26" s="194">
        <v>0</v>
      </c>
      <c r="D26" s="197"/>
      <c r="E26" s="111" t="e">
        <f>B26/#REF!*1</f>
        <v>#VALUE!</v>
      </c>
      <c r="F26" s="109"/>
      <c r="G26" s="109"/>
      <c r="H26" s="109"/>
    </row>
    <row r="27" spans="1:8" ht="15.75">
      <c r="A27" s="20" t="s">
        <v>25</v>
      </c>
      <c r="B27" s="191" t="s">
        <v>11</v>
      </c>
      <c r="C27" s="194">
        <f>C15+C22</f>
        <v>86402.03198400002</v>
      </c>
      <c r="D27" s="195" t="s">
        <v>26</v>
      </c>
      <c r="E27" s="111" t="e">
        <f>B27/#REF!*1</f>
        <v>#VALUE!</v>
      </c>
      <c r="F27" s="109"/>
      <c r="G27" s="109"/>
      <c r="H27" s="109"/>
    </row>
    <row r="28" spans="1:8" ht="35.25" customHeight="1">
      <c r="A28" s="568" t="s">
        <v>27</v>
      </c>
      <c r="B28" s="568"/>
      <c r="C28" s="568"/>
      <c r="D28" s="568"/>
      <c r="E28" s="109"/>
      <c r="F28" s="109"/>
      <c r="G28" s="109"/>
      <c r="H28" s="109"/>
    </row>
    <row r="29" spans="1:8" ht="51">
      <c r="A29" s="199" t="s">
        <v>28</v>
      </c>
      <c r="B29" s="200" t="s">
        <v>29</v>
      </c>
      <c r="C29" s="201" t="s">
        <v>30</v>
      </c>
      <c r="D29" s="202" t="s">
        <v>31</v>
      </c>
      <c r="E29" s="109"/>
      <c r="F29" s="109"/>
      <c r="G29" s="109"/>
      <c r="H29" s="109"/>
    </row>
    <row r="30" spans="1:8" ht="31.5">
      <c r="A30" s="203" t="s">
        <v>32</v>
      </c>
      <c r="B30" s="204" t="s">
        <v>33</v>
      </c>
      <c r="C30" s="205" t="s">
        <v>34</v>
      </c>
      <c r="D30" s="206">
        <f>0.72*12*377</f>
        <v>3257.28</v>
      </c>
      <c r="E30" s="109"/>
      <c r="F30" s="109"/>
      <c r="G30" s="109"/>
      <c r="H30" s="109"/>
    </row>
    <row r="31" spans="1:8" ht="15.75">
      <c r="A31" s="207" t="s">
        <v>75</v>
      </c>
      <c r="B31" s="208" t="s">
        <v>76</v>
      </c>
      <c r="C31" s="209" t="s">
        <v>34</v>
      </c>
      <c r="D31" s="210">
        <f>2.4*12*377</f>
        <v>10857.599999999999</v>
      </c>
      <c r="E31" s="109"/>
      <c r="F31" s="109"/>
      <c r="G31" s="109"/>
      <c r="H31" s="109"/>
    </row>
    <row r="32" spans="1:8" ht="15.75">
      <c r="A32" s="207" t="s">
        <v>36</v>
      </c>
      <c r="B32" s="208" t="s">
        <v>33</v>
      </c>
      <c r="C32" s="209" t="s">
        <v>37</v>
      </c>
      <c r="D32" s="210">
        <f>0.24*12*377</f>
        <v>1085.76</v>
      </c>
      <c r="E32" s="109"/>
      <c r="F32" s="109"/>
      <c r="G32" s="109"/>
      <c r="H32" s="109"/>
    </row>
    <row r="33" spans="1:8" ht="15.75">
      <c r="A33" s="207" t="s">
        <v>79</v>
      </c>
      <c r="B33" s="363" t="s">
        <v>33</v>
      </c>
      <c r="C33" s="209" t="s">
        <v>34</v>
      </c>
      <c r="D33" s="210">
        <f>0.92*12*377</f>
        <v>4162.08</v>
      </c>
      <c r="E33" s="109"/>
      <c r="F33" s="109"/>
      <c r="G33" s="109"/>
      <c r="H33" s="109"/>
    </row>
    <row r="34" spans="1:8" ht="15.75">
      <c r="A34" s="207" t="s">
        <v>80</v>
      </c>
      <c r="B34" s="208" t="s">
        <v>33</v>
      </c>
      <c r="C34" s="209" t="s">
        <v>34</v>
      </c>
      <c r="D34" s="210">
        <f>377*1.48*12</f>
        <v>6695.52</v>
      </c>
      <c r="E34" s="109"/>
      <c r="F34" s="109"/>
      <c r="G34" s="109"/>
      <c r="H34" s="109"/>
    </row>
    <row r="35" spans="1:8" ht="15.75">
      <c r="A35" s="207" t="s">
        <v>81</v>
      </c>
      <c r="B35" s="213" t="s">
        <v>82</v>
      </c>
      <c r="C35" s="209" t="s">
        <v>34</v>
      </c>
      <c r="D35" s="210">
        <f>1.33*12*377</f>
        <v>6016.92</v>
      </c>
      <c r="E35" s="109"/>
      <c r="F35" s="109"/>
      <c r="G35" s="109"/>
      <c r="H35" s="109"/>
    </row>
    <row r="36" spans="1:8" ht="15.75">
      <c r="A36" s="207" t="s">
        <v>38</v>
      </c>
      <c r="B36" s="208" t="s">
        <v>35</v>
      </c>
      <c r="C36" s="362" t="s">
        <v>221</v>
      </c>
      <c r="D36" s="210">
        <f>4.19*377*12</f>
        <v>18955.56</v>
      </c>
      <c r="E36" s="109"/>
      <c r="F36" s="109"/>
      <c r="G36" s="109"/>
      <c r="H36" s="109"/>
    </row>
    <row r="37" spans="1:8" ht="15.75">
      <c r="A37" s="207" t="s">
        <v>85</v>
      </c>
      <c r="B37" s="208" t="s">
        <v>222</v>
      </c>
      <c r="C37" s="214" t="s">
        <v>37</v>
      </c>
      <c r="D37" s="210">
        <f>377*0.45*12</f>
        <v>2035.8000000000002</v>
      </c>
      <c r="E37" s="109"/>
      <c r="F37" s="109"/>
      <c r="G37" s="109"/>
      <c r="H37" s="109"/>
    </row>
    <row r="38" spans="1:8" ht="15.75">
      <c r="A38" s="207" t="s">
        <v>214</v>
      </c>
      <c r="B38" s="208"/>
      <c r="C38" s="214"/>
      <c r="D38" s="210"/>
      <c r="E38" s="109"/>
      <c r="F38" s="109"/>
      <c r="G38" s="109"/>
      <c r="H38" s="109"/>
    </row>
    <row r="39" spans="1:8" ht="31.5">
      <c r="A39" s="207" t="s">
        <v>213</v>
      </c>
      <c r="B39" s="208" t="s">
        <v>35</v>
      </c>
      <c r="C39" s="275" t="s">
        <v>210</v>
      </c>
      <c r="D39" s="210">
        <v>467.27</v>
      </c>
      <c r="E39" s="109"/>
      <c r="F39" s="109"/>
      <c r="G39" s="109"/>
      <c r="H39" s="109"/>
    </row>
    <row r="40" spans="1:8" ht="15.75">
      <c r="A40" s="207" t="s">
        <v>211</v>
      </c>
      <c r="B40" s="208" t="s">
        <v>35</v>
      </c>
      <c r="C40" s="214" t="s">
        <v>212</v>
      </c>
      <c r="D40" s="210">
        <v>4976.4</v>
      </c>
      <c r="E40" s="109"/>
      <c r="F40" s="109"/>
      <c r="G40" s="109"/>
      <c r="H40" s="109"/>
    </row>
    <row r="41" spans="1:14" s="1" customFormat="1" ht="63">
      <c r="A41" s="294" t="s">
        <v>216</v>
      </c>
      <c r="B41" s="215" t="s">
        <v>41</v>
      </c>
      <c r="C41" s="221"/>
      <c r="D41" s="381">
        <f>D42</f>
        <v>0</v>
      </c>
      <c r="E41" s="109"/>
      <c r="F41" s="109"/>
      <c r="G41" s="109"/>
      <c r="H41" s="109"/>
      <c r="K41"/>
      <c r="L41"/>
      <c r="M41"/>
      <c r="N41"/>
    </row>
    <row r="42" spans="1:14" s="1" customFormat="1" ht="15.75">
      <c r="A42" s="219"/>
      <c r="B42" s="217"/>
      <c r="C42" s="214"/>
      <c r="D42" s="176"/>
      <c r="E42" s="109"/>
      <c r="F42" s="109"/>
      <c r="G42" s="109"/>
      <c r="H42" s="109"/>
      <c r="K42"/>
      <c r="L42"/>
      <c r="M42"/>
      <c r="N42"/>
    </row>
    <row r="43" spans="1:14" s="1" customFormat="1" ht="15.75">
      <c r="A43" s="37" t="s">
        <v>42</v>
      </c>
      <c r="B43" s="222"/>
      <c r="C43" s="223"/>
      <c r="D43" s="97">
        <f>D30+D31+D32+D33+D34+D35+D36+D37+D39+D40+D41</f>
        <v>58510.19</v>
      </c>
      <c r="E43" s="112">
        <f>D43-D39-D40-D41</f>
        <v>53066.520000000004</v>
      </c>
      <c r="F43" s="109"/>
      <c r="G43" s="109"/>
      <c r="H43" s="109"/>
      <c r="K43"/>
      <c r="L43"/>
      <c r="M43"/>
      <c r="N43"/>
    </row>
    <row r="44" spans="1:14" s="1" customFormat="1" ht="15.75">
      <c r="A44" s="40" t="s">
        <v>43</v>
      </c>
      <c r="B44" s="224" t="s">
        <v>11</v>
      </c>
      <c r="C44" s="225"/>
      <c r="D44" s="226">
        <f>C27-D43</f>
        <v>27891.841984000013</v>
      </c>
      <c r="E44" s="112"/>
      <c r="F44" s="109"/>
      <c r="G44" s="109"/>
      <c r="H44" s="109"/>
      <c r="K44"/>
      <c r="L44"/>
      <c r="M44"/>
      <c r="N44"/>
    </row>
    <row r="45" spans="1:14" s="1" customFormat="1" ht="15.75">
      <c r="A45" s="227" t="s">
        <v>12</v>
      </c>
      <c r="B45" s="228" t="s">
        <v>11</v>
      </c>
      <c r="C45" s="209"/>
      <c r="D45" s="193">
        <v>0</v>
      </c>
      <c r="E45" s="109"/>
      <c r="F45" s="109"/>
      <c r="G45" s="109"/>
      <c r="H45" s="109"/>
      <c r="K45"/>
      <c r="L45"/>
      <c r="M45"/>
      <c r="N45"/>
    </row>
    <row r="46" spans="1:14" s="1" customFormat="1" ht="15.75">
      <c r="A46" s="227" t="s">
        <v>13</v>
      </c>
      <c r="B46" s="228" t="s">
        <v>11</v>
      </c>
      <c r="C46" s="209"/>
      <c r="D46" s="195">
        <f>C17+C18-C23</f>
        <v>30873.168015999996</v>
      </c>
      <c r="E46" s="109"/>
      <c r="F46" s="109"/>
      <c r="G46" s="109"/>
      <c r="H46" s="109"/>
      <c r="K46"/>
      <c r="L46"/>
      <c r="M46"/>
      <c r="N46"/>
    </row>
    <row r="47" spans="1:14" s="1" customFormat="1" ht="24" customHeight="1">
      <c r="A47" s="569" t="s">
        <v>44</v>
      </c>
      <c r="B47" s="569"/>
      <c r="C47" s="569"/>
      <c r="D47" s="569"/>
      <c r="E47" s="109"/>
      <c r="F47" s="109"/>
      <c r="G47" s="109"/>
      <c r="H47" s="109"/>
      <c r="K47"/>
      <c r="L47"/>
      <c r="M47"/>
      <c r="N47"/>
    </row>
    <row r="48" spans="1:14" s="1" customFormat="1" ht="15.75">
      <c r="A48" s="227" t="s">
        <v>45</v>
      </c>
      <c r="B48" s="208" t="s">
        <v>46</v>
      </c>
      <c r="C48" s="209"/>
      <c r="D48" s="193">
        <v>0</v>
      </c>
      <c r="E48" s="109"/>
      <c r="F48" s="109"/>
      <c r="G48" s="109"/>
      <c r="H48" s="109"/>
      <c r="K48"/>
      <c r="L48"/>
      <c r="M48"/>
      <c r="N48"/>
    </row>
    <row r="49" spans="1:14" s="1" customFormat="1" ht="15.75">
      <c r="A49" s="227" t="s">
        <v>47</v>
      </c>
      <c r="B49" s="208" t="s">
        <v>46</v>
      </c>
      <c r="C49" s="209"/>
      <c r="D49" s="193">
        <v>0</v>
      </c>
      <c r="E49" s="109"/>
      <c r="F49" s="109"/>
      <c r="G49" s="109"/>
      <c r="H49" s="109"/>
      <c r="K49"/>
      <c r="L49"/>
      <c r="M49"/>
      <c r="N49"/>
    </row>
    <row r="50" spans="1:14" s="1" customFormat="1" ht="26.25">
      <c r="A50" s="229" t="s">
        <v>48</v>
      </c>
      <c r="B50" s="208" t="s">
        <v>46</v>
      </c>
      <c r="C50" s="209"/>
      <c r="D50" s="193">
        <v>0</v>
      </c>
      <c r="E50" s="109"/>
      <c r="F50" s="109"/>
      <c r="G50" s="109"/>
      <c r="H50" s="109"/>
      <c r="K50"/>
      <c r="L50"/>
      <c r="M50"/>
      <c r="N50"/>
    </row>
    <row r="51" spans="1:14" s="1" customFormat="1" ht="15.75">
      <c r="A51" s="227" t="s">
        <v>49</v>
      </c>
      <c r="B51" s="208" t="s">
        <v>11</v>
      </c>
      <c r="C51" s="209"/>
      <c r="D51" s="193">
        <v>0</v>
      </c>
      <c r="E51" s="109"/>
      <c r="F51" s="109"/>
      <c r="G51" s="109"/>
      <c r="H51" s="109"/>
      <c r="K51"/>
      <c r="L51"/>
      <c r="M51"/>
      <c r="N51"/>
    </row>
    <row r="52" spans="1:8" ht="20.25" customHeight="1">
      <c r="A52" s="570" t="s">
        <v>50</v>
      </c>
      <c r="B52" s="570"/>
      <c r="C52" s="570"/>
      <c r="D52" s="570"/>
      <c r="E52" s="109"/>
      <c r="F52" s="109"/>
      <c r="G52" s="109"/>
      <c r="H52" s="109"/>
    </row>
    <row r="53" spans="1:8" ht="26.25">
      <c r="A53" s="229" t="s">
        <v>51</v>
      </c>
      <c r="B53" s="208" t="s">
        <v>11</v>
      </c>
      <c r="C53" s="209"/>
      <c r="D53" s="193">
        <v>0</v>
      </c>
      <c r="E53" s="109"/>
      <c r="F53" s="109"/>
      <c r="G53" s="109"/>
      <c r="H53" s="109"/>
    </row>
    <row r="54" spans="1:8" ht="15.75">
      <c r="A54" s="227" t="s">
        <v>12</v>
      </c>
      <c r="B54" s="208" t="s">
        <v>11</v>
      </c>
      <c r="C54" s="209"/>
      <c r="D54" s="193">
        <v>0</v>
      </c>
      <c r="E54" s="109"/>
      <c r="F54" s="109"/>
      <c r="G54" s="109"/>
      <c r="H54" s="109"/>
    </row>
    <row r="55" spans="1:8" ht="15.75">
      <c r="A55" s="227" t="s">
        <v>13</v>
      </c>
      <c r="B55" s="208" t="s">
        <v>11</v>
      </c>
      <c r="C55" s="209"/>
      <c r="D55" s="237">
        <f>D58-D61-D62-D63-D64</f>
        <v>105938.927914</v>
      </c>
      <c r="E55" s="109"/>
      <c r="F55" s="109"/>
      <c r="G55" s="109"/>
      <c r="H55" s="113"/>
    </row>
    <row r="56" spans="1:8" ht="26.25">
      <c r="A56" s="231" t="s">
        <v>52</v>
      </c>
      <c r="B56" s="208" t="s">
        <v>11</v>
      </c>
      <c r="C56" s="232"/>
      <c r="D56" s="233">
        <v>0</v>
      </c>
      <c r="E56" s="109"/>
      <c r="F56" s="109"/>
      <c r="G56" s="109"/>
      <c r="H56" s="109"/>
    </row>
    <row r="57" spans="1:10" ht="17.25" customHeight="1">
      <c r="A57" s="234" t="s">
        <v>199</v>
      </c>
      <c r="B57" s="208" t="s">
        <v>11</v>
      </c>
      <c r="C57" s="232"/>
      <c r="D57" s="233">
        <v>0</v>
      </c>
      <c r="E57" s="109"/>
      <c r="F57" s="109"/>
      <c r="G57" s="109"/>
      <c r="H57" s="109"/>
      <c r="I57" s="49"/>
      <c r="J57" s="49"/>
    </row>
    <row r="58" spans="1:14" ht="15.75">
      <c r="A58" s="235" t="s">
        <v>13</v>
      </c>
      <c r="B58" s="208" t="s">
        <v>11</v>
      </c>
      <c r="C58" s="236"/>
      <c r="D58" s="237">
        <v>104770.66</v>
      </c>
      <c r="E58" s="109"/>
      <c r="F58" s="109"/>
      <c r="G58" s="109"/>
      <c r="H58" s="109" t="s">
        <v>26</v>
      </c>
      <c r="I58" s="60"/>
      <c r="J58" s="60"/>
      <c r="K58" s="61"/>
      <c r="L58" s="61"/>
      <c r="M58" s="61"/>
      <c r="N58" s="61"/>
    </row>
    <row r="59" spans="1:14" ht="18" customHeight="1">
      <c r="A59" s="571" t="s">
        <v>53</v>
      </c>
      <c r="B59" s="571"/>
      <c r="C59" s="571"/>
      <c r="D59" s="571"/>
      <c r="E59" s="114"/>
      <c r="F59" s="115"/>
      <c r="G59" s="116"/>
      <c r="H59" s="109"/>
      <c r="I59" s="65"/>
      <c r="J59" s="65"/>
      <c r="K59" s="66"/>
      <c r="L59" s="66"/>
      <c r="M59" s="66"/>
      <c r="N59" s="66"/>
    </row>
    <row r="60" spans="1:14" ht="51">
      <c r="A60" s="67" t="s">
        <v>54</v>
      </c>
      <c r="B60" s="68" t="s">
        <v>55</v>
      </c>
      <c r="C60" s="157" t="s">
        <v>56</v>
      </c>
      <c r="D60" s="158" t="s">
        <v>57</v>
      </c>
      <c r="E60" s="114"/>
      <c r="F60" s="115"/>
      <c r="G60" s="116"/>
      <c r="H60" s="109"/>
      <c r="I60" s="65"/>
      <c r="J60" s="71"/>
      <c r="K60" s="66"/>
      <c r="L60" s="66"/>
      <c r="M60" s="66"/>
      <c r="N60" s="66"/>
    </row>
    <row r="61" spans="1:14" ht="15.75">
      <c r="A61" s="238" t="s">
        <v>58</v>
      </c>
      <c r="B61" s="239">
        <v>4031.87</v>
      </c>
      <c r="C61" s="418">
        <f>B61*1.0198</f>
        <v>4111.701026</v>
      </c>
      <c r="D61" s="419">
        <f>B61-C61</f>
        <v>-79.83102599999984</v>
      </c>
      <c r="E61" s="117"/>
      <c r="F61" s="115"/>
      <c r="G61" s="116"/>
      <c r="H61" s="109"/>
      <c r="I61" s="65"/>
      <c r="J61" s="65"/>
      <c r="K61" s="66"/>
      <c r="L61" s="66"/>
      <c r="M61" s="66"/>
      <c r="N61" s="66"/>
    </row>
    <row r="62" spans="1:14" ht="15.75">
      <c r="A62" s="238" t="s">
        <v>59</v>
      </c>
      <c r="B62" s="239">
        <v>4614.19</v>
      </c>
      <c r="C62" s="418">
        <f>B62*1.0198</f>
        <v>4705.550961999999</v>
      </c>
      <c r="D62" s="419">
        <f>B62-C62</f>
        <v>-91.36096199999974</v>
      </c>
      <c r="E62" s="114"/>
      <c r="F62" s="115"/>
      <c r="G62" s="116"/>
      <c r="H62" s="109"/>
      <c r="I62" s="65"/>
      <c r="J62" s="65"/>
      <c r="K62" s="66"/>
      <c r="L62" s="66"/>
      <c r="M62" s="66"/>
      <c r="N62" s="66"/>
    </row>
    <row r="63" spans="1:14" ht="15.75">
      <c r="A63" s="238" t="s">
        <v>60</v>
      </c>
      <c r="B63" s="242">
        <v>29792.5</v>
      </c>
      <c r="C63" s="418">
        <f>B63*1.0198</f>
        <v>30382.3915</v>
      </c>
      <c r="D63" s="419">
        <f>B63-C63</f>
        <v>-589.8915000000015</v>
      </c>
      <c r="E63" s="114">
        <f>(2.07+1.8)*6*2301.2-0.37*2301.2*6</f>
        <v>48325.2</v>
      </c>
      <c r="F63" s="118"/>
      <c r="G63" s="119"/>
      <c r="H63" s="114"/>
      <c r="I63" s="65"/>
      <c r="J63" s="65"/>
      <c r="K63" s="66"/>
      <c r="L63" s="66"/>
      <c r="M63" s="66"/>
      <c r="N63" s="66"/>
    </row>
    <row r="64" spans="1:14" ht="16.5" thickBot="1">
      <c r="A64" s="261" t="s">
        <v>236</v>
      </c>
      <c r="B64" s="262">
        <v>20564.87</v>
      </c>
      <c r="C64" s="418">
        <f>B64*1.0198</f>
        <v>20972.054426</v>
      </c>
      <c r="D64" s="420">
        <f>B64-C64</f>
        <v>-407.1844259999998</v>
      </c>
      <c r="E64" s="114"/>
      <c r="F64" s="118"/>
      <c r="G64" s="119"/>
      <c r="H64" s="109"/>
      <c r="I64" s="65"/>
      <c r="J64" s="65"/>
      <c r="K64" s="66"/>
      <c r="L64" s="66"/>
      <c r="M64" s="66"/>
      <c r="N64" s="66"/>
    </row>
    <row r="65" spans="1:14" ht="63.75">
      <c r="A65" s="129" t="s">
        <v>62</v>
      </c>
      <c r="B65" s="130" t="s">
        <v>63</v>
      </c>
      <c r="C65" s="130" t="s">
        <v>64</v>
      </c>
      <c r="D65" s="159" t="s">
        <v>65</v>
      </c>
      <c r="E65" s="114"/>
      <c r="F65" s="73"/>
      <c r="H65" s="65"/>
      <c r="I65" s="65"/>
      <c r="J65" s="65"/>
      <c r="K65" s="66"/>
      <c r="L65" s="66"/>
      <c r="M65" s="66"/>
      <c r="N65" s="66"/>
    </row>
    <row r="66" spans="1:14" ht="17.25" customHeight="1">
      <c r="A66" s="411" t="s">
        <v>58</v>
      </c>
      <c r="B66" s="239">
        <v>4031.87</v>
      </c>
      <c r="C66" s="418">
        <f>B66*1.0198</f>
        <v>4111.701026</v>
      </c>
      <c r="D66" s="412">
        <f>B66-C66</f>
        <v>-79.83102599999984</v>
      </c>
      <c r="E66" s="114"/>
      <c r="F66" s="73"/>
      <c r="H66" s="65"/>
      <c r="I66" s="65"/>
      <c r="J66" s="65"/>
      <c r="K66" s="66"/>
      <c r="L66" s="66"/>
      <c r="M66" s="66"/>
      <c r="N66" s="66"/>
    </row>
    <row r="67" spans="1:14" ht="18.75" customHeight="1">
      <c r="A67" s="265" t="s">
        <v>59</v>
      </c>
      <c r="B67" s="239">
        <v>4614.19</v>
      </c>
      <c r="C67" s="418">
        <f>B67*1.0198</f>
        <v>4705.550961999999</v>
      </c>
      <c r="D67" s="412">
        <f>B67-C67</f>
        <v>-91.36096199999974</v>
      </c>
      <c r="E67" s="114"/>
      <c r="F67" s="73"/>
      <c r="H67" s="65"/>
      <c r="I67" s="65"/>
      <c r="J67" s="65" t="s">
        <v>26</v>
      </c>
      <c r="K67" s="66"/>
      <c r="L67" s="66"/>
      <c r="M67" s="66"/>
      <c r="N67" s="66"/>
    </row>
    <row r="68" spans="1:14" ht="15.75">
      <c r="A68" s="265" t="s">
        <v>60</v>
      </c>
      <c r="B68" s="242">
        <v>29792.5</v>
      </c>
      <c r="C68" s="418">
        <f>B68*1.0198</f>
        <v>30382.3915</v>
      </c>
      <c r="D68" s="412">
        <f>B68-C68</f>
        <v>-589.8915000000015</v>
      </c>
      <c r="E68" s="114"/>
      <c r="F68" s="73"/>
      <c r="H68" s="65"/>
      <c r="I68" s="65"/>
      <c r="J68" s="65"/>
      <c r="K68" s="66"/>
      <c r="L68" s="66"/>
      <c r="M68" s="66"/>
      <c r="N68" s="66"/>
    </row>
    <row r="69" spans="1:14" ht="15.75">
      <c r="A69" s="413" t="s">
        <v>236</v>
      </c>
      <c r="B69" s="262">
        <v>20564.87</v>
      </c>
      <c r="C69" s="421">
        <f>C64</f>
        <v>20972.054426</v>
      </c>
      <c r="D69" s="412">
        <f>B69-C69</f>
        <v>-407.1844259999998</v>
      </c>
      <c r="E69" s="114"/>
      <c r="F69" s="73"/>
      <c r="H69" s="65"/>
      <c r="I69" s="65"/>
      <c r="J69" s="65"/>
      <c r="K69" s="66"/>
      <c r="L69" s="66"/>
      <c r="M69" s="66"/>
      <c r="N69" s="66"/>
    </row>
    <row r="70" spans="1:14" ht="16.5" thickBot="1">
      <c r="A70" s="269"/>
      <c r="B70" s="269"/>
      <c r="C70" s="423"/>
      <c r="D70" s="424"/>
      <c r="E70" s="114"/>
      <c r="F70" s="73"/>
      <c r="H70" s="65" t="s">
        <v>26</v>
      </c>
      <c r="I70" s="65"/>
      <c r="J70" s="65"/>
      <c r="K70" s="66"/>
      <c r="L70" s="66"/>
      <c r="M70" s="66"/>
      <c r="N70" s="66"/>
    </row>
    <row r="71" spans="1:14" ht="26.25">
      <c r="A71" s="403" t="s">
        <v>66</v>
      </c>
      <c r="B71" s="248"/>
      <c r="C71" s="425"/>
      <c r="D71" s="426">
        <v>0</v>
      </c>
      <c r="E71" s="114"/>
      <c r="F71" s="73"/>
      <c r="H71" s="65"/>
      <c r="I71" s="65"/>
      <c r="J71" s="65"/>
      <c r="K71" s="66"/>
      <c r="L71" s="66"/>
      <c r="M71" s="66"/>
      <c r="N71" s="66"/>
    </row>
    <row r="72" spans="1:14" ht="15.75">
      <c r="A72" s="400" t="s">
        <v>67</v>
      </c>
      <c r="B72" s="248" t="s">
        <v>11</v>
      </c>
      <c r="C72" s="427"/>
      <c r="D72" s="434">
        <v>0</v>
      </c>
      <c r="E72" s="114"/>
      <c r="F72" s="73"/>
      <c r="H72" s="65"/>
      <c r="I72" s="65"/>
      <c r="J72" s="65" t="s">
        <v>26</v>
      </c>
      <c r="K72" s="66"/>
      <c r="L72" s="66"/>
      <c r="M72" s="66"/>
      <c r="N72" s="66"/>
    </row>
    <row r="73" spans="1:14" ht="17.25" customHeight="1">
      <c r="A73" s="86" t="s">
        <v>45</v>
      </c>
      <c r="B73" s="400"/>
      <c r="C73" s="400"/>
      <c r="D73" s="400"/>
      <c r="E73" s="121" t="e">
        <f>D73+B19</f>
        <v>#VALUE!</v>
      </c>
      <c r="F73" s="65"/>
      <c r="H73" s="84" t="e">
        <f>E73-B18</f>
        <v>#VALUE!</v>
      </c>
      <c r="I73" s="65"/>
      <c r="J73" s="65"/>
      <c r="K73" s="66"/>
      <c r="L73" s="66"/>
      <c r="M73" s="66"/>
      <c r="N73" s="66"/>
    </row>
    <row r="74" spans="1:5" ht="21" customHeight="1">
      <c r="A74" s="86" t="s">
        <v>47</v>
      </c>
      <c r="B74" s="86" t="s">
        <v>46</v>
      </c>
      <c r="C74" s="86"/>
      <c r="D74" s="177">
        <v>0</v>
      </c>
      <c r="E74" s="123"/>
    </row>
    <row r="75" spans="1:5" ht="21" customHeight="1">
      <c r="A75" s="86" t="s">
        <v>48</v>
      </c>
      <c r="B75" s="86" t="s">
        <v>46</v>
      </c>
      <c r="C75" s="86"/>
      <c r="D75" s="177">
        <v>0</v>
      </c>
      <c r="E75" s="123"/>
    </row>
    <row r="76" spans="1:5" ht="18" customHeight="1">
      <c r="A76" s="86" t="s">
        <v>49</v>
      </c>
      <c r="B76" s="86" t="s">
        <v>46</v>
      </c>
      <c r="C76" s="86"/>
      <c r="D76" s="177">
        <v>0</v>
      </c>
      <c r="E76" s="123"/>
    </row>
    <row r="77" spans="1:5" ht="16.5" customHeight="1">
      <c r="A77" s="399" t="s">
        <v>68</v>
      </c>
      <c r="B77" s="86" t="s">
        <v>11</v>
      </c>
      <c r="C77" s="86"/>
      <c r="D77" s="177">
        <v>0</v>
      </c>
      <c r="E77" s="123"/>
    </row>
    <row r="78" spans="1:5" ht="15.75" customHeight="1">
      <c r="A78" s="86" t="s">
        <v>69</v>
      </c>
      <c r="B78" s="399"/>
      <c r="C78" s="399"/>
      <c r="D78" s="399"/>
      <c r="E78" s="123"/>
    </row>
    <row r="79" spans="1:5" ht="18.75" customHeight="1">
      <c r="A79" s="86" t="s">
        <v>70</v>
      </c>
      <c r="B79" s="86" t="s">
        <v>46</v>
      </c>
      <c r="C79" s="86"/>
      <c r="D79" s="177">
        <v>1</v>
      </c>
      <c r="E79" s="123"/>
    </row>
    <row r="80" spans="1:5" ht="28.5" customHeight="1">
      <c r="A80" s="255" t="s">
        <v>71</v>
      </c>
      <c r="B80" s="254" t="s">
        <v>46</v>
      </c>
      <c r="C80" s="254"/>
      <c r="D80" s="177">
        <v>0</v>
      </c>
      <c r="E80" s="123"/>
    </row>
    <row r="81" spans="1:5" ht="15.75">
      <c r="A81" s="178"/>
      <c r="B81" s="256"/>
      <c r="C81" s="256"/>
      <c r="D81" s="257"/>
      <c r="E81" s="109"/>
    </row>
    <row r="82" spans="1:14" s="1" customFormat="1" ht="12.75">
      <c r="A82" s="178" t="s">
        <v>72</v>
      </c>
      <c r="B82" s="178"/>
      <c r="C82" s="178"/>
      <c r="D82" s="178"/>
      <c r="E82" s="109"/>
      <c r="H82" s="1" t="s">
        <v>26</v>
      </c>
      <c r="K82"/>
      <c r="L82"/>
      <c r="M82"/>
      <c r="N82"/>
    </row>
    <row r="83" spans="1:14" s="1" customFormat="1" ht="12.75">
      <c r="A83" s="178"/>
      <c r="B83" s="178"/>
      <c r="C83" s="178" t="s">
        <v>141</v>
      </c>
      <c r="D83" s="178"/>
      <c r="E83" s="109"/>
      <c r="K83"/>
      <c r="L83"/>
      <c r="M83"/>
      <c r="N83"/>
    </row>
    <row r="84" spans="1:14" s="1" customFormat="1" ht="12.75">
      <c r="A84" s="178" t="s">
        <v>73</v>
      </c>
      <c r="B84" s="178"/>
      <c r="C84" s="178"/>
      <c r="D84" s="178"/>
      <c r="E84" s="109"/>
      <c r="H84" s="1" t="s">
        <v>26</v>
      </c>
      <c r="K84"/>
      <c r="L84"/>
      <c r="M84"/>
      <c r="N84"/>
    </row>
    <row r="85" spans="1:14" s="1" customFormat="1" ht="12.75">
      <c r="A85" s="178"/>
      <c r="B85" s="178"/>
      <c r="C85" s="178"/>
      <c r="D85" s="178"/>
      <c r="K85"/>
      <c r="L85"/>
      <c r="M85"/>
      <c r="N85"/>
    </row>
    <row r="86" spans="1:4" ht="12.75">
      <c r="A86" s="178"/>
      <c r="B86" s="178"/>
      <c r="C86" s="178"/>
      <c r="D86" s="178"/>
    </row>
    <row r="87" spans="2:4" ht="12.75">
      <c r="B87" s="178"/>
      <c r="C87" s="178"/>
      <c r="D87" s="178"/>
    </row>
    <row r="89" spans="1:14" s="1" customFormat="1" ht="12.75">
      <c r="A89"/>
      <c r="B89"/>
      <c r="C89"/>
      <c r="D89"/>
      <c r="E89" s="1" t="s">
        <v>26</v>
      </c>
      <c r="K89"/>
      <c r="L89"/>
      <c r="M89"/>
      <c r="N89"/>
    </row>
  </sheetData>
  <sheetProtection selectLockedCells="1" selectUnlockedCells="1"/>
  <mergeCells count="11">
    <mergeCell ref="A14:D14"/>
    <mergeCell ref="A28:D28"/>
    <mergeCell ref="A47:D47"/>
    <mergeCell ref="A52:D52"/>
    <mergeCell ref="A59:D59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600" verticalDpi="600" orientation="portrait" paperSize="1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1"/>
  <sheetViews>
    <sheetView zoomScalePageLayoutView="0" workbookViewId="0" topLeftCell="A40">
      <selection activeCell="D48" sqref="D48"/>
    </sheetView>
  </sheetViews>
  <sheetFormatPr defaultColWidth="11.57421875" defaultRowHeight="12.75"/>
  <cols>
    <col min="1" max="1" width="54.7109375" style="0" customWidth="1"/>
    <col min="2" max="2" width="17.8515625" style="0" customWidth="1"/>
    <col min="3" max="3" width="22.421875" style="0" customWidth="1"/>
    <col min="4" max="4" width="18.14062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560" t="s">
        <v>0</v>
      </c>
      <c r="B1" s="560"/>
      <c r="C1" s="560"/>
      <c r="D1" s="560"/>
    </row>
    <row r="2" spans="1:4" ht="15.75">
      <c r="A2" s="561" t="s">
        <v>220</v>
      </c>
      <c r="B2" s="562"/>
      <c r="C2" s="562"/>
      <c r="D2" s="562"/>
    </row>
    <row r="3" spans="1:4" ht="15.75">
      <c r="A3" s="562" t="s">
        <v>1</v>
      </c>
      <c r="B3" s="562"/>
      <c r="C3" s="562"/>
      <c r="D3" s="562"/>
    </row>
    <row r="4" spans="1:4" ht="12.75">
      <c r="A4" s="563" t="s">
        <v>123</v>
      </c>
      <c r="B4" s="563"/>
      <c r="C4" s="563"/>
      <c r="D4" s="563"/>
    </row>
    <row r="5" spans="1:4" ht="12.75">
      <c r="A5" s="564" t="s">
        <v>266</v>
      </c>
      <c r="B5" s="563"/>
      <c r="C5" s="563"/>
      <c r="D5" s="563"/>
    </row>
    <row r="6" ht="3.75" customHeight="1">
      <c r="A6" s="2"/>
    </row>
    <row r="7" spans="1:4" ht="18" customHeight="1">
      <c r="A7" s="565" t="s">
        <v>2</v>
      </c>
      <c r="B7" s="565"/>
      <c r="C7" s="565"/>
      <c r="D7" s="565"/>
    </row>
    <row r="8" spans="1:4" ht="12.75">
      <c r="A8" s="258" t="s">
        <v>143</v>
      </c>
      <c r="B8" s="178"/>
      <c r="C8" s="183"/>
      <c r="D8" s="178"/>
    </row>
    <row r="9" spans="1:4" ht="12.75">
      <c r="A9" s="184" t="s">
        <v>3</v>
      </c>
      <c r="B9" s="184" t="s">
        <v>4</v>
      </c>
      <c r="C9" s="184" t="s">
        <v>5</v>
      </c>
      <c r="D9" s="185"/>
    </row>
    <row r="10" spans="1:8" ht="12.75">
      <c r="A10" s="186">
        <v>1</v>
      </c>
      <c r="B10" s="186">
        <v>2</v>
      </c>
      <c r="C10" s="186">
        <v>3</v>
      </c>
      <c r="D10" s="187">
        <v>4</v>
      </c>
      <c r="E10" s="109"/>
      <c r="F10" s="109"/>
      <c r="G10" s="109"/>
      <c r="H10" s="109"/>
    </row>
    <row r="11" spans="1:8" ht="12.75">
      <c r="A11" s="20" t="s">
        <v>6</v>
      </c>
      <c r="B11" s="188"/>
      <c r="C11" s="189" t="s">
        <v>262</v>
      </c>
      <c r="D11" s="190"/>
      <c r="E11" s="109"/>
      <c r="F11" s="109"/>
      <c r="G11" s="109"/>
      <c r="H11" s="109"/>
    </row>
    <row r="12" spans="1:8" ht="12.75">
      <c r="A12" s="20" t="s">
        <v>7</v>
      </c>
      <c r="B12" s="188"/>
      <c r="C12" s="189" t="s">
        <v>263</v>
      </c>
      <c r="D12" s="190"/>
      <c r="E12" s="109"/>
      <c r="F12" s="109"/>
      <c r="G12" s="109"/>
      <c r="H12" s="109"/>
    </row>
    <row r="13" spans="1:8" ht="12.75">
      <c r="A13" s="20" t="s">
        <v>8</v>
      </c>
      <c r="B13" s="188"/>
      <c r="C13" s="189" t="s">
        <v>267</v>
      </c>
      <c r="D13" s="190"/>
      <c r="E13" s="109"/>
      <c r="F13" s="109"/>
      <c r="G13" s="109"/>
      <c r="H13" s="109"/>
    </row>
    <row r="14" spans="1:8" ht="31.5" customHeight="1">
      <c r="A14" s="567" t="s">
        <v>9</v>
      </c>
      <c r="B14" s="567"/>
      <c r="C14" s="567"/>
      <c r="D14" s="567"/>
      <c r="E14" s="59"/>
      <c r="F14" s="109"/>
      <c r="G14" s="109"/>
      <c r="H14" s="109"/>
    </row>
    <row r="15" spans="1:8" ht="26.25">
      <c r="A15" s="17" t="s">
        <v>10</v>
      </c>
      <c r="B15" s="191" t="s">
        <v>11</v>
      </c>
      <c r="C15" s="194">
        <v>41894.15</v>
      </c>
      <c r="D15" s="193"/>
      <c r="E15" s="109"/>
      <c r="F15" s="109"/>
      <c r="G15" s="109"/>
      <c r="H15" s="109"/>
    </row>
    <row r="16" spans="1:8" ht="15.75">
      <c r="A16" s="20" t="s">
        <v>12</v>
      </c>
      <c r="B16" s="191" t="s">
        <v>11</v>
      </c>
      <c r="C16" s="192">
        <v>0</v>
      </c>
      <c r="D16" s="193"/>
      <c r="E16" s="109"/>
      <c r="F16" s="59"/>
      <c r="G16" s="59"/>
      <c r="H16" s="59"/>
    </row>
    <row r="17" spans="1:8" ht="15.75">
      <c r="A17" s="20" t="s">
        <v>13</v>
      </c>
      <c r="B17" s="191" t="s">
        <v>11</v>
      </c>
      <c r="C17" s="194">
        <v>10822.5</v>
      </c>
      <c r="D17" s="195"/>
      <c r="E17" s="109"/>
      <c r="F17" s="109"/>
      <c r="G17" s="109"/>
      <c r="H17" s="109"/>
    </row>
    <row r="18" spans="1:8" ht="31.5" customHeight="1">
      <c r="A18" s="17" t="s">
        <v>14</v>
      </c>
      <c r="B18" s="191" t="s">
        <v>11</v>
      </c>
      <c r="C18" s="194">
        <f>76590.3+6611.4</f>
        <v>83201.7</v>
      </c>
      <c r="D18" s="195"/>
      <c r="E18" s="110">
        <f>C18-C20-6611.4</f>
        <v>64712.363999999994</v>
      </c>
      <c r="F18" s="109"/>
      <c r="G18" s="109"/>
      <c r="H18" s="109"/>
    </row>
    <row r="19" spans="1:8" ht="15.75">
      <c r="A19" s="20" t="s">
        <v>15</v>
      </c>
      <c r="B19" s="191" t="s">
        <v>11</v>
      </c>
      <c r="C19" s="194">
        <f>C18-C20-C21</f>
        <v>47848.03199999999</v>
      </c>
      <c r="D19" s="195"/>
      <c r="E19" s="110">
        <f>E18-E47</f>
        <v>0.001999999993131496</v>
      </c>
      <c r="F19" s="109"/>
      <c r="G19" s="109"/>
      <c r="H19" s="109"/>
    </row>
    <row r="20" spans="1:8" ht="15.75">
      <c r="A20" s="20" t="s">
        <v>16</v>
      </c>
      <c r="B20" s="191" t="s">
        <v>11</v>
      </c>
      <c r="C20" s="194">
        <f>(2.11+2.13)*6*466.9</f>
        <v>11877.936</v>
      </c>
      <c r="D20" s="195"/>
      <c r="E20" s="111"/>
      <c r="F20" s="109"/>
      <c r="G20" s="109"/>
      <c r="H20" s="109"/>
    </row>
    <row r="21" spans="1:8" ht="15.75">
      <c r="A21" s="20" t="s">
        <v>17</v>
      </c>
      <c r="B21" s="191" t="s">
        <v>11</v>
      </c>
      <c r="C21" s="196">
        <f>466.9*4.19*12</f>
        <v>23475.732000000004</v>
      </c>
      <c r="D21" s="195"/>
      <c r="E21" s="109"/>
      <c r="F21" s="109"/>
      <c r="G21" s="109"/>
      <c r="H21" s="109"/>
    </row>
    <row r="22" spans="1:8" ht="15.75">
      <c r="A22" s="20" t="s">
        <v>18</v>
      </c>
      <c r="B22" s="191" t="s">
        <v>11</v>
      </c>
      <c r="C22" s="194">
        <f>C23+C24+C25+C26</f>
        <v>86571.36885</v>
      </c>
      <c r="D22" s="195" t="s">
        <v>19</v>
      </c>
      <c r="E22" s="110" t="e">
        <f>B24+B25+B26+#REF!+B27</f>
        <v>#VALUE!</v>
      </c>
      <c r="F22" s="109"/>
      <c r="G22" s="109"/>
      <c r="H22" s="109"/>
    </row>
    <row r="23" spans="1:8" ht="15.75">
      <c r="A23" s="20" t="s">
        <v>20</v>
      </c>
      <c r="B23" s="191" t="s">
        <v>11</v>
      </c>
      <c r="C23" s="194">
        <f>C18*1.0405</f>
        <v>86571.36885</v>
      </c>
      <c r="D23" s="195"/>
      <c r="E23" s="109"/>
      <c r="F23" s="109"/>
      <c r="G23" s="109"/>
      <c r="H23" s="109"/>
    </row>
    <row r="24" spans="1:8" ht="15.75">
      <c r="A24" s="20" t="s">
        <v>21</v>
      </c>
      <c r="B24" s="191" t="s">
        <v>11</v>
      </c>
      <c r="C24" s="194">
        <v>0</v>
      </c>
      <c r="D24" s="197">
        <v>65.21</v>
      </c>
      <c r="E24" s="111" t="e">
        <f>B24/#REF!*1</f>
        <v>#VALUE!</v>
      </c>
      <c r="F24" s="109"/>
      <c r="G24" s="109"/>
      <c r="H24" s="109" t="s">
        <v>22</v>
      </c>
    </row>
    <row r="25" spans="1:8" ht="15.75">
      <c r="A25" s="20" t="s">
        <v>23</v>
      </c>
      <c r="B25" s="191" t="s">
        <v>11</v>
      </c>
      <c r="C25" s="194">
        <v>0</v>
      </c>
      <c r="D25" s="197">
        <v>119.63</v>
      </c>
      <c r="E25" s="111" t="e">
        <f>B25/#REF!*1</f>
        <v>#VALUE!</v>
      </c>
      <c r="F25" s="109"/>
      <c r="G25" s="109"/>
      <c r="H25" s="109"/>
    </row>
    <row r="26" spans="1:8" ht="15.75">
      <c r="A26" s="188" t="s">
        <v>24</v>
      </c>
      <c r="B26" s="191" t="s">
        <v>11</v>
      </c>
      <c r="C26" s="194">
        <v>0</v>
      </c>
      <c r="D26" s="197"/>
      <c r="E26" s="111" t="e">
        <f>B26/#REF!*1</f>
        <v>#VALUE!</v>
      </c>
      <c r="F26" s="109"/>
      <c r="G26" s="109"/>
      <c r="H26" s="109"/>
    </row>
    <row r="27" spans="1:8" ht="15.75">
      <c r="A27" s="20" t="s">
        <v>25</v>
      </c>
      <c r="B27" s="191" t="s">
        <v>11</v>
      </c>
      <c r="C27" s="194">
        <f>C15+C22</f>
        <v>128465.51885</v>
      </c>
      <c r="D27" s="195" t="s">
        <v>26</v>
      </c>
      <c r="E27" s="111" t="e">
        <f>B27/#REF!*1</f>
        <v>#VALUE!</v>
      </c>
      <c r="F27" s="109"/>
      <c r="G27" s="109"/>
      <c r="H27" s="109"/>
    </row>
    <row r="28" spans="1:8" ht="35.25" customHeight="1">
      <c r="A28" s="568" t="s">
        <v>27</v>
      </c>
      <c r="B28" s="568"/>
      <c r="C28" s="568"/>
      <c r="D28" s="568"/>
      <c r="E28" s="109"/>
      <c r="F28" s="109"/>
      <c r="G28" s="109"/>
      <c r="H28" s="109"/>
    </row>
    <row r="29" spans="1:8" ht="51">
      <c r="A29" s="199" t="s">
        <v>28</v>
      </c>
      <c r="B29" s="200" t="s">
        <v>29</v>
      </c>
      <c r="C29" s="201" t="s">
        <v>30</v>
      </c>
      <c r="D29" s="202" t="s">
        <v>31</v>
      </c>
      <c r="E29" s="109"/>
      <c r="F29" s="109"/>
      <c r="G29" s="109"/>
      <c r="H29" s="109"/>
    </row>
    <row r="30" spans="1:8" ht="31.5">
      <c r="A30" s="203" t="s">
        <v>32</v>
      </c>
      <c r="B30" s="204" t="s">
        <v>33</v>
      </c>
      <c r="C30" s="205" t="s">
        <v>34</v>
      </c>
      <c r="D30" s="206">
        <f>(0.7+0.79)*6*466.9</f>
        <v>4174.085999999999</v>
      </c>
      <c r="E30" s="109"/>
      <c r="F30" s="109"/>
      <c r="G30" s="109"/>
      <c r="H30" s="109"/>
    </row>
    <row r="31" spans="1:8" ht="15.75">
      <c r="A31" s="207" t="s">
        <v>75</v>
      </c>
      <c r="B31" s="208" t="s">
        <v>76</v>
      </c>
      <c r="C31" s="209" t="s">
        <v>34</v>
      </c>
      <c r="D31" s="210">
        <f>2.4*12*466.9</f>
        <v>13446.719999999998</v>
      </c>
      <c r="E31" s="109"/>
      <c r="F31" s="109"/>
      <c r="G31" s="109"/>
      <c r="H31" s="109"/>
    </row>
    <row r="32" spans="1:8" ht="15.75">
      <c r="A32" s="207" t="s">
        <v>36</v>
      </c>
      <c r="B32" s="208" t="s">
        <v>33</v>
      </c>
      <c r="C32" s="209" t="s">
        <v>37</v>
      </c>
      <c r="D32" s="210">
        <f>0.24*12*466.9</f>
        <v>1344.6719999999998</v>
      </c>
      <c r="E32" s="109"/>
      <c r="F32" s="109"/>
      <c r="G32" s="109"/>
      <c r="H32" s="109"/>
    </row>
    <row r="33" spans="1:8" ht="15.75">
      <c r="A33" s="207" t="s">
        <v>79</v>
      </c>
      <c r="B33" s="212" t="s">
        <v>33</v>
      </c>
      <c r="C33" s="209" t="s">
        <v>34</v>
      </c>
      <c r="D33" s="210">
        <f>(0.89+0.87)*6*466.9</f>
        <v>4930.464</v>
      </c>
      <c r="E33" s="109"/>
      <c r="F33" s="109"/>
      <c r="G33" s="109"/>
      <c r="H33" s="109"/>
    </row>
    <row r="34" spans="1:8" ht="26.25">
      <c r="A34" s="467" t="s">
        <v>323</v>
      </c>
      <c r="B34" s="208" t="s">
        <v>33</v>
      </c>
      <c r="C34" s="209" t="s">
        <v>34</v>
      </c>
      <c r="D34" s="210">
        <f>466.9*1.38*12</f>
        <v>7731.863999999999</v>
      </c>
      <c r="E34" s="109"/>
      <c r="F34" s="109"/>
      <c r="G34" s="109"/>
      <c r="H34" s="109"/>
    </row>
    <row r="35" spans="1:8" ht="31.5">
      <c r="A35" s="207" t="s">
        <v>81</v>
      </c>
      <c r="B35" s="213" t="s">
        <v>82</v>
      </c>
      <c r="C35" s="209" t="s">
        <v>34</v>
      </c>
      <c r="D35" s="210">
        <f>1.33*12*466.9</f>
        <v>7451.724</v>
      </c>
      <c r="E35" s="109"/>
      <c r="F35" s="109"/>
      <c r="G35" s="109"/>
      <c r="H35" s="109"/>
    </row>
    <row r="36" spans="1:8" ht="15.75">
      <c r="A36" s="207" t="s">
        <v>38</v>
      </c>
      <c r="B36" s="208" t="s">
        <v>35</v>
      </c>
      <c r="C36" s="362" t="s">
        <v>221</v>
      </c>
      <c r="D36" s="210">
        <f>4.19*466.9*12</f>
        <v>23475.732000000004</v>
      </c>
      <c r="E36" s="109"/>
      <c r="F36" s="109"/>
      <c r="G36" s="109"/>
      <c r="H36" s="109"/>
    </row>
    <row r="37" spans="1:8" ht="15.75">
      <c r="A37" s="207" t="s">
        <v>209</v>
      </c>
      <c r="B37" s="208"/>
      <c r="C37" s="259"/>
      <c r="D37" s="210"/>
      <c r="E37" s="109"/>
      <c r="F37" s="109"/>
      <c r="G37" s="109"/>
      <c r="H37" s="109"/>
    </row>
    <row r="38" spans="1:8" ht="47.25">
      <c r="A38" s="207" t="s">
        <v>213</v>
      </c>
      <c r="B38" s="208" t="s">
        <v>35</v>
      </c>
      <c r="C38" s="316" t="s">
        <v>210</v>
      </c>
      <c r="D38" s="210">
        <v>401.83</v>
      </c>
      <c r="E38" s="109"/>
      <c r="F38" s="109"/>
      <c r="G38" s="109"/>
      <c r="H38" s="109"/>
    </row>
    <row r="39" spans="1:8" ht="15.75">
      <c r="A39" s="207" t="s">
        <v>211</v>
      </c>
      <c r="B39" s="208" t="s">
        <v>35</v>
      </c>
      <c r="C39" s="259" t="s">
        <v>212</v>
      </c>
      <c r="D39" s="210">
        <v>6219.12</v>
      </c>
      <c r="E39" s="109"/>
      <c r="F39" s="109"/>
      <c r="G39" s="109"/>
      <c r="H39" s="109"/>
    </row>
    <row r="40" spans="1:8" ht="15.75">
      <c r="A40" s="207" t="s">
        <v>233</v>
      </c>
      <c r="B40" s="208" t="s">
        <v>222</v>
      </c>
      <c r="C40" s="259" t="s">
        <v>37</v>
      </c>
      <c r="D40" s="210">
        <v>2157.1</v>
      </c>
      <c r="E40" s="109"/>
      <c r="F40" s="109"/>
      <c r="G40" s="109"/>
      <c r="H40" s="109"/>
    </row>
    <row r="41" spans="1:14" s="1" customFormat="1" ht="63" customHeight="1">
      <c r="A41" s="260" t="s">
        <v>207</v>
      </c>
      <c r="B41" s="215" t="s">
        <v>41</v>
      </c>
      <c r="C41" s="205"/>
      <c r="D41" s="381">
        <f>D42+D43+D44+D45+D46</f>
        <v>38345.3</v>
      </c>
      <c r="E41" s="109"/>
      <c r="F41" s="109"/>
      <c r="G41" s="109"/>
      <c r="H41" s="109"/>
      <c r="K41"/>
      <c r="L41"/>
      <c r="M41"/>
      <c r="N41"/>
    </row>
    <row r="42" spans="1:14" s="1" customFormat="1" ht="20.25" customHeight="1">
      <c r="A42" s="220" t="s">
        <v>229</v>
      </c>
      <c r="B42" s="217" t="s">
        <v>225</v>
      </c>
      <c r="C42" s="209" t="s">
        <v>34</v>
      </c>
      <c r="D42" s="176">
        <v>4450</v>
      </c>
      <c r="E42" s="109"/>
      <c r="F42" s="109"/>
      <c r="G42" s="109"/>
      <c r="H42" s="109"/>
      <c r="K42"/>
      <c r="L42"/>
      <c r="M42"/>
      <c r="N42"/>
    </row>
    <row r="43" spans="1:14" s="1" customFormat="1" ht="20.25" customHeight="1">
      <c r="A43" s="220" t="s">
        <v>265</v>
      </c>
      <c r="B43" s="217" t="s">
        <v>159</v>
      </c>
      <c r="C43" s="209" t="s">
        <v>34</v>
      </c>
      <c r="D43" s="176">
        <v>1274.51</v>
      </c>
      <c r="E43" s="109"/>
      <c r="F43" s="109"/>
      <c r="G43" s="109"/>
      <c r="H43" s="109"/>
      <c r="K43"/>
      <c r="L43"/>
      <c r="M43"/>
      <c r="N43"/>
    </row>
    <row r="44" spans="1:14" s="1" customFormat="1" ht="43.5" customHeight="1">
      <c r="A44" s="219" t="s">
        <v>147</v>
      </c>
      <c r="B44" s="217" t="s">
        <v>151</v>
      </c>
      <c r="C44" s="221" t="s">
        <v>268</v>
      </c>
      <c r="D44" s="176">
        <v>5671.57</v>
      </c>
      <c r="E44" s="109"/>
      <c r="F44" s="109"/>
      <c r="G44" s="109"/>
      <c r="H44" s="109"/>
      <c r="K44"/>
      <c r="L44"/>
      <c r="M44"/>
      <c r="N44"/>
    </row>
    <row r="45" spans="1:14" s="1" customFormat="1" ht="31.5">
      <c r="A45" s="219" t="s">
        <v>269</v>
      </c>
      <c r="B45" s="217" t="s">
        <v>148</v>
      </c>
      <c r="C45" s="221" t="s">
        <v>77</v>
      </c>
      <c r="D45" s="176">
        <v>13925.22</v>
      </c>
      <c r="E45" s="109"/>
      <c r="F45" s="109"/>
      <c r="G45" s="109"/>
      <c r="H45" s="109"/>
      <c r="K45"/>
      <c r="L45"/>
      <c r="M45"/>
      <c r="N45"/>
    </row>
    <row r="46" spans="1:14" s="1" customFormat="1" ht="15.75">
      <c r="A46" s="219" t="s">
        <v>270</v>
      </c>
      <c r="B46" s="217" t="s">
        <v>161</v>
      </c>
      <c r="C46" s="209" t="s">
        <v>227</v>
      </c>
      <c r="D46" s="176">
        <v>13024</v>
      </c>
      <c r="E46" s="109"/>
      <c r="F46" s="109"/>
      <c r="G46" s="109"/>
      <c r="H46" s="109"/>
      <c r="K46"/>
      <c r="L46"/>
      <c r="M46"/>
      <c r="N46"/>
    </row>
    <row r="47" spans="1:14" s="1" customFormat="1" ht="15.75">
      <c r="A47" s="37" t="s">
        <v>42</v>
      </c>
      <c r="B47" s="222"/>
      <c r="C47" s="223"/>
      <c r="D47" s="97">
        <f>D30+D31+D32+D33+D34+D35+D36+D38+D39+D41+D40</f>
        <v>109678.61200000001</v>
      </c>
      <c r="E47" s="112">
        <f>D47-D41-D38-D39</f>
        <v>64712.362</v>
      </c>
      <c r="F47" s="109"/>
      <c r="G47" s="109"/>
      <c r="H47" s="109"/>
      <c r="K47"/>
      <c r="L47"/>
      <c r="M47"/>
      <c r="N47"/>
    </row>
    <row r="48" spans="1:14" s="1" customFormat="1" ht="15.75">
      <c r="A48" s="40" t="s">
        <v>43</v>
      </c>
      <c r="B48" s="224" t="s">
        <v>11</v>
      </c>
      <c r="C48" s="225"/>
      <c r="D48" s="226">
        <f>C27-D47</f>
        <v>18786.906849999985</v>
      </c>
      <c r="E48" s="112"/>
      <c r="F48" s="109"/>
      <c r="G48" s="109"/>
      <c r="H48" s="109"/>
      <c r="K48"/>
      <c r="L48"/>
      <c r="M48"/>
      <c r="N48"/>
    </row>
    <row r="49" spans="1:14" s="1" customFormat="1" ht="15.75">
      <c r="A49" s="227" t="s">
        <v>12</v>
      </c>
      <c r="B49" s="228" t="s">
        <v>11</v>
      </c>
      <c r="C49" s="209"/>
      <c r="D49" s="193">
        <v>0</v>
      </c>
      <c r="E49" s="109"/>
      <c r="F49" s="109"/>
      <c r="G49" s="109"/>
      <c r="H49" s="109"/>
      <c r="K49"/>
      <c r="L49"/>
      <c r="M49"/>
      <c r="N49"/>
    </row>
    <row r="50" spans="1:14" s="1" customFormat="1" ht="15.75">
      <c r="A50" s="227" t="s">
        <v>13</v>
      </c>
      <c r="B50" s="228" t="s">
        <v>11</v>
      </c>
      <c r="C50" s="209"/>
      <c r="D50" s="195">
        <f>C17+C18-C23</f>
        <v>7452.831149999998</v>
      </c>
      <c r="E50" s="109"/>
      <c r="F50" s="109"/>
      <c r="G50" s="109"/>
      <c r="H50" s="109"/>
      <c r="K50"/>
      <c r="L50"/>
      <c r="M50"/>
      <c r="N50"/>
    </row>
    <row r="51" spans="1:14" s="1" customFormat="1" ht="24" customHeight="1">
      <c r="A51" s="569" t="s">
        <v>44</v>
      </c>
      <c r="B51" s="569"/>
      <c r="C51" s="569"/>
      <c r="D51" s="569"/>
      <c r="E51" s="109"/>
      <c r="F51" s="109"/>
      <c r="G51" s="109"/>
      <c r="H51" s="109"/>
      <c r="K51"/>
      <c r="L51"/>
      <c r="M51"/>
      <c r="N51"/>
    </row>
    <row r="52" spans="1:14" s="1" customFormat="1" ht="15.75">
      <c r="A52" s="227" t="s">
        <v>45</v>
      </c>
      <c r="B52" s="208" t="s">
        <v>46</v>
      </c>
      <c r="C52" s="209">
        <v>0</v>
      </c>
      <c r="D52" s="193">
        <v>0</v>
      </c>
      <c r="E52" s="109"/>
      <c r="F52" s="109"/>
      <c r="G52" s="109"/>
      <c r="H52" s="109"/>
      <c r="K52"/>
      <c r="L52"/>
      <c r="M52"/>
      <c r="N52"/>
    </row>
    <row r="53" spans="1:14" s="1" customFormat="1" ht="15.75">
      <c r="A53" s="227" t="s">
        <v>47</v>
      </c>
      <c r="B53" s="208" t="s">
        <v>46</v>
      </c>
      <c r="C53" s="209">
        <v>0</v>
      </c>
      <c r="D53" s="193">
        <v>0</v>
      </c>
      <c r="E53" s="109"/>
      <c r="F53" s="109"/>
      <c r="G53" s="109"/>
      <c r="H53" s="109"/>
      <c r="K53"/>
      <c r="L53"/>
      <c r="M53"/>
      <c r="N53"/>
    </row>
    <row r="54" spans="1:14" s="1" customFormat="1" ht="26.25">
      <c r="A54" s="229" t="s">
        <v>48</v>
      </c>
      <c r="B54" s="208" t="s">
        <v>46</v>
      </c>
      <c r="C54" s="209">
        <v>0</v>
      </c>
      <c r="D54" s="193">
        <v>0</v>
      </c>
      <c r="E54" s="109"/>
      <c r="F54" s="109"/>
      <c r="G54" s="109"/>
      <c r="H54" s="109"/>
      <c r="K54"/>
      <c r="L54"/>
      <c r="M54"/>
      <c r="N54"/>
    </row>
    <row r="55" spans="1:14" s="1" customFormat="1" ht="15.75">
      <c r="A55" s="227" t="s">
        <v>49</v>
      </c>
      <c r="B55" s="208" t="s">
        <v>11</v>
      </c>
      <c r="C55" s="209">
        <v>0</v>
      </c>
      <c r="D55" s="193">
        <v>0</v>
      </c>
      <c r="E55" s="109"/>
      <c r="F55" s="109"/>
      <c r="G55" s="109"/>
      <c r="H55" s="109"/>
      <c r="K55"/>
      <c r="L55"/>
      <c r="M55"/>
      <c r="N55"/>
    </row>
    <row r="56" spans="1:8" ht="20.25" customHeight="1">
      <c r="A56" s="570" t="s">
        <v>50</v>
      </c>
      <c r="B56" s="570"/>
      <c r="C56" s="570"/>
      <c r="D56" s="570"/>
      <c r="E56" s="109"/>
      <c r="F56" s="109"/>
      <c r="G56" s="109"/>
      <c r="H56" s="109"/>
    </row>
    <row r="57" spans="1:8" ht="26.25">
      <c r="A57" s="229" t="s">
        <v>51</v>
      </c>
      <c r="B57" s="208" t="s">
        <v>11</v>
      </c>
      <c r="C57" s="209"/>
      <c r="D57" s="193">
        <v>0</v>
      </c>
      <c r="E57" s="109"/>
      <c r="F57" s="109"/>
      <c r="G57" s="109"/>
      <c r="H57" s="109"/>
    </row>
    <row r="58" spans="1:8" ht="15.75">
      <c r="A58" s="227" t="s">
        <v>12</v>
      </c>
      <c r="B58" s="208" t="s">
        <v>11</v>
      </c>
      <c r="C58" s="209"/>
      <c r="D58" s="193">
        <v>0</v>
      </c>
      <c r="E58" s="109"/>
      <c r="F58" s="109"/>
      <c r="G58" s="109"/>
      <c r="H58" s="109"/>
    </row>
    <row r="59" spans="1:8" ht="15.75">
      <c r="A59" s="227" t="s">
        <v>13</v>
      </c>
      <c r="B59" s="208" t="s">
        <v>11</v>
      </c>
      <c r="C59" s="209"/>
      <c r="D59" s="237">
        <f>D61-D65-D66-D67</f>
        <v>2892.7673879999993</v>
      </c>
      <c r="E59" s="109"/>
      <c r="F59" s="109"/>
      <c r="G59" s="109"/>
      <c r="H59" s="113"/>
    </row>
    <row r="60" spans="1:8" ht="26.25">
      <c r="A60" s="231" t="s">
        <v>52</v>
      </c>
      <c r="B60" s="208" t="s">
        <v>11</v>
      </c>
      <c r="C60" s="232"/>
      <c r="D60" s="233">
        <v>0</v>
      </c>
      <c r="E60" s="109"/>
      <c r="F60" s="109"/>
      <c r="G60" s="109"/>
      <c r="H60" s="109"/>
    </row>
    <row r="61" spans="1:10" ht="17.25" customHeight="1">
      <c r="A61" s="234" t="s">
        <v>199</v>
      </c>
      <c r="B61" s="208" t="s">
        <v>11</v>
      </c>
      <c r="C61" s="209"/>
      <c r="D61" s="230">
        <v>2766.54</v>
      </c>
      <c r="E61" s="109"/>
      <c r="F61" s="109"/>
      <c r="G61" s="109"/>
      <c r="H61" s="109"/>
      <c r="I61" s="49"/>
      <c r="J61" s="49"/>
    </row>
    <row r="62" spans="1:14" ht="15.75">
      <c r="A62" s="235" t="s">
        <v>13</v>
      </c>
      <c r="B62" s="208" t="s">
        <v>11</v>
      </c>
      <c r="C62" s="236"/>
      <c r="D62" s="237"/>
      <c r="E62" s="109"/>
      <c r="F62" s="109"/>
      <c r="G62" s="109"/>
      <c r="H62" s="109" t="s">
        <v>26</v>
      </c>
      <c r="I62" s="60"/>
      <c r="J62" s="60"/>
      <c r="K62" s="61"/>
      <c r="L62" s="61"/>
      <c r="M62" s="61"/>
      <c r="N62" s="61"/>
    </row>
    <row r="63" spans="1:14" ht="18" customHeight="1">
      <c r="A63" s="571" t="s">
        <v>53</v>
      </c>
      <c r="B63" s="571"/>
      <c r="C63" s="571"/>
      <c r="D63" s="571"/>
      <c r="E63" s="114"/>
      <c r="F63" s="115"/>
      <c r="G63" s="116"/>
      <c r="H63" s="109"/>
      <c r="I63" s="65"/>
      <c r="J63" s="65"/>
      <c r="K63" s="66"/>
      <c r="L63" s="66"/>
      <c r="M63" s="66"/>
      <c r="N63" s="66"/>
    </row>
    <row r="64" spans="1:14" ht="38.25">
      <c r="A64" s="67" t="s">
        <v>54</v>
      </c>
      <c r="B64" s="68" t="s">
        <v>55</v>
      </c>
      <c r="C64" s="157" t="s">
        <v>56</v>
      </c>
      <c r="D64" s="158" t="s">
        <v>57</v>
      </c>
      <c r="E64" s="114"/>
      <c r="F64" s="115"/>
      <c r="G64" s="116"/>
      <c r="H64" s="109"/>
      <c r="I64" s="65"/>
      <c r="J64" s="71"/>
      <c r="K64" s="66"/>
      <c r="L64" s="66"/>
      <c r="M64" s="66"/>
      <c r="N64" s="66"/>
    </row>
    <row r="65" spans="1:14" ht="15.75">
      <c r="A65" s="238" t="s">
        <v>58</v>
      </c>
      <c r="B65" s="239">
        <v>1381.39</v>
      </c>
      <c r="C65" s="418">
        <f>B65*1.0405</f>
        <v>1437.336295</v>
      </c>
      <c r="D65" s="419">
        <f>B65-C65</f>
        <v>-55.946294999999964</v>
      </c>
      <c r="E65" s="117"/>
      <c r="F65" s="115"/>
      <c r="G65" s="116"/>
      <c r="H65" s="109"/>
      <c r="I65" s="65"/>
      <c r="J65" s="65"/>
      <c r="K65" s="66"/>
      <c r="L65" s="66"/>
      <c r="M65" s="66"/>
      <c r="N65" s="66"/>
    </row>
    <row r="66" spans="1:14" ht="15.75">
      <c r="A66" s="238" t="s">
        <v>59</v>
      </c>
      <c r="B66" s="239">
        <v>1580.89</v>
      </c>
      <c r="C66" s="418">
        <f>B66*1.0123</f>
        <v>1600.334947</v>
      </c>
      <c r="D66" s="419">
        <f>B66-C66</f>
        <v>-19.444946999999956</v>
      </c>
      <c r="E66" s="114"/>
      <c r="F66" s="115"/>
      <c r="G66" s="116"/>
      <c r="H66" s="109"/>
      <c r="I66" s="65"/>
      <c r="J66" s="65"/>
      <c r="K66" s="66"/>
      <c r="L66" s="66"/>
      <c r="M66" s="66"/>
      <c r="N66" s="66"/>
    </row>
    <row r="67" spans="1:14" ht="15.75">
      <c r="A67" s="238" t="s">
        <v>60</v>
      </c>
      <c r="B67" s="242">
        <v>4133.02</v>
      </c>
      <c r="C67" s="418">
        <f>B67*1.0123</f>
        <v>4183.856146</v>
      </c>
      <c r="D67" s="419">
        <f>B67-C67</f>
        <v>-50.836145999999644</v>
      </c>
      <c r="E67" s="114">
        <f>(2.07+1.8)*6*2301.2-0.37*2301.2*6</f>
        <v>48325.2</v>
      </c>
      <c r="F67" s="118"/>
      <c r="G67" s="119"/>
      <c r="H67" s="114"/>
      <c r="I67" s="65"/>
      <c r="J67" s="65"/>
      <c r="K67" s="66"/>
      <c r="L67" s="66"/>
      <c r="M67" s="66"/>
      <c r="N67" s="66"/>
    </row>
    <row r="68" spans="1:14" ht="16.5" thickBot="1">
      <c r="A68" s="261" t="s">
        <v>236</v>
      </c>
      <c r="B68" s="262">
        <v>26154.96</v>
      </c>
      <c r="C68" s="418">
        <f>B68</f>
        <v>26154.96</v>
      </c>
      <c r="D68" s="420">
        <f>B68-C68</f>
        <v>0</v>
      </c>
      <c r="E68" s="114"/>
      <c r="F68" s="118"/>
      <c r="G68" s="119"/>
      <c r="H68" s="109"/>
      <c r="I68" s="65"/>
      <c r="J68" s="65"/>
      <c r="K68" s="66"/>
      <c r="L68" s="66"/>
      <c r="M68" s="66"/>
      <c r="N68" s="66"/>
    </row>
    <row r="69" spans="1:14" ht="63.75">
      <c r="A69" s="129" t="s">
        <v>62</v>
      </c>
      <c r="B69" s="130" t="s">
        <v>63</v>
      </c>
      <c r="C69" s="130" t="s">
        <v>64</v>
      </c>
      <c r="D69" s="159" t="s">
        <v>65</v>
      </c>
      <c r="E69" s="114"/>
      <c r="F69" s="118"/>
      <c r="G69" s="109"/>
      <c r="H69" s="120"/>
      <c r="I69" s="65"/>
      <c r="J69" s="65"/>
      <c r="K69" s="66"/>
      <c r="L69" s="66"/>
      <c r="M69" s="66"/>
      <c r="N69" s="66"/>
    </row>
    <row r="70" spans="1:14" ht="12.75">
      <c r="A70" s="265" t="s">
        <v>58</v>
      </c>
      <c r="B70" s="244">
        <f aca="true" t="shared" si="0" ref="B70:C72">B65</f>
        <v>1381.39</v>
      </c>
      <c r="C70" s="440">
        <f t="shared" si="0"/>
        <v>1437.336295</v>
      </c>
      <c r="D70" s="441">
        <f>B70-C70</f>
        <v>-55.946294999999964</v>
      </c>
      <c r="E70" s="114"/>
      <c r="F70" s="118"/>
      <c r="G70" s="109"/>
      <c r="H70" s="120"/>
      <c r="I70" s="65"/>
      <c r="J70" s="65" t="s">
        <v>26</v>
      </c>
      <c r="K70" s="66"/>
      <c r="L70" s="66"/>
      <c r="M70" s="66"/>
      <c r="N70" s="66"/>
    </row>
    <row r="71" spans="1:14" ht="12.75">
      <c r="A71" s="265" t="s">
        <v>59</v>
      </c>
      <c r="B71" s="244">
        <f t="shared" si="0"/>
        <v>1580.89</v>
      </c>
      <c r="C71" s="440">
        <f t="shared" si="0"/>
        <v>1600.334947</v>
      </c>
      <c r="D71" s="441">
        <f>B71-C71</f>
        <v>-19.444946999999956</v>
      </c>
      <c r="E71" s="114"/>
      <c r="F71" s="118"/>
      <c r="G71" s="109"/>
      <c r="H71" s="120"/>
      <c r="I71" s="65"/>
      <c r="J71" s="65"/>
      <c r="K71" s="66"/>
      <c r="L71" s="66"/>
      <c r="M71" s="66"/>
      <c r="N71" s="66"/>
    </row>
    <row r="72" spans="1:14" ht="12.75">
      <c r="A72" s="265" t="s">
        <v>60</v>
      </c>
      <c r="B72" s="244">
        <f t="shared" si="0"/>
        <v>4133.02</v>
      </c>
      <c r="C72" s="442">
        <f t="shared" si="0"/>
        <v>4183.856146</v>
      </c>
      <c r="D72" s="443">
        <f>B72-C72</f>
        <v>-50.836145999999644</v>
      </c>
      <c r="E72" s="114"/>
      <c r="F72" s="118"/>
      <c r="G72" s="109"/>
      <c r="H72" s="120"/>
      <c r="I72" s="65"/>
      <c r="J72" s="65"/>
      <c r="K72" s="66"/>
      <c r="L72" s="66"/>
      <c r="M72" s="66"/>
      <c r="N72" s="66"/>
    </row>
    <row r="73" spans="1:14" ht="18" customHeight="1">
      <c r="A73" s="261" t="s">
        <v>236</v>
      </c>
      <c r="B73" s="389">
        <f>B68</f>
        <v>26154.96</v>
      </c>
      <c r="C73" s="390">
        <f>C68</f>
        <v>26154.96</v>
      </c>
      <c r="D73" s="389">
        <f>B73-C73</f>
        <v>0</v>
      </c>
      <c r="E73" s="114"/>
      <c r="F73" s="118"/>
      <c r="G73" s="109"/>
      <c r="H73" s="120" t="s">
        <v>26</v>
      </c>
      <c r="I73" s="65"/>
      <c r="J73" s="65"/>
      <c r="K73" s="66"/>
      <c r="L73" s="66"/>
      <c r="M73" s="66"/>
      <c r="N73" s="66"/>
    </row>
    <row r="74" spans="1:14" ht="26.25">
      <c r="A74" s="251" t="s">
        <v>66</v>
      </c>
      <c r="B74" s="248" t="s">
        <v>11</v>
      </c>
      <c r="C74" s="86"/>
      <c r="D74" s="428">
        <v>0</v>
      </c>
      <c r="E74" s="114"/>
      <c r="F74" s="118"/>
      <c r="G74" s="109"/>
      <c r="H74" s="120"/>
      <c r="I74" s="65"/>
      <c r="J74" s="65" t="s">
        <v>26</v>
      </c>
      <c r="K74" s="66"/>
      <c r="L74" s="66"/>
      <c r="M74" s="66"/>
      <c r="N74" s="66"/>
    </row>
    <row r="75" spans="1:14" ht="17.25" customHeight="1">
      <c r="A75" s="572" t="s">
        <v>67</v>
      </c>
      <c r="B75" s="572"/>
      <c r="C75" s="572"/>
      <c r="D75" s="572"/>
      <c r="E75" s="121" t="e">
        <f>D75+B19</f>
        <v>#VALUE!</v>
      </c>
      <c r="F75" s="120"/>
      <c r="G75" s="109"/>
      <c r="H75" s="122" t="e">
        <f>E75-B18</f>
        <v>#VALUE!</v>
      </c>
      <c r="I75" s="65"/>
      <c r="J75" s="65"/>
      <c r="K75" s="66"/>
      <c r="L75" s="66"/>
      <c r="M75" s="66"/>
      <c r="N75" s="66"/>
    </row>
    <row r="76" spans="1:8" ht="21" customHeight="1">
      <c r="A76" s="86" t="s">
        <v>45</v>
      </c>
      <c r="B76" s="86" t="s">
        <v>46</v>
      </c>
      <c r="C76" s="86"/>
      <c r="D76" s="177">
        <v>0</v>
      </c>
      <c r="E76" s="123"/>
      <c r="F76" s="109"/>
      <c r="G76" s="109"/>
      <c r="H76" s="109"/>
    </row>
    <row r="77" spans="1:8" ht="21" customHeight="1">
      <c r="A77" s="86" t="s">
        <v>47</v>
      </c>
      <c r="B77" s="86" t="s">
        <v>46</v>
      </c>
      <c r="C77" s="86"/>
      <c r="D77" s="87"/>
      <c r="E77" s="123"/>
      <c r="F77" s="109"/>
      <c r="G77" s="109"/>
      <c r="H77" s="109"/>
    </row>
    <row r="78" spans="1:8" ht="18" customHeight="1">
      <c r="A78" s="86" t="s">
        <v>48</v>
      </c>
      <c r="B78" s="86" t="s">
        <v>46</v>
      </c>
      <c r="C78" s="86"/>
      <c r="D78" s="177">
        <v>0</v>
      </c>
      <c r="E78" s="123"/>
      <c r="F78" s="109"/>
      <c r="G78" s="109"/>
      <c r="H78" s="109"/>
    </row>
    <row r="79" spans="1:8" ht="16.5" customHeight="1">
      <c r="A79" s="86" t="s">
        <v>49</v>
      </c>
      <c r="B79" s="86" t="s">
        <v>11</v>
      </c>
      <c r="C79" s="86"/>
      <c r="D79" s="177">
        <v>0</v>
      </c>
      <c r="E79" s="123"/>
      <c r="F79" s="109"/>
      <c r="G79" s="109"/>
      <c r="H79" s="109"/>
    </row>
    <row r="80" spans="1:8" ht="15.75" customHeight="1">
      <c r="A80" s="566" t="s">
        <v>68</v>
      </c>
      <c r="B80" s="566"/>
      <c r="C80" s="566"/>
      <c r="D80" s="566"/>
      <c r="E80" s="123"/>
      <c r="F80" s="109"/>
      <c r="G80" s="109"/>
      <c r="H80" s="109"/>
    </row>
    <row r="81" spans="1:8" ht="18.75" customHeight="1">
      <c r="A81" s="86" t="s">
        <v>69</v>
      </c>
      <c r="B81" s="86" t="s">
        <v>46</v>
      </c>
      <c r="C81" s="86"/>
      <c r="D81" s="177">
        <v>0</v>
      </c>
      <c r="E81" s="123"/>
      <c r="F81" s="109"/>
      <c r="G81" s="109"/>
      <c r="H81" s="109"/>
    </row>
    <row r="82" spans="1:8" ht="21.75" customHeight="1">
      <c r="A82" s="86" t="s">
        <v>70</v>
      </c>
      <c r="B82" s="254" t="s">
        <v>46</v>
      </c>
      <c r="C82" s="254"/>
      <c r="D82" s="177">
        <v>0</v>
      </c>
      <c r="E82" s="123"/>
      <c r="F82" s="109"/>
      <c r="G82" s="109"/>
      <c r="H82" s="109"/>
    </row>
    <row r="83" spans="1:8" ht="36" customHeight="1">
      <c r="A83" s="255" t="s">
        <v>71</v>
      </c>
      <c r="B83" s="86" t="s">
        <v>11</v>
      </c>
      <c r="C83" s="86"/>
      <c r="D83" s="177">
        <v>0</v>
      </c>
      <c r="E83" s="123"/>
      <c r="F83" s="109"/>
      <c r="G83" s="109"/>
      <c r="H83" s="109"/>
    </row>
    <row r="84" spans="1:14" s="1" customFormat="1" ht="12.75">
      <c r="A84" s="178"/>
      <c r="B84" s="178"/>
      <c r="C84" s="178"/>
      <c r="D84" s="178"/>
      <c r="E84" s="109"/>
      <c r="F84" s="109"/>
      <c r="G84" s="109"/>
      <c r="H84" s="109" t="s">
        <v>26</v>
      </c>
      <c r="K84"/>
      <c r="L84"/>
      <c r="M84"/>
      <c r="N84"/>
    </row>
    <row r="85" spans="1:14" s="1" customFormat="1" ht="12.75">
      <c r="A85" s="178" t="s">
        <v>72</v>
      </c>
      <c r="B85" s="178"/>
      <c r="C85" s="178" t="s">
        <v>141</v>
      </c>
      <c r="D85" s="178"/>
      <c r="E85" s="109"/>
      <c r="F85" s="109"/>
      <c r="G85" s="109"/>
      <c r="H85" s="109"/>
      <c r="K85"/>
      <c r="L85"/>
      <c r="M85"/>
      <c r="N85"/>
    </row>
    <row r="86" spans="1:14" s="1" customFormat="1" ht="12.75">
      <c r="A86" s="178"/>
      <c r="B86" s="178"/>
      <c r="C86" s="178"/>
      <c r="D86" s="178"/>
      <c r="E86" s="109"/>
      <c r="F86" s="109"/>
      <c r="G86" s="109"/>
      <c r="H86" s="109" t="s">
        <v>26</v>
      </c>
      <c r="K86"/>
      <c r="L86"/>
      <c r="M86"/>
      <c r="N86"/>
    </row>
    <row r="87" spans="1:14" s="1" customFormat="1" ht="12.75">
      <c r="A87" s="178" t="s">
        <v>73</v>
      </c>
      <c r="B87" s="178"/>
      <c r="C87" s="178"/>
      <c r="D87" s="178"/>
      <c r="E87" s="109"/>
      <c r="F87" s="109"/>
      <c r="G87" s="109"/>
      <c r="H87" s="109"/>
      <c r="K87"/>
      <c r="L87"/>
      <c r="M87"/>
      <c r="N87"/>
    </row>
    <row r="91" spans="1:14" s="1" customFormat="1" ht="12.75">
      <c r="A91"/>
      <c r="B91"/>
      <c r="C91"/>
      <c r="D91"/>
      <c r="E91" s="1" t="s">
        <v>26</v>
      </c>
      <c r="K91"/>
      <c r="L91"/>
      <c r="M91"/>
      <c r="N91"/>
    </row>
  </sheetData>
  <sheetProtection selectLockedCells="1" selectUnlockedCells="1"/>
  <mergeCells count="13">
    <mergeCell ref="A80:D80"/>
    <mergeCell ref="A14:D14"/>
    <mergeCell ref="A28:D28"/>
    <mergeCell ref="A51:D51"/>
    <mergeCell ref="A56:D56"/>
    <mergeCell ref="A63:D63"/>
    <mergeCell ref="A75:D75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600" verticalDpi="600" orientation="portrait" paperSize="1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3"/>
  <sheetViews>
    <sheetView zoomScale="80" zoomScaleNormal="80" zoomScalePageLayoutView="0" workbookViewId="0" topLeftCell="A25">
      <selection activeCell="D38" sqref="D38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560" t="s">
        <v>0</v>
      </c>
      <c r="B1" s="560"/>
      <c r="C1" s="560"/>
      <c r="D1" s="560"/>
    </row>
    <row r="2" spans="1:4" ht="15.75">
      <c r="A2" s="561" t="s">
        <v>220</v>
      </c>
      <c r="B2" s="562"/>
      <c r="C2" s="562"/>
      <c r="D2" s="562"/>
    </row>
    <row r="3" spans="1:4" ht="15.75">
      <c r="A3" s="562" t="s">
        <v>1</v>
      </c>
      <c r="B3" s="562"/>
      <c r="C3" s="562"/>
      <c r="D3" s="562"/>
    </row>
    <row r="4" spans="1:4" ht="12.75">
      <c r="A4" s="563" t="s">
        <v>105</v>
      </c>
      <c r="B4" s="563"/>
      <c r="C4" s="563"/>
      <c r="D4" s="563"/>
    </row>
    <row r="5" spans="1:4" ht="12.75">
      <c r="A5" s="564" t="s">
        <v>266</v>
      </c>
      <c r="B5" s="563"/>
      <c r="C5" s="563"/>
      <c r="D5" s="563"/>
    </row>
    <row r="6" spans="1:4" ht="9" customHeight="1">
      <c r="A6" s="258"/>
      <c r="B6" s="178"/>
      <c r="C6" s="178"/>
      <c r="D6" s="178"/>
    </row>
    <row r="7" spans="1:4" ht="18" customHeight="1">
      <c r="A7" s="565" t="s">
        <v>2</v>
      </c>
      <c r="B7" s="565"/>
      <c r="C7" s="565"/>
      <c r="D7" s="565"/>
    </row>
    <row r="8" spans="1:4" ht="12.75">
      <c r="A8" s="182" t="s">
        <v>249</v>
      </c>
      <c r="B8" s="178"/>
      <c r="C8" s="183"/>
      <c r="D8" s="178"/>
    </row>
    <row r="9" spans="1:4" ht="12.75">
      <c r="A9" s="184" t="s">
        <v>3</v>
      </c>
      <c r="B9" s="184" t="s">
        <v>4</v>
      </c>
      <c r="C9" s="184" t="s">
        <v>5</v>
      </c>
      <c r="D9" s="185"/>
    </row>
    <row r="10" spans="1:4" ht="12.75">
      <c r="A10" s="186">
        <v>1</v>
      </c>
      <c r="B10" s="186">
        <v>2</v>
      </c>
      <c r="C10" s="186">
        <v>3</v>
      </c>
      <c r="D10" s="187">
        <v>4</v>
      </c>
    </row>
    <row r="11" spans="1:4" ht="12.75">
      <c r="A11" s="20" t="s">
        <v>6</v>
      </c>
      <c r="B11" s="188"/>
      <c r="C11" s="189" t="s">
        <v>262</v>
      </c>
      <c r="D11" s="190"/>
    </row>
    <row r="12" spans="1:4" ht="12.75">
      <c r="A12" s="20" t="s">
        <v>7</v>
      </c>
      <c r="B12" s="188"/>
      <c r="C12" s="189" t="s">
        <v>263</v>
      </c>
      <c r="D12" s="190"/>
    </row>
    <row r="13" spans="1:4" ht="12.75">
      <c r="A13" s="20" t="s">
        <v>8</v>
      </c>
      <c r="B13" s="188"/>
      <c r="C13" s="189" t="s">
        <v>267</v>
      </c>
      <c r="D13" s="190"/>
    </row>
    <row r="14" spans="1:4" ht="31.5" customHeight="1">
      <c r="A14" s="567" t="s">
        <v>9</v>
      </c>
      <c r="B14" s="567"/>
      <c r="C14" s="567"/>
      <c r="D14" s="567"/>
    </row>
    <row r="15" spans="1:8" ht="26.25">
      <c r="A15" s="17" t="s">
        <v>10</v>
      </c>
      <c r="B15" s="191" t="s">
        <v>11</v>
      </c>
      <c r="C15" s="194">
        <v>-9530.75</v>
      </c>
      <c r="D15" s="193"/>
      <c r="E15" s="109"/>
      <c r="F15" s="109"/>
      <c r="G15" s="109"/>
      <c r="H15" s="109"/>
    </row>
    <row r="16" spans="1:8" ht="15.75">
      <c r="A16" s="20" t="s">
        <v>12</v>
      </c>
      <c r="B16" s="191" t="s">
        <v>11</v>
      </c>
      <c r="C16" s="192">
        <v>0</v>
      </c>
      <c r="D16" s="193"/>
      <c r="E16" s="109"/>
      <c r="F16" s="109"/>
      <c r="G16" s="109"/>
      <c r="H16" s="109"/>
    </row>
    <row r="17" spans="1:8" ht="15.75">
      <c r="A17" s="20" t="s">
        <v>13</v>
      </c>
      <c r="B17" s="191" t="s">
        <v>11</v>
      </c>
      <c r="C17" s="194">
        <v>1806.8</v>
      </c>
      <c r="D17" s="195"/>
      <c r="E17" s="59"/>
      <c r="F17" s="109"/>
      <c r="G17" s="109"/>
      <c r="H17" s="109"/>
    </row>
    <row r="18" spans="1:8" ht="31.5" customHeight="1">
      <c r="A18" s="17" t="s">
        <v>14</v>
      </c>
      <c r="B18" s="191" t="s">
        <v>11</v>
      </c>
      <c r="C18" s="194">
        <f>10051.8</f>
        <v>10051.8</v>
      </c>
      <c r="D18" s="195"/>
      <c r="E18" s="18">
        <f>C18-C20</f>
        <v>7763.226</v>
      </c>
      <c r="F18" s="109"/>
      <c r="G18" s="109"/>
      <c r="H18" s="109"/>
    </row>
    <row r="19" spans="1:8" ht="15.75">
      <c r="A19" s="20" t="s">
        <v>15</v>
      </c>
      <c r="B19" s="191" t="s">
        <v>11</v>
      </c>
      <c r="C19" s="194">
        <f>C18-C20-C21</f>
        <v>3584.9579999999996</v>
      </c>
      <c r="D19" s="195"/>
      <c r="E19" s="18">
        <f>E18-E37</f>
        <v>0.0039999999999054126</v>
      </c>
      <c r="F19" s="109"/>
      <c r="G19" s="109"/>
      <c r="H19" s="109"/>
    </row>
    <row r="20" spans="1:8" ht="15.75">
      <c r="A20" s="20" t="s">
        <v>16</v>
      </c>
      <c r="B20" s="191" t="s">
        <v>11</v>
      </c>
      <c r="C20" s="194">
        <f>(2.25+2.34)*6*83.1</f>
        <v>2288.5739999999996</v>
      </c>
      <c r="D20" s="195"/>
      <c r="E20" s="149"/>
      <c r="F20" s="109"/>
      <c r="G20" s="109"/>
      <c r="H20" s="109"/>
    </row>
    <row r="21" spans="1:8" ht="15.75">
      <c r="A21" s="20" t="s">
        <v>17</v>
      </c>
      <c r="B21" s="191" t="s">
        <v>11</v>
      </c>
      <c r="C21" s="196">
        <f>83.1*4.19*12</f>
        <v>4178.268</v>
      </c>
      <c r="D21" s="195"/>
      <c r="E21" s="109"/>
      <c r="F21" s="109"/>
      <c r="G21" s="109"/>
      <c r="H21" s="109"/>
    </row>
    <row r="22" spans="1:8" ht="15.75">
      <c r="A22" s="20" t="s">
        <v>18</v>
      </c>
      <c r="B22" s="191" t="s">
        <v>11</v>
      </c>
      <c r="C22" s="194">
        <f>C23+C24+C25+C26+C27</f>
        <v>9582.38094</v>
      </c>
      <c r="D22" s="195" t="s">
        <v>19</v>
      </c>
      <c r="E22" s="110" t="e">
        <f>B24+B25+B26+B27+B28</f>
        <v>#VALUE!</v>
      </c>
      <c r="F22" s="109"/>
      <c r="G22" s="109"/>
      <c r="H22" s="109"/>
    </row>
    <row r="23" spans="1:8" ht="15.75">
      <c r="A23" s="20" t="s">
        <v>20</v>
      </c>
      <c r="B23" s="191" t="s">
        <v>11</v>
      </c>
      <c r="C23" s="194">
        <f>C18*0.9533</f>
        <v>9582.38094</v>
      </c>
      <c r="D23" s="195"/>
      <c r="E23" s="109"/>
      <c r="F23" s="109"/>
      <c r="G23" s="109"/>
      <c r="H23" s="109"/>
    </row>
    <row r="24" spans="1:8" ht="15.75">
      <c r="A24" s="20" t="s">
        <v>21</v>
      </c>
      <c r="B24" s="191" t="s">
        <v>11</v>
      </c>
      <c r="C24" s="194">
        <v>0</v>
      </c>
      <c r="D24" s="197">
        <v>65.21</v>
      </c>
      <c r="E24" s="111" t="e">
        <f>B24/#REF!*1</f>
        <v>#VALUE!</v>
      </c>
      <c r="F24" s="109"/>
      <c r="G24" s="109"/>
      <c r="H24" s="109" t="s">
        <v>22</v>
      </c>
    </row>
    <row r="25" spans="1:8" ht="15.75">
      <c r="A25" s="20" t="s">
        <v>23</v>
      </c>
      <c r="B25" s="191" t="s">
        <v>11</v>
      </c>
      <c r="C25" s="194">
        <v>0</v>
      </c>
      <c r="D25" s="197">
        <v>119.63</v>
      </c>
      <c r="E25" s="111" t="e">
        <f>B25/#REF!*1</f>
        <v>#VALUE!</v>
      </c>
      <c r="F25" s="109"/>
      <c r="G25" s="109"/>
      <c r="H25" s="109"/>
    </row>
    <row r="26" spans="1:8" ht="15.75">
      <c r="A26" s="188" t="s">
        <v>24</v>
      </c>
      <c r="B26" s="191" t="s">
        <v>11</v>
      </c>
      <c r="C26" s="194">
        <v>0</v>
      </c>
      <c r="D26" s="197"/>
      <c r="E26" s="111" t="e">
        <f>B26/#REF!*1</f>
        <v>#VALUE!</v>
      </c>
      <c r="F26" s="109"/>
      <c r="G26" s="109"/>
      <c r="H26" s="109"/>
    </row>
    <row r="27" spans="1:8" ht="16.5" customHeight="1">
      <c r="A27" s="198" t="s">
        <v>96</v>
      </c>
      <c r="B27" s="191" t="s">
        <v>11</v>
      </c>
      <c r="C27" s="194">
        <v>0</v>
      </c>
      <c r="D27" s="197">
        <v>139.18</v>
      </c>
      <c r="E27" s="111" t="e">
        <f>B27/#REF!*1</f>
        <v>#VALUE!</v>
      </c>
      <c r="F27" s="109"/>
      <c r="G27" s="109"/>
      <c r="H27" s="109"/>
    </row>
    <row r="28" spans="1:8" ht="15.75">
      <c r="A28" s="20" t="s">
        <v>25</v>
      </c>
      <c r="B28" s="191" t="s">
        <v>11</v>
      </c>
      <c r="C28" s="194">
        <f>C15+C22</f>
        <v>51.6309399999991</v>
      </c>
      <c r="D28" s="195" t="s">
        <v>26</v>
      </c>
      <c r="E28" s="111" t="e">
        <f>B28/#REF!*1</f>
        <v>#VALUE!</v>
      </c>
      <c r="F28" s="109"/>
      <c r="G28" s="109"/>
      <c r="H28" s="109"/>
    </row>
    <row r="29" spans="1:8" ht="35.25" customHeight="1">
      <c r="A29" s="568" t="s">
        <v>27</v>
      </c>
      <c r="B29" s="568"/>
      <c r="C29" s="568"/>
      <c r="D29" s="568"/>
      <c r="E29" s="109"/>
      <c r="F29" s="109"/>
      <c r="G29" s="109"/>
      <c r="H29" s="109"/>
    </row>
    <row r="30" spans="1:8" ht="63">
      <c r="A30" s="271" t="s">
        <v>28</v>
      </c>
      <c r="B30" s="307" t="s">
        <v>29</v>
      </c>
      <c r="C30" s="286" t="s">
        <v>30</v>
      </c>
      <c r="D30" s="308" t="s">
        <v>31</v>
      </c>
      <c r="E30" s="109"/>
      <c r="F30" s="109"/>
      <c r="G30" s="109"/>
      <c r="H30" s="109"/>
    </row>
    <row r="31" spans="1:8" ht="15.75">
      <c r="A31" s="203" t="s">
        <v>32</v>
      </c>
      <c r="B31" s="204" t="s">
        <v>33</v>
      </c>
      <c r="C31" s="205" t="s">
        <v>34</v>
      </c>
      <c r="D31" s="206">
        <f>(0.85+0.9)*6*83.1</f>
        <v>872.55</v>
      </c>
      <c r="E31" s="109"/>
      <c r="F31" s="109"/>
      <c r="G31" s="109"/>
      <c r="H31" s="109"/>
    </row>
    <row r="32" spans="1:8" ht="15.75">
      <c r="A32" s="207" t="s">
        <v>36</v>
      </c>
      <c r="B32" s="208" t="s">
        <v>33</v>
      </c>
      <c r="C32" s="209" t="s">
        <v>37</v>
      </c>
      <c r="D32" s="210">
        <f>0.24*83.1*12</f>
        <v>239.32799999999997</v>
      </c>
      <c r="E32" s="109"/>
      <c r="F32" s="109"/>
      <c r="G32" s="109"/>
      <c r="H32" s="109"/>
    </row>
    <row r="33" spans="1:8" ht="15.75">
      <c r="A33" s="293" t="s">
        <v>250</v>
      </c>
      <c r="B33" s="208" t="s">
        <v>33</v>
      </c>
      <c r="C33" s="209" t="s">
        <v>34</v>
      </c>
      <c r="D33" s="210">
        <f>(1.02+1.28)*6*83.1+0.02</f>
        <v>1146.7999999999997</v>
      </c>
      <c r="E33" s="109"/>
      <c r="F33" s="109"/>
      <c r="G33" s="109"/>
      <c r="H33" s="109"/>
    </row>
    <row r="34" spans="1:8" ht="15.75">
      <c r="A34" s="207" t="s">
        <v>81</v>
      </c>
      <c r="B34" s="213" t="s">
        <v>82</v>
      </c>
      <c r="C34" s="209" t="s">
        <v>34</v>
      </c>
      <c r="D34" s="210">
        <f>1.33*12*83.1</f>
        <v>1326.276</v>
      </c>
      <c r="E34" s="109"/>
      <c r="F34" s="109"/>
      <c r="G34" s="109"/>
      <c r="H34" s="109"/>
    </row>
    <row r="35" spans="1:8" ht="15.75">
      <c r="A35" s="207" t="s">
        <v>38</v>
      </c>
      <c r="B35" s="208" t="s">
        <v>35</v>
      </c>
      <c r="C35" s="362" t="s">
        <v>221</v>
      </c>
      <c r="D35" s="210">
        <f>4.19*83.1*12</f>
        <v>4178.268</v>
      </c>
      <c r="E35" s="109"/>
      <c r="F35" s="109"/>
      <c r="G35" s="109"/>
      <c r="H35" s="109"/>
    </row>
    <row r="36" spans="1:14" s="1" customFormat="1" ht="47.25">
      <c r="A36" s="365" t="s">
        <v>40</v>
      </c>
      <c r="B36" s="215" t="s">
        <v>41</v>
      </c>
      <c r="C36" s="221"/>
      <c r="D36" s="175">
        <v>0</v>
      </c>
      <c r="E36" s="59"/>
      <c r="F36" s="109"/>
      <c r="G36" s="109"/>
      <c r="H36" s="109"/>
      <c r="K36"/>
      <c r="L36"/>
      <c r="M36"/>
      <c r="N36"/>
    </row>
    <row r="37" spans="1:14" s="1" customFormat="1" ht="15.75">
      <c r="A37" s="37" t="s">
        <v>42</v>
      </c>
      <c r="B37" s="222"/>
      <c r="C37" s="223"/>
      <c r="D37" s="97">
        <f>D31+D32+D33+D34+D35+D36</f>
        <v>7763.222</v>
      </c>
      <c r="E37" s="44">
        <f>D37-D36</f>
        <v>7763.222</v>
      </c>
      <c r="F37" s="109"/>
      <c r="G37" s="109"/>
      <c r="H37" s="109"/>
      <c r="K37"/>
      <c r="L37"/>
      <c r="M37"/>
      <c r="N37"/>
    </row>
    <row r="38" spans="1:14" s="1" customFormat="1" ht="15.75">
      <c r="A38" s="40" t="s">
        <v>43</v>
      </c>
      <c r="B38" s="224" t="s">
        <v>11</v>
      </c>
      <c r="C38" s="225"/>
      <c r="D38" s="226">
        <f>C28-D37</f>
        <v>-7711.591060000001</v>
      </c>
      <c r="E38" s="44"/>
      <c r="F38" s="109"/>
      <c r="G38" s="109"/>
      <c r="H38" s="109"/>
      <c r="K38"/>
      <c r="L38"/>
      <c r="M38"/>
      <c r="N38"/>
    </row>
    <row r="39" spans="1:14" s="1" customFormat="1" ht="15.75">
      <c r="A39" s="227" t="s">
        <v>12</v>
      </c>
      <c r="B39" s="228" t="s">
        <v>11</v>
      </c>
      <c r="C39" s="209"/>
      <c r="D39" s="193">
        <v>0</v>
      </c>
      <c r="E39" s="109"/>
      <c r="F39" s="109"/>
      <c r="G39" s="109"/>
      <c r="H39" s="109"/>
      <c r="K39"/>
      <c r="L39"/>
      <c r="M39"/>
      <c r="N39"/>
    </row>
    <row r="40" spans="1:14" s="1" customFormat="1" ht="15.75">
      <c r="A40" s="227" t="s">
        <v>13</v>
      </c>
      <c r="B40" s="228" t="s">
        <v>11</v>
      </c>
      <c r="C40" s="209"/>
      <c r="D40" s="195">
        <f>C17+C18-C23</f>
        <v>2276.2190599999994</v>
      </c>
      <c r="E40" s="109"/>
      <c r="F40" s="109"/>
      <c r="G40" s="109"/>
      <c r="H40" s="109"/>
      <c r="K40"/>
      <c r="L40"/>
      <c r="M40"/>
      <c r="N40"/>
    </row>
    <row r="41" spans="1:14" s="1" customFormat="1" ht="24" customHeight="1">
      <c r="A41" s="569" t="s">
        <v>44</v>
      </c>
      <c r="B41" s="569"/>
      <c r="C41" s="569"/>
      <c r="D41" s="569"/>
      <c r="E41" s="109"/>
      <c r="F41" s="109"/>
      <c r="G41" s="109"/>
      <c r="H41" s="109"/>
      <c r="K41"/>
      <c r="L41"/>
      <c r="M41"/>
      <c r="N41"/>
    </row>
    <row r="42" spans="1:14" s="1" customFormat="1" ht="15.75">
      <c r="A42" s="227" t="s">
        <v>45</v>
      </c>
      <c r="B42" s="208" t="s">
        <v>46</v>
      </c>
      <c r="C42" s="209"/>
      <c r="D42" s="193">
        <v>0</v>
      </c>
      <c r="K42"/>
      <c r="L42"/>
      <c r="M42"/>
      <c r="N42"/>
    </row>
    <row r="43" spans="1:14" s="1" customFormat="1" ht="15.75">
      <c r="A43" s="227" t="s">
        <v>47</v>
      </c>
      <c r="B43" s="208" t="s">
        <v>46</v>
      </c>
      <c r="C43" s="209"/>
      <c r="D43" s="193">
        <v>0</v>
      </c>
      <c r="K43"/>
      <c r="L43"/>
      <c r="M43"/>
      <c r="N43"/>
    </row>
    <row r="44" spans="1:14" s="1" customFormat="1" ht="15.75">
      <c r="A44" s="229" t="s">
        <v>48</v>
      </c>
      <c r="B44" s="208" t="s">
        <v>46</v>
      </c>
      <c r="C44" s="209"/>
      <c r="D44" s="193">
        <v>0</v>
      </c>
      <c r="K44"/>
      <c r="L44"/>
      <c r="M44"/>
      <c r="N44"/>
    </row>
    <row r="45" spans="1:14" s="1" customFormat="1" ht="15.75">
      <c r="A45" s="227" t="s">
        <v>49</v>
      </c>
      <c r="B45" s="208" t="s">
        <v>11</v>
      </c>
      <c r="C45" s="209"/>
      <c r="D45" s="193">
        <v>0</v>
      </c>
      <c r="K45"/>
      <c r="L45"/>
      <c r="M45"/>
      <c r="N45"/>
    </row>
    <row r="46" spans="1:4" ht="20.25" customHeight="1">
      <c r="A46" s="570" t="s">
        <v>50</v>
      </c>
      <c r="B46" s="570"/>
      <c r="C46" s="570"/>
      <c r="D46" s="570"/>
    </row>
    <row r="47" spans="1:4" ht="26.25">
      <c r="A47" s="229" t="s">
        <v>51</v>
      </c>
      <c r="B47" s="208" t="s">
        <v>11</v>
      </c>
      <c r="C47" s="209"/>
      <c r="D47" s="193">
        <v>0</v>
      </c>
    </row>
    <row r="48" spans="1:4" ht="15.75">
      <c r="A48" s="227" t="s">
        <v>12</v>
      </c>
      <c r="B48" s="208" t="s">
        <v>11</v>
      </c>
      <c r="C48" s="209"/>
      <c r="D48" s="193">
        <v>0</v>
      </c>
    </row>
    <row r="49" spans="1:8" ht="15.75">
      <c r="A49" s="227" t="s">
        <v>13</v>
      </c>
      <c r="B49" s="208" t="s">
        <v>11</v>
      </c>
      <c r="C49" s="209"/>
      <c r="D49" s="230">
        <f>D52-D55-D56-D57-D58</f>
        <v>10875.892360999998</v>
      </c>
      <c r="H49" s="49"/>
    </row>
    <row r="50" spans="1:4" ht="26.25">
      <c r="A50" s="231" t="s">
        <v>52</v>
      </c>
      <c r="B50" s="208" t="s">
        <v>11</v>
      </c>
      <c r="C50" s="232"/>
      <c r="D50" s="233">
        <v>0</v>
      </c>
    </row>
    <row r="51" spans="1:10" ht="17.25" customHeight="1">
      <c r="A51" s="254" t="s">
        <v>12</v>
      </c>
      <c r="B51" s="208" t="s">
        <v>11</v>
      </c>
      <c r="C51" s="276"/>
      <c r="D51" s="55">
        <v>0</v>
      </c>
      <c r="I51" s="49"/>
      <c r="J51" s="49"/>
    </row>
    <row r="52" spans="1:14" ht="15.75">
      <c r="A52" s="235" t="s">
        <v>13</v>
      </c>
      <c r="B52" s="208" t="s">
        <v>11</v>
      </c>
      <c r="C52" s="236"/>
      <c r="D52" s="237">
        <v>12794.9</v>
      </c>
      <c r="E52" s="59"/>
      <c r="H52" s="1" t="s">
        <v>26</v>
      </c>
      <c r="I52" s="60"/>
      <c r="J52" s="60"/>
      <c r="K52" s="61"/>
      <c r="L52" s="61"/>
      <c r="M52" s="61"/>
      <c r="N52" s="61"/>
    </row>
    <row r="53" spans="1:14" ht="18" customHeight="1">
      <c r="A53" s="571" t="s">
        <v>53</v>
      </c>
      <c r="B53" s="571"/>
      <c r="C53" s="571"/>
      <c r="D53" s="571"/>
      <c r="E53" s="62"/>
      <c r="F53" s="63"/>
      <c r="G53" s="64"/>
      <c r="I53" s="65"/>
      <c r="J53" s="65"/>
      <c r="K53" s="66"/>
      <c r="L53" s="66"/>
      <c r="M53" s="66"/>
      <c r="N53" s="66"/>
    </row>
    <row r="54" spans="1:14" ht="47.25">
      <c r="A54" s="67" t="s">
        <v>54</v>
      </c>
      <c r="B54" s="68" t="s">
        <v>55</v>
      </c>
      <c r="C54" s="69" t="s">
        <v>56</v>
      </c>
      <c r="D54" s="70" t="s">
        <v>57</v>
      </c>
      <c r="E54" s="62"/>
      <c r="F54" s="63"/>
      <c r="G54" s="64"/>
      <c r="I54" s="65"/>
      <c r="J54" s="71"/>
      <c r="K54" s="66"/>
      <c r="L54" s="66"/>
      <c r="M54" s="66"/>
      <c r="N54" s="66"/>
    </row>
    <row r="55" spans="1:14" ht="15.75">
      <c r="A55" s="414" t="s">
        <v>58</v>
      </c>
      <c r="B55" s="417">
        <v>1859.02</v>
      </c>
      <c r="C55" s="415">
        <f>B55*0.8533</f>
        <v>1586.3017659999998</v>
      </c>
      <c r="D55" s="416">
        <f>B55-C55</f>
        <v>272.71823400000017</v>
      </c>
      <c r="E55" s="62"/>
      <c r="F55" s="63"/>
      <c r="G55" s="64"/>
      <c r="I55" s="65"/>
      <c r="J55" s="71"/>
      <c r="K55" s="66"/>
      <c r="L55" s="66"/>
      <c r="M55" s="66"/>
      <c r="N55" s="66"/>
    </row>
    <row r="56" spans="1:14" ht="15.75">
      <c r="A56" s="238" t="s">
        <v>59</v>
      </c>
      <c r="B56" s="239">
        <v>0</v>
      </c>
      <c r="C56" s="415">
        <f>B56*0.8533</f>
        <v>0</v>
      </c>
      <c r="D56" s="416">
        <f>B56-C56</f>
        <v>0</v>
      </c>
      <c r="E56" s="62"/>
      <c r="F56" s="63"/>
      <c r="G56" s="64"/>
      <c r="I56" s="65"/>
      <c r="J56" s="65"/>
      <c r="K56" s="66"/>
      <c r="L56" s="66"/>
      <c r="M56" s="66"/>
      <c r="N56" s="66"/>
    </row>
    <row r="57" spans="1:14" ht="15.75">
      <c r="A57" s="238" t="s">
        <v>60</v>
      </c>
      <c r="B57" s="242">
        <v>6567</v>
      </c>
      <c r="C57" s="415">
        <f>B57*0.8533</f>
        <v>5603.621099999999</v>
      </c>
      <c r="D57" s="416">
        <f>B57-C57</f>
        <v>963.3789000000006</v>
      </c>
      <c r="E57" s="62">
        <f>(2.07+1.8)*6*2301.2-0.37*2301.2*6</f>
        <v>48325.2</v>
      </c>
      <c r="F57" s="73"/>
      <c r="G57" s="74"/>
      <c r="H57" s="62"/>
      <c r="I57" s="65"/>
      <c r="J57" s="65"/>
      <c r="K57" s="66"/>
      <c r="L57" s="66"/>
      <c r="M57" s="66"/>
      <c r="N57" s="66"/>
    </row>
    <row r="58" spans="1:14" ht="16.5" thickBot="1">
      <c r="A58" s="261" t="s">
        <v>236</v>
      </c>
      <c r="B58" s="262">
        <v>4655.15</v>
      </c>
      <c r="C58" s="415">
        <f>B58*0.8533</f>
        <v>3972.2394949999994</v>
      </c>
      <c r="D58" s="416">
        <f>B58-C58</f>
        <v>682.9105050000003</v>
      </c>
      <c r="E58" s="62"/>
      <c r="F58" s="73"/>
      <c r="G58" s="74"/>
      <c r="I58" s="65"/>
      <c r="J58" s="65"/>
      <c r="K58" s="66"/>
      <c r="L58" s="66"/>
      <c r="M58" s="66"/>
      <c r="N58" s="66"/>
    </row>
    <row r="59" spans="1:14" ht="63">
      <c r="A59" s="129" t="s">
        <v>62</v>
      </c>
      <c r="B59" s="130" t="s">
        <v>63</v>
      </c>
      <c r="C59" s="131" t="s">
        <v>64</v>
      </c>
      <c r="D59" s="132" t="s">
        <v>65</v>
      </c>
      <c r="E59" s="62"/>
      <c r="F59" s="73"/>
      <c r="H59" s="65"/>
      <c r="I59" s="65"/>
      <c r="J59" s="65"/>
      <c r="K59" s="66"/>
      <c r="L59" s="66"/>
      <c r="M59" s="66"/>
      <c r="N59" s="66"/>
    </row>
    <row r="60" spans="1:14" ht="15.75">
      <c r="A60" s="265" t="s">
        <v>58</v>
      </c>
      <c r="B60" s="244">
        <f>B55</f>
        <v>1859.02</v>
      </c>
      <c r="C60" s="245">
        <f>B60</f>
        <v>1859.02</v>
      </c>
      <c r="D60" s="266">
        <f>B60-C60</f>
        <v>0</v>
      </c>
      <c r="E60" s="62"/>
      <c r="F60" s="73"/>
      <c r="H60" s="65"/>
      <c r="I60" s="65"/>
      <c r="J60" s="65" t="s">
        <v>26</v>
      </c>
      <c r="K60" s="66"/>
      <c r="L60" s="66"/>
      <c r="M60" s="66"/>
      <c r="N60" s="66"/>
    </row>
    <row r="61" spans="1:14" ht="15.75">
      <c r="A61" s="265" t="s">
        <v>59</v>
      </c>
      <c r="B61" s="244">
        <f>B56</f>
        <v>0</v>
      </c>
      <c r="C61" s="245">
        <f>C56*1.0063</f>
        <v>0</v>
      </c>
      <c r="D61" s="266">
        <f>B61-C61</f>
        <v>0</v>
      </c>
      <c r="E61" s="62"/>
      <c r="F61" s="73"/>
      <c r="H61" s="65"/>
      <c r="I61" s="65"/>
      <c r="J61" s="65"/>
      <c r="K61" s="66"/>
      <c r="L61" s="66"/>
      <c r="M61" s="66"/>
      <c r="N61" s="66"/>
    </row>
    <row r="62" spans="1:14" ht="15.75">
      <c r="A62" s="265" t="s">
        <v>60</v>
      </c>
      <c r="B62" s="244">
        <f>B57</f>
        <v>6567</v>
      </c>
      <c r="C62" s="245">
        <f>B62</f>
        <v>6567</v>
      </c>
      <c r="D62" s="266">
        <f>B62-C62</f>
        <v>0</v>
      </c>
      <c r="E62" s="62"/>
      <c r="F62" s="73"/>
      <c r="H62" s="65"/>
      <c r="I62" s="65"/>
      <c r="J62" s="65"/>
      <c r="K62" s="66"/>
      <c r="L62" s="66"/>
      <c r="M62" s="66"/>
      <c r="N62" s="66"/>
    </row>
    <row r="63" spans="1:14" ht="16.5" thickBot="1">
      <c r="A63" s="267" t="s">
        <v>236</v>
      </c>
      <c r="B63" s="268">
        <f>B58</f>
        <v>4655.15</v>
      </c>
      <c r="C63" s="269">
        <f>C58</f>
        <v>3972.2394949999994</v>
      </c>
      <c r="D63" s="270">
        <f>B63-C63</f>
        <v>682.9105050000003</v>
      </c>
      <c r="E63" s="62"/>
      <c r="F63" s="73"/>
      <c r="H63" s="65" t="s">
        <v>26</v>
      </c>
      <c r="I63" s="65"/>
      <c r="J63" s="65"/>
      <c r="K63" s="66"/>
      <c r="L63" s="66"/>
      <c r="M63" s="66"/>
      <c r="N63" s="66"/>
    </row>
    <row r="64" spans="1:14" ht="15.75">
      <c r="A64" s="247"/>
      <c r="B64" s="248"/>
      <c r="C64" s="249"/>
      <c r="D64" s="250"/>
      <c r="E64" s="62"/>
      <c r="F64" s="73"/>
      <c r="H64" s="65"/>
      <c r="I64" s="65"/>
      <c r="J64" s="65"/>
      <c r="K64" s="66"/>
      <c r="L64" s="66"/>
      <c r="M64" s="66"/>
      <c r="N64" s="66"/>
    </row>
    <row r="65" spans="1:14" ht="26.25">
      <c r="A65" s="251" t="s">
        <v>66</v>
      </c>
      <c r="B65" s="248" t="s">
        <v>11</v>
      </c>
      <c r="C65" s="252"/>
      <c r="D65" s="253">
        <v>0</v>
      </c>
      <c r="E65" s="62"/>
      <c r="F65" s="73"/>
      <c r="H65" s="65"/>
      <c r="I65" s="65"/>
      <c r="J65" s="65" t="s">
        <v>26</v>
      </c>
      <c r="K65" s="66"/>
      <c r="L65" s="66"/>
      <c r="M65" s="66"/>
      <c r="N65" s="66"/>
    </row>
    <row r="66" spans="1:14" ht="17.25" customHeight="1">
      <c r="A66" s="572" t="s">
        <v>67</v>
      </c>
      <c r="B66" s="572"/>
      <c r="C66" s="572"/>
      <c r="D66" s="572"/>
      <c r="E66" s="83" t="e">
        <f>D66+B19</f>
        <v>#VALUE!</v>
      </c>
      <c r="F66" s="65"/>
      <c r="H66" s="84" t="e">
        <f>E66-B18</f>
        <v>#VALUE!</v>
      </c>
      <c r="I66" s="65"/>
      <c r="J66" s="65"/>
      <c r="K66" s="66"/>
      <c r="L66" s="66"/>
      <c r="M66" s="66"/>
      <c r="N66" s="66"/>
    </row>
    <row r="67" spans="1:5" ht="21" customHeight="1">
      <c r="A67" s="86" t="s">
        <v>45</v>
      </c>
      <c r="B67" s="86" t="s">
        <v>46</v>
      </c>
      <c r="C67" s="86"/>
      <c r="D67" s="177">
        <v>0</v>
      </c>
      <c r="E67" s="88"/>
    </row>
    <row r="68" spans="1:5" ht="21" customHeight="1">
      <c r="A68" s="86" t="s">
        <v>47</v>
      </c>
      <c r="B68" s="86" t="s">
        <v>46</v>
      </c>
      <c r="C68" s="86"/>
      <c r="D68" s="177">
        <v>0</v>
      </c>
      <c r="E68" s="88"/>
    </row>
    <row r="69" spans="1:5" ht="18" customHeight="1">
      <c r="A69" s="86" t="s">
        <v>48</v>
      </c>
      <c r="B69" s="86" t="s">
        <v>46</v>
      </c>
      <c r="C69" s="86"/>
      <c r="D69" s="177">
        <v>0</v>
      </c>
      <c r="E69" s="88"/>
    </row>
    <row r="70" spans="1:5" ht="16.5" customHeight="1">
      <c r="A70" s="86" t="s">
        <v>49</v>
      </c>
      <c r="B70" s="86" t="s">
        <v>11</v>
      </c>
      <c r="C70" s="86"/>
      <c r="D70" s="177">
        <v>0</v>
      </c>
      <c r="E70" s="88"/>
    </row>
    <row r="71" spans="1:5" ht="15.75" customHeight="1">
      <c r="A71" s="566" t="s">
        <v>68</v>
      </c>
      <c r="B71" s="566"/>
      <c r="C71" s="566"/>
      <c r="D71" s="566"/>
      <c r="E71" s="88"/>
    </row>
    <row r="72" spans="1:5" ht="18.75" customHeight="1">
      <c r="A72" s="86" t="s">
        <v>69</v>
      </c>
      <c r="B72" s="86" t="s">
        <v>46</v>
      </c>
      <c r="C72" s="86"/>
      <c r="D72" s="177">
        <v>0</v>
      </c>
      <c r="E72" s="88"/>
    </row>
    <row r="73" spans="1:5" ht="21.75" customHeight="1">
      <c r="A73" s="86" t="s">
        <v>70</v>
      </c>
      <c r="B73" s="254" t="s">
        <v>46</v>
      </c>
      <c r="C73" s="254"/>
      <c r="D73" s="177">
        <v>1</v>
      </c>
      <c r="E73" s="88"/>
    </row>
    <row r="74" spans="1:5" ht="36" customHeight="1">
      <c r="A74" s="255" t="s">
        <v>71</v>
      </c>
      <c r="B74" s="86" t="s">
        <v>11</v>
      </c>
      <c r="C74" s="86"/>
      <c r="D74" s="177">
        <v>0</v>
      </c>
      <c r="E74" s="88"/>
    </row>
    <row r="75" spans="1:4" ht="15.75">
      <c r="A75" s="256"/>
      <c r="B75" s="256"/>
      <c r="C75" s="256"/>
      <c r="D75" s="257"/>
    </row>
    <row r="76" spans="1:14" s="1" customFormat="1" ht="12.75">
      <c r="A76" s="178"/>
      <c r="B76" s="178"/>
      <c r="C76" s="178"/>
      <c r="D76" s="178"/>
      <c r="H76" s="1" t="s">
        <v>26</v>
      </c>
      <c r="K76"/>
      <c r="L76"/>
      <c r="M76"/>
      <c r="N76"/>
    </row>
    <row r="77" spans="1:14" s="1" customFormat="1" ht="12.75">
      <c r="A77" s="178" t="s">
        <v>72</v>
      </c>
      <c r="B77" s="178"/>
      <c r="C77" s="178"/>
      <c r="D77" s="178"/>
      <c r="K77"/>
      <c r="L77"/>
      <c r="M77"/>
      <c r="N77"/>
    </row>
    <row r="78" spans="1:14" s="1" customFormat="1" ht="12.75">
      <c r="A78" s="178"/>
      <c r="B78" s="178"/>
      <c r="C78" s="178"/>
      <c r="D78" s="178"/>
      <c r="H78" s="1" t="s">
        <v>26</v>
      </c>
      <c r="K78"/>
      <c r="L78"/>
      <c r="M78"/>
      <c r="N78"/>
    </row>
    <row r="79" spans="1:14" s="1" customFormat="1" ht="12.75">
      <c r="A79" s="178" t="s">
        <v>73</v>
      </c>
      <c r="B79" s="178"/>
      <c r="C79" s="178"/>
      <c r="D79" s="178"/>
      <c r="K79"/>
      <c r="L79"/>
      <c r="M79"/>
      <c r="N79"/>
    </row>
    <row r="80" spans="1:4" ht="12.75">
      <c r="A80" s="178"/>
      <c r="B80" s="178"/>
      <c r="C80" s="178"/>
      <c r="D80" s="178"/>
    </row>
    <row r="83" spans="1:14" s="1" customFormat="1" ht="12.75">
      <c r="A83"/>
      <c r="B83"/>
      <c r="C83"/>
      <c r="D83"/>
      <c r="E83" s="1" t="s">
        <v>26</v>
      </c>
      <c r="K83"/>
      <c r="L83"/>
      <c r="M83"/>
      <c r="N83"/>
    </row>
  </sheetData>
  <sheetProtection selectLockedCells="1" selectUnlockedCells="1"/>
  <mergeCells count="13">
    <mergeCell ref="A71:D71"/>
    <mergeCell ref="A14:D14"/>
    <mergeCell ref="A29:D29"/>
    <mergeCell ref="A41:D41"/>
    <mergeCell ref="A46:D46"/>
    <mergeCell ref="A53:D53"/>
    <mergeCell ref="A66:D66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="80" zoomScaleNormal="80" zoomScalePageLayoutView="0" workbookViewId="0" topLeftCell="A25">
      <selection activeCell="D40" sqref="D40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560" t="s">
        <v>0</v>
      </c>
      <c r="B1" s="560"/>
      <c r="C1" s="560"/>
      <c r="D1" s="560"/>
    </row>
    <row r="2" spans="1:4" ht="15.75">
      <c r="A2" s="561" t="s">
        <v>220</v>
      </c>
      <c r="B2" s="562"/>
      <c r="C2" s="562"/>
      <c r="D2" s="562"/>
    </row>
    <row r="3" spans="1:4" ht="15.75">
      <c r="A3" s="562" t="s">
        <v>1</v>
      </c>
      <c r="B3" s="562"/>
      <c r="C3" s="562"/>
      <c r="D3" s="562"/>
    </row>
    <row r="4" spans="1:4" ht="12.75">
      <c r="A4" s="563" t="s">
        <v>107</v>
      </c>
      <c r="B4" s="563"/>
      <c r="C4" s="563"/>
      <c r="D4" s="563"/>
    </row>
    <row r="5" spans="1:4" ht="12.75">
      <c r="A5" s="564" t="s">
        <v>266</v>
      </c>
      <c r="B5" s="563"/>
      <c r="C5" s="563"/>
      <c r="D5" s="563"/>
    </row>
    <row r="6" spans="1:4" ht="9" customHeight="1">
      <c r="A6" s="258"/>
      <c r="B6" s="178"/>
      <c r="C6" s="178"/>
      <c r="D6" s="178"/>
    </row>
    <row r="7" spans="1:4" ht="18" customHeight="1">
      <c r="A7" s="565" t="s">
        <v>2</v>
      </c>
      <c r="B7" s="565"/>
      <c r="C7" s="565"/>
      <c r="D7" s="565"/>
    </row>
    <row r="8" spans="1:5" ht="12.75">
      <c r="A8" s="258" t="s">
        <v>166</v>
      </c>
      <c r="B8" s="178"/>
      <c r="C8" s="183"/>
      <c r="D8" s="178"/>
      <c r="E8" s="109"/>
    </row>
    <row r="9" spans="1:5" ht="12.75">
      <c r="A9" s="184" t="s">
        <v>3</v>
      </c>
      <c r="B9" s="184" t="s">
        <v>4</v>
      </c>
      <c r="C9" s="184" t="s">
        <v>5</v>
      </c>
      <c r="D9" s="185"/>
      <c r="E9" s="109"/>
    </row>
    <row r="10" spans="1:5" ht="12.75">
      <c r="A10" s="186">
        <v>1</v>
      </c>
      <c r="B10" s="186">
        <v>2</v>
      </c>
      <c r="C10" s="186">
        <v>3</v>
      </c>
      <c r="D10" s="187">
        <v>4</v>
      </c>
      <c r="E10" s="109"/>
    </row>
    <row r="11" spans="1:5" ht="12.75">
      <c r="A11" s="20" t="s">
        <v>6</v>
      </c>
      <c r="B11" s="188"/>
      <c r="C11" s="189" t="s">
        <v>262</v>
      </c>
      <c r="D11" s="190"/>
      <c r="E11" s="109"/>
    </row>
    <row r="12" spans="1:5" ht="12.75">
      <c r="A12" s="20" t="s">
        <v>7</v>
      </c>
      <c r="B12" s="188"/>
      <c r="C12" s="189" t="s">
        <v>263</v>
      </c>
      <c r="D12" s="190"/>
      <c r="E12" s="109"/>
    </row>
    <row r="13" spans="1:5" ht="12.75">
      <c r="A13" s="20" t="s">
        <v>8</v>
      </c>
      <c r="B13" s="188"/>
      <c r="C13" s="189" t="s">
        <v>267</v>
      </c>
      <c r="D13" s="190"/>
      <c r="E13" s="109"/>
    </row>
    <row r="14" spans="1:8" ht="31.5" customHeight="1">
      <c r="A14" s="567" t="s">
        <v>9</v>
      </c>
      <c r="B14" s="567"/>
      <c r="C14" s="567"/>
      <c r="D14" s="567"/>
      <c r="E14" s="109"/>
      <c r="F14" s="109"/>
      <c r="G14" s="109"/>
      <c r="H14" s="109"/>
    </row>
    <row r="15" spans="1:8" ht="26.25">
      <c r="A15" s="17" t="s">
        <v>10</v>
      </c>
      <c r="B15" s="191" t="s">
        <v>11</v>
      </c>
      <c r="C15" s="194">
        <v>26353.39</v>
      </c>
      <c r="D15" s="193"/>
      <c r="E15" s="109"/>
      <c r="F15" s="109"/>
      <c r="G15" s="109"/>
      <c r="H15" s="109"/>
    </row>
    <row r="16" spans="1:8" ht="15.75">
      <c r="A16" s="20" t="s">
        <v>12</v>
      </c>
      <c r="B16" s="191" t="s">
        <v>11</v>
      </c>
      <c r="C16" s="192"/>
      <c r="D16" s="193"/>
      <c r="E16" s="109"/>
      <c r="F16" s="109"/>
      <c r="G16" s="109"/>
      <c r="H16" s="109"/>
    </row>
    <row r="17" spans="1:8" ht="15.75">
      <c r="A17" s="20" t="s">
        <v>13</v>
      </c>
      <c r="B17" s="191" t="s">
        <v>11</v>
      </c>
      <c r="C17" s="194">
        <v>1268.61</v>
      </c>
      <c r="D17" s="195"/>
      <c r="E17" s="109"/>
      <c r="F17" s="109"/>
      <c r="G17" s="109"/>
      <c r="H17" s="109"/>
    </row>
    <row r="18" spans="1:8" ht="31.5" customHeight="1">
      <c r="A18" s="17" t="s">
        <v>14</v>
      </c>
      <c r="B18" s="191" t="s">
        <v>11</v>
      </c>
      <c r="C18" s="194">
        <v>15131.28</v>
      </c>
      <c r="D18" s="195"/>
      <c r="E18" s="110">
        <f>C18-C20</f>
        <v>12548.880000000001</v>
      </c>
      <c r="F18" s="109"/>
      <c r="G18" s="109"/>
      <c r="H18" s="109"/>
    </row>
    <row r="19" spans="1:8" ht="15.75">
      <c r="A19" s="20" t="s">
        <v>15</v>
      </c>
      <c r="B19" s="191" t="s">
        <v>11</v>
      </c>
      <c r="C19" s="194">
        <f>C18-C20-C21</f>
        <v>5786.22</v>
      </c>
      <c r="D19" s="195"/>
      <c r="E19" s="110">
        <f>E18-E39</f>
        <v>0</v>
      </c>
      <c r="F19" s="109"/>
      <c r="G19" s="109"/>
      <c r="H19" s="109"/>
    </row>
    <row r="20" spans="1:8" ht="15.75">
      <c r="A20" s="20" t="s">
        <v>16</v>
      </c>
      <c r="B20" s="191" t="s">
        <v>11</v>
      </c>
      <c r="C20" s="194">
        <f>(1.56+1.64)*6*134.5</f>
        <v>2582.4000000000005</v>
      </c>
      <c r="D20" s="195"/>
      <c r="E20" s="111"/>
      <c r="F20" s="109"/>
      <c r="G20" s="109"/>
      <c r="H20" s="109"/>
    </row>
    <row r="21" spans="1:8" ht="15.75">
      <c r="A21" s="20" t="s">
        <v>17</v>
      </c>
      <c r="B21" s="191" t="s">
        <v>11</v>
      </c>
      <c r="C21" s="196">
        <f>134.5*4.19*12</f>
        <v>6762.660000000001</v>
      </c>
      <c r="D21" s="195"/>
      <c r="E21" s="109"/>
      <c r="F21" s="109"/>
      <c r="G21" s="109"/>
      <c r="H21" s="109"/>
    </row>
    <row r="22" spans="1:8" ht="15.75">
      <c r="A22" s="20" t="s">
        <v>18</v>
      </c>
      <c r="B22" s="191" t="s">
        <v>11</v>
      </c>
      <c r="C22" s="194">
        <f>C23+C24+C25+C26+C27</f>
        <v>9844.410768</v>
      </c>
      <c r="D22" s="195" t="s">
        <v>19</v>
      </c>
      <c r="E22" s="110" t="e">
        <f>B24+B25+B26+B27+B28</f>
        <v>#VALUE!</v>
      </c>
      <c r="F22" s="109"/>
      <c r="G22" s="109"/>
      <c r="H22" s="109"/>
    </row>
    <row r="23" spans="1:8" ht="15.75">
      <c r="A23" s="20" t="s">
        <v>20</v>
      </c>
      <c r="B23" s="191" t="s">
        <v>11</v>
      </c>
      <c r="C23" s="194">
        <f>C18*0.6506</f>
        <v>9844.410768</v>
      </c>
      <c r="D23" s="195"/>
      <c r="E23" s="109"/>
      <c r="F23" s="109"/>
      <c r="G23" s="109"/>
      <c r="H23" s="109"/>
    </row>
    <row r="24" spans="1:8" ht="15.75">
      <c r="A24" s="20" t="s">
        <v>21</v>
      </c>
      <c r="B24" s="191" t="s">
        <v>11</v>
      </c>
      <c r="C24" s="194">
        <v>0</v>
      </c>
      <c r="D24" s="197">
        <v>65.21</v>
      </c>
      <c r="E24" s="111" t="e">
        <f>B24/#REF!*1</f>
        <v>#VALUE!</v>
      </c>
      <c r="F24" s="109"/>
      <c r="G24" s="109"/>
      <c r="H24" s="109" t="s">
        <v>22</v>
      </c>
    </row>
    <row r="25" spans="1:8" ht="15.75">
      <c r="A25" s="20" t="s">
        <v>23</v>
      </c>
      <c r="B25" s="191" t="s">
        <v>11</v>
      </c>
      <c r="C25" s="194">
        <v>0</v>
      </c>
      <c r="D25" s="197">
        <v>119.63</v>
      </c>
      <c r="E25" s="111" t="e">
        <f>B25/#REF!*1</f>
        <v>#VALUE!</v>
      </c>
      <c r="F25" s="109"/>
      <c r="G25" s="109"/>
      <c r="H25" s="109"/>
    </row>
    <row r="26" spans="1:8" ht="15.75">
      <c r="A26" s="188" t="s">
        <v>24</v>
      </c>
      <c r="B26" s="191" t="s">
        <v>11</v>
      </c>
      <c r="C26" s="194">
        <v>0</v>
      </c>
      <c r="D26" s="197"/>
      <c r="E26" s="111" t="e">
        <f>B26/#REF!*1</f>
        <v>#VALUE!</v>
      </c>
      <c r="F26" s="109"/>
      <c r="G26" s="109"/>
      <c r="H26" s="109"/>
    </row>
    <row r="27" spans="1:8" ht="16.5" customHeight="1">
      <c r="A27" s="198" t="s">
        <v>96</v>
      </c>
      <c r="B27" s="191" t="s">
        <v>11</v>
      </c>
      <c r="C27" s="194">
        <v>0</v>
      </c>
      <c r="D27" s="197">
        <v>139.18</v>
      </c>
      <c r="E27" s="111" t="e">
        <f>B27/#REF!*1</f>
        <v>#VALUE!</v>
      </c>
      <c r="F27" s="109"/>
      <c r="G27" s="109"/>
      <c r="H27" s="109"/>
    </row>
    <row r="28" spans="1:8" ht="15.75">
      <c r="A28" s="20" t="s">
        <v>25</v>
      </c>
      <c r="B28" s="191" t="s">
        <v>11</v>
      </c>
      <c r="C28" s="194">
        <f>C15+C22</f>
        <v>36197.800768</v>
      </c>
      <c r="D28" s="195" t="s">
        <v>26</v>
      </c>
      <c r="E28" s="111" t="e">
        <f>B28/#REF!*1</f>
        <v>#VALUE!</v>
      </c>
      <c r="F28" s="109"/>
      <c r="G28" s="109"/>
      <c r="H28" s="109"/>
    </row>
    <row r="29" spans="1:8" ht="35.25" customHeight="1">
      <c r="A29" s="568" t="s">
        <v>27</v>
      </c>
      <c r="B29" s="568"/>
      <c r="C29" s="568"/>
      <c r="D29" s="568"/>
      <c r="E29" s="109"/>
      <c r="F29" s="109"/>
      <c r="G29" s="109"/>
      <c r="H29" s="109"/>
    </row>
    <row r="30" spans="1:8" ht="63">
      <c r="A30" s="271" t="s">
        <v>28</v>
      </c>
      <c r="B30" s="307" t="s">
        <v>29</v>
      </c>
      <c r="C30" s="286" t="s">
        <v>30</v>
      </c>
      <c r="D30" s="308" t="s">
        <v>31</v>
      </c>
      <c r="E30" s="109"/>
      <c r="F30" s="109"/>
      <c r="G30" s="109"/>
      <c r="H30" s="109"/>
    </row>
    <row r="31" spans="1:8" ht="15.75">
      <c r="A31" s="203" t="s">
        <v>32</v>
      </c>
      <c r="B31" s="204" t="s">
        <v>33</v>
      </c>
      <c r="C31" s="205" t="s">
        <v>34</v>
      </c>
      <c r="D31" s="206">
        <f>(0.85+0.95)*6*134.5</f>
        <v>1452.6</v>
      </c>
      <c r="E31" s="109"/>
      <c r="F31" s="109"/>
      <c r="G31" s="109"/>
      <c r="H31" s="109"/>
    </row>
    <row r="32" spans="1:8" ht="15.75">
      <c r="A32" s="207" t="s">
        <v>36</v>
      </c>
      <c r="B32" s="208" t="s">
        <v>33</v>
      </c>
      <c r="C32" s="209" t="s">
        <v>37</v>
      </c>
      <c r="D32" s="210">
        <f>0.24*12*134.5</f>
        <v>387.36</v>
      </c>
      <c r="E32" s="109"/>
      <c r="F32" s="109"/>
      <c r="G32" s="109"/>
      <c r="H32" s="109"/>
    </row>
    <row r="33" spans="1:8" ht="15.75">
      <c r="A33" s="293" t="s">
        <v>99</v>
      </c>
      <c r="B33" s="208" t="s">
        <v>33</v>
      </c>
      <c r="C33" s="209" t="s">
        <v>34</v>
      </c>
      <c r="D33" s="210">
        <f>(0.35+0.16)*6*134.5+0.03</f>
        <v>411.59999999999997</v>
      </c>
      <c r="E33" s="109"/>
      <c r="F33" s="109"/>
      <c r="G33" s="109"/>
      <c r="H33" s="109"/>
    </row>
    <row r="34" spans="1:8" ht="15.75">
      <c r="A34" s="207" t="s">
        <v>81</v>
      </c>
      <c r="B34" s="213" t="s">
        <v>82</v>
      </c>
      <c r="C34" s="209" t="s">
        <v>34</v>
      </c>
      <c r="D34" s="210">
        <f>1.33*12*134.5</f>
        <v>2146.62</v>
      </c>
      <c r="E34" s="109"/>
      <c r="F34" s="109"/>
      <c r="G34" s="109"/>
      <c r="H34" s="109"/>
    </row>
    <row r="35" spans="1:8" ht="15.75">
      <c r="A35" s="207" t="s">
        <v>38</v>
      </c>
      <c r="B35" s="208" t="s">
        <v>35</v>
      </c>
      <c r="C35" s="362" t="s">
        <v>221</v>
      </c>
      <c r="D35" s="210">
        <f>4.19*134.5*12</f>
        <v>6762.660000000001</v>
      </c>
      <c r="E35" s="109"/>
      <c r="F35" s="109"/>
      <c r="G35" s="109"/>
      <c r="H35" s="109"/>
    </row>
    <row r="36" spans="1:8" ht="15.75">
      <c r="A36" s="207" t="s">
        <v>85</v>
      </c>
      <c r="B36" s="208" t="s">
        <v>222</v>
      </c>
      <c r="C36" s="214" t="s">
        <v>37</v>
      </c>
      <c r="D36" s="210">
        <f>134.5*0.86*12</f>
        <v>1388.04</v>
      </c>
      <c r="E36" s="109"/>
      <c r="F36" s="109"/>
      <c r="G36" s="109"/>
      <c r="H36" s="109"/>
    </row>
    <row r="37" spans="1:14" s="1" customFormat="1" ht="47.25">
      <c r="A37" s="365" t="s">
        <v>40</v>
      </c>
      <c r="B37" s="215" t="s">
        <v>41</v>
      </c>
      <c r="C37" s="221"/>
      <c r="D37" s="381">
        <f>D38</f>
        <v>0</v>
      </c>
      <c r="E37" s="109"/>
      <c r="F37" s="109"/>
      <c r="G37" s="109"/>
      <c r="H37" s="109"/>
      <c r="K37"/>
      <c r="L37"/>
      <c r="M37"/>
      <c r="N37"/>
    </row>
    <row r="38" spans="1:14" s="1" customFormat="1" ht="15.75">
      <c r="A38" s="219"/>
      <c r="B38" s="217"/>
      <c r="C38" s="214"/>
      <c r="D38" s="176"/>
      <c r="E38" s="109"/>
      <c r="F38" s="109"/>
      <c r="G38" s="109"/>
      <c r="H38" s="109"/>
      <c r="K38"/>
      <c r="L38"/>
      <c r="M38"/>
      <c r="N38"/>
    </row>
    <row r="39" spans="1:14" s="1" customFormat="1" ht="15.75">
      <c r="A39" s="37" t="s">
        <v>42</v>
      </c>
      <c r="B39" s="222"/>
      <c r="C39" s="223"/>
      <c r="D39" s="97">
        <f>D31+D32+D33+D34+D35+D36+D37</f>
        <v>12548.880000000001</v>
      </c>
      <c r="E39" s="469">
        <f>D39-D37</f>
        <v>12548.880000000001</v>
      </c>
      <c r="F39" s="109"/>
      <c r="G39" s="109"/>
      <c r="H39" s="109"/>
      <c r="K39"/>
      <c r="L39"/>
      <c r="M39"/>
      <c r="N39"/>
    </row>
    <row r="40" spans="1:14" s="1" customFormat="1" ht="15.75">
      <c r="A40" s="40" t="s">
        <v>43</v>
      </c>
      <c r="B40" s="224" t="s">
        <v>11</v>
      </c>
      <c r="C40" s="225"/>
      <c r="D40" s="226">
        <f>C28-D39</f>
        <v>23648.920768</v>
      </c>
      <c r="E40" s="469"/>
      <c r="F40" s="109"/>
      <c r="G40" s="109"/>
      <c r="H40" s="109"/>
      <c r="K40"/>
      <c r="L40"/>
      <c r="M40"/>
      <c r="N40"/>
    </row>
    <row r="41" spans="1:14" s="1" customFormat="1" ht="15.75">
      <c r="A41" s="227" t="s">
        <v>12</v>
      </c>
      <c r="B41" s="228" t="s">
        <v>11</v>
      </c>
      <c r="C41" s="209"/>
      <c r="D41" s="193">
        <v>0</v>
      </c>
      <c r="E41" s="470"/>
      <c r="F41" s="109"/>
      <c r="G41" s="109"/>
      <c r="H41" s="109"/>
      <c r="K41"/>
      <c r="L41"/>
      <c r="M41"/>
      <c r="N41"/>
    </row>
    <row r="42" spans="1:14" s="1" customFormat="1" ht="15.75">
      <c r="A42" s="227" t="s">
        <v>13</v>
      </c>
      <c r="B42" s="228" t="s">
        <v>11</v>
      </c>
      <c r="C42" s="209"/>
      <c r="D42" s="195">
        <f>C17+C18-C23</f>
        <v>6555.479232</v>
      </c>
      <c r="E42" s="109"/>
      <c r="F42" s="109"/>
      <c r="G42" s="109"/>
      <c r="H42" s="109"/>
      <c r="K42"/>
      <c r="L42"/>
      <c r="M42"/>
      <c r="N42"/>
    </row>
    <row r="43" spans="1:14" s="1" customFormat="1" ht="24" customHeight="1">
      <c r="A43" s="569" t="s">
        <v>44</v>
      </c>
      <c r="B43" s="569"/>
      <c r="C43" s="569"/>
      <c r="D43" s="569"/>
      <c r="E43" s="109"/>
      <c r="F43" s="109"/>
      <c r="G43" s="109"/>
      <c r="H43" s="109"/>
      <c r="K43"/>
      <c r="L43"/>
      <c r="M43"/>
      <c r="N43"/>
    </row>
    <row r="44" spans="1:14" s="1" customFormat="1" ht="15.75">
      <c r="A44" s="227" t="s">
        <v>45</v>
      </c>
      <c r="B44" s="208" t="s">
        <v>46</v>
      </c>
      <c r="C44" s="209">
        <v>0</v>
      </c>
      <c r="D44" s="193">
        <v>0</v>
      </c>
      <c r="E44" s="109"/>
      <c r="F44" s="109"/>
      <c r="G44" s="109"/>
      <c r="H44" s="109"/>
      <c r="K44"/>
      <c r="L44"/>
      <c r="M44"/>
      <c r="N44"/>
    </row>
    <row r="45" spans="1:14" s="1" customFormat="1" ht="15.75">
      <c r="A45" s="227" t="s">
        <v>47</v>
      </c>
      <c r="B45" s="208" t="s">
        <v>46</v>
      </c>
      <c r="C45" s="209">
        <v>0</v>
      </c>
      <c r="D45" s="193">
        <v>0</v>
      </c>
      <c r="E45" s="109"/>
      <c r="F45" s="109"/>
      <c r="G45" s="109"/>
      <c r="H45" s="109"/>
      <c r="K45"/>
      <c r="L45"/>
      <c r="M45"/>
      <c r="N45"/>
    </row>
    <row r="46" spans="1:14" s="1" customFormat="1" ht="15.75">
      <c r="A46" s="229" t="s">
        <v>48</v>
      </c>
      <c r="B46" s="208" t="s">
        <v>46</v>
      </c>
      <c r="C46" s="209">
        <v>0</v>
      </c>
      <c r="D46" s="193">
        <v>0</v>
      </c>
      <c r="E46" s="109"/>
      <c r="F46" s="109"/>
      <c r="G46" s="109"/>
      <c r="H46" s="109"/>
      <c r="K46"/>
      <c r="L46"/>
      <c r="M46"/>
      <c r="N46"/>
    </row>
    <row r="47" spans="1:14" s="1" customFormat="1" ht="15.75">
      <c r="A47" s="227" t="s">
        <v>49</v>
      </c>
      <c r="B47" s="208" t="s">
        <v>11</v>
      </c>
      <c r="C47" s="209">
        <v>0</v>
      </c>
      <c r="D47" s="193">
        <v>0</v>
      </c>
      <c r="E47" s="109"/>
      <c r="F47" s="109"/>
      <c r="G47" s="109"/>
      <c r="H47" s="109"/>
      <c r="K47"/>
      <c r="L47"/>
      <c r="M47"/>
      <c r="N47"/>
    </row>
    <row r="48" spans="1:8" ht="20.25" customHeight="1">
      <c r="A48" s="570" t="s">
        <v>50</v>
      </c>
      <c r="B48" s="570"/>
      <c r="C48" s="570"/>
      <c r="D48" s="570"/>
      <c r="E48" s="109"/>
      <c r="F48" s="109"/>
      <c r="G48" s="109"/>
      <c r="H48" s="109"/>
    </row>
    <row r="49" spans="1:8" ht="26.25">
      <c r="A49" s="229" t="s">
        <v>51</v>
      </c>
      <c r="B49" s="208" t="s">
        <v>11</v>
      </c>
      <c r="C49" s="209"/>
      <c r="D49" s="193">
        <v>0</v>
      </c>
      <c r="E49" s="109"/>
      <c r="F49" s="109"/>
      <c r="G49" s="109"/>
      <c r="H49" s="109"/>
    </row>
    <row r="50" spans="1:8" ht="15.75">
      <c r="A50" s="227" t="s">
        <v>12</v>
      </c>
      <c r="B50" s="208" t="s">
        <v>11</v>
      </c>
      <c r="C50" s="209"/>
      <c r="D50" s="193">
        <v>0</v>
      </c>
      <c r="E50" s="109"/>
      <c r="F50" s="109"/>
      <c r="G50" s="109"/>
      <c r="H50" s="109"/>
    </row>
    <row r="51" spans="1:8" ht="15.75">
      <c r="A51" s="227" t="s">
        <v>13</v>
      </c>
      <c r="B51" s="208" t="s">
        <v>11</v>
      </c>
      <c r="C51" s="209"/>
      <c r="D51" s="230">
        <f>D54-D57-D60</f>
        <v>2968.004308000003</v>
      </c>
      <c r="E51" s="109"/>
      <c r="F51" s="109"/>
      <c r="G51" s="109"/>
      <c r="H51" s="113"/>
    </row>
    <row r="52" spans="1:8" ht="26.25">
      <c r="A52" s="231" t="s">
        <v>52</v>
      </c>
      <c r="B52" s="208" t="s">
        <v>11</v>
      </c>
      <c r="C52" s="232"/>
      <c r="D52" s="233">
        <v>0</v>
      </c>
      <c r="E52" s="109"/>
      <c r="F52" s="109"/>
      <c r="G52" s="109"/>
      <c r="H52" s="109"/>
    </row>
    <row r="53" spans="1:10" ht="17.25" customHeight="1">
      <c r="A53" s="254" t="s">
        <v>12</v>
      </c>
      <c r="B53" s="208" t="s">
        <v>11</v>
      </c>
      <c r="C53" s="276"/>
      <c r="D53" s="55">
        <v>0</v>
      </c>
      <c r="E53" s="109"/>
      <c r="F53" s="109"/>
      <c r="G53" s="109"/>
      <c r="H53" s="109"/>
      <c r="I53" s="49"/>
      <c r="J53" s="49"/>
    </row>
    <row r="54" spans="1:14" ht="15.75">
      <c r="A54" s="235" t="s">
        <v>13</v>
      </c>
      <c r="B54" s="208" t="s">
        <v>11</v>
      </c>
      <c r="C54" s="236"/>
      <c r="D54" s="237">
        <v>2203.17</v>
      </c>
      <c r="E54" s="109"/>
      <c r="F54" s="109"/>
      <c r="G54" s="109"/>
      <c r="H54" s="109" t="s">
        <v>26</v>
      </c>
      <c r="I54" s="60"/>
      <c r="J54" s="60"/>
      <c r="K54" s="61"/>
      <c r="L54" s="61"/>
      <c r="M54" s="61"/>
      <c r="N54" s="61"/>
    </row>
    <row r="55" spans="1:14" ht="18" customHeight="1">
      <c r="A55" s="571" t="s">
        <v>53</v>
      </c>
      <c r="B55" s="571"/>
      <c r="C55" s="571"/>
      <c r="D55" s="571"/>
      <c r="E55" s="114"/>
      <c r="F55" s="115"/>
      <c r="G55" s="116"/>
      <c r="H55" s="109"/>
      <c r="I55" s="65"/>
      <c r="J55" s="65"/>
      <c r="K55" s="66"/>
      <c r="L55" s="66"/>
      <c r="M55" s="66"/>
      <c r="N55" s="66"/>
    </row>
    <row r="56" spans="1:14" ht="47.25">
      <c r="A56" s="67" t="s">
        <v>54</v>
      </c>
      <c r="B56" s="68" t="s">
        <v>55</v>
      </c>
      <c r="C56" s="69" t="s">
        <v>56</v>
      </c>
      <c r="D56" s="70" t="s">
        <v>57</v>
      </c>
      <c r="E56" s="114"/>
      <c r="F56" s="115"/>
      <c r="G56" s="116"/>
      <c r="H56" s="109"/>
      <c r="I56" s="65"/>
      <c r="J56" s="71"/>
      <c r="K56" s="66"/>
      <c r="L56" s="66"/>
      <c r="M56" s="66"/>
      <c r="N56" s="66"/>
    </row>
    <row r="57" spans="1:14" ht="15.75">
      <c r="A57" s="238" t="s">
        <v>58</v>
      </c>
      <c r="B57" s="239">
        <v>17374.1</v>
      </c>
      <c r="C57" s="240">
        <f>B57*1.0293</f>
        <v>17883.16113</v>
      </c>
      <c r="D57" s="241">
        <f>B57-C57</f>
        <v>-509.06113000000187</v>
      </c>
      <c r="E57" s="117"/>
      <c r="F57" s="115"/>
      <c r="G57" s="116"/>
      <c r="H57" s="109"/>
      <c r="I57" s="65"/>
      <c r="J57" s="65"/>
      <c r="K57" s="66"/>
      <c r="L57" s="66"/>
      <c r="M57" s="66"/>
      <c r="N57" s="66"/>
    </row>
    <row r="58" spans="1:14" ht="15.75">
      <c r="A58" s="238" t="s">
        <v>59</v>
      </c>
      <c r="B58" s="239">
        <v>0</v>
      </c>
      <c r="C58" s="240">
        <f>B58*1.1615</f>
        <v>0</v>
      </c>
      <c r="D58" s="241">
        <f>B58-C58</f>
        <v>0</v>
      </c>
      <c r="E58" s="114"/>
      <c r="F58" s="115"/>
      <c r="G58" s="116"/>
      <c r="H58" s="109"/>
      <c r="I58" s="65"/>
      <c r="J58" s="65"/>
      <c r="K58" s="66"/>
      <c r="L58" s="66"/>
      <c r="M58" s="66"/>
      <c r="N58" s="66"/>
    </row>
    <row r="59" spans="1:14" ht="15.75">
      <c r="A59" s="238" t="s">
        <v>60</v>
      </c>
      <c r="B59" s="242">
        <v>0</v>
      </c>
      <c r="C59" s="240">
        <f>B59*1.1615</f>
        <v>0</v>
      </c>
      <c r="D59" s="241">
        <f>B59-C59</f>
        <v>0</v>
      </c>
      <c r="E59" s="114">
        <f>(2.07+1.8)*6*2301.2-0.37*2301.2*6</f>
        <v>48325.2</v>
      </c>
      <c r="F59" s="73"/>
      <c r="G59" s="74"/>
      <c r="H59" s="62"/>
      <c r="I59" s="65"/>
      <c r="J59" s="65"/>
      <c r="K59" s="66"/>
      <c r="L59" s="66"/>
      <c r="M59" s="66"/>
      <c r="N59" s="66"/>
    </row>
    <row r="60" spans="1:14" ht="16.5" thickBot="1">
      <c r="A60" s="261" t="s">
        <v>236</v>
      </c>
      <c r="B60" s="262">
        <v>8729.46</v>
      </c>
      <c r="C60" s="240">
        <f>B60*1.0293</f>
        <v>8985.233178</v>
      </c>
      <c r="D60" s="264">
        <f>B60-C60</f>
        <v>-255.77317800000128</v>
      </c>
      <c r="E60" s="114"/>
      <c r="F60" s="73"/>
      <c r="G60" s="74"/>
      <c r="I60" s="65"/>
      <c r="J60" s="65"/>
      <c r="K60" s="66"/>
      <c r="L60" s="66"/>
      <c r="M60" s="66"/>
      <c r="N60" s="66"/>
    </row>
    <row r="61" spans="1:14" ht="63">
      <c r="A61" s="129" t="s">
        <v>62</v>
      </c>
      <c r="B61" s="130" t="s">
        <v>63</v>
      </c>
      <c r="C61" s="131" t="s">
        <v>64</v>
      </c>
      <c r="D61" s="132" t="s">
        <v>65</v>
      </c>
      <c r="E61" s="114"/>
      <c r="F61" s="73"/>
      <c r="H61" s="65"/>
      <c r="I61" s="65"/>
      <c r="J61" s="65"/>
      <c r="K61" s="66"/>
      <c r="L61" s="66"/>
      <c r="M61" s="66"/>
      <c r="N61" s="66"/>
    </row>
    <row r="62" spans="1:14" ht="15.75">
      <c r="A62" s="265" t="s">
        <v>58</v>
      </c>
      <c r="B62" s="244">
        <f>B57</f>
        <v>17374.1</v>
      </c>
      <c r="C62" s="245">
        <f>C57</f>
        <v>17883.16113</v>
      </c>
      <c r="D62" s="266">
        <f>B62-C62</f>
        <v>-509.06113000000187</v>
      </c>
      <c r="E62" s="114"/>
      <c r="F62" s="73"/>
      <c r="H62" s="65"/>
      <c r="I62" s="65"/>
      <c r="J62" s="65" t="s">
        <v>26</v>
      </c>
      <c r="K62" s="66"/>
      <c r="L62" s="66"/>
      <c r="M62" s="66"/>
      <c r="N62" s="66"/>
    </row>
    <row r="63" spans="1:14" ht="15.75">
      <c r="A63" s="265" t="s">
        <v>59</v>
      </c>
      <c r="B63" s="244">
        <v>0</v>
      </c>
      <c r="C63" s="245">
        <f>C58*1.0063</f>
        <v>0</v>
      </c>
      <c r="D63" s="266">
        <f>B63-C63</f>
        <v>0</v>
      </c>
      <c r="E63" s="114"/>
      <c r="F63" s="73"/>
      <c r="H63" s="65"/>
      <c r="I63" s="65"/>
      <c r="J63" s="65"/>
      <c r="K63" s="66"/>
      <c r="L63" s="66"/>
      <c r="M63" s="66"/>
      <c r="N63" s="66"/>
    </row>
    <row r="64" spans="1:14" ht="15.75">
      <c r="A64" s="265" t="s">
        <v>60</v>
      </c>
      <c r="B64" s="244">
        <v>0</v>
      </c>
      <c r="C64" s="245">
        <f>C59*1.0063</f>
        <v>0</v>
      </c>
      <c r="D64" s="266">
        <f>B64-C64</f>
        <v>0</v>
      </c>
      <c r="E64" s="114"/>
      <c r="F64" s="73"/>
      <c r="H64" s="65"/>
      <c r="I64" s="65"/>
      <c r="J64" s="65"/>
      <c r="K64" s="66"/>
      <c r="L64" s="66"/>
      <c r="M64" s="66"/>
      <c r="N64" s="66"/>
    </row>
    <row r="65" spans="1:14" ht="16.5" thickBot="1">
      <c r="A65" s="267" t="s">
        <v>236</v>
      </c>
      <c r="B65" s="268">
        <v>8729.46</v>
      </c>
      <c r="C65" s="269">
        <f>C60</f>
        <v>8985.233178</v>
      </c>
      <c r="D65" s="270">
        <f>B65-C65</f>
        <v>-255.77317800000128</v>
      </c>
      <c r="E65" s="114"/>
      <c r="F65" s="73"/>
      <c r="H65" s="65" t="s">
        <v>26</v>
      </c>
      <c r="I65" s="65"/>
      <c r="J65" s="65"/>
      <c r="K65" s="66"/>
      <c r="L65" s="66"/>
      <c r="M65" s="66"/>
      <c r="N65" s="66"/>
    </row>
    <row r="66" spans="1:14" ht="15.75">
      <c r="A66" s="247"/>
      <c r="B66" s="248"/>
      <c r="C66" s="249"/>
      <c r="D66" s="250"/>
      <c r="E66" s="114"/>
      <c r="F66" s="73"/>
      <c r="H66" s="65"/>
      <c r="I66" s="65"/>
      <c r="J66" s="65"/>
      <c r="K66" s="66"/>
      <c r="L66" s="66"/>
      <c r="M66" s="66"/>
      <c r="N66" s="66"/>
    </row>
    <row r="67" spans="1:14" ht="26.25">
      <c r="A67" s="251" t="s">
        <v>66</v>
      </c>
      <c r="B67" s="248" t="s">
        <v>11</v>
      </c>
      <c r="C67" s="252"/>
      <c r="D67" s="253">
        <v>0</v>
      </c>
      <c r="E67" s="114"/>
      <c r="F67" s="73"/>
      <c r="H67" s="65"/>
      <c r="I67" s="65"/>
      <c r="J67" s="65" t="s">
        <v>26</v>
      </c>
      <c r="K67" s="66"/>
      <c r="L67" s="66"/>
      <c r="M67" s="66"/>
      <c r="N67" s="66"/>
    </row>
    <row r="68" spans="1:14" ht="17.25" customHeight="1">
      <c r="A68" s="572" t="s">
        <v>67</v>
      </c>
      <c r="B68" s="572"/>
      <c r="C68" s="572"/>
      <c r="D68" s="572"/>
      <c r="E68" s="121" t="e">
        <f>D68+B19</f>
        <v>#VALUE!</v>
      </c>
      <c r="F68" s="65"/>
      <c r="H68" s="84" t="e">
        <f>E68-B18</f>
        <v>#VALUE!</v>
      </c>
      <c r="I68" s="65"/>
      <c r="J68" s="65"/>
      <c r="K68" s="66"/>
      <c r="L68" s="66"/>
      <c r="M68" s="66"/>
      <c r="N68" s="66"/>
    </row>
    <row r="69" spans="1:5" ht="21" customHeight="1">
      <c r="A69" s="86" t="s">
        <v>45</v>
      </c>
      <c r="B69" s="86" t="s">
        <v>46</v>
      </c>
      <c r="C69" s="86"/>
      <c r="D69" s="177">
        <v>0</v>
      </c>
      <c r="E69" s="123"/>
    </row>
    <row r="70" spans="1:5" ht="21" customHeight="1">
      <c r="A70" s="86" t="s">
        <v>47</v>
      </c>
      <c r="B70" s="86" t="s">
        <v>46</v>
      </c>
      <c r="C70" s="86"/>
      <c r="D70" s="177">
        <v>0</v>
      </c>
      <c r="E70" s="123"/>
    </row>
    <row r="71" spans="1:5" ht="18" customHeight="1">
      <c r="A71" s="86" t="s">
        <v>48</v>
      </c>
      <c r="B71" s="86" t="s">
        <v>46</v>
      </c>
      <c r="C71" s="86"/>
      <c r="D71" s="177">
        <v>0</v>
      </c>
      <c r="E71" s="123"/>
    </row>
    <row r="72" spans="1:5" ht="16.5" customHeight="1">
      <c r="A72" s="86" t="s">
        <v>49</v>
      </c>
      <c r="B72" s="86" t="s">
        <v>11</v>
      </c>
      <c r="C72" s="86"/>
      <c r="D72" s="177">
        <v>0</v>
      </c>
      <c r="E72" s="123"/>
    </row>
    <row r="73" spans="1:5" ht="15.75" customHeight="1">
      <c r="A73" s="566" t="s">
        <v>68</v>
      </c>
      <c r="B73" s="566"/>
      <c r="C73" s="566"/>
      <c r="D73" s="566"/>
      <c r="E73" s="123"/>
    </row>
    <row r="74" spans="1:5" ht="18.75" customHeight="1">
      <c r="A74" s="86" t="s">
        <v>69</v>
      </c>
      <c r="B74" s="86" t="s">
        <v>46</v>
      </c>
      <c r="C74" s="86"/>
      <c r="D74" s="177">
        <v>1</v>
      </c>
      <c r="E74" s="123"/>
    </row>
    <row r="75" spans="1:5" ht="21.75" customHeight="1">
      <c r="A75" s="86" t="s">
        <v>70</v>
      </c>
      <c r="B75" s="254" t="s">
        <v>46</v>
      </c>
      <c r="C75" s="254"/>
      <c r="D75" s="177">
        <v>0</v>
      </c>
      <c r="E75" s="123"/>
    </row>
    <row r="76" spans="1:5" ht="36" customHeight="1">
      <c r="A76" s="255" t="s">
        <v>71</v>
      </c>
      <c r="B76" s="86" t="s">
        <v>11</v>
      </c>
      <c r="C76" s="86"/>
      <c r="D76" s="177">
        <v>0</v>
      </c>
      <c r="E76" s="123"/>
    </row>
    <row r="77" spans="1:5" ht="15.75">
      <c r="A77" s="256"/>
      <c r="B77" s="256"/>
      <c r="C77" s="256"/>
      <c r="D77" s="257"/>
      <c r="E77" s="109"/>
    </row>
    <row r="78" spans="1:14" s="1" customFormat="1" ht="12.75">
      <c r="A78" s="178"/>
      <c r="B78" s="178"/>
      <c r="C78" s="178"/>
      <c r="D78" s="178"/>
      <c r="E78" s="109"/>
      <c r="H78" s="1" t="s">
        <v>26</v>
      </c>
      <c r="K78"/>
      <c r="L78"/>
      <c r="M78"/>
      <c r="N78"/>
    </row>
    <row r="79" spans="1:14" s="1" customFormat="1" ht="12.75">
      <c r="A79" s="178" t="s">
        <v>72</v>
      </c>
      <c r="B79" s="178"/>
      <c r="C79" s="178"/>
      <c r="D79" s="178"/>
      <c r="E79" s="109"/>
      <c r="K79"/>
      <c r="L79"/>
      <c r="M79"/>
      <c r="N79"/>
    </row>
    <row r="80" spans="1:14" s="1" customFormat="1" ht="12.75">
      <c r="A80" s="178"/>
      <c r="B80" s="178"/>
      <c r="C80" s="178"/>
      <c r="D80" s="178"/>
      <c r="E80" s="109"/>
      <c r="H80" s="1" t="s">
        <v>26</v>
      </c>
      <c r="K80"/>
      <c r="L80"/>
      <c r="M80"/>
      <c r="N80"/>
    </row>
    <row r="81" spans="1:14" s="1" customFormat="1" ht="12.75">
      <c r="A81" s="178" t="s">
        <v>73</v>
      </c>
      <c r="B81" s="178"/>
      <c r="C81" s="178"/>
      <c r="D81" s="178"/>
      <c r="E81" s="109"/>
      <c r="K81"/>
      <c r="L81"/>
      <c r="M81"/>
      <c r="N81"/>
    </row>
    <row r="82" spans="1:4" ht="12.75">
      <c r="A82" s="178"/>
      <c r="B82" s="178"/>
      <c r="C82" s="178"/>
      <c r="D82" s="178"/>
    </row>
    <row r="83" spans="1:4" ht="12.75">
      <c r="A83" s="178"/>
      <c r="B83" s="178"/>
      <c r="C83" s="178"/>
      <c r="D83" s="178"/>
    </row>
    <row r="84" spans="1:4" ht="12.75">
      <c r="A84" s="178"/>
      <c r="B84" s="178"/>
      <c r="C84" s="178"/>
      <c r="D84" s="178"/>
    </row>
    <row r="85" spans="1:14" s="1" customFormat="1" ht="12.75">
      <c r="A85" s="178"/>
      <c r="B85" s="178"/>
      <c r="C85" s="178"/>
      <c r="D85" s="178"/>
      <c r="E85" s="1" t="s">
        <v>26</v>
      </c>
      <c r="K85"/>
      <c r="L85"/>
      <c r="M85"/>
      <c r="N85"/>
    </row>
  </sheetData>
  <sheetProtection selectLockedCells="1" selectUnlockedCells="1"/>
  <mergeCells count="13">
    <mergeCell ref="A73:D73"/>
    <mergeCell ref="A14:D14"/>
    <mergeCell ref="A29:D29"/>
    <mergeCell ref="A43:D43"/>
    <mergeCell ref="A48:D48"/>
    <mergeCell ref="A55:D55"/>
    <mergeCell ref="A68:D68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zoomScale="80" zoomScaleNormal="80" zoomScalePageLayoutView="0" workbookViewId="0" topLeftCell="A16">
      <selection activeCell="D39" sqref="D39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560" t="s">
        <v>0</v>
      </c>
      <c r="B1" s="560"/>
      <c r="C1" s="560"/>
      <c r="D1" s="560"/>
    </row>
    <row r="2" spans="1:4" ht="15.75">
      <c r="A2" s="561" t="s">
        <v>220</v>
      </c>
      <c r="B2" s="562"/>
      <c r="C2" s="562"/>
      <c r="D2" s="562"/>
    </row>
    <row r="3" spans="1:4" ht="15.75">
      <c r="A3" s="562" t="s">
        <v>1</v>
      </c>
      <c r="B3" s="562"/>
      <c r="C3" s="562"/>
      <c r="D3" s="562"/>
    </row>
    <row r="4" spans="1:4" ht="12.75">
      <c r="A4" s="563" t="s">
        <v>108</v>
      </c>
      <c r="B4" s="563"/>
      <c r="C4" s="563"/>
      <c r="D4" s="563"/>
    </row>
    <row r="5" spans="1:4" ht="12.75">
      <c r="A5" s="564" t="s">
        <v>266</v>
      </c>
      <c r="B5" s="563"/>
      <c r="C5" s="563"/>
      <c r="D5" s="563"/>
    </row>
    <row r="6" spans="1:4" ht="9" customHeight="1">
      <c r="A6" s="258"/>
      <c r="B6" s="178"/>
      <c r="C6" s="178"/>
      <c r="D6" s="178"/>
    </row>
    <row r="7" spans="1:4" ht="18" customHeight="1">
      <c r="A7" s="565" t="s">
        <v>2</v>
      </c>
      <c r="B7" s="565"/>
      <c r="C7" s="565"/>
      <c r="D7" s="565"/>
    </row>
    <row r="8" spans="1:4" ht="12.75">
      <c r="A8" s="182" t="s">
        <v>251</v>
      </c>
      <c r="B8" s="178"/>
      <c r="C8" s="183"/>
      <c r="D8" s="178"/>
    </row>
    <row r="9" spans="1:4" ht="12.75">
      <c r="A9" s="184" t="s">
        <v>3</v>
      </c>
      <c r="B9" s="184" t="s">
        <v>4</v>
      </c>
      <c r="C9" s="184" t="s">
        <v>5</v>
      </c>
      <c r="D9" s="185"/>
    </row>
    <row r="10" spans="1:4" ht="12.75">
      <c r="A10" s="186">
        <v>1</v>
      </c>
      <c r="B10" s="186">
        <v>2</v>
      </c>
      <c r="C10" s="186">
        <v>3</v>
      </c>
      <c r="D10" s="187">
        <v>4</v>
      </c>
    </row>
    <row r="11" spans="1:4" ht="12.75">
      <c r="A11" s="20" t="s">
        <v>6</v>
      </c>
      <c r="B11" s="188"/>
      <c r="C11" s="189" t="s">
        <v>262</v>
      </c>
      <c r="D11" s="190"/>
    </row>
    <row r="12" spans="1:4" ht="12.75">
      <c r="A12" s="20" t="s">
        <v>7</v>
      </c>
      <c r="B12" s="188"/>
      <c r="C12" s="189" t="s">
        <v>263</v>
      </c>
      <c r="D12" s="190"/>
    </row>
    <row r="13" spans="1:4" ht="12.75">
      <c r="A13" s="20" t="s">
        <v>8</v>
      </c>
      <c r="B13" s="188"/>
      <c r="C13" s="189" t="s">
        <v>267</v>
      </c>
      <c r="D13" s="190"/>
    </row>
    <row r="14" spans="1:4" ht="31.5" customHeight="1">
      <c r="A14" s="567" t="s">
        <v>9</v>
      </c>
      <c r="B14" s="567"/>
      <c r="C14" s="567"/>
      <c r="D14" s="567"/>
    </row>
    <row r="15" spans="1:5" ht="26.25">
      <c r="A15" s="17" t="s">
        <v>10</v>
      </c>
      <c r="B15" s="191" t="s">
        <v>11</v>
      </c>
      <c r="C15" s="194">
        <v>22899.7</v>
      </c>
      <c r="D15" s="193"/>
      <c r="E15" s="109"/>
    </row>
    <row r="16" spans="1:5" ht="15.75">
      <c r="A16" s="20" t="s">
        <v>12</v>
      </c>
      <c r="B16" s="191" t="s">
        <v>11</v>
      </c>
      <c r="C16" s="192">
        <v>0</v>
      </c>
      <c r="D16" s="193"/>
      <c r="E16" s="109"/>
    </row>
    <row r="17" spans="1:10" ht="15.75">
      <c r="A17" s="20" t="s">
        <v>13</v>
      </c>
      <c r="B17" s="191" t="s">
        <v>11</v>
      </c>
      <c r="C17" s="194">
        <v>1853.7</v>
      </c>
      <c r="D17" s="195"/>
      <c r="E17" s="109"/>
      <c r="F17" s="109"/>
      <c r="G17" s="109"/>
      <c r="H17" s="109"/>
      <c r="I17" s="109"/>
      <c r="J17" s="109"/>
    </row>
    <row r="18" spans="1:10" ht="31.5" customHeight="1">
      <c r="A18" s="17" t="s">
        <v>14</v>
      </c>
      <c r="B18" s="191" t="s">
        <v>11</v>
      </c>
      <c r="C18" s="194">
        <f>18309.54</f>
        <v>18309.54</v>
      </c>
      <c r="D18" s="195"/>
      <c r="E18" s="110">
        <f>C18-C20</f>
        <v>13480.644</v>
      </c>
      <c r="F18" s="109"/>
      <c r="G18" s="109"/>
      <c r="H18" s="109"/>
      <c r="I18" s="109"/>
      <c r="J18" s="109"/>
    </row>
    <row r="19" spans="1:10" ht="15.75">
      <c r="A19" s="20" t="s">
        <v>15</v>
      </c>
      <c r="B19" s="191" t="s">
        <v>11</v>
      </c>
      <c r="C19" s="194">
        <f>C18-C20-C21</f>
        <v>6148.563</v>
      </c>
      <c r="D19" s="195"/>
      <c r="E19" s="110">
        <f>E18-E38+743.58</f>
        <v>743.3189999999978</v>
      </c>
      <c r="F19" s="109"/>
      <c r="G19" s="109"/>
      <c r="H19" s="109"/>
      <c r="I19" s="109"/>
      <c r="J19" s="109"/>
    </row>
    <row r="20" spans="1:10" ht="15.75">
      <c r="A20" s="20" t="s">
        <v>16</v>
      </c>
      <c r="B20" s="191" t="s">
        <v>11</v>
      </c>
      <c r="C20" s="194">
        <f>(2.7+2.82)*6*145.8</f>
        <v>4828.896</v>
      </c>
      <c r="D20" s="195"/>
      <c r="E20" s="111"/>
      <c r="F20" s="109"/>
      <c r="G20" s="109"/>
      <c r="H20" s="109"/>
      <c r="I20" s="109"/>
      <c r="J20" s="109"/>
    </row>
    <row r="21" spans="1:10" ht="15.75">
      <c r="A21" s="20" t="s">
        <v>17</v>
      </c>
      <c r="B21" s="191" t="s">
        <v>11</v>
      </c>
      <c r="C21" s="196">
        <f>145.825*4.19*12</f>
        <v>7332.081</v>
      </c>
      <c r="D21" s="195"/>
      <c r="E21" s="109"/>
      <c r="F21" s="109"/>
      <c r="G21" s="109"/>
      <c r="H21" s="109"/>
      <c r="I21" s="109"/>
      <c r="J21" s="109"/>
    </row>
    <row r="22" spans="1:10" ht="15.75">
      <c r="A22" s="20" t="s">
        <v>18</v>
      </c>
      <c r="B22" s="191" t="s">
        <v>11</v>
      </c>
      <c r="C22" s="194">
        <f>C23+C24+C25+C26+C27</f>
        <v>14217.35781</v>
      </c>
      <c r="D22" s="195" t="s">
        <v>19</v>
      </c>
      <c r="E22" s="110" t="e">
        <f>B24+B25+B26+B27+B28</f>
        <v>#VALUE!</v>
      </c>
      <c r="F22" s="109"/>
      <c r="G22" s="109"/>
      <c r="H22" s="109"/>
      <c r="I22" s="109"/>
      <c r="J22" s="109"/>
    </row>
    <row r="23" spans="1:10" ht="15.75">
      <c r="A23" s="20" t="s">
        <v>20</v>
      </c>
      <c r="B23" s="191" t="s">
        <v>11</v>
      </c>
      <c r="C23" s="194">
        <f>C18*0.7765</f>
        <v>14217.35781</v>
      </c>
      <c r="D23" s="195"/>
      <c r="E23" s="109"/>
      <c r="F23" s="109"/>
      <c r="G23" s="109"/>
      <c r="H23" s="109"/>
      <c r="I23" s="109"/>
      <c r="J23" s="109"/>
    </row>
    <row r="24" spans="1:10" ht="15.75">
      <c r="A24" s="20" t="s">
        <v>21</v>
      </c>
      <c r="B24" s="191" t="s">
        <v>11</v>
      </c>
      <c r="C24" s="194">
        <v>0</v>
      </c>
      <c r="D24" s="197">
        <v>65.21</v>
      </c>
      <c r="E24" s="111" t="e">
        <f>B24/#REF!*1</f>
        <v>#VALUE!</v>
      </c>
      <c r="F24" s="109"/>
      <c r="G24" s="109"/>
      <c r="H24" s="109" t="s">
        <v>22</v>
      </c>
      <c r="I24" s="109"/>
      <c r="J24" s="109"/>
    </row>
    <row r="25" spans="1:10" ht="15.75">
      <c r="A25" s="20" t="s">
        <v>23</v>
      </c>
      <c r="B25" s="191" t="s">
        <v>11</v>
      </c>
      <c r="C25" s="194">
        <v>0</v>
      </c>
      <c r="D25" s="197">
        <v>119.63</v>
      </c>
      <c r="E25" s="111" t="e">
        <f>B25/#REF!*1</f>
        <v>#VALUE!</v>
      </c>
      <c r="F25" s="109"/>
      <c r="G25" s="109"/>
      <c r="H25" s="109"/>
      <c r="I25" s="109"/>
      <c r="J25" s="109"/>
    </row>
    <row r="26" spans="1:10" ht="15.75">
      <c r="A26" s="188" t="s">
        <v>24</v>
      </c>
      <c r="B26" s="191" t="s">
        <v>11</v>
      </c>
      <c r="C26" s="194">
        <v>0</v>
      </c>
      <c r="D26" s="197"/>
      <c r="E26" s="111" t="e">
        <f>B26/#REF!*1</f>
        <v>#VALUE!</v>
      </c>
      <c r="F26" s="109"/>
      <c r="G26" s="109"/>
      <c r="H26" s="109"/>
      <c r="I26" s="109"/>
      <c r="J26" s="109"/>
    </row>
    <row r="27" spans="1:10" ht="16.5" customHeight="1">
      <c r="A27" s="198" t="s">
        <v>96</v>
      </c>
      <c r="B27" s="191" t="s">
        <v>11</v>
      </c>
      <c r="C27" s="194">
        <v>0</v>
      </c>
      <c r="D27" s="197">
        <v>139.18</v>
      </c>
      <c r="E27" s="111" t="e">
        <f>B27/#REF!*1</f>
        <v>#VALUE!</v>
      </c>
      <c r="F27" s="109"/>
      <c r="G27" s="109"/>
      <c r="H27" s="109"/>
      <c r="I27" s="109"/>
      <c r="J27" s="109"/>
    </row>
    <row r="28" spans="1:10" ht="15.75">
      <c r="A28" s="20" t="s">
        <v>25</v>
      </c>
      <c r="B28" s="191" t="s">
        <v>11</v>
      </c>
      <c r="C28" s="194">
        <f>C15+C22</f>
        <v>37117.05781</v>
      </c>
      <c r="D28" s="195" t="s">
        <v>26</v>
      </c>
      <c r="E28" s="111" t="e">
        <f>B28/#REF!*1</f>
        <v>#VALUE!</v>
      </c>
      <c r="F28" s="109"/>
      <c r="G28" s="109"/>
      <c r="H28" s="109"/>
      <c r="I28" s="109"/>
      <c r="J28" s="109"/>
    </row>
    <row r="29" spans="1:10" ht="35.25" customHeight="1">
      <c r="A29" s="568" t="s">
        <v>27</v>
      </c>
      <c r="B29" s="568"/>
      <c r="C29" s="568"/>
      <c r="D29" s="568"/>
      <c r="E29" s="109"/>
      <c r="F29" s="109"/>
      <c r="G29" s="109"/>
      <c r="H29" s="109"/>
      <c r="I29" s="109"/>
      <c r="J29" s="109"/>
    </row>
    <row r="30" spans="1:10" ht="63">
      <c r="A30" s="271" t="s">
        <v>28</v>
      </c>
      <c r="B30" s="307" t="s">
        <v>29</v>
      </c>
      <c r="C30" s="286" t="s">
        <v>30</v>
      </c>
      <c r="D30" s="308" t="s">
        <v>31</v>
      </c>
      <c r="E30" s="109"/>
      <c r="F30" s="109"/>
      <c r="G30" s="109"/>
      <c r="H30" s="109"/>
      <c r="I30" s="109"/>
      <c r="J30" s="109"/>
    </row>
    <row r="31" spans="1:10" ht="15.75">
      <c r="A31" s="203" t="s">
        <v>32</v>
      </c>
      <c r="B31" s="204" t="s">
        <v>33</v>
      </c>
      <c r="C31" s="205" t="s">
        <v>34</v>
      </c>
      <c r="D31" s="206">
        <f>(0.85+0.95)*6*145.8</f>
        <v>1574.6399999999999</v>
      </c>
      <c r="E31" s="109"/>
      <c r="F31" s="109"/>
      <c r="G31" s="109"/>
      <c r="H31" s="109"/>
      <c r="I31" s="109"/>
      <c r="J31" s="109"/>
    </row>
    <row r="32" spans="1:10" ht="15.75">
      <c r="A32" s="207" t="s">
        <v>36</v>
      </c>
      <c r="B32" s="208" t="s">
        <v>33</v>
      </c>
      <c r="C32" s="209" t="s">
        <v>37</v>
      </c>
      <c r="D32" s="210">
        <f>0.24*12*145.8</f>
        <v>419.904</v>
      </c>
      <c r="E32" s="109"/>
      <c r="F32" s="109"/>
      <c r="G32" s="109"/>
      <c r="H32" s="109"/>
      <c r="I32" s="109"/>
      <c r="J32" s="109"/>
    </row>
    <row r="33" spans="1:10" ht="15.75">
      <c r="A33" s="293" t="s">
        <v>99</v>
      </c>
      <c r="B33" s="208" t="s">
        <v>33</v>
      </c>
      <c r="C33" s="209" t="s">
        <v>34</v>
      </c>
      <c r="D33" s="210">
        <f>(0.35+0.16)*6*145.8</f>
        <v>446.148</v>
      </c>
      <c r="E33" s="109"/>
      <c r="F33" s="109"/>
      <c r="G33" s="109"/>
      <c r="H33" s="109"/>
      <c r="I33" s="109"/>
      <c r="J33" s="109"/>
    </row>
    <row r="34" spans="1:10" ht="15.75">
      <c r="A34" s="207" t="s">
        <v>81</v>
      </c>
      <c r="B34" s="213" t="s">
        <v>82</v>
      </c>
      <c r="C34" s="209" t="s">
        <v>34</v>
      </c>
      <c r="D34" s="210">
        <f>1.33*12*145.8</f>
        <v>2326.9680000000003</v>
      </c>
      <c r="E34" s="109"/>
      <c r="F34" s="109"/>
      <c r="G34" s="109"/>
      <c r="H34" s="109"/>
      <c r="I34" s="109"/>
      <c r="J34" s="109"/>
    </row>
    <row r="35" spans="1:10" ht="15.75">
      <c r="A35" s="207" t="s">
        <v>38</v>
      </c>
      <c r="B35" s="208" t="s">
        <v>35</v>
      </c>
      <c r="C35" s="362" t="s">
        <v>221</v>
      </c>
      <c r="D35" s="210">
        <f>4.19*145.8*12</f>
        <v>7330.824000000002</v>
      </c>
      <c r="E35" s="109"/>
      <c r="F35" s="109"/>
      <c r="G35" s="109"/>
      <c r="H35" s="109"/>
      <c r="I35" s="109"/>
      <c r="J35" s="109"/>
    </row>
    <row r="36" spans="1:10" ht="15.75">
      <c r="A36" s="207" t="s">
        <v>85</v>
      </c>
      <c r="B36" s="208" t="s">
        <v>222</v>
      </c>
      <c r="C36" s="214" t="s">
        <v>37</v>
      </c>
      <c r="D36" s="210">
        <f>145.825*0.79*12</f>
        <v>1382.4209999999998</v>
      </c>
      <c r="E36" s="109"/>
      <c r="F36" s="109"/>
      <c r="G36" s="109"/>
      <c r="H36" s="109"/>
      <c r="I36" s="109"/>
      <c r="J36" s="109"/>
    </row>
    <row r="37" spans="1:14" s="1" customFormat="1" ht="47.25">
      <c r="A37" s="365" t="s">
        <v>40</v>
      </c>
      <c r="B37" s="215" t="s">
        <v>41</v>
      </c>
      <c r="C37" s="221"/>
      <c r="D37" s="175">
        <v>0</v>
      </c>
      <c r="E37" s="109"/>
      <c r="F37" s="109"/>
      <c r="G37" s="109"/>
      <c r="H37" s="109"/>
      <c r="I37" s="109"/>
      <c r="J37" s="109"/>
      <c r="K37"/>
      <c r="L37"/>
      <c r="M37"/>
      <c r="N37"/>
    </row>
    <row r="38" spans="1:14" s="1" customFormat="1" ht="15.75">
      <c r="A38" s="37" t="s">
        <v>42</v>
      </c>
      <c r="B38" s="222"/>
      <c r="C38" s="223"/>
      <c r="D38" s="97">
        <f>SUM(D31:D37)</f>
        <v>13480.905000000002</v>
      </c>
      <c r="E38" s="112">
        <f>D38-D37</f>
        <v>13480.905000000002</v>
      </c>
      <c r="F38" s="109"/>
      <c r="G38" s="109"/>
      <c r="H38" s="109"/>
      <c r="I38" s="109"/>
      <c r="J38" s="109"/>
      <c r="K38"/>
      <c r="L38"/>
      <c r="M38"/>
      <c r="N38"/>
    </row>
    <row r="39" spans="1:14" s="1" customFormat="1" ht="15.75">
      <c r="A39" s="40" t="s">
        <v>43</v>
      </c>
      <c r="B39" s="224" t="s">
        <v>11</v>
      </c>
      <c r="C39" s="225"/>
      <c r="D39" s="226">
        <f>C28-D38</f>
        <v>23636.152809999996</v>
      </c>
      <c r="E39" s="112"/>
      <c r="F39" s="109"/>
      <c r="G39" s="109"/>
      <c r="H39" s="109"/>
      <c r="I39" s="109"/>
      <c r="J39" s="109"/>
      <c r="K39"/>
      <c r="L39"/>
      <c r="M39"/>
      <c r="N39"/>
    </row>
    <row r="40" spans="1:14" s="1" customFormat="1" ht="15.75">
      <c r="A40" s="227" t="s">
        <v>12</v>
      </c>
      <c r="B40" s="228" t="s">
        <v>11</v>
      </c>
      <c r="C40" s="209"/>
      <c r="D40" s="193">
        <v>0</v>
      </c>
      <c r="E40" s="109"/>
      <c r="F40" s="109"/>
      <c r="G40" s="109"/>
      <c r="H40" s="109"/>
      <c r="I40" s="109"/>
      <c r="J40" s="109"/>
      <c r="K40"/>
      <c r="L40"/>
      <c r="M40"/>
      <c r="N40"/>
    </row>
    <row r="41" spans="1:14" s="1" customFormat="1" ht="15.75">
      <c r="A41" s="227" t="s">
        <v>13</v>
      </c>
      <c r="B41" s="228" t="s">
        <v>11</v>
      </c>
      <c r="C41" s="209"/>
      <c r="D41" s="195">
        <f>C17+C18-C23</f>
        <v>5945.882190000002</v>
      </c>
      <c r="E41" s="109"/>
      <c r="F41" s="109"/>
      <c r="G41" s="109"/>
      <c r="H41" s="109"/>
      <c r="I41" s="109"/>
      <c r="J41" s="109"/>
      <c r="K41"/>
      <c r="L41"/>
      <c r="M41"/>
      <c r="N41"/>
    </row>
    <row r="42" spans="1:14" s="1" customFormat="1" ht="24" customHeight="1">
      <c r="A42" s="569" t="s">
        <v>44</v>
      </c>
      <c r="B42" s="569"/>
      <c r="C42" s="569"/>
      <c r="D42" s="569"/>
      <c r="E42" s="109"/>
      <c r="F42" s="109"/>
      <c r="G42" s="109"/>
      <c r="H42" s="109"/>
      <c r="I42" s="109"/>
      <c r="J42" s="109"/>
      <c r="K42"/>
      <c r="L42"/>
      <c r="M42"/>
      <c r="N42"/>
    </row>
    <row r="43" spans="1:14" s="1" customFormat="1" ht="15.75">
      <c r="A43" s="227" t="s">
        <v>45</v>
      </c>
      <c r="B43" s="208" t="s">
        <v>46</v>
      </c>
      <c r="C43" s="209">
        <v>0</v>
      </c>
      <c r="D43" s="193">
        <v>0</v>
      </c>
      <c r="E43" s="109"/>
      <c r="F43" s="109"/>
      <c r="G43" s="109"/>
      <c r="H43" s="109"/>
      <c r="I43" s="109"/>
      <c r="J43" s="109"/>
      <c r="K43"/>
      <c r="L43"/>
      <c r="M43"/>
      <c r="N43"/>
    </row>
    <row r="44" spans="1:14" s="1" customFormat="1" ht="15.75">
      <c r="A44" s="227" t="s">
        <v>47</v>
      </c>
      <c r="B44" s="208" t="s">
        <v>46</v>
      </c>
      <c r="C44" s="209">
        <v>0</v>
      </c>
      <c r="D44" s="193">
        <v>0</v>
      </c>
      <c r="E44" s="109"/>
      <c r="F44" s="109"/>
      <c r="G44" s="109"/>
      <c r="H44" s="109"/>
      <c r="I44" s="109"/>
      <c r="J44" s="109"/>
      <c r="K44"/>
      <c r="L44"/>
      <c r="M44"/>
      <c r="N44"/>
    </row>
    <row r="45" spans="1:14" s="1" customFormat="1" ht="15.75">
      <c r="A45" s="229" t="s">
        <v>48</v>
      </c>
      <c r="B45" s="208" t="s">
        <v>46</v>
      </c>
      <c r="C45" s="209">
        <v>0</v>
      </c>
      <c r="D45" s="193">
        <v>0</v>
      </c>
      <c r="E45" s="109"/>
      <c r="F45" s="109"/>
      <c r="G45" s="109"/>
      <c r="H45" s="109"/>
      <c r="I45" s="109"/>
      <c r="J45" s="109"/>
      <c r="K45"/>
      <c r="L45"/>
      <c r="M45"/>
      <c r="N45"/>
    </row>
    <row r="46" spans="1:14" s="1" customFormat="1" ht="15.75">
      <c r="A46" s="227" t="s">
        <v>49</v>
      </c>
      <c r="B46" s="208" t="s">
        <v>11</v>
      </c>
      <c r="C46" s="209">
        <v>0</v>
      </c>
      <c r="D46" s="193">
        <v>0</v>
      </c>
      <c r="E46" s="109"/>
      <c r="K46"/>
      <c r="L46"/>
      <c r="M46"/>
      <c r="N46"/>
    </row>
    <row r="47" spans="1:5" ht="20.25" customHeight="1">
      <c r="A47" s="570" t="s">
        <v>50</v>
      </c>
      <c r="B47" s="570"/>
      <c r="C47" s="570"/>
      <c r="D47" s="570"/>
      <c r="E47" s="109"/>
    </row>
    <row r="48" spans="1:5" ht="26.25">
      <c r="A48" s="229" t="s">
        <v>51</v>
      </c>
      <c r="B48" s="208" t="s">
        <v>11</v>
      </c>
      <c r="C48" s="209"/>
      <c r="D48" s="193">
        <v>0</v>
      </c>
      <c r="E48" s="109"/>
    </row>
    <row r="49" spans="1:5" ht="15.75">
      <c r="A49" s="227" t="s">
        <v>12</v>
      </c>
      <c r="B49" s="208" t="s">
        <v>11</v>
      </c>
      <c r="C49" s="209"/>
      <c r="D49" s="193">
        <v>0</v>
      </c>
      <c r="E49" s="109"/>
    </row>
    <row r="50" spans="1:8" ht="15.75">
      <c r="A50" s="227" t="s">
        <v>13</v>
      </c>
      <c r="B50" s="208" t="s">
        <v>11</v>
      </c>
      <c r="C50" s="209"/>
      <c r="D50" s="230">
        <f>D53-D56-D59</f>
        <v>1805.6218749999998</v>
      </c>
      <c r="E50" s="109"/>
      <c r="H50" s="49"/>
    </row>
    <row r="51" spans="1:5" ht="26.25">
      <c r="A51" s="231" t="s">
        <v>52</v>
      </c>
      <c r="B51" s="208" t="s">
        <v>11</v>
      </c>
      <c r="C51" s="232"/>
      <c r="D51" s="233">
        <v>0</v>
      </c>
      <c r="E51" s="109"/>
    </row>
    <row r="52" spans="1:10" ht="17.25" customHeight="1">
      <c r="A52" s="254" t="s">
        <v>12</v>
      </c>
      <c r="B52" s="208" t="s">
        <v>11</v>
      </c>
      <c r="C52" s="276"/>
      <c r="D52" s="55">
        <v>0</v>
      </c>
      <c r="E52" s="109"/>
      <c r="I52" s="49"/>
      <c r="J52" s="49"/>
    </row>
    <row r="53" spans="1:14" ht="15.75">
      <c r="A53" s="235" t="s">
        <v>13</v>
      </c>
      <c r="B53" s="208" t="s">
        <v>11</v>
      </c>
      <c r="C53" s="236"/>
      <c r="D53" s="237">
        <v>4121.92</v>
      </c>
      <c r="E53" s="109"/>
      <c r="H53" s="1" t="s">
        <v>26</v>
      </c>
      <c r="I53" s="60"/>
      <c r="J53" s="60"/>
      <c r="K53" s="61"/>
      <c r="L53" s="61"/>
      <c r="M53" s="61"/>
      <c r="N53" s="61"/>
    </row>
    <row r="54" spans="1:14" ht="18" customHeight="1">
      <c r="A54" s="571" t="s">
        <v>53</v>
      </c>
      <c r="B54" s="571"/>
      <c r="C54" s="571"/>
      <c r="D54" s="571"/>
      <c r="E54" s="114"/>
      <c r="F54" s="63"/>
      <c r="G54" s="64"/>
      <c r="I54" s="65"/>
      <c r="J54" s="65"/>
      <c r="K54" s="66"/>
      <c r="L54" s="66"/>
      <c r="M54" s="66"/>
      <c r="N54" s="66"/>
    </row>
    <row r="55" spans="1:14" ht="47.25">
      <c r="A55" s="67" t="s">
        <v>54</v>
      </c>
      <c r="B55" s="68" t="s">
        <v>55</v>
      </c>
      <c r="C55" s="69" t="s">
        <v>56</v>
      </c>
      <c r="D55" s="70" t="s">
        <v>57</v>
      </c>
      <c r="E55" s="114"/>
      <c r="F55" s="63"/>
      <c r="G55" s="64"/>
      <c r="I55" s="65"/>
      <c r="J55" s="71"/>
      <c r="K55" s="66"/>
      <c r="L55" s="66"/>
      <c r="M55" s="66"/>
      <c r="N55" s="66"/>
    </row>
    <row r="56" spans="1:14" ht="15.75">
      <c r="A56" s="238" t="s">
        <v>58</v>
      </c>
      <c r="B56" s="239">
        <v>2196.31</v>
      </c>
      <c r="C56" s="240">
        <f>B56*0.7765</f>
        <v>1705.4347149999999</v>
      </c>
      <c r="D56" s="241">
        <f>B56-C56</f>
        <v>490.8752850000001</v>
      </c>
      <c r="E56" s="117"/>
      <c r="F56" s="63"/>
      <c r="G56" s="64"/>
      <c r="I56" s="65"/>
      <c r="J56" s="65"/>
      <c r="K56" s="66"/>
      <c r="L56" s="66"/>
      <c r="M56" s="66"/>
      <c r="N56" s="66"/>
    </row>
    <row r="57" spans="1:14" ht="15.75">
      <c r="A57" s="238" t="s">
        <v>59</v>
      </c>
      <c r="B57" s="239">
        <v>0</v>
      </c>
      <c r="C57" s="240">
        <f>B57*0.7765</f>
        <v>0</v>
      </c>
      <c r="D57" s="241">
        <f>B57-C57</f>
        <v>0</v>
      </c>
      <c r="E57" s="114"/>
      <c r="F57" s="63"/>
      <c r="G57" s="64"/>
      <c r="I57" s="65"/>
      <c r="J57" s="65"/>
      <c r="K57" s="66"/>
      <c r="L57" s="66"/>
      <c r="M57" s="66"/>
      <c r="N57" s="66"/>
    </row>
    <row r="58" spans="1:14" ht="15.75">
      <c r="A58" s="238" t="s">
        <v>60</v>
      </c>
      <c r="B58" s="242">
        <v>0</v>
      </c>
      <c r="C58" s="240">
        <f>B58*0.7765</f>
        <v>0</v>
      </c>
      <c r="D58" s="241">
        <f>B58-C58</f>
        <v>0</v>
      </c>
      <c r="E58" s="62">
        <f>(2.07+1.8)*6*2301.2-0.37*2301.2*6</f>
        <v>48325.2</v>
      </c>
      <c r="F58" s="73"/>
      <c r="G58" s="74"/>
      <c r="H58" s="62"/>
      <c r="I58" s="65"/>
      <c r="J58" s="65"/>
      <c r="K58" s="66"/>
      <c r="L58" s="66"/>
      <c r="M58" s="66"/>
      <c r="N58" s="66"/>
    </row>
    <row r="59" spans="1:14" ht="16.5" thickBot="1">
      <c r="A59" s="261" t="s">
        <v>236</v>
      </c>
      <c r="B59" s="262">
        <v>8167.44</v>
      </c>
      <c r="C59" s="240">
        <f>B59*0.7765</f>
        <v>6342.017159999999</v>
      </c>
      <c r="D59" s="264">
        <f>B59-C59</f>
        <v>1825.4228400000002</v>
      </c>
      <c r="E59" s="62"/>
      <c r="F59" s="73"/>
      <c r="G59" s="74"/>
      <c r="I59" s="65"/>
      <c r="J59" s="65"/>
      <c r="K59" s="66"/>
      <c r="L59" s="66"/>
      <c r="M59" s="66"/>
      <c r="N59" s="66"/>
    </row>
    <row r="60" spans="1:14" ht="63">
      <c r="A60" s="129" t="s">
        <v>62</v>
      </c>
      <c r="B60" s="130" t="s">
        <v>63</v>
      </c>
      <c r="C60" s="131" t="s">
        <v>64</v>
      </c>
      <c r="D60" s="132" t="s">
        <v>65</v>
      </c>
      <c r="E60" s="62"/>
      <c r="F60" s="73"/>
      <c r="H60" s="65"/>
      <c r="I60" s="65"/>
      <c r="J60" s="65"/>
      <c r="K60" s="66"/>
      <c r="L60" s="66"/>
      <c r="M60" s="66"/>
      <c r="N60" s="66"/>
    </row>
    <row r="61" spans="1:14" ht="15.75">
      <c r="A61" s="265" t="s">
        <v>58</v>
      </c>
      <c r="B61" s="244">
        <f>B56</f>
        <v>2196.31</v>
      </c>
      <c r="C61" s="245">
        <f>B61</f>
        <v>2196.31</v>
      </c>
      <c r="D61" s="266">
        <f>B61-C61</f>
        <v>0</v>
      </c>
      <c r="E61" s="62"/>
      <c r="F61" s="73"/>
      <c r="H61" s="65"/>
      <c r="I61" s="65"/>
      <c r="J61" s="65" t="s">
        <v>26</v>
      </c>
      <c r="K61" s="66"/>
      <c r="L61" s="66"/>
      <c r="M61" s="66"/>
      <c r="N61" s="66"/>
    </row>
    <row r="62" spans="1:14" ht="15.75">
      <c r="A62" s="265" t="s">
        <v>59</v>
      </c>
      <c r="B62" s="244">
        <v>0</v>
      </c>
      <c r="C62" s="245">
        <v>0</v>
      </c>
      <c r="D62" s="266">
        <f>B62-C62</f>
        <v>0</v>
      </c>
      <c r="E62" s="62"/>
      <c r="F62" s="73"/>
      <c r="H62" s="65"/>
      <c r="I62" s="65"/>
      <c r="J62" s="65"/>
      <c r="K62" s="66"/>
      <c r="L62" s="66"/>
      <c r="M62" s="66"/>
      <c r="N62" s="66"/>
    </row>
    <row r="63" spans="1:14" ht="15.75">
      <c r="A63" s="265" t="s">
        <v>60</v>
      </c>
      <c r="B63" s="244">
        <v>0</v>
      </c>
      <c r="C63" s="245">
        <v>0</v>
      </c>
      <c r="D63" s="266">
        <f>B63-C63</f>
        <v>0</v>
      </c>
      <c r="E63" s="62"/>
      <c r="F63" s="73"/>
      <c r="H63" s="65"/>
      <c r="I63" s="65"/>
      <c r="J63" s="65"/>
      <c r="K63" s="66"/>
      <c r="L63" s="66"/>
      <c r="M63" s="66"/>
      <c r="N63" s="66"/>
    </row>
    <row r="64" spans="1:14" ht="16.5" thickBot="1">
      <c r="A64" s="267" t="s">
        <v>236</v>
      </c>
      <c r="B64" s="268">
        <f>B59</f>
        <v>8167.44</v>
      </c>
      <c r="C64" s="269">
        <f>C59</f>
        <v>6342.017159999999</v>
      </c>
      <c r="D64" s="270">
        <f>B64-C64</f>
        <v>1825.4228400000002</v>
      </c>
      <c r="E64" s="62"/>
      <c r="F64" s="73"/>
      <c r="H64" s="65" t="s">
        <v>26</v>
      </c>
      <c r="I64" s="65"/>
      <c r="J64" s="65"/>
      <c r="K64" s="66"/>
      <c r="L64" s="66"/>
      <c r="M64" s="66"/>
      <c r="N64" s="66"/>
    </row>
    <row r="65" spans="1:14" ht="15.75">
      <c r="A65" s="247"/>
      <c r="B65" s="248"/>
      <c r="C65" s="249"/>
      <c r="D65" s="250"/>
      <c r="E65" s="62"/>
      <c r="F65" s="73"/>
      <c r="H65" s="65"/>
      <c r="I65" s="65"/>
      <c r="J65" s="65"/>
      <c r="K65" s="66"/>
      <c r="L65" s="66"/>
      <c r="M65" s="66"/>
      <c r="N65" s="66"/>
    </row>
    <row r="66" spans="1:14" ht="26.25">
      <c r="A66" s="251" t="s">
        <v>66</v>
      </c>
      <c r="B66" s="248" t="s">
        <v>11</v>
      </c>
      <c r="C66" s="252"/>
      <c r="D66" s="253">
        <v>0</v>
      </c>
      <c r="E66" s="62"/>
      <c r="F66" s="73"/>
      <c r="H66" s="65"/>
      <c r="I66" s="65"/>
      <c r="J66" s="65" t="s">
        <v>26</v>
      </c>
      <c r="K66" s="66"/>
      <c r="L66" s="66"/>
      <c r="M66" s="66"/>
      <c r="N66" s="66"/>
    </row>
    <row r="67" spans="1:14" ht="17.25" customHeight="1">
      <c r="A67" s="572" t="s">
        <v>67</v>
      </c>
      <c r="B67" s="572"/>
      <c r="C67" s="572"/>
      <c r="D67" s="572"/>
      <c r="E67" s="83" t="e">
        <f>D67+B19</f>
        <v>#VALUE!</v>
      </c>
      <c r="F67" s="65"/>
      <c r="H67" s="84" t="e">
        <f>E67-B18</f>
        <v>#VALUE!</v>
      </c>
      <c r="I67" s="65"/>
      <c r="J67" s="65"/>
      <c r="K67" s="66"/>
      <c r="L67" s="66"/>
      <c r="M67" s="66"/>
      <c r="N67" s="66"/>
    </row>
    <row r="68" spans="1:5" ht="21" customHeight="1">
      <c r="A68" s="86" t="s">
        <v>45</v>
      </c>
      <c r="B68" s="86" t="s">
        <v>46</v>
      </c>
      <c r="C68" s="86"/>
      <c r="D68" s="177">
        <v>0</v>
      </c>
      <c r="E68" s="88"/>
    </row>
    <row r="69" spans="1:5" ht="21" customHeight="1">
      <c r="A69" s="86" t="s">
        <v>47</v>
      </c>
      <c r="B69" s="86" t="s">
        <v>46</v>
      </c>
      <c r="C69" s="86"/>
      <c r="D69" s="177">
        <v>0</v>
      </c>
      <c r="E69" s="88"/>
    </row>
    <row r="70" spans="1:5" ht="18" customHeight="1">
      <c r="A70" s="86" t="s">
        <v>48</v>
      </c>
      <c r="B70" s="86" t="s">
        <v>46</v>
      </c>
      <c r="C70" s="86"/>
      <c r="D70" s="177">
        <v>0</v>
      </c>
      <c r="E70" s="88"/>
    </row>
    <row r="71" spans="1:5" ht="16.5" customHeight="1">
      <c r="A71" s="86" t="s">
        <v>49</v>
      </c>
      <c r="B71" s="86" t="s">
        <v>11</v>
      </c>
      <c r="C71" s="86"/>
      <c r="D71" s="177">
        <v>0</v>
      </c>
      <c r="E71" s="88"/>
    </row>
    <row r="72" spans="1:5" ht="15.75" customHeight="1">
      <c r="A72" s="566" t="s">
        <v>68</v>
      </c>
      <c r="B72" s="566"/>
      <c r="C72" s="566"/>
      <c r="D72" s="566"/>
      <c r="E72" s="88"/>
    </row>
    <row r="73" spans="1:5" ht="18.75" customHeight="1">
      <c r="A73" s="86" t="s">
        <v>69</v>
      </c>
      <c r="B73" s="86" t="s">
        <v>46</v>
      </c>
      <c r="C73" s="86"/>
      <c r="D73" s="177">
        <v>2</v>
      </c>
      <c r="E73" s="88"/>
    </row>
    <row r="74" spans="1:5" ht="21.75" customHeight="1">
      <c r="A74" s="86" t="s">
        <v>70</v>
      </c>
      <c r="B74" s="254" t="s">
        <v>46</v>
      </c>
      <c r="C74" s="254"/>
      <c r="D74" s="177">
        <v>3</v>
      </c>
      <c r="E74" s="88"/>
    </row>
    <row r="75" spans="1:5" ht="36" customHeight="1">
      <c r="A75" s="255" t="s">
        <v>71</v>
      </c>
      <c r="B75" s="86" t="s">
        <v>11</v>
      </c>
      <c r="C75" s="86"/>
      <c r="D75" s="177">
        <v>0</v>
      </c>
      <c r="E75" s="88"/>
    </row>
    <row r="76" spans="1:4" ht="15.75">
      <c r="A76" s="256"/>
      <c r="B76" s="256"/>
      <c r="C76" s="256"/>
      <c r="D76" s="257"/>
    </row>
    <row r="77" spans="1:14" s="1" customFormat="1" ht="12.75">
      <c r="A77" s="178"/>
      <c r="B77" s="178"/>
      <c r="C77" s="178"/>
      <c r="D77" s="178"/>
      <c r="H77" s="1" t="s">
        <v>26</v>
      </c>
      <c r="K77"/>
      <c r="L77"/>
      <c r="M77"/>
      <c r="N77"/>
    </row>
    <row r="78" spans="1:14" s="1" customFormat="1" ht="12.75">
      <c r="A78" s="178" t="s">
        <v>72</v>
      </c>
      <c r="B78" s="178"/>
      <c r="C78" s="178"/>
      <c r="D78" s="178"/>
      <c r="K78"/>
      <c r="L78"/>
      <c r="M78"/>
      <c r="N78"/>
    </row>
    <row r="79" spans="1:14" s="1" customFormat="1" ht="12.75">
      <c r="A79" s="178"/>
      <c r="B79" s="178"/>
      <c r="C79" s="178"/>
      <c r="D79" s="178"/>
      <c r="H79" s="1" t="s">
        <v>26</v>
      </c>
      <c r="K79"/>
      <c r="L79"/>
      <c r="M79"/>
      <c r="N79"/>
    </row>
    <row r="80" spans="1:14" s="1" customFormat="1" ht="12.75">
      <c r="A80" s="178" t="s">
        <v>73</v>
      </c>
      <c r="B80" s="178"/>
      <c r="C80" s="178"/>
      <c r="D80" s="178"/>
      <c r="K80"/>
      <c r="L80"/>
      <c r="M80"/>
      <c r="N80"/>
    </row>
    <row r="81" spans="1:4" ht="12.75">
      <c r="A81" s="178"/>
      <c r="B81" s="178"/>
      <c r="C81" s="178"/>
      <c r="D81" s="178"/>
    </row>
    <row r="84" spans="1:14" s="1" customFormat="1" ht="12.75">
      <c r="A84"/>
      <c r="B84"/>
      <c r="C84"/>
      <c r="D84"/>
      <c r="E84" s="1" t="s">
        <v>26</v>
      </c>
      <c r="K84"/>
      <c r="L84"/>
      <c r="M84"/>
      <c r="N84"/>
    </row>
  </sheetData>
  <sheetProtection selectLockedCells="1" selectUnlockedCells="1"/>
  <mergeCells count="13">
    <mergeCell ref="A72:D72"/>
    <mergeCell ref="A14:D14"/>
    <mergeCell ref="A29:D29"/>
    <mergeCell ref="A42:D42"/>
    <mergeCell ref="A47:D47"/>
    <mergeCell ref="A54:D54"/>
    <mergeCell ref="A67:D67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zoomScale="80" zoomScaleNormal="80" zoomScalePageLayoutView="0" workbookViewId="0" topLeftCell="A16">
      <selection activeCell="D39" sqref="D39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560" t="s">
        <v>0</v>
      </c>
      <c r="B1" s="560"/>
      <c r="C1" s="560"/>
      <c r="D1" s="560"/>
    </row>
    <row r="2" spans="1:4" ht="15.75">
      <c r="A2" s="561" t="s">
        <v>220</v>
      </c>
      <c r="B2" s="562"/>
      <c r="C2" s="562"/>
      <c r="D2" s="562"/>
    </row>
    <row r="3" spans="1:4" ht="15.75">
      <c r="A3" s="562" t="s">
        <v>1</v>
      </c>
      <c r="B3" s="562"/>
      <c r="C3" s="562"/>
      <c r="D3" s="562"/>
    </row>
    <row r="4" spans="1:4" ht="12.75">
      <c r="A4" s="563" t="s">
        <v>109</v>
      </c>
      <c r="B4" s="563"/>
      <c r="C4" s="563"/>
      <c r="D4" s="563"/>
    </row>
    <row r="5" spans="1:4" ht="12.75">
      <c r="A5" s="564" t="s">
        <v>266</v>
      </c>
      <c r="B5" s="563"/>
      <c r="C5" s="563"/>
      <c r="D5" s="563"/>
    </row>
    <row r="6" spans="1:4" ht="9" customHeight="1">
      <c r="A6" s="258"/>
      <c r="B6" s="178"/>
      <c r="C6" s="178"/>
      <c r="D6" s="178"/>
    </row>
    <row r="7" spans="1:4" ht="18" customHeight="1">
      <c r="A7" s="565" t="s">
        <v>2</v>
      </c>
      <c r="B7" s="565"/>
      <c r="C7" s="565"/>
      <c r="D7" s="565"/>
    </row>
    <row r="8" spans="1:4" ht="12.75">
      <c r="A8" s="258" t="s">
        <v>169</v>
      </c>
      <c r="B8" s="178"/>
      <c r="C8" s="183"/>
      <c r="D8" s="178"/>
    </row>
    <row r="9" spans="1:4" ht="12.75">
      <c r="A9" s="184" t="s">
        <v>3</v>
      </c>
      <c r="B9" s="184" t="s">
        <v>4</v>
      </c>
      <c r="C9" s="184" t="s">
        <v>5</v>
      </c>
      <c r="D9" s="185"/>
    </row>
    <row r="10" spans="1:4" ht="12.75">
      <c r="A10" s="186">
        <v>1</v>
      </c>
      <c r="B10" s="186">
        <v>2</v>
      </c>
      <c r="C10" s="186">
        <v>3</v>
      </c>
      <c r="D10" s="187">
        <v>4</v>
      </c>
    </row>
    <row r="11" spans="1:4" ht="12.75">
      <c r="A11" s="20" t="s">
        <v>6</v>
      </c>
      <c r="B11" s="188"/>
      <c r="C11" s="189" t="s">
        <v>262</v>
      </c>
      <c r="D11" s="190"/>
    </row>
    <row r="12" spans="1:8" ht="12.75">
      <c r="A12" s="20" t="s">
        <v>7</v>
      </c>
      <c r="B12" s="188"/>
      <c r="C12" s="189" t="s">
        <v>263</v>
      </c>
      <c r="D12" s="190"/>
      <c r="E12" s="109"/>
      <c r="F12" s="109"/>
      <c r="G12" s="109"/>
      <c r="H12" s="109"/>
    </row>
    <row r="13" spans="1:8" ht="12.75">
      <c r="A13" s="20" t="s">
        <v>8</v>
      </c>
      <c r="B13" s="188"/>
      <c r="C13" s="189" t="s">
        <v>267</v>
      </c>
      <c r="D13" s="190"/>
      <c r="E13" s="109"/>
      <c r="F13" s="109"/>
      <c r="G13" s="109"/>
      <c r="H13" s="109"/>
    </row>
    <row r="14" spans="1:8" ht="31.5" customHeight="1">
      <c r="A14" s="567" t="s">
        <v>9</v>
      </c>
      <c r="B14" s="567"/>
      <c r="C14" s="567"/>
      <c r="D14" s="567"/>
      <c r="E14" s="109"/>
      <c r="F14" s="109"/>
      <c r="G14" s="109"/>
      <c r="H14" s="109"/>
    </row>
    <row r="15" spans="1:8" ht="26.25">
      <c r="A15" s="17" t="s">
        <v>10</v>
      </c>
      <c r="B15" s="191" t="s">
        <v>11</v>
      </c>
      <c r="C15" s="192">
        <v>59684.83</v>
      </c>
      <c r="D15" s="193"/>
      <c r="E15" s="109"/>
      <c r="F15" s="109"/>
      <c r="G15" s="109"/>
      <c r="H15" s="109"/>
    </row>
    <row r="16" spans="1:8" ht="15.75">
      <c r="A16" s="20" t="s">
        <v>12</v>
      </c>
      <c r="B16" s="191" t="s">
        <v>11</v>
      </c>
      <c r="C16" s="192">
        <v>0</v>
      </c>
      <c r="D16" s="193"/>
      <c r="E16" s="109"/>
      <c r="F16" s="59"/>
      <c r="G16" s="59"/>
      <c r="H16" s="59"/>
    </row>
    <row r="17" spans="1:8" ht="15.75">
      <c r="A17" s="20" t="s">
        <v>13</v>
      </c>
      <c r="B17" s="191" t="s">
        <v>11</v>
      </c>
      <c r="C17" s="194">
        <v>1432.1</v>
      </c>
      <c r="D17" s="195"/>
      <c r="E17" s="109"/>
      <c r="F17" s="59"/>
      <c r="G17" s="59"/>
      <c r="H17" s="59"/>
    </row>
    <row r="18" spans="1:8" ht="31.5" customHeight="1">
      <c r="A18" s="17" t="s">
        <v>14</v>
      </c>
      <c r="B18" s="191" t="s">
        <v>11</v>
      </c>
      <c r="C18" s="194">
        <f>14907.24+1542.24</f>
        <v>16449.48</v>
      </c>
      <c r="D18" s="195"/>
      <c r="E18" s="110">
        <f>C18-C20</f>
        <v>9020.952</v>
      </c>
      <c r="F18" s="109"/>
      <c r="G18" s="109"/>
      <c r="H18" s="109"/>
    </row>
    <row r="19" spans="1:8" ht="15.75">
      <c r="A19" s="20" t="s">
        <v>15</v>
      </c>
      <c r="B19" s="191" t="s">
        <v>11</v>
      </c>
      <c r="C19" s="194">
        <f>C18-C20-C21</f>
        <v>4008.0359999999982</v>
      </c>
      <c r="D19" s="195"/>
      <c r="E19" s="110">
        <f>E18-E38</f>
        <v>-0.004000000002633897</v>
      </c>
      <c r="F19" s="109"/>
      <c r="G19" s="109"/>
      <c r="H19" s="109"/>
    </row>
    <row r="20" spans="1:8" ht="15.75">
      <c r="A20" s="20" t="s">
        <v>16</v>
      </c>
      <c r="B20" s="191" t="s">
        <v>11</v>
      </c>
      <c r="C20" s="194">
        <f>4.92*12*99.7+1542.24</f>
        <v>7428.528</v>
      </c>
      <c r="D20" s="195"/>
      <c r="E20" s="111"/>
      <c r="F20" s="109"/>
      <c r="G20" s="109"/>
      <c r="H20" s="109"/>
    </row>
    <row r="21" spans="1:8" ht="15.75">
      <c r="A21" s="20" t="s">
        <v>17</v>
      </c>
      <c r="B21" s="191" t="s">
        <v>11</v>
      </c>
      <c r="C21" s="196">
        <f>99.7*4.19*12</f>
        <v>5012.916000000001</v>
      </c>
      <c r="D21" s="195"/>
      <c r="E21" s="109"/>
      <c r="F21" s="109"/>
      <c r="G21" s="109"/>
      <c r="H21" s="109"/>
    </row>
    <row r="22" spans="1:8" ht="15.75">
      <c r="A22" s="20" t="s">
        <v>18</v>
      </c>
      <c r="B22" s="191" t="s">
        <v>11</v>
      </c>
      <c r="C22" s="194">
        <f>C23+C24+C25+C26+C27</f>
        <v>15817.819968</v>
      </c>
      <c r="D22" s="195" t="s">
        <v>19</v>
      </c>
      <c r="E22" s="110" t="e">
        <f>B24+B25+B26+B27+B28</f>
        <v>#VALUE!</v>
      </c>
      <c r="F22" s="109"/>
      <c r="G22" s="109"/>
      <c r="H22" s="109"/>
    </row>
    <row r="23" spans="1:8" ht="15.75">
      <c r="A23" s="20" t="s">
        <v>20</v>
      </c>
      <c r="B23" s="191" t="s">
        <v>11</v>
      </c>
      <c r="C23" s="194">
        <f>C18*0.9616</f>
        <v>15817.819968</v>
      </c>
      <c r="D23" s="195"/>
      <c r="E23" s="109"/>
      <c r="F23" s="109"/>
      <c r="G23" s="109"/>
      <c r="H23" s="109"/>
    </row>
    <row r="24" spans="1:8" ht="15.75">
      <c r="A24" s="20" t="s">
        <v>21</v>
      </c>
      <c r="B24" s="191" t="s">
        <v>11</v>
      </c>
      <c r="C24" s="194">
        <v>0</v>
      </c>
      <c r="D24" s="197">
        <v>65.21</v>
      </c>
      <c r="E24" s="111" t="e">
        <f>B24/#REF!*1</f>
        <v>#VALUE!</v>
      </c>
      <c r="F24" s="109"/>
      <c r="G24" s="109"/>
      <c r="H24" s="109" t="s">
        <v>22</v>
      </c>
    </row>
    <row r="25" spans="1:8" ht="15.75">
      <c r="A25" s="20" t="s">
        <v>23</v>
      </c>
      <c r="B25" s="191" t="s">
        <v>11</v>
      </c>
      <c r="C25" s="194">
        <v>0</v>
      </c>
      <c r="D25" s="197">
        <v>119.63</v>
      </c>
      <c r="E25" s="111" t="e">
        <f>B25/#REF!*1</f>
        <v>#VALUE!</v>
      </c>
      <c r="F25" s="109"/>
      <c r="G25" s="109"/>
      <c r="H25" s="109"/>
    </row>
    <row r="26" spans="1:8" ht="15.75">
      <c r="A26" s="188" t="s">
        <v>24</v>
      </c>
      <c r="B26" s="191" t="s">
        <v>11</v>
      </c>
      <c r="C26" s="194">
        <v>0</v>
      </c>
      <c r="D26" s="197"/>
      <c r="E26" s="111" t="e">
        <f>B26/#REF!*1</f>
        <v>#VALUE!</v>
      </c>
      <c r="F26" s="109"/>
      <c r="G26" s="109"/>
      <c r="H26" s="109"/>
    </row>
    <row r="27" spans="1:8" ht="16.5" customHeight="1">
      <c r="A27" s="198" t="s">
        <v>96</v>
      </c>
      <c r="B27" s="191" t="s">
        <v>11</v>
      </c>
      <c r="C27" s="194">
        <v>0</v>
      </c>
      <c r="D27" s="197">
        <v>139.18</v>
      </c>
      <c r="E27" s="111" t="e">
        <f>B27/#REF!*1</f>
        <v>#VALUE!</v>
      </c>
      <c r="F27" s="109"/>
      <c r="G27" s="109"/>
      <c r="H27" s="109"/>
    </row>
    <row r="28" spans="1:8" ht="15.75">
      <c r="A28" s="20" t="s">
        <v>25</v>
      </c>
      <c r="B28" s="191" t="s">
        <v>11</v>
      </c>
      <c r="C28" s="194">
        <f>C15+C22</f>
        <v>75502.649968</v>
      </c>
      <c r="D28" s="195" t="s">
        <v>26</v>
      </c>
      <c r="E28" s="111" t="e">
        <f>B28/#REF!*1</f>
        <v>#VALUE!</v>
      </c>
      <c r="F28" s="109"/>
      <c r="G28" s="109"/>
      <c r="H28" s="109"/>
    </row>
    <row r="29" spans="1:8" ht="35.25" customHeight="1">
      <c r="A29" s="568" t="s">
        <v>27</v>
      </c>
      <c r="B29" s="568"/>
      <c r="C29" s="568"/>
      <c r="D29" s="568"/>
      <c r="E29" s="109"/>
      <c r="F29" s="109"/>
      <c r="G29" s="109"/>
      <c r="H29" s="109"/>
    </row>
    <row r="30" spans="1:8" ht="63">
      <c r="A30" s="271" t="s">
        <v>28</v>
      </c>
      <c r="B30" s="307" t="s">
        <v>29</v>
      </c>
      <c r="C30" s="286" t="s">
        <v>30</v>
      </c>
      <c r="D30" s="308" t="s">
        <v>31</v>
      </c>
      <c r="E30" s="109"/>
      <c r="F30" s="109"/>
      <c r="G30" s="109"/>
      <c r="H30" s="109"/>
    </row>
    <row r="31" spans="1:8" ht="15.75">
      <c r="A31" s="203" t="s">
        <v>32</v>
      </c>
      <c r="B31" s="204" t="s">
        <v>33</v>
      </c>
      <c r="C31" s="205" t="s">
        <v>34</v>
      </c>
      <c r="D31" s="206">
        <f>0.85*12*99.7</f>
        <v>1016.9399999999999</v>
      </c>
      <c r="E31" s="109"/>
      <c r="F31" s="109"/>
      <c r="G31" s="109"/>
      <c r="H31" s="109"/>
    </row>
    <row r="32" spans="1:8" ht="15.75">
      <c r="A32" s="207" t="s">
        <v>36</v>
      </c>
      <c r="B32" s="208" t="s">
        <v>33</v>
      </c>
      <c r="C32" s="209" t="s">
        <v>37</v>
      </c>
      <c r="D32" s="210">
        <f>0.24*12*99.7</f>
        <v>287.136</v>
      </c>
      <c r="E32" s="109"/>
      <c r="F32" s="109"/>
      <c r="G32" s="109"/>
      <c r="H32" s="109"/>
    </row>
    <row r="33" spans="1:8" ht="15.75">
      <c r="A33" s="293" t="s">
        <v>99</v>
      </c>
      <c r="B33" s="208" t="s">
        <v>33</v>
      </c>
      <c r="C33" s="209" t="s">
        <v>34</v>
      </c>
      <c r="D33" s="210">
        <f>0.16*12*99.7+0.1</f>
        <v>191.524</v>
      </c>
      <c r="E33" s="109"/>
      <c r="F33" s="109"/>
      <c r="G33" s="109"/>
      <c r="H33" s="109"/>
    </row>
    <row r="34" spans="1:8" ht="15.75">
      <c r="A34" s="207" t="s">
        <v>81</v>
      </c>
      <c r="B34" s="213" t="s">
        <v>82</v>
      </c>
      <c r="C34" s="209" t="s">
        <v>34</v>
      </c>
      <c r="D34" s="210">
        <f>1.33*12*99.7</f>
        <v>1591.2120000000002</v>
      </c>
      <c r="E34" s="109"/>
      <c r="F34" s="109"/>
      <c r="G34" s="109"/>
      <c r="H34" s="109"/>
    </row>
    <row r="35" spans="1:8" ht="15.75">
      <c r="A35" s="207" t="s">
        <v>38</v>
      </c>
      <c r="B35" s="208" t="s">
        <v>35</v>
      </c>
      <c r="C35" s="362" t="s">
        <v>221</v>
      </c>
      <c r="D35" s="210">
        <f>4.19*99.7*12</f>
        <v>5012.916000000001</v>
      </c>
      <c r="E35" s="109"/>
      <c r="F35" s="109"/>
      <c r="G35" s="109"/>
      <c r="H35" s="109"/>
    </row>
    <row r="36" spans="1:8" ht="15.75">
      <c r="A36" s="207" t="s">
        <v>85</v>
      </c>
      <c r="B36" s="208" t="s">
        <v>222</v>
      </c>
      <c r="C36" s="214" t="s">
        <v>37</v>
      </c>
      <c r="D36" s="210">
        <f>99.7*0.77*12</f>
        <v>921.2280000000001</v>
      </c>
      <c r="E36" s="109"/>
      <c r="F36" s="109"/>
      <c r="G36" s="109"/>
      <c r="H36" s="109"/>
    </row>
    <row r="37" spans="1:14" s="1" customFormat="1" ht="47.25">
      <c r="A37" s="365" t="s">
        <v>40</v>
      </c>
      <c r="B37" s="215" t="s">
        <v>41</v>
      </c>
      <c r="C37" s="221"/>
      <c r="D37" s="175">
        <v>0</v>
      </c>
      <c r="E37" s="109"/>
      <c r="F37" s="109"/>
      <c r="G37" s="109"/>
      <c r="H37" s="109"/>
      <c r="K37"/>
      <c r="L37"/>
      <c r="M37"/>
      <c r="N37"/>
    </row>
    <row r="38" spans="1:14" s="1" customFormat="1" ht="15.75">
      <c r="A38" s="37" t="s">
        <v>42</v>
      </c>
      <c r="B38" s="222"/>
      <c r="C38" s="223"/>
      <c r="D38" s="97">
        <f>SUM(D31:D37)</f>
        <v>9020.956000000002</v>
      </c>
      <c r="E38" s="112">
        <f>D38-D37</f>
        <v>9020.956000000002</v>
      </c>
      <c r="F38" s="109"/>
      <c r="G38" s="109"/>
      <c r="H38" s="109"/>
      <c r="K38"/>
      <c r="L38"/>
      <c r="M38"/>
      <c r="N38"/>
    </row>
    <row r="39" spans="1:14" s="1" customFormat="1" ht="15.75">
      <c r="A39" s="40" t="s">
        <v>43</v>
      </c>
      <c r="B39" s="224" t="s">
        <v>11</v>
      </c>
      <c r="C39" s="225"/>
      <c r="D39" s="226">
        <f>C28-D38</f>
        <v>66481.69396799999</v>
      </c>
      <c r="E39" s="112"/>
      <c r="F39" s="109"/>
      <c r="G39" s="109"/>
      <c r="H39" s="109"/>
      <c r="K39"/>
      <c r="L39"/>
      <c r="M39"/>
      <c r="N39"/>
    </row>
    <row r="40" spans="1:14" s="1" customFormat="1" ht="15.75">
      <c r="A40" s="227" t="s">
        <v>12</v>
      </c>
      <c r="B40" s="228" t="s">
        <v>11</v>
      </c>
      <c r="C40" s="209"/>
      <c r="D40" s="193">
        <v>0</v>
      </c>
      <c r="E40" s="109"/>
      <c r="F40" s="109"/>
      <c r="G40" s="109"/>
      <c r="H40" s="109"/>
      <c r="K40"/>
      <c r="L40"/>
      <c r="M40"/>
      <c r="N40"/>
    </row>
    <row r="41" spans="1:14" s="1" customFormat="1" ht="15.75">
      <c r="A41" s="227" t="s">
        <v>13</v>
      </c>
      <c r="B41" s="228" t="s">
        <v>11</v>
      </c>
      <c r="C41" s="209"/>
      <c r="D41" s="195">
        <f>C17+C18-C23</f>
        <v>2063.7600319999983</v>
      </c>
      <c r="E41" s="109"/>
      <c r="F41" s="109"/>
      <c r="G41" s="109"/>
      <c r="H41" s="109"/>
      <c r="K41"/>
      <c r="L41"/>
      <c r="M41"/>
      <c r="N41"/>
    </row>
    <row r="42" spans="1:14" s="1" customFormat="1" ht="24" customHeight="1">
      <c r="A42" s="569" t="s">
        <v>44</v>
      </c>
      <c r="B42" s="569"/>
      <c r="C42" s="569"/>
      <c r="D42" s="569"/>
      <c r="E42" s="109"/>
      <c r="F42" s="109"/>
      <c r="G42" s="109"/>
      <c r="H42" s="109"/>
      <c r="K42"/>
      <c r="L42"/>
      <c r="M42"/>
      <c r="N42"/>
    </row>
    <row r="43" spans="1:14" s="1" customFormat="1" ht="15.75">
      <c r="A43" s="227" t="s">
        <v>45</v>
      </c>
      <c r="B43" s="208" t="s">
        <v>46</v>
      </c>
      <c r="C43" s="209">
        <v>0</v>
      </c>
      <c r="D43" s="193">
        <v>0</v>
      </c>
      <c r="E43" s="109"/>
      <c r="F43" s="109"/>
      <c r="G43" s="109"/>
      <c r="H43" s="109"/>
      <c r="K43"/>
      <c r="L43"/>
      <c r="M43"/>
      <c r="N43"/>
    </row>
    <row r="44" spans="1:14" s="1" customFormat="1" ht="15.75">
      <c r="A44" s="227" t="s">
        <v>47</v>
      </c>
      <c r="B44" s="208" t="s">
        <v>46</v>
      </c>
      <c r="C44" s="209">
        <v>0</v>
      </c>
      <c r="D44" s="193">
        <v>0</v>
      </c>
      <c r="E44" s="109"/>
      <c r="F44" s="109"/>
      <c r="G44" s="109"/>
      <c r="H44" s="109"/>
      <c r="K44"/>
      <c r="L44"/>
      <c r="M44"/>
      <c r="N44"/>
    </row>
    <row r="45" spans="1:14" s="1" customFormat="1" ht="15.75">
      <c r="A45" s="229" t="s">
        <v>48</v>
      </c>
      <c r="B45" s="208" t="s">
        <v>46</v>
      </c>
      <c r="C45" s="209">
        <v>0</v>
      </c>
      <c r="D45" s="193">
        <v>0</v>
      </c>
      <c r="E45" s="109"/>
      <c r="F45" s="109"/>
      <c r="G45" s="109"/>
      <c r="H45" s="109"/>
      <c r="K45"/>
      <c r="L45"/>
      <c r="M45"/>
      <c r="N45"/>
    </row>
    <row r="46" spans="1:14" s="1" customFormat="1" ht="15.75">
      <c r="A46" s="227" t="s">
        <v>49</v>
      </c>
      <c r="B46" s="208" t="s">
        <v>11</v>
      </c>
      <c r="C46" s="209">
        <v>0</v>
      </c>
      <c r="D46" s="193">
        <v>0</v>
      </c>
      <c r="E46" s="109"/>
      <c r="F46" s="109"/>
      <c r="G46" s="109"/>
      <c r="H46" s="109"/>
      <c r="K46"/>
      <c r="L46"/>
      <c r="M46"/>
      <c r="N46"/>
    </row>
    <row r="47" spans="1:8" ht="20.25" customHeight="1">
      <c r="A47" s="570" t="s">
        <v>50</v>
      </c>
      <c r="B47" s="570"/>
      <c r="C47" s="570"/>
      <c r="D47" s="570"/>
      <c r="E47" s="109"/>
      <c r="F47" s="109"/>
      <c r="G47" s="109"/>
      <c r="H47" s="109"/>
    </row>
    <row r="48" spans="1:8" ht="26.25">
      <c r="A48" s="229" t="s">
        <v>51</v>
      </c>
      <c r="B48" s="208" t="s">
        <v>11</v>
      </c>
      <c r="C48" s="209"/>
      <c r="D48" s="193">
        <v>0</v>
      </c>
      <c r="E48" s="109"/>
      <c r="F48" s="109"/>
      <c r="G48" s="109"/>
      <c r="H48" s="109"/>
    </row>
    <row r="49" spans="1:8" ht="15.75">
      <c r="A49" s="227" t="s">
        <v>12</v>
      </c>
      <c r="B49" s="208" t="s">
        <v>11</v>
      </c>
      <c r="C49" s="209"/>
      <c r="D49" s="193">
        <v>0</v>
      </c>
      <c r="E49" s="109"/>
      <c r="F49" s="109"/>
      <c r="G49" s="109"/>
      <c r="H49" s="109"/>
    </row>
    <row r="50" spans="1:8" ht="15.75">
      <c r="A50" s="227" t="s">
        <v>13</v>
      </c>
      <c r="B50" s="208" t="s">
        <v>11</v>
      </c>
      <c r="C50" s="209"/>
      <c r="D50" s="230">
        <v>1773.37</v>
      </c>
      <c r="E50" s="109"/>
      <c r="F50" s="109"/>
      <c r="G50" s="109"/>
      <c r="H50" s="113"/>
    </row>
    <row r="51" spans="1:8" ht="26.25">
      <c r="A51" s="231" t="s">
        <v>52</v>
      </c>
      <c r="B51" s="208" t="s">
        <v>11</v>
      </c>
      <c r="C51" s="232"/>
      <c r="D51" s="233">
        <v>0</v>
      </c>
      <c r="E51" s="109"/>
      <c r="F51" s="109"/>
      <c r="G51" s="109"/>
      <c r="H51" s="109"/>
    </row>
    <row r="52" spans="1:10" ht="17.25" customHeight="1">
      <c r="A52" s="254" t="s">
        <v>12</v>
      </c>
      <c r="B52" s="208" t="s">
        <v>11</v>
      </c>
      <c r="C52" s="276"/>
      <c r="D52" s="55">
        <v>0</v>
      </c>
      <c r="E52" s="109"/>
      <c r="F52" s="109"/>
      <c r="G52" s="109"/>
      <c r="H52" s="109"/>
      <c r="I52" s="49"/>
      <c r="J52" s="49"/>
    </row>
    <row r="53" spans="1:14" ht="15.75">
      <c r="A53" s="235" t="s">
        <v>13</v>
      </c>
      <c r="B53" s="208" t="s">
        <v>11</v>
      </c>
      <c r="C53" s="236"/>
      <c r="D53" s="237">
        <v>836.9</v>
      </c>
      <c r="E53" s="109"/>
      <c r="F53" s="109"/>
      <c r="G53" s="109"/>
      <c r="H53" s="109" t="s">
        <v>26</v>
      </c>
      <c r="I53" s="60"/>
      <c r="J53" s="60"/>
      <c r="K53" s="61"/>
      <c r="L53" s="61"/>
      <c r="M53" s="61"/>
      <c r="N53" s="61"/>
    </row>
    <row r="54" spans="1:14" ht="18" customHeight="1">
      <c r="A54" s="571" t="s">
        <v>53</v>
      </c>
      <c r="B54" s="571"/>
      <c r="C54" s="571"/>
      <c r="D54" s="571"/>
      <c r="E54" s="114"/>
      <c r="F54" s="115"/>
      <c r="G54" s="116"/>
      <c r="H54" s="109"/>
      <c r="I54" s="65"/>
      <c r="J54" s="65"/>
      <c r="K54" s="66"/>
      <c r="L54" s="66"/>
      <c r="M54" s="66"/>
      <c r="N54" s="66"/>
    </row>
    <row r="55" spans="1:14" ht="47.25">
      <c r="A55" s="67" t="s">
        <v>54</v>
      </c>
      <c r="B55" s="68" t="s">
        <v>55</v>
      </c>
      <c r="C55" s="69" t="s">
        <v>56</v>
      </c>
      <c r="D55" s="70" t="s">
        <v>57</v>
      </c>
      <c r="E55" s="114"/>
      <c r="F55" s="115"/>
      <c r="G55" s="116"/>
      <c r="H55" s="109"/>
      <c r="I55" s="65"/>
      <c r="J55" s="71"/>
      <c r="K55" s="66"/>
      <c r="L55" s="66"/>
      <c r="M55" s="66"/>
      <c r="N55" s="66"/>
    </row>
    <row r="56" spans="1:14" ht="15.75">
      <c r="A56" s="238" t="s">
        <v>58</v>
      </c>
      <c r="B56" s="239">
        <v>2360.48</v>
      </c>
      <c r="C56" s="240">
        <f>B56*0.9616</f>
        <v>2269.837568</v>
      </c>
      <c r="D56" s="241">
        <f>B56-C56</f>
        <v>90.6424320000001</v>
      </c>
      <c r="E56" s="117"/>
      <c r="F56" s="115"/>
      <c r="G56" s="116"/>
      <c r="H56" s="109"/>
      <c r="I56" s="65"/>
      <c r="J56" s="65"/>
      <c r="K56" s="66"/>
      <c r="L56" s="66"/>
      <c r="M56" s="66"/>
      <c r="N56" s="66"/>
    </row>
    <row r="57" spans="1:14" ht="15.75">
      <c r="A57" s="238" t="s">
        <v>59</v>
      </c>
      <c r="B57" s="239">
        <v>0</v>
      </c>
      <c r="C57" s="240">
        <f>B57*0.9616</f>
        <v>0</v>
      </c>
      <c r="D57" s="241">
        <f>B57-C57</f>
        <v>0</v>
      </c>
      <c r="E57" s="114"/>
      <c r="F57" s="115"/>
      <c r="G57" s="116"/>
      <c r="H57" s="109"/>
      <c r="I57" s="65"/>
      <c r="J57" s="65"/>
      <c r="K57" s="66"/>
      <c r="L57" s="66"/>
      <c r="M57" s="66"/>
      <c r="N57" s="66"/>
    </row>
    <row r="58" spans="1:14" ht="15.75">
      <c r="A58" s="238" t="s">
        <v>60</v>
      </c>
      <c r="B58" s="242">
        <v>0</v>
      </c>
      <c r="C58" s="240">
        <f>B58*0.9616</f>
        <v>0</v>
      </c>
      <c r="D58" s="241">
        <f>B58-C58</f>
        <v>0</v>
      </c>
      <c r="E58" s="114">
        <f>(2.07+1.8)*6*2301.2-0.37*2301.2*6</f>
        <v>48325.2</v>
      </c>
      <c r="F58" s="118"/>
      <c r="G58" s="119"/>
      <c r="H58" s="114"/>
      <c r="I58" s="65"/>
      <c r="J58" s="65"/>
      <c r="K58" s="66"/>
      <c r="L58" s="66"/>
      <c r="M58" s="66"/>
      <c r="N58" s="66"/>
    </row>
    <row r="59" spans="1:14" ht="16.5" thickBot="1">
      <c r="A59" s="261" t="s">
        <v>236</v>
      </c>
      <c r="B59" s="262">
        <v>5584.97</v>
      </c>
      <c r="C59" s="240">
        <f>B59*0.9616</f>
        <v>5370.507152</v>
      </c>
      <c r="D59" s="264">
        <f>B59-C59</f>
        <v>214.46284800000012</v>
      </c>
      <c r="E59" s="114"/>
      <c r="F59" s="118"/>
      <c r="G59" s="119"/>
      <c r="H59" s="109"/>
      <c r="I59" s="65"/>
      <c r="J59" s="65"/>
      <c r="K59" s="66"/>
      <c r="L59" s="66"/>
      <c r="M59" s="66"/>
      <c r="N59" s="66"/>
    </row>
    <row r="60" spans="1:14" ht="63">
      <c r="A60" s="129" t="s">
        <v>62</v>
      </c>
      <c r="B60" s="130" t="s">
        <v>63</v>
      </c>
      <c r="C60" s="131" t="s">
        <v>64</v>
      </c>
      <c r="D60" s="132" t="s">
        <v>65</v>
      </c>
      <c r="E60" s="114"/>
      <c r="F60" s="118"/>
      <c r="G60" s="109"/>
      <c r="H60" s="120"/>
      <c r="I60" s="65"/>
      <c r="J60" s="65"/>
      <c r="K60" s="66"/>
      <c r="L60" s="66"/>
      <c r="M60" s="66"/>
      <c r="N60" s="66"/>
    </row>
    <row r="61" spans="1:14" ht="15.75">
      <c r="A61" s="265" t="s">
        <v>58</v>
      </c>
      <c r="B61" s="244">
        <f>B56</f>
        <v>2360.48</v>
      </c>
      <c r="C61" s="245">
        <f>B61</f>
        <v>2360.48</v>
      </c>
      <c r="D61" s="266">
        <f>B61-C61</f>
        <v>0</v>
      </c>
      <c r="E61" s="114"/>
      <c r="F61" s="118"/>
      <c r="G61" s="109"/>
      <c r="H61" s="120"/>
      <c r="I61" s="65"/>
      <c r="J61" s="65" t="s">
        <v>26</v>
      </c>
      <c r="K61" s="66"/>
      <c r="L61" s="66"/>
      <c r="M61" s="66"/>
      <c r="N61" s="66"/>
    </row>
    <row r="62" spans="1:14" ht="15.75">
      <c r="A62" s="265" t="s">
        <v>59</v>
      </c>
      <c r="B62" s="244">
        <v>0</v>
      </c>
      <c r="C62" s="245">
        <v>0</v>
      </c>
      <c r="D62" s="266">
        <f>B62-C62</f>
        <v>0</v>
      </c>
      <c r="E62" s="114"/>
      <c r="F62" s="118"/>
      <c r="G62" s="109"/>
      <c r="H62" s="120"/>
      <c r="I62" s="65"/>
      <c r="J62" s="65"/>
      <c r="K62" s="66"/>
      <c r="L62" s="66"/>
      <c r="M62" s="66"/>
      <c r="N62" s="66"/>
    </row>
    <row r="63" spans="1:14" ht="15.75">
      <c r="A63" s="265" t="s">
        <v>60</v>
      </c>
      <c r="B63" s="244">
        <v>0</v>
      </c>
      <c r="C63" s="245">
        <v>0</v>
      </c>
      <c r="D63" s="266">
        <f>B63-C63</f>
        <v>0</v>
      </c>
      <c r="E63" s="114"/>
      <c r="F63" s="118"/>
      <c r="G63" s="109"/>
      <c r="H63" s="120"/>
      <c r="I63" s="65"/>
      <c r="J63" s="65"/>
      <c r="K63" s="66"/>
      <c r="L63" s="66"/>
      <c r="M63" s="66"/>
      <c r="N63" s="66"/>
    </row>
    <row r="64" spans="1:14" ht="16.5" thickBot="1">
      <c r="A64" s="267" t="s">
        <v>236</v>
      </c>
      <c r="B64" s="268">
        <f>B59</f>
        <v>5584.97</v>
      </c>
      <c r="C64" s="269">
        <f>C59</f>
        <v>5370.507152</v>
      </c>
      <c r="D64" s="270">
        <v>0</v>
      </c>
      <c r="E64" s="114"/>
      <c r="F64" s="118"/>
      <c r="G64" s="109"/>
      <c r="H64" s="120" t="s">
        <v>26</v>
      </c>
      <c r="I64" s="65"/>
      <c r="J64" s="65"/>
      <c r="K64" s="66"/>
      <c r="L64" s="66"/>
      <c r="M64" s="66"/>
      <c r="N64" s="66"/>
    </row>
    <row r="65" spans="1:14" ht="15.75">
      <c r="A65" s="247"/>
      <c r="B65" s="248"/>
      <c r="C65" s="249"/>
      <c r="D65" s="250"/>
      <c r="E65" s="114"/>
      <c r="F65" s="118"/>
      <c r="G65" s="109"/>
      <c r="H65" s="120"/>
      <c r="I65" s="65"/>
      <c r="J65" s="65"/>
      <c r="K65" s="66"/>
      <c r="L65" s="66"/>
      <c r="M65" s="66"/>
      <c r="N65" s="66"/>
    </row>
    <row r="66" spans="1:14" ht="26.25">
      <c r="A66" s="251" t="s">
        <v>66</v>
      </c>
      <c r="B66" s="248" t="s">
        <v>11</v>
      </c>
      <c r="C66" s="252"/>
      <c r="D66" s="253">
        <v>0</v>
      </c>
      <c r="E66" s="114"/>
      <c r="F66" s="118"/>
      <c r="G66" s="109"/>
      <c r="H66" s="120"/>
      <c r="I66" s="65"/>
      <c r="J66" s="65" t="s">
        <v>26</v>
      </c>
      <c r="K66" s="66"/>
      <c r="L66" s="66"/>
      <c r="M66" s="66"/>
      <c r="N66" s="66"/>
    </row>
    <row r="67" spans="1:14" ht="17.25" customHeight="1">
      <c r="A67" s="572" t="s">
        <v>67</v>
      </c>
      <c r="B67" s="572"/>
      <c r="C67" s="572"/>
      <c r="D67" s="572"/>
      <c r="E67" s="121" t="e">
        <f>D67+B19</f>
        <v>#VALUE!</v>
      </c>
      <c r="F67" s="120"/>
      <c r="G67" s="109"/>
      <c r="H67" s="122" t="e">
        <f>E67-B18</f>
        <v>#VALUE!</v>
      </c>
      <c r="I67" s="65"/>
      <c r="J67" s="65"/>
      <c r="K67" s="66"/>
      <c r="L67" s="66"/>
      <c r="M67" s="66"/>
      <c r="N67" s="66"/>
    </row>
    <row r="68" spans="1:8" ht="21" customHeight="1">
      <c r="A68" s="86" t="s">
        <v>45</v>
      </c>
      <c r="B68" s="86" t="s">
        <v>46</v>
      </c>
      <c r="C68" s="86"/>
      <c r="D68" s="177">
        <v>0</v>
      </c>
      <c r="E68" s="123"/>
      <c r="F68" s="109"/>
      <c r="G68" s="109"/>
      <c r="H68" s="109"/>
    </row>
    <row r="69" spans="1:8" ht="21" customHeight="1">
      <c r="A69" s="86" t="s">
        <v>47</v>
      </c>
      <c r="B69" s="86" t="s">
        <v>46</v>
      </c>
      <c r="C69" s="86"/>
      <c r="D69" s="177">
        <v>0</v>
      </c>
      <c r="E69" s="123"/>
      <c r="F69" s="109"/>
      <c r="G69" s="109"/>
      <c r="H69" s="109"/>
    </row>
    <row r="70" spans="1:8" ht="18" customHeight="1">
      <c r="A70" s="86" t="s">
        <v>48</v>
      </c>
      <c r="B70" s="86" t="s">
        <v>46</v>
      </c>
      <c r="C70" s="86"/>
      <c r="D70" s="177">
        <v>0</v>
      </c>
      <c r="E70" s="123"/>
      <c r="F70" s="109"/>
      <c r="G70" s="109"/>
      <c r="H70" s="109"/>
    </row>
    <row r="71" spans="1:8" ht="16.5" customHeight="1">
      <c r="A71" s="86" t="s">
        <v>49</v>
      </c>
      <c r="B71" s="86" t="s">
        <v>11</v>
      </c>
      <c r="C71" s="86"/>
      <c r="D71" s="177">
        <v>0</v>
      </c>
      <c r="E71" s="123"/>
      <c r="F71" s="109"/>
      <c r="G71" s="109"/>
      <c r="H71" s="109"/>
    </row>
    <row r="72" spans="1:8" ht="15.75" customHeight="1">
      <c r="A72" s="566" t="s">
        <v>68</v>
      </c>
      <c r="B72" s="566"/>
      <c r="C72" s="566"/>
      <c r="D72" s="566"/>
      <c r="E72" s="123"/>
      <c r="F72" s="109"/>
      <c r="G72" s="109"/>
      <c r="H72" s="109"/>
    </row>
    <row r="73" spans="1:8" ht="18.75" customHeight="1">
      <c r="A73" s="86" t="s">
        <v>69</v>
      </c>
      <c r="B73" s="86" t="s">
        <v>46</v>
      </c>
      <c r="C73" s="86"/>
      <c r="D73" s="177">
        <v>0</v>
      </c>
      <c r="E73" s="123"/>
      <c r="F73" s="109"/>
      <c r="G73" s="109"/>
      <c r="H73" s="109"/>
    </row>
    <row r="74" spans="1:8" ht="21.75" customHeight="1">
      <c r="A74" s="86" t="s">
        <v>70</v>
      </c>
      <c r="B74" s="254" t="s">
        <v>46</v>
      </c>
      <c r="C74" s="254"/>
      <c r="D74" s="177">
        <v>0</v>
      </c>
      <c r="E74" s="123"/>
      <c r="F74" s="109"/>
      <c r="G74" s="109"/>
      <c r="H74" s="109"/>
    </row>
    <row r="75" spans="1:8" ht="36" customHeight="1">
      <c r="A75" s="255" t="s">
        <v>71</v>
      </c>
      <c r="B75" s="86" t="s">
        <v>11</v>
      </c>
      <c r="C75" s="86"/>
      <c r="D75" s="177">
        <v>0</v>
      </c>
      <c r="E75" s="123"/>
      <c r="F75" s="109"/>
      <c r="G75" s="109"/>
      <c r="H75" s="109"/>
    </row>
    <row r="76" spans="1:8" ht="15.75">
      <c r="A76" s="256"/>
      <c r="B76" s="256"/>
      <c r="C76" s="256"/>
      <c r="D76" s="257"/>
      <c r="E76" s="109"/>
      <c r="F76" s="109"/>
      <c r="G76" s="109"/>
      <c r="H76" s="109"/>
    </row>
    <row r="77" spans="1:14" s="1" customFormat="1" ht="12.75">
      <c r="A77" s="178"/>
      <c r="B77" s="178"/>
      <c r="C77" s="178"/>
      <c r="D77" s="178"/>
      <c r="E77" s="109"/>
      <c r="F77" s="109"/>
      <c r="G77" s="109"/>
      <c r="H77" s="109" t="s">
        <v>26</v>
      </c>
      <c r="K77"/>
      <c r="L77"/>
      <c r="M77"/>
      <c r="N77"/>
    </row>
    <row r="78" spans="1:14" s="1" customFormat="1" ht="12.75">
      <c r="A78" s="178" t="s">
        <v>72</v>
      </c>
      <c r="B78" s="178"/>
      <c r="C78" s="178"/>
      <c r="D78" s="178"/>
      <c r="E78" s="109"/>
      <c r="F78" s="109"/>
      <c r="G78" s="109"/>
      <c r="H78" s="109"/>
      <c r="K78"/>
      <c r="L78"/>
      <c r="M78"/>
      <c r="N78"/>
    </row>
    <row r="79" spans="1:14" s="1" customFormat="1" ht="12.75">
      <c r="A79" s="178"/>
      <c r="B79" s="178"/>
      <c r="C79" s="178"/>
      <c r="D79" s="178"/>
      <c r="H79" s="1" t="s">
        <v>26</v>
      </c>
      <c r="K79"/>
      <c r="L79"/>
      <c r="M79"/>
      <c r="N79"/>
    </row>
    <row r="80" spans="1:14" s="1" customFormat="1" ht="12.75">
      <c r="A80" s="178" t="s">
        <v>73</v>
      </c>
      <c r="B80" s="178"/>
      <c r="C80" s="178"/>
      <c r="D80" s="178"/>
      <c r="K80"/>
      <c r="L80"/>
      <c r="M80"/>
      <c r="N80"/>
    </row>
    <row r="81" spans="1:4" ht="12.75">
      <c r="A81" s="178"/>
      <c r="B81" s="178"/>
      <c r="C81" s="178"/>
      <c r="D81" s="178"/>
    </row>
    <row r="82" spans="1:4" ht="12.75">
      <c r="A82" s="178"/>
      <c r="B82" s="178"/>
      <c r="C82" s="178"/>
      <c r="D82" s="178"/>
    </row>
    <row r="84" spans="1:14" s="1" customFormat="1" ht="12.75">
      <c r="A84"/>
      <c r="B84"/>
      <c r="C84"/>
      <c r="D84"/>
      <c r="E84" s="1" t="s">
        <v>26</v>
      </c>
      <c r="K84"/>
      <c r="L84"/>
      <c r="M84"/>
      <c r="N84"/>
    </row>
  </sheetData>
  <sheetProtection selectLockedCells="1" selectUnlockedCells="1"/>
  <mergeCells count="13">
    <mergeCell ref="A72:D72"/>
    <mergeCell ref="A14:D14"/>
    <mergeCell ref="A29:D29"/>
    <mergeCell ref="A42:D42"/>
    <mergeCell ref="A47:D47"/>
    <mergeCell ref="A54:D54"/>
    <mergeCell ref="A67:D67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="80" zoomScaleNormal="80" zoomScalePageLayoutView="0" workbookViewId="0" topLeftCell="A22">
      <selection activeCell="D40" sqref="D40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560" t="s">
        <v>0</v>
      </c>
      <c r="B1" s="560"/>
      <c r="C1" s="560"/>
      <c r="D1" s="560"/>
    </row>
    <row r="2" spans="1:4" ht="15.75">
      <c r="A2" s="561" t="s">
        <v>220</v>
      </c>
      <c r="B2" s="562"/>
      <c r="C2" s="562"/>
      <c r="D2" s="562"/>
    </row>
    <row r="3" spans="1:4" ht="15.75">
      <c r="A3" s="562" t="s">
        <v>1</v>
      </c>
      <c r="B3" s="562"/>
      <c r="C3" s="562"/>
      <c r="D3" s="562"/>
    </row>
    <row r="4" spans="1:4" ht="12.75">
      <c r="A4" s="563" t="s">
        <v>110</v>
      </c>
      <c r="B4" s="563"/>
      <c r="C4" s="563"/>
      <c r="D4" s="563"/>
    </row>
    <row r="5" spans="1:4" ht="12.75">
      <c r="A5" s="564" t="s">
        <v>266</v>
      </c>
      <c r="B5" s="563"/>
      <c r="C5" s="563"/>
      <c r="D5" s="563"/>
    </row>
    <row r="6" spans="1:4" ht="9" customHeight="1">
      <c r="A6" s="258"/>
      <c r="B6" s="178"/>
      <c r="C6" s="178"/>
      <c r="D6" s="178"/>
    </row>
    <row r="7" spans="1:4" ht="18" customHeight="1">
      <c r="A7" s="565" t="s">
        <v>2</v>
      </c>
      <c r="B7" s="565"/>
      <c r="C7" s="565"/>
      <c r="D7" s="565"/>
    </row>
    <row r="8" spans="1:5" ht="12.75">
      <c r="A8" s="258" t="s">
        <v>170</v>
      </c>
      <c r="B8" s="178"/>
      <c r="C8" s="183"/>
      <c r="D8" s="178"/>
      <c r="E8" s="109"/>
    </row>
    <row r="9" spans="1:5" ht="12.75">
      <c r="A9" s="184" t="s">
        <v>3</v>
      </c>
      <c r="B9" s="184" t="s">
        <v>4</v>
      </c>
      <c r="C9" s="184" t="s">
        <v>5</v>
      </c>
      <c r="D9" s="185"/>
      <c r="E9" s="109"/>
    </row>
    <row r="10" spans="1:5" ht="12.75">
      <c r="A10" s="186">
        <v>1</v>
      </c>
      <c r="B10" s="186">
        <v>2</v>
      </c>
      <c r="C10" s="186">
        <v>3</v>
      </c>
      <c r="D10" s="187">
        <v>4</v>
      </c>
      <c r="E10" s="109"/>
    </row>
    <row r="11" spans="1:5" ht="12.75">
      <c r="A11" s="20" t="s">
        <v>6</v>
      </c>
      <c r="B11" s="188"/>
      <c r="C11" s="189" t="s">
        <v>262</v>
      </c>
      <c r="D11" s="190"/>
      <c r="E11" s="109"/>
    </row>
    <row r="12" spans="1:8" ht="12.75">
      <c r="A12" s="20" t="s">
        <v>7</v>
      </c>
      <c r="B12" s="188"/>
      <c r="C12" s="189" t="s">
        <v>263</v>
      </c>
      <c r="D12" s="190"/>
      <c r="E12" s="109"/>
      <c r="F12" s="109"/>
      <c r="G12" s="109"/>
      <c r="H12" s="109"/>
    </row>
    <row r="13" spans="1:8" ht="12.75">
      <c r="A13" s="20" t="s">
        <v>8</v>
      </c>
      <c r="B13" s="188"/>
      <c r="C13" s="189" t="s">
        <v>267</v>
      </c>
      <c r="D13" s="190"/>
      <c r="E13" s="109"/>
      <c r="F13" s="109"/>
      <c r="G13" s="109"/>
      <c r="H13" s="109"/>
    </row>
    <row r="14" spans="1:8" ht="31.5" customHeight="1">
      <c r="A14" s="567" t="s">
        <v>9</v>
      </c>
      <c r="B14" s="567"/>
      <c r="C14" s="567"/>
      <c r="D14" s="567"/>
      <c r="E14" s="109"/>
      <c r="F14" s="109"/>
      <c r="G14" s="109"/>
      <c r="H14" s="109"/>
    </row>
    <row r="15" spans="1:8" ht="26.25">
      <c r="A15" s="17" t="s">
        <v>10</v>
      </c>
      <c r="B15" s="191" t="s">
        <v>11</v>
      </c>
      <c r="C15" s="194">
        <v>10643.71</v>
      </c>
      <c r="D15" s="193"/>
      <c r="E15" s="109"/>
      <c r="F15" s="109"/>
      <c r="G15" s="109"/>
      <c r="H15" s="109"/>
    </row>
    <row r="16" spans="1:8" ht="15.75">
      <c r="A16" s="20" t="s">
        <v>12</v>
      </c>
      <c r="B16" s="191" t="s">
        <v>11</v>
      </c>
      <c r="C16" s="192">
        <v>0</v>
      </c>
      <c r="D16" s="193"/>
      <c r="E16" s="109"/>
      <c r="F16" s="59"/>
      <c r="G16" s="59"/>
      <c r="H16" s="59"/>
    </row>
    <row r="17" spans="1:8" ht="15.75">
      <c r="A17" s="20" t="s">
        <v>13</v>
      </c>
      <c r="B17" s="191" t="s">
        <v>11</v>
      </c>
      <c r="C17" s="194">
        <v>32382.8</v>
      </c>
      <c r="D17" s="195"/>
      <c r="E17" s="109"/>
      <c r="F17" s="59"/>
      <c r="G17" s="59"/>
      <c r="H17" s="59"/>
    </row>
    <row r="18" spans="1:8" ht="31.5" customHeight="1">
      <c r="A18" s="17" t="s">
        <v>14</v>
      </c>
      <c r="B18" s="191" t="s">
        <v>11</v>
      </c>
      <c r="C18" s="194">
        <f>15584.4+2086.56</f>
        <v>17670.96</v>
      </c>
      <c r="D18" s="195"/>
      <c r="E18" s="110">
        <f>C18-C20</f>
        <v>10136.519999999999</v>
      </c>
      <c r="F18" s="59"/>
      <c r="G18" s="59"/>
      <c r="H18" s="59"/>
    </row>
    <row r="19" spans="1:8" ht="15.75">
      <c r="A19" s="20" t="s">
        <v>15</v>
      </c>
      <c r="B19" s="191" t="s">
        <v>11</v>
      </c>
      <c r="C19" s="194">
        <f>C18-C20-C21</f>
        <v>4555.439999999999</v>
      </c>
      <c r="D19" s="195"/>
      <c r="E19" s="110">
        <f>E18-E39</f>
        <v>0.0019999999985884642</v>
      </c>
      <c r="F19" s="59"/>
      <c r="G19" s="59"/>
      <c r="H19" s="59"/>
    </row>
    <row r="20" spans="1:8" ht="15.75">
      <c r="A20" s="20" t="s">
        <v>16</v>
      </c>
      <c r="B20" s="191" t="s">
        <v>11</v>
      </c>
      <c r="C20" s="194">
        <f>(4.01+4.17)*6*111+2086.56</f>
        <v>7534.4400000000005</v>
      </c>
      <c r="D20" s="195"/>
      <c r="E20" s="111"/>
      <c r="F20" s="109"/>
      <c r="G20" s="109"/>
      <c r="H20" s="109"/>
    </row>
    <row r="21" spans="1:8" ht="15.75">
      <c r="A21" s="20" t="s">
        <v>17</v>
      </c>
      <c r="B21" s="191" t="s">
        <v>11</v>
      </c>
      <c r="C21" s="196">
        <f>111*4.19*12</f>
        <v>5581.08</v>
      </c>
      <c r="D21" s="195"/>
      <c r="E21" s="109"/>
      <c r="F21" s="109"/>
      <c r="G21" s="109"/>
      <c r="H21" s="109"/>
    </row>
    <row r="22" spans="1:8" ht="15.75">
      <c r="A22" s="20" t="s">
        <v>18</v>
      </c>
      <c r="B22" s="191" t="s">
        <v>11</v>
      </c>
      <c r="C22" s="194">
        <f>C23+C24+C25+C26+C27</f>
        <v>15732.455687999998</v>
      </c>
      <c r="D22" s="195" t="s">
        <v>19</v>
      </c>
      <c r="E22" s="110" t="e">
        <f>B24+B25+B26+B27+B28</f>
        <v>#VALUE!</v>
      </c>
      <c r="F22" s="109"/>
      <c r="G22" s="109"/>
      <c r="H22" s="109"/>
    </row>
    <row r="23" spans="1:8" ht="15.75">
      <c r="A23" s="20" t="s">
        <v>20</v>
      </c>
      <c r="B23" s="191" t="s">
        <v>11</v>
      </c>
      <c r="C23" s="194">
        <f>C18*0.8903</f>
        <v>15732.455687999998</v>
      </c>
      <c r="D23" s="195"/>
      <c r="E23" s="109"/>
      <c r="F23" s="109"/>
      <c r="G23" s="109"/>
      <c r="H23" s="109"/>
    </row>
    <row r="24" spans="1:8" ht="15.75">
      <c r="A24" s="20" t="s">
        <v>21</v>
      </c>
      <c r="B24" s="191" t="s">
        <v>11</v>
      </c>
      <c r="C24" s="194">
        <v>0</v>
      </c>
      <c r="D24" s="197">
        <v>65.21</v>
      </c>
      <c r="E24" s="111" t="e">
        <f>B24/#REF!*1</f>
        <v>#VALUE!</v>
      </c>
      <c r="F24" s="109"/>
      <c r="G24" s="109"/>
      <c r="H24" s="109" t="s">
        <v>22</v>
      </c>
    </row>
    <row r="25" spans="1:8" ht="15.75">
      <c r="A25" s="20" t="s">
        <v>23</v>
      </c>
      <c r="B25" s="191" t="s">
        <v>11</v>
      </c>
      <c r="C25" s="194">
        <v>0</v>
      </c>
      <c r="D25" s="197">
        <v>119.63</v>
      </c>
      <c r="E25" s="111" t="e">
        <f>B25/#REF!*1</f>
        <v>#VALUE!</v>
      </c>
      <c r="F25" s="109"/>
      <c r="G25" s="109"/>
      <c r="H25" s="109"/>
    </row>
    <row r="26" spans="1:8" ht="15.75">
      <c r="A26" s="188" t="s">
        <v>24</v>
      </c>
      <c r="B26" s="191" t="s">
        <v>11</v>
      </c>
      <c r="C26" s="194">
        <v>0</v>
      </c>
      <c r="D26" s="197"/>
      <c r="E26" s="111" t="e">
        <f>B26/#REF!*1</f>
        <v>#VALUE!</v>
      </c>
      <c r="F26" s="109"/>
      <c r="G26" s="109"/>
      <c r="H26" s="109"/>
    </row>
    <row r="27" spans="1:8" ht="16.5" customHeight="1">
      <c r="A27" s="198" t="s">
        <v>96</v>
      </c>
      <c r="B27" s="191" t="s">
        <v>11</v>
      </c>
      <c r="C27" s="194">
        <v>0</v>
      </c>
      <c r="D27" s="197">
        <v>139.18</v>
      </c>
      <c r="E27" s="111" t="e">
        <f>B27/#REF!*1</f>
        <v>#VALUE!</v>
      </c>
      <c r="F27" s="109"/>
      <c r="G27" s="109"/>
      <c r="H27" s="109"/>
    </row>
    <row r="28" spans="1:8" ht="15.75">
      <c r="A28" s="20" t="s">
        <v>25</v>
      </c>
      <c r="B28" s="191" t="s">
        <v>11</v>
      </c>
      <c r="C28" s="194">
        <f>C15+C22</f>
        <v>26376.165687999997</v>
      </c>
      <c r="D28" s="195" t="s">
        <v>26</v>
      </c>
      <c r="E28" s="111" t="e">
        <f>B28/#REF!*1</f>
        <v>#VALUE!</v>
      </c>
      <c r="F28" s="109"/>
      <c r="G28" s="109"/>
      <c r="H28" s="109"/>
    </row>
    <row r="29" spans="1:8" ht="35.25" customHeight="1">
      <c r="A29" s="568" t="s">
        <v>27</v>
      </c>
      <c r="B29" s="568"/>
      <c r="C29" s="568"/>
      <c r="D29" s="568"/>
      <c r="E29" s="109"/>
      <c r="F29" s="109"/>
      <c r="G29" s="109"/>
      <c r="H29" s="109"/>
    </row>
    <row r="30" spans="1:8" ht="63">
      <c r="A30" s="271" t="s">
        <v>28</v>
      </c>
      <c r="B30" s="307" t="s">
        <v>29</v>
      </c>
      <c r="C30" s="286" t="s">
        <v>30</v>
      </c>
      <c r="D30" s="308" t="s">
        <v>31</v>
      </c>
      <c r="E30" s="109"/>
      <c r="F30" s="109"/>
      <c r="G30" s="109"/>
      <c r="H30" s="109"/>
    </row>
    <row r="31" spans="1:8" ht="15.75">
      <c r="A31" s="203" t="s">
        <v>32</v>
      </c>
      <c r="B31" s="204" t="s">
        <v>33</v>
      </c>
      <c r="C31" s="205" t="s">
        <v>34</v>
      </c>
      <c r="D31" s="206">
        <f>(0.85+0.95)*6*111</f>
        <v>1198.8</v>
      </c>
      <c r="E31" s="109"/>
      <c r="F31" s="109"/>
      <c r="G31" s="109"/>
      <c r="H31" s="109"/>
    </row>
    <row r="32" spans="1:8" ht="15.75">
      <c r="A32" s="207" t="s">
        <v>36</v>
      </c>
      <c r="B32" s="208" t="s">
        <v>33</v>
      </c>
      <c r="C32" s="209" t="s">
        <v>37</v>
      </c>
      <c r="D32" s="210">
        <f>0.24*12*111.1</f>
        <v>319.96799999999996</v>
      </c>
      <c r="E32" s="109"/>
      <c r="F32" s="109"/>
      <c r="G32" s="109"/>
      <c r="H32" s="109"/>
    </row>
    <row r="33" spans="1:8" ht="15.75">
      <c r="A33" s="207" t="s">
        <v>99</v>
      </c>
      <c r="B33" s="208" t="s">
        <v>33</v>
      </c>
      <c r="C33" s="209" t="s">
        <v>34</v>
      </c>
      <c r="D33" s="210">
        <f>(0.36+0.16)*6*111</f>
        <v>346.32</v>
      </c>
      <c r="E33" s="109"/>
      <c r="F33" s="109"/>
      <c r="G33" s="109"/>
      <c r="H33" s="109"/>
    </row>
    <row r="34" spans="1:8" ht="15.75">
      <c r="A34" s="207" t="s">
        <v>81</v>
      </c>
      <c r="B34" s="213" t="s">
        <v>82</v>
      </c>
      <c r="C34" s="209" t="s">
        <v>34</v>
      </c>
      <c r="D34" s="210">
        <f>1.33*12*111</f>
        <v>1771.5600000000002</v>
      </c>
      <c r="E34" s="109"/>
      <c r="F34" s="109"/>
      <c r="G34" s="109"/>
      <c r="H34" s="109"/>
    </row>
    <row r="35" spans="1:8" ht="15.75">
      <c r="A35" s="207" t="s">
        <v>38</v>
      </c>
      <c r="B35" s="208" t="s">
        <v>35</v>
      </c>
      <c r="C35" s="362" t="s">
        <v>221</v>
      </c>
      <c r="D35" s="210">
        <f>4.19*111*12</f>
        <v>5581.08</v>
      </c>
      <c r="E35" s="109"/>
      <c r="F35" s="109"/>
      <c r="G35" s="109"/>
      <c r="H35" s="109"/>
    </row>
    <row r="36" spans="1:8" ht="15.75">
      <c r="A36" s="207" t="s">
        <v>85</v>
      </c>
      <c r="B36" s="208" t="s">
        <v>222</v>
      </c>
      <c r="C36" s="214" t="s">
        <v>37</v>
      </c>
      <c r="D36" s="210">
        <f>111*0.69*12-0.29</f>
        <v>918.79</v>
      </c>
      <c r="E36" s="109"/>
      <c r="F36" s="109"/>
      <c r="G36" s="109"/>
      <c r="H36" s="109"/>
    </row>
    <row r="37" spans="1:14" s="1" customFormat="1" ht="47.25">
      <c r="A37" s="294" t="s">
        <v>40</v>
      </c>
      <c r="B37" s="215" t="s">
        <v>41</v>
      </c>
      <c r="C37" s="209"/>
      <c r="D37" s="381">
        <f>D38</f>
        <v>7800</v>
      </c>
      <c r="E37" s="109"/>
      <c r="F37" s="109"/>
      <c r="G37" s="109"/>
      <c r="H37" s="109"/>
      <c r="K37"/>
      <c r="L37"/>
      <c r="M37"/>
      <c r="N37"/>
    </row>
    <row r="38" spans="1:14" s="1" customFormat="1" ht="15.75">
      <c r="A38" s="219" t="s">
        <v>232</v>
      </c>
      <c r="B38" s="217" t="s">
        <v>149</v>
      </c>
      <c r="C38" s="232" t="s">
        <v>37</v>
      </c>
      <c r="D38" s="176">
        <v>7800</v>
      </c>
      <c r="E38" s="109"/>
      <c r="F38" s="109"/>
      <c r="G38" s="109"/>
      <c r="H38" s="109"/>
      <c r="K38"/>
      <c r="L38"/>
      <c r="M38"/>
      <c r="N38"/>
    </row>
    <row r="39" spans="1:14" s="1" customFormat="1" ht="15.75">
      <c r="A39" s="37" t="s">
        <v>42</v>
      </c>
      <c r="B39" s="222"/>
      <c r="C39" s="223"/>
      <c r="D39" s="97">
        <f>SUM(D31:D37)</f>
        <v>17936.518</v>
      </c>
      <c r="E39" s="112">
        <f>D39-D37</f>
        <v>10136.518</v>
      </c>
      <c r="F39" s="109"/>
      <c r="G39" s="109"/>
      <c r="H39" s="109"/>
      <c r="K39"/>
      <c r="L39"/>
      <c r="M39"/>
      <c r="N39"/>
    </row>
    <row r="40" spans="1:14" s="1" customFormat="1" ht="15.75">
      <c r="A40" s="40" t="s">
        <v>43</v>
      </c>
      <c r="B40" s="224" t="s">
        <v>11</v>
      </c>
      <c r="C40" s="225"/>
      <c r="D40" s="226">
        <f>C28-D39</f>
        <v>8439.647687999997</v>
      </c>
      <c r="E40" s="112"/>
      <c r="F40" s="109"/>
      <c r="G40" s="109"/>
      <c r="H40" s="109"/>
      <c r="K40"/>
      <c r="L40"/>
      <c r="M40"/>
      <c r="N40"/>
    </row>
    <row r="41" spans="1:14" s="1" customFormat="1" ht="15.75">
      <c r="A41" s="227" t="s">
        <v>12</v>
      </c>
      <c r="B41" s="228" t="s">
        <v>11</v>
      </c>
      <c r="C41" s="209"/>
      <c r="D41" s="193">
        <v>0</v>
      </c>
      <c r="E41" s="109"/>
      <c r="F41" s="109"/>
      <c r="G41" s="109"/>
      <c r="H41" s="109"/>
      <c r="K41"/>
      <c r="L41"/>
      <c r="M41"/>
      <c r="N41"/>
    </row>
    <row r="42" spans="1:14" s="1" customFormat="1" ht="15.75">
      <c r="A42" s="227" t="s">
        <v>13</v>
      </c>
      <c r="B42" s="228" t="s">
        <v>11</v>
      </c>
      <c r="C42" s="209"/>
      <c r="D42" s="195">
        <f>C17+C18-C23</f>
        <v>34321.30431199999</v>
      </c>
      <c r="E42" s="109"/>
      <c r="F42" s="109"/>
      <c r="G42" s="109"/>
      <c r="H42" s="109"/>
      <c r="K42"/>
      <c r="L42"/>
      <c r="M42"/>
      <c r="N42"/>
    </row>
    <row r="43" spans="1:14" s="1" customFormat="1" ht="24" customHeight="1">
      <c r="A43" s="569" t="s">
        <v>44</v>
      </c>
      <c r="B43" s="569"/>
      <c r="C43" s="569"/>
      <c r="D43" s="569"/>
      <c r="E43" s="109"/>
      <c r="F43" s="109"/>
      <c r="G43" s="109"/>
      <c r="H43" s="109"/>
      <c r="K43"/>
      <c r="L43"/>
      <c r="M43"/>
      <c r="N43"/>
    </row>
    <row r="44" spans="1:14" s="1" customFormat="1" ht="15.75">
      <c r="A44" s="227" t="s">
        <v>45</v>
      </c>
      <c r="B44" s="208" t="s">
        <v>46</v>
      </c>
      <c r="C44" s="209">
        <v>0</v>
      </c>
      <c r="D44" s="193">
        <v>0</v>
      </c>
      <c r="E44" s="109"/>
      <c r="F44" s="109"/>
      <c r="G44" s="109"/>
      <c r="H44" s="109"/>
      <c r="K44"/>
      <c r="L44"/>
      <c r="M44"/>
      <c r="N44"/>
    </row>
    <row r="45" spans="1:14" s="1" customFormat="1" ht="15.75">
      <c r="A45" s="227" t="s">
        <v>47</v>
      </c>
      <c r="B45" s="208" t="s">
        <v>46</v>
      </c>
      <c r="C45" s="209">
        <v>0</v>
      </c>
      <c r="D45" s="193">
        <v>0</v>
      </c>
      <c r="E45" s="109"/>
      <c r="F45" s="109"/>
      <c r="G45" s="109"/>
      <c r="H45" s="109"/>
      <c r="K45"/>
      <c r="L45"/>
      <c r="M45"/>
      <c r="N45"/>
    </row>
    <row r="46" spans="1:14" s="1" customFormat="1" ht="15.75">
      <c r="A46" s="229" t="s">
        <v>48</v>
      </c>
      <c r="B46" s="208" t="s">
        <v>46</v>
      </c>
      <c r="C46" s="209">
        <v>0</v>
      </c>
      <c r="D46" s="193">
        <v>0</v>
      </c>
      <c r="E46" s="109"/>
      <c r="F46" s="109"/>
      <c r="G46" s="109"/>
      <c r="H46" s="109"/>
      <c r="K46"/>
      <c r="L46"/>
      <c r="M46"/>
      <c r="N46"/>
    </row>
    <row r="47" spans="1:14" s="1" customFormat="1" ht="15.75">
      <c r="A47" s="227" t="s">
        <v>49</v>
      </c>
      <c r="B47" s="208" t="s">
        <v>11</v>
      </c>
      <c r="C47" s="209">
        <v>0</v>
      </c>
      <c r="D47" s="193">
        <v>0</v>
      </c>
      <c r="E47" s="109"/>
      <c r="F47" s="109"/>
      <c r="G47" s="109"/>
      <c r="H47" s="109"/>
      <c r="K47"/>
      <c r="L47"/>
      <c r="M47"/>
      <c r="N47"/>
    </row>
    <row r="48" spans="1:8" ht="20.25" customHeight="1">
      <c r="A48" s="570" t="s">
        <v>50</v>
      </c>
      <c r="B48" s="570"/>
      <c r="C48" s="570"/>
      <c r="D48" s="570"/>
      <c r="E48" s="109"/>
      <c r="F48" s="109"/>
      <c r="G48" s="109"/>
      <c r="H48" s="109"/>
    </row>
    <row r="49" spans="1:8" ht="26.25">
      <c r="A49" s="229" t="s">
        <v>51</v>
      </c>
      <c r="B49" s="208" t="s">
        <v>11</v>
      </c>
      <c r="C49" s="209"/>
      <c r="D49" s="193">
        <v>0</v>
      </c>
      <c r="E49" s="109"/>
      <c r="F49" s="109"/>
      <c r="G49" s="109"/>
      <c r="H49" s="109"/>
    </row>
    <row r="50" spans="1:8" ht="15.75">
      <c r="A50" s="227" t="s">
        <v>12</v>
      </c>
      <c r="B50" s="208" t="s">
        <v>11</v>
      </c>
      <c r="C50" s="209"/>
      <c r="D50" s="193">
        <v>0</v>
      </c>
      <c r="E50" s="109"/>
      <c r="F50" s="109"/>
      <c r="G50" s="109"/>
      <c r="H50" s="109"/>
    </row>
    <row r="51" spans="1:8" ht="15.75">
      <c r="A51" s="227" t="s">
        <v>13</v>
      </c>
      <c r="B51" s="208" t="s">
        <v>11</v>
      </c>
      <c r="C51" s="209"/>
      <c r="D51" s="230">
        <f>D54-D57-D60</f>
        <v>24009.009213999998</v>
      </c>
      <c r="E51" s="109"/>
      <c r="F51" s="109"/>
      <c r="G51" s="109"/>
      <c r="H51" s="113"/>
    </row>
    <row r="52" spans="1:8" ht="26.25">
      <c r="A52" s="231" t="s">
        <v>52</v>
      </c>
      <c r="B52" s="208" t="s">
        <v>11</v>
      </c>
      <c r="C52" s="232"/>
      <c r="D52" s="233">
        <v>0</v>
      </c>
      <c r="E52" s="109"/>
      <c r="F52" s="109"/>
      <c r="G52" s="109"/>
      <c r="H52" s="109"/>
    </row>
    <row r="53" spans="1:10" ht="17.25" customHeight="1">
      <c r="A53" s="254" t="s">
        <v>12</v>
      </c>
      <c r="B53" s="208" t="s">
        <v>11</v>
      </c>
      <c r="C53" s="276"/>
      <c r="D53" s="55">
        <v>0</v>
      </c>
      <c r="E53" s="109"/>
      <c r="F53" s="109"/>
      <c r="G53" s="109"/>
      <c r="H53" s="109"/>
      <c r="I53" s="49"/>
      <c r="J53" s="49"/>
    </row>
    <row r="54" spans="1:14" ht="15.75">
      <c r="A54" s="235" t="s">
        <v>13</v>
      </c>
      <c r="B54" s="208" t="s">
        <v>11</v>
      </c>
      <c r="C54" s="236"/>
      <c r="D54" s="237">
        <v>24711.46</v>
      </c>
      <c r="E54" s="109"/>
      <c r="F54" s="109"/>
      <c r="G54" s="109"/>
      <c r="H54" s="109" t="s">
        <v>26</v>
      </c>
      <c r="I54" s="60"/>
      <c r="J54" s="60"/>
      <c r="K54" s="61"/>
      <c r="L54" s="61"/>
      <c r="M54" s="61"/>
      <c r="N54" s="61"/>
    </row>
    <row r="55" spans="1:14" ht="18" customHeight="1">
      <c r="A55" s="571" t="s">
        <v>53</v>
      </c>
      <c r="B55" s="571"/>
      <c r="C55" s="571"/>
      <c r="D55" s="571"/>
      <c r="E55" s="114"/>
      <c r="F55" s="115"/>
      <c r="G55" s="116"/>
      <c r="H55" s="109"/>
      <c r="I55" s="65"/>
      <c r="J55" s="65"/>
      <c r="K55" s="66"/>
      <c r="L55" s="66"/>
      <c r="M55" s="66"/>
      <c r="N55" s="66"/>
    </row>
    <row r="56" spans="1:14" ht="47.25">
      <c r="A56" s="67" t="s">
        <v>54</v>
      </c>
      <c r="B56" s="68" t="s">
        <v>55</v>
      </c>
      <c r="C56" s="69" t="s">
        <v>56</v>
      </c>
      <c r="D56" s="70" t="s">
        <v>57</v>
      </c>
      <c r="E56" s="114"/>
      <c r="F56" s="115"/>
      <c r="G56" s="116"/>
      <c r="H56" s="109"/>
      <c r="I56" s="65"/>
      <c r="J56" s="71"/>
      <c r="K56" s="66"/>
      <c r="L56" s="66"/>
      <c r="M56" s="66"/>
      <c r="N56" s="66"/>
    </row>
    <row r="57" spans="1:14" ht="15.75">
      <c r="A57" s="238" t="s">
        <v>58</v>
      </c>
      <c r="B57" s="239">
        <v>1025.82</v>
      </c>
      <c r="C57" s="240">
        <f>B57*0.8903</f>
        <v>913.2875459999999</v>
      </c>
      <c r="D57" s="241">
        <f>B57-C57</f>
        <v>112.53245400000003</v>
      </c>
      <c r="E57" s="117"/>
      <c r="F57" s="115"/>
      <c r="G57" s="116"/>
      <c r="H57" s="109"/>
      <c r="I57" s="65"/>
      <c r="J57" s="65"/>
      <c r="K57" s="66"/>
      <c r="L57" s="66"/>
      <c r="M57" s="66"/>
      <c r="N57" s="66"/>
    </row>
    <row r="58" spans="1:14" ht="15.75">
      <c r="A58" s="238" t="s">
        <v>59</v>
      </c>
      <c r="B58" s="239">
        <v>0</v>
      </c>
      <c r="C58" s="240">
        <f>B58*1.1615</f>
        <v>0</v>
      </c>
      <c r="D58" s="241">
        <f>B58-C58</f>
        <v>0</v>
      </c>
      <c r="E58" s="114"/>
      <c r="F58" s="115"/>
      <c r="G58" s="116"/>
      <c r="H58" s="109"/>
      <c r="I58" s="65"/>
      <c r="J58" s="65"/>
      <c r="K58" s="66"/>
      <c r="L58" s="66"/>
      <c r="M58" s="66"/>
      <c r="N58" s="66"/>
    </row>
    <row r="59" spans="1:14" ht="15.75">
      <c r="A59" s="238" t="s">
        <v>60</v>
      </c>
      <c r="B59" s="242">
        <v>0</v>
      </c>
      <c r="C59" s="240">
        <f>B59*1.1615</f>
        <v>0</v>
      </c>
      <c r="D59" s="241">
        <f>B59-C59</f>
        <v>0</v>
      </c>
      <c r="E59" s="114">
        <f>(2.07+1.8)*6*2301.2-0.37*2301.2*6</f>
        <v>48325.2</v>
      </c>
      <c r="F59" s="118"/>
      <c r="G59" s="119"/>
      <c r="H59" s="114"/>
      <c r="I59" s="65"/>
      <c r="J59" s="65"/>
      <c r="K59" s="66"/>
      <c r="L59" s="66"/>
      <c r="M59" s="66"/>
      <c r="N59" s="66"/>
    </row>
    <row r="60" spans="1:14" ht="16.5" thickBot="1">
      <c r="A60" s="261" t="s">
        <v>236</v>
      </c>
      <c r="B60" s="262">
        <v>5377.56</v>
      </c>
      <c r="C60" s="263">
        <f>B60*0.8903</f>
        <v>4787.641668</v>
      </c>
      <c r="D60" s="264">
        <f>B60-C60</f>
        <v>589.9183320000002</v>
      </c>
      <c r="E60" s="114"/>
      <c r="F60" s="118"/>
      <c r="G60" s="119"/>
      <c r="H60" s="109"/>
      <c r="I60" s="65"/>
      <c r="J60" s="65"/>
      <c r="K60" s="66"/>
      <c r="L60" s="66"/>
      <c r="M60" s="66"/>
      <c r="N60" s="66"/>
    </row>
    <row r="61" spans="1:14" ht="63">
      <c r="A61" s="129" t="s">
        <v>62</v>
      </c>
      <c r="B61" s="130" t="s">
        <v>63</v>
      </c>
      <c r="C61" s="131" t="s">
        <v>64</v>
      </c>
      <c r="D61" s="132" t="s">
        <v>65</v>
      </c>
      <c r="E61" s="114"/>
      <c r="F61" s="118"/>
      <c r="G61" s="109"/>
      <c r="H61" s="120"/>
      <c r="I61" s="65"/>
      <c r="J61" s="65"/>
      <c r="K61" s="66"/>
      <c r="L61" s="66"/>
      <c r="M61" s="66"/>
      <c r="N61" s="66"/>
    </row>
    <row r="62" spans="1:14" ht="15.75">
      <c r="A62" s="265" t="s">
        <v>58</v>
      </c>
      <c r="B62" s="244">
        <f>B57</f>
        <v>1025.82</v>
      </c>
      <c r="C62" s="245">
        <f>B62</f>
        <v>1025.82</v>
      </c>
      <c r="D62" s="266">
        <f>B62-C62</f>
        <v>0</v>
      </c>
      <c r="E62" s="114"/>
      <c r="F62" s="118"/>
      <c r="G62" s="109"/>
      <c r="H62" s="120"/>
      <c r="I62" s="65"/>
      <c r="J62" s="65" t="s">
        <v>26</v>
      </c>
      <c r="K62" s="66"/>
      <c r="L62" s="66"/>
      <c r="M62" s="66"/>
      <c r="N62" s="66"/>
    </row>
    <row r="63" spans="1:14" ht="15.75">
      <c r="A63" s="265" t="s">
        <v>59</v>
      </c>
      <c r="B63" s="244">
        <v>0</v>
      </c>
      <c r="C63" s="245">
        <v>0</v>
      </c>
      <c r="D63" s="266">
        <f>B63-C63</f>
        <v>0</v>
      </c>
      <c r="E63" s="114"/>
      <c r="F63" s="118"/>
      <c r="G63" s="109"/>
      <c r="H63" s="120"/>
      <c r="I63" s="65"/>
      <c r="J63" s="65"/>
      <c r="K63" s="66"/>
      <c r="L63" s="66"/>
      <c r="M63" s="66"/>
      <c r="N63" s="66"/>
    </row>
    <row r="64" spans="1:14" ht="15.75">
      <c r="A64" s="265" t="s">
        <v>60</v>
      </c>
      <c r="B64" s="244">
        <v>0</v>
      </c>
      <c r="C64" s="245">
        <v>0</v>
      </c>
      <c r="D64" s="266">
        <f>B64-C64</f>
        <v>0</v>
      </c>
      <c r="E64" s="114"/>
      <c r="F64" s="118"/>
      <c r="G64" s="109"/>
      <c r="H64" s="120"/>
      <c r="I64" s="65"/>
      <c r="J64" s="65"/>
      <c r="K64" s="66"/>
      <c r="L64" s="66"/>
      <c r="M64" s="66"/>
      <c r="N64" s="66"/>
    </row>
    <row r="65" spans="1:14" ht="16.5" thickBot="1">
      <c r="A65" s="267" t="s">
        <v>236</v>
      </c>
      <c r="B65" s="268">
        <f>B60</f>
        <v>5377.56</v>
      </c>
      <c r="C65" s="269">
        <f>C60</f>
        <v>4787.641668</v>
      </c>
      <c r="D65" s="270">
        <f>B65-C65</f>
        <v>589.9183320000002</v>
      </c>
      <c r="E65" s="114"/>
      <c r="F65" s="118"/>
      <c r="G65" s="109"/>
      <c r="H65" s="120" t="s">
        <v>26</v>
      </c>
      <c r="I65" s="65"/>
      <c r="J65" s="65"/>
      <c r="K65" s="66"/>
      <c r="L65" s="66"/>
      <c r="M65" s="66"/>
      <c r="N65" s="66"/>
    </row>
    <row r="66" spans="1:14" ht="15.75">
      <c r="A66" s="247"/>
      <c r="B66" s="248"/>
      <c r="C66" s="249"/>
      <c r="D66" s="250"/>
      <c r="E66" s="114"/>
      <c r="F66" s="118"/>
      <c r="G66" s="109"/>
      <c r="H66" s="120"/>
      <c r="I66" s="65"/>
      <c r="J66" s="65"/>
      <c r="K66" s="66"/>
      <c r="L66" s="66"/>
      <c r="M66" s="66"/>
      <c r="N66" s="66"/>
    </row>
    <row r="67" spans="1:14" ht="26.25">
      <c r="A67" s="251" t="s">
        <v>66</v>
      </c>
      <c r="B67" s="248" t="s">
        <v>11</v>
      </c>
      <c r="C67" s="252"/>
      <c r="D67" s="253">
        <v>0</v>
      </c>
      <c r="E67" s="114"/>
      <c r="F67" s="118"/>
      <c r="G67" s="109"/>
      <c r="H67" s="120"/>
      <c r="I67" s="65"/>
      <c r="J67" s="65" t="s">
        <v>26</v>
      </c>
      <c r="K67" s="66"/>
      <c r="L67" s="66"/>
      <c r="M67" s="66"/>
      <c r="N67" s="66"/>
    </row>
    <row r="68" spans="1:14" ht="17.25" customHeight="1">
      <c r="A68" s="572" t="s">
        <v>67</v>
      </c>
      <c r="B68" s="572"/>
      <c r="C68" s="572"/>
      <c r="D68" s="572"/>
      <c r="E68" s="121" t="e">
        <f>D68+B19</f>
        <v>#VALUE!</v>
      </c>
      <c r="F68" s="120"/>
      <c r="G68" s="109"/>
      <c r="H68" s="122" t="e">
        <f>E68-B18</f>
        <v>#VALUE!</v>
      </c>
      <c r="I68" s="65"/>
      <c r="J68" s="65"/>
      <c r="K68" s="66"/>
      <c r="L68" s="66"/>
      <c r="M68" s="66"/>
      <c r="N68" s="66"/>
    </row>
    <row r="69" spans="1:5" ht="21" customHeight="1">
      <c r="A69" s="86" t="s">
        <v>45</v>
      </c>
      <c r="B69" s="86" t="s">
        <v>46</v>
      </c>
      <c r="C69" s="86"/>
      <c r="D69" s="177">
        <v>0</v>
      </c>
      <c r="E69" s="88"/>
    </row>
    <row r="70" spans="1:5" ht="21" customHeight="1">
      <c r="A70" s="86" t="s">
        <v>47</v>
      </c>
      <c r="B70" s="86" t="s">
        <v>46</v>
      </c>
      <c r="C70" s="86"/>
      <c r="D70" s="177">
        <v>0</v>
      </c>
      <c r="E70" s="88"/>
    </row>
    <row r="71" spans="1:5" ht="18" customHeight="1">
      <c r="A71" s="86" t="s">
        <v>48</v>
      </c>
      <c r="B71" s="86" t="s">
        <v>46</v>
      </c>
      <c r="C71" s="86"/>
      <c r="D71" s="177">
        <v>0</v>
      </c>
      <c r="E71" s="88"/>
    </row>
    <row r="72" spans="1:5" ht="16.5" customHeight="1">
      <c r="A72" s="86" t="s">
        <v>49</v>
      </c>
      <c r="B72" s="86" t="s">
        <v>11</v>
      </c>
      <c r="C72" s="86"/>
      <c r="D72" s="177">
        <v>0</v>
      </c>
      <c r="E72" s="88"/>
    </row>
    <row r="73" spans="1:5" ht="15.75" customHeight="1">
      <c r="A73" s="566" t="s">
        <v>68</v>
      </c>
      <c r="B73" s="566"/>
      <c r="C73" s="566"/>
      <c r="D73" s="566"/>
      <c r="E73" s="88"/>
    </row>
    <row r="74" spans="1:5" ht="18.75" customHeight="1">
      <c r="A74" s="86" t="s">
        <v>69</v>
      </c>
      <c r="B74" s="86" t="s">
        <v>46</v>
      </c>
      <c r="C74" s="86"/>
      <c r="D74" s="177">
        <v>1</v>
      </c>
      <c r="E74" s="88"/>
    </row>
    <row r="75" spans="1:5" ht="21.75" customHeight="1">
      <c r="A75" s="86" t="s">
        <v>70</v>
      </c>
      <c r="B75" s="254" t="s">
        <v>46</v>
      </c>
      <c r="C75" s="254"/>
      <c r="D75" s="177">
        <v>1</v>
      </c>
      <c r="E75" s="88"/>
    </row>
    <row r="76" spans="1:5" ht="36" customHeight="1">
      <c r="A76" s="255" t="s">
        <v>71</v>
      </c>
      <c r="B76" s="86" t="s">
        <v>11</v>
      </c>
      <c r="C76" s="86"/>
      <c r="D76" s="177">
        <v>7500</v>
      </c>
      <c r="E76" s="88"/>
    </row>
    <row r="77" spans="1:4" ht="15.75">
      <c r="A77" s="256"/>
      <c r="B77" s="256"/>
      <c r="C77" s="256"/>
      <c r="D77" s="257"/>
    </row>
    <row r="78" spans="1:14" s="1" customFormat="1" ht="12.75">
      <c r="A78" s="178"/>
      <c r="B78" s="178"/>
      <c r="C78" s="178"/>
      <c r="D78" s="178"/>
      <c r="H78" s="1" t="s">
        <v>26</v>
      </c>
      <c r="K78"/>
      <c r="L78"/>
      <c r="M78"/>
      <c r="N78"/>
    </row>
    <row r="79" spans="1:14" s="1" customFormat="1" ht="12.75">
      <c r="A79" s="178" t="s">
        <v>72</v>
      </c>
      <c r="B79" s="178"/>
      <c r="C79" s="178"/>
      <c r="D79" s="178"/>
      <c r="K79"/>
      <c r="L79"/>
      <c r="M79"/>
      <c r="N79"/>
    </row>
    <row r="80" spans="1:14" s="1" customFormat="1" ht="12.75">
      <c r="A80" s="178"/>
      <c r="B80" s="178"/>
      <c r="C80" s="178"/>
      <c r="D80" s="178"/>
      <c r="H80" s="1" t="s">
        <v>26</v>
      </c>
      <c r="K80"/>
      <c r="L80"/>
      <c r="M80"/>
      <c r="N80"/>
    </row>
    <row r="81" spans="1:14" s="1" customFormat="1" ht="12.75">
      <c r="A81" s="178" t="s">
        <v>73</v>
      </c>
      <c r="B81" s="178"/>
      <c r="C81" s="178"/>
      <c r="D81" s="178"/>
      <c r="K81"/>
      <c r="L81"/>
      <c r="M81"/>
      <c r="N81"/>
    </row>
    <row r="82" spans="1:4" ht="12.75">
      <c r="A82" s="178"/>
      <c r="B82" s="178"/>
      <c r="C82" s="178"/>
      <c r="D82" s="178"/>
    </row>
    <row r="83" spans="1:4" ht="12.75">
      <c r="A83" s="178"/>
      <c r="B83" s="178"/>
      <c r="C83" s="178"/>
      <c r="D83" s="178"/>
    </row>
    <row r="84" spans="1:4" ht="12.75">
      <c r="A84" s="178"/>
      <c r="B84" s="178"/>
      <c r="C84" s="178"/>
      <c r="D84" s="178"/>
    </row>
    <row r="85" spans="1:14" s="1" customFormat="1" ht="12.75">
      <c r="A85" s="178"/>
      <c r="B85" s="178"/>
      <c r="C85" s="178"/>
      <c r="D85" s="178"/>
      <c r="E85" s="1" t="s">
        <v>26</v>
      </c>
      <c r="K85"/>
      <c r="L85"/>
      <c r="M85"/>
      <c r="N85"/>
    </row>
  </sheetData>
  <sheetProtection selectLockedCells="1" selectUnlockedCells="1"/>
  <mergeCells count="13">
    <mergeCell ref="A73:D73"/>
    <mergeCell ref="A14:D14"/>
    <mergeCell ref="A29:D29"/>
    <mergeCell ref="A43:D43"/>
    <mergeCell ref="A48:D48"/>
    <mergeCell ref="A55:D55"/>
    <mergeCell ref="A68:D68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zoomScale="80" zoomScaleNormal="80" zoomScalePageLayoutView="0" workbookViewId="0" topLeftCell="A25">
      <selection activeCell="D39" sqref="D39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560" t="s">
        <v>0</v>
      </c>
      <c r="B1" s="560"/>
      <c r="C1" s="560"/>
      <c r="D1" s="560"/>
    </row>
    <row r="2" spans="1:4" ht="15.75">
      <c r="A2" s="561" t="s">
        <v>220</v>
      </c>
      <c r="B2" s="562"/>
      <c r="C2" s="562"/>
      <c r="D2" s="562"/>
    </row>
    <row r="3" spans="1:4" ht="15.75">
      <c r="A3" s="562" t="s">
        <v>1</v>
      </c>
      <c r="B3" s="562"/>
      <c r="C3" s="562"/>
      <c r="D3" s="562"/>
    </row>
    <row r="4" spans="1:4" ht="12.75">
      <c r="A4" s="563" t="s">
        <v>111</v>
      </c>
      <c r="B4" s="563"/>
      <c r="C4" s="563"/>
      <c r="D4" s="563"/>
    </row>
    <row r="5" spans="1:4" ht="12.75">
      <c r="A5" s="564" t="s">
        <v>266</v>
      </c>
      <c r="B5" s="563"/>
      <c r="C5" s="563"/>
      <c r="D5" s="563"/>
    </row>
    <row r="6" spans="1:4" ht="9" customHeight="1">
      <c r="A6" s="258"/>
      <c r="B6" s="178"/>
      <c r="C6" s="178"/>
      <c r="D6" s="178"/>
    </row>
    <row r="7" spans="1:4" ht="18" customHeight="1">
      <c r="A7" s="565" t="s">
        <v>2</v>
      </c>
      <c r="B7" s="565"/>
      <c r="C7" s="565"/>
      <c r="D7" s="565"/>
    </row>
    <row r="8" spans="1:4" ht="12.75">
      <c r="A8" s="258" t="s">
        <v>171</v>
      </c>
      <c r="B8" s="178"/>
      <c r="C8" s="183"/>
      <c r="D8" s="178"/>
    </row>
    <row r="9" spans="1:4" ht="12.75">
      <c r="A9" s="184" t="s">
        <v>3</v>
      </c>
      <c r="B9" s="184" t="s">
        <v>4</v>
      </c>
      <c r="C9" s="184" t="s">
        <v>5</v>
      </c>
      <c r="D9" s="185"/>
    </row>
    <row r="10" spans="1:4" ht="12.75">
      <c r="A10" s="186">
        <v>1</v>
      </c>
      <c r="B10" s="186">
        <v>2</v>
      </c>
      <c r="C10" s="186">
        <v>3</v>
      </c>
      <c r="D10" s="187">
        <v>4</v>
      </c>
    </row>
    <row r="11" spans="1:8" ht="12.75">
      <c r="A11" s="20" t="s">
        <v>6</v>
      </c>
      <c r="B11" s="188"/>
      <c r="C11" s="189" t="s">
        <v>262</v>
      </c>
      <c r="D11" s="190"/>
      <c r="E11" s="109"/>
      <c r="F11" s="109"/>
      <c r="G11" s="109"/>
      <c r="H11" s="109"/>
    </row>
    <row r="12" spans="1:8" ht="12.75">
      <c r="A12" s="20" t="s">
        <v>7</v>
      </c>
      <c r="B12" s="188"/>
      <c r="C12" s="189" t="s">
        <v>263</v>
      </c>
      <c r="D12" s="190"/>
      <c r="E12" s="109"/>
      <c r="F12" s="109"/>
      <c r="G12" s="109"/>
      <c r="H12" s="109"/>
    </row>
    <row r="13" spans="1:8" ht="12.75">
      <c r="A13" s="20" t="s">
        <v>8</v>
      </c>
      <c r="B13" s="188"/>
      <c r="C13" s="189" t="s">
        <v>267</v>
      </c>
      <c r="D13" s="190"/>
      <c r="E13" s="109"/>
      <c r="F13" s="109"/>
      <c r="G13" s="109"/>
      <c r="H13" s="109"/>
    </row>
    <row r="14" spans="1:8" ht="31.5" customHeight="1">
      <c r="A14" s="567" t="s">
        <v>9</v>
      </c>
      <c r="B14" s="567"/>
      <c r="C14" s="567"/>
      <c r="D14" s="567"/>
      <c r="E14" s="109"/>
      <c r="F14" s="109"/>
      <c r="G14" s="109"/>
      <c r="H14" s="109"/>
    </row>
    <row r="15" spans="1:8" ht="26.25">
      <c r="A15" s="17" t="s">
        <v>10</v>
      </c>
      <c r="B15" s="191" t="s">
        <v>11</v>
      </c>
      <c r="C15" s="194">
        <v>11120.6</v>
      </c>
      <c r="D15" s="193"/>
      <c r="E15" s="109"/>
      <c r="F15" s="109"/>
      <c r="G15" s="109"/>
      <c r="H15" s="109"/>
    </row>
    <row r="16" spans="1:8" ht="15.75">
      <c r="A16" s="20" t="s">
        <v>12</v>
      </c>
      <c r="B16" s="191" t="s">
        <v>11</v>
      </c>
      <c r="C16" s="192">
        <v>0</v>
      </c>
      <c r="D16" s="193"/>
      <c r="E16" s="319"/>
      <c r="F16" s="319"/>
      <c r="G16" s="319"/>
      <c r="H16" s="319"/>
    </row>
    <row r="17" spans="1:8" ht="15.75">
      <c r="A17" s="20" t="s">
        <v>13</v>
      </c>
      <c r="B17" s="191" t="s">
        <v>11</v>
      </c>
      <c r="C17" s="194">
        <v>12225.2</v>
      </c>
      <c r="D17" s="195"/>
      <c r="E17" s="319"/>
      <c r="F17" s="319"/>
      <c r="G17" s="319"/>
      <c r="H17" s="319"/>
    </row>
    <row r="18" spans="1:8" ht="31.5" customHeight="1">
      <c r="A18" s="17" t="s">
        <v>14</v>
      </c>
      <c r="B18" s="191" t="s">
        <v>11</v>
      </c>
      <c r="C18" s="194">
        <f>7000.02+1526.04</f>
        <v>8526.060000000001</v>
      </c>
      <c r="D18" s="195"/>
      <c r="E18" s="320">
        <f>C18-C20</f>
        <v>4315.3200000000015</v>
      </c>
      <c r="F18" s="319"/>
      <c r="G18" s="319"/>
      <c r="H18" s="319"/>
    </row>
    <row r="19" spans="1:8" ht="15.75">
      <c r="A19" s="20" t="s">
        <v>15</v>
      </c>
      <c r="B19" s="191" t="s">
        <v>11</v>
      </c>
      <c r="C19" s="194">
        <f>C18-C20-C21</f>
        <v>1947.1320000000014</v>
      </c>
      <c r="D19" s="195"/>
      <c r="E19" s="320">
        <f>E18-E38</f>
        <v>-0.0019999999985884642</v>
      </c>
      <c r="F19" s="319"/>
      <c r="G19" s="319"/>
      <c r="H19" s="319"/>
    </row>
    <row r="20" spans="1:8" ht="15.75">
      <c r="A20" s="20" t="s">
        <v>16</v>
      </c>
      <c r="B20" s="191" t="s">
        <v>11</v>
      </c>
      <c r="C20" s="194">
        <f>(4.72+4.78)*6*47.1+1526.04</f>
        <v>4210.74</v>
      </c>
      <c r="D20" s="195"/>
      <c r="E20" s="321"/>
      <c r="F20" s="319"/>
      <c r="G20" s="319"/>
      <c r="H20" s="319"/>
    </row>
    <row r="21" spans="1:8" ht="15.75">
      <c r="A21" s="20" t="s">
        <v>17</v>
      </c>
      <c r="B21" s="191" t="s">
        <v>11</v>
      </c>
      <c r="C21" s="196">
        <f>47.1*4.19*12</f>
        <v>2368.188</v>
      </c>
      <c r="D21" s="195"/>
      <c r="E21" s="319"/>
      <c r="F21" s="319"/>
      <c r="G21" s="319"/>
      <c r="H21" s="319"/>
    </row>
    <row r="22" spans="1:8" ht="15.75">
      <c r="A22" s="20" t="s">
        <v>18</v>
      </c>
      <c r="B22" s="191" t="s">
        <v>11</v>
      </c>
      <c r="C22" s="194">
        <f>C23+C24+C25+C26+C27</f>
        <v>8451.883278000001</v>
      </c>
      <c r="D22" s="195" t="s">
        <v>19</v>
      </c>
      <c r="E22" s="320" t="e">
        <f>B24+B25+B26+B27+B28</f>
        <v>#VALUE!</v>
      </c>
      <c r="F22" s="319"/>
      <c r="G22" s="319"/>
      <c r="H22" s="319"/>
    </row>
    <row r="23" spans="1:8" ht="15.75">
      <c r="A23" s="20" t="s">
        <v>20</v>
      </c>
      <c r="B23" s="191" t="s">
        <v>11</v>
      </c>
      <c r="C23" s="194">
        <f>C18*0.9913</f>
        <v>8451.883278000001</v>
      </c>
      <c r="D23" s="195"/>
      <c r="E23" s="319"/>
      <c r="F23" s="319"/>
      <c r="G23" s="319"/>
      <c r="H23" s="319"/>
    </row>
    <row r="24" spans="1:8" ht="15.75">
      <c r="A24" s="20" t="s">
        <v>21</v>
      </c>
      <c r="B24" s="191" t="s">
        <v>11</v>
      </c>
      <c r="C24" s="194">
        <v>0</v>
      </c>
      <c r="D24" s="197">
        <v>65.21</v>
      </c>
      <c r="E24" s="321" t="e">
        <f>B24/#REF!*1</f>
        <v>#VALUE!</v>
      </c>
      <c r="F24" s="319"/>
      <c r="G24" s="319"/>
      <c r="H24" s="319" t="s">
        <v>22</v>
      </c>
    </row>
    <row r="25" spans="1:8" ht="15.75">
      <c r="A25" s="20" t="s">
        <v>23</v>
      </c>
      <c r="B25" s="191" t="s">
        <v>11</v>
      </c>
      <c r="C25" s="194">
        <v>0</v>
      </c>
      <c r="D25" s="197">
        <v>119.63</v>
      </c>
      <c r="E25" s="321" t="e">
        <f>B25/#REF!*1</f>
        <v>#VALUE!</v>
      </c>
      <c r="F25" s="319"/>
      <c r="G25" s="319"/>
      <c r="H25" s="319"/>
    </row>
    <row r="26" spans="1:8" ht="15.75">
      <c r="A26" s="188" t="s">
        <v>24</v>
      </c>
      <c r="B26" s="191" t="s">
        <v>11</v>
      </c>
      <c r="C26" s="194">
        <v>0</v>
      </c>
      <c r="D26" s="197"/>
      <c r="E26" s="321" t="e">
        <f>B26/#REF!*1</f>
        <v>#VALUE!</v>
      </c>
      <c r="F26" s="319"/>
      <c r="G26" s="319"/>
      <c r="H26" s="319"/>
    </row>
    <row r="27" spans="1:8" ht="16.5" customHeight="1">
      <c r="A27" s="198" t="s">
        <v>96</v>
      </c>
      <c r="B27" s="191" t="s">
        <v>11</v>
      </c>
      <c r="C27" s="194">
        <v>0</v>
      </c>
      <c r="D27" s="197">
        <v>139.18</v>
      </c>
      <c r="E27" s="321" t="e">
        <f>B27/#REF!*1</f>
        <v>#VALUE!</v>
      </c>
      <c r="F27" s="319"/>
      <c r="G27" s="319"/>
      <c r="H27" s="319"/>
    </row>
    <row r="28" spans="1:8" ht="15.75">
      <c r="A28" s="20" t="s">
        <v>25</v>
      </c>
      <c r="B28" s="191" t="s">
        <v>11</v>
      </c>
      <c r="C28" s="194">
        <f>C15+C22</f>
        <v>19572.483278</v>
      </c>
      <c r="D28" s="195" t="s">
        <v>26</v>
      </c>
      <c r="E28" s="321" t="e">
        <f>B28/#REF!*1</f>
        <v>#VALUE!</v>
      </c>
      <c r="F28" s="319"/>
      <c r="G28" s="319"/>
      <c r="H28" s="319"/>
    </row>
    <row r="29" spans="1:8" ht="35.25" customHeight="1">
      <c r="A29" s="568" t="s">
        <v>27</v>
      </c>
      <c r="B29" s="568"/>
      <c r="C29" s="568"/>
      <c r="D29" s="568"/>
      <c r="E29" s="319"/>
      <c r="F29" s="319"/>
      <c r="G29" s="319"/>
      <c r="H29" s="319"/>
    </row>
    <row r="30" spans="1:8" ht="63">
      <c r="A30" s="271" t="s">
        <v>28</v>
      </c>
      <c r="B30" s="307" t="s">
        <v>29</v>
      </c>
      <c r="C30" s="286" t="s">
        <v>30</v>
      </c>
      <c r="D30" s="308" t="s">
        <v>31</v>
      </c>
      <c r="E30" s="319"/>
      <c r="F30" s="319"/>
      <c r="G30" s="319"/>
      <c r="H30" s="319"/>
    </row>
    <row r="31" spans="1:8" ht="15.75">
      <c r="A31" s="203" t="s">
        <v>32</v>
      </c>
      <c r="B31" s="204" t="s">
        <v>33</v>
      </c>
      <c r="C31" s="205" t="s">
        <v>34</v>
      </c>
      <c r="D31" s="206">
        <f>0.85*12*47.1</f>
        <v>480.41999999999996</v>
      </c>
      <c r="E31" s="319"/>
      <c r="F31" s="319"/>
      <c r="G31" s="319"/>
      <c r="H31" s="319"/>
    </row>
    <row r="32" spans="1:8" ht="15.75">
      <c r="A32" s="207" t="s">
        <v>36</v>
      </c>
      <c r="B32" s="208" t="s">
        <v>33</v>
      </c>
      <c r="C32" s="209" t="s">
        <v>37</v>
      </c>
      <c r="D32" s="210">
        <f>0.24*12*47.1</f>
        <v>135.648</v>
      </c>
      <c r="E32" s="319"/>
      <c r="F32" s="319"/>
      <c r="G32" s="319"/>
      <c r="H32" s="319"/>
    </row>
    <row r="33" spans="1:8" ht="15.75">
      <c r="A33" s="293" t="s">
        <v>172</v>
      </c>
      <c r="B33" s="208" t="s">
        <v>33</v>
      </c>
      <c r="C33" s="209" t="s">
        <v>34</v>
      </c>
      <c r="D33" s="210">
        <f>(0.25+0.16)*6*47.1</f>
        <v>115.866</v>
      </c>
      <c r="E33" s="319"/>
      <c r="F33" s="319"/>
      <c r="G33" s="319"/>
      <c r="H33" s="319"/>
    </row>
    <row r="34" spans="1:8" ht="15.75">
      <c r="A34" s="207" t="s">
        <v>81</v>
      </c>
      <c r="B34" s="213" t="s">
        <v>82</v>
      </c>
      <c r="C34" s="209" t="s">
        <v>34</v>
      </c>
      <c r="D34" s="210">
        <f>1.33*12*47.1</f>
        <v>751.716</v>
      </c>
      <c r="E34" s="319"/>
      <c r="F34" s="319"/>
      <c r="G34" s="319"/>
      <c r="H34" s="319"/>
    </row>
    <row r="35" spans="1:8" ht="15.75">
      <c r="A35" s="207" t="s">
        <v>38</v>
      </c>
      <c r="B35" s="208" t="s">
        <v>35</v>
      </c>
      <c r="C35" s="362" t="s">
        <v>221</v>
      </c>
      <c r="D35" s="210">
        <f>4.19*47.1*12</f>
        <v>2368.188</v>
      </c>
      <c r="E35" s="319"/>
      <c r="F35" s="319"/>
      <c r="G35" s="319"/>
      <c r="H35" s="319"/>
    </row>
    <row r="36" spans="1:8" ht="15.75">
      <c r="A36" s="207" t="s">
        <v>85</v>
      </c>
      <c r="B36" s="208" t="s">
        <v>222</v>
      </c>
      <c r="C36" s="214" t="s">
        <v>37</v>
      </c>
      <c r="D36" s="210">
        <f>47.1*0.82*12+0.02</f>
        <v>463.484</v>
      </c>
      <c r="E36" s="319"/>
      <c r="F36" s="319"/>
      <c r="G36" s="319"/>
      <c r="H36" s="319"/>
    </row>
    <row r="37" spans="1:14" s="1" customFormat="1" ht="47.25">
      <c r="A37" s="365" t="s">
        <v>40</v>
      </c>
      <c r="B37" s="215" t="s">
        <v>41</v>
      </c>
      <c r="C37" s="221"/>
      <c r="D37" s="175">
        <v>0</v>
      </c>
      <c r="E37" s="471"/>
      <c r="F37" s="319"/>
      <c r="G37" s="319"/>
      <c r="H37" s="319"/>
      <c r="K37"/>
      <c r="L37"/>
      <c r="M37"/>
      <c r="N37"/>
    </row>
    <row r="38" spans="1:14" s="1" customFormat="1" ht="15.75">
      <c r="A38" s="37" t="s">
        <v>42</v>
      </c>
      <c r="B38" s="222"/>
      <c r="C38" s="223"/>
      <c r="D38" s="97">
        <f>SUM(D31:D37)</f>
        <v>4315.322</v>
      </c>
      <c r="E38" s="472">
        <f>D38-D37</f>
        <v>4315.322</v>
      </c>
      <c r="F38" s="319"/>
      <c r="G38" s="319"/>
      <c r="H38" s="319"/>
      <c r="K38"/>
      <c r="L38"/>
      <c r="M38"/>
      <c r="N38"/>
    </row>
    <row r="39" spans="1:14" s="1" customFormat="1" ht="15.75">
      <c r="A39" s="40" t="s">
        <v>43</v>
      </c>
      <c r="B39" s="224" t="s">
        <v>11</v>
      </c>
      <c r="C39" s="225"/>
      <c r="D39" s="226">
        <f>C28-D38</f>
        <v>15257.161278</v>
      </c>
      <c r="E39" s="472"/>
      <c r="F39" s="319"/>
      <c r="G39" s="319"/>
      <c r="H39" s="319"/>
      <c r="K39"/>
      <c r="L39"/>
      <c r="M39"/>
      <c r="N39"/>
    </row>
    <row r="40" spans="1:14" s="1" customFormat="1" ht="15.75">
      <c r="A40" s="227" t="s">
        <v>12</v>
      </c>
      <c r="B40" s="228" t="s">
        <v>11</v>
      </c>
      <c r="C40" s="209"/>
      <c r="D40" s="193">
        <v>0</v>
      </c>
      <c r="E40" s="319"/>
      <c r="F40" s="319"/>
      <c r="G40" s="319"/>
      <c r="H40" s="319"/>
      <c r="K40"/>
      <c r="L40"/>
      <c r="M40"/>
      <c r="N40"/>
    </row>
    <row r="41" spans="1:14" s="1" customFormat="1" ht="15.75">
      <c r="A41" s="227" t="s">
        <v>13</v>
      </c>
      <c r="B41" s="228" t="s">
        <v>11</v>
      </c>
      <c r="C41" s="209"/>
      <c r="D41" s="195">
        <f>C17+C18-C23</f>
        <v>12299.376722</v>
      </c>
      <c r="E41" s="319"/>
      <c r="F41" s="319"/>
      <c r="G41" s="319"/>
      <c r="H41" s="319"/>
      <c r="K41"/>
      <c r="L41"/>
      <c r="M41"/>
      <c r="N41"/>
    </row>
    <row r="42" spans="1:14" s="1" customFormat="1" ht="24" customHeight="1">
      <c r="A42" s="569" t="s">
        <v>44</v>
      </c>
      <c r="B42" s="569"/>
      <c r="C42" s="569"/>
      <c r="D42" s="569"/>
      <c r="E42" s="319"/>
      <c r="F42" s="319"/>
      <c r="G42" s="319"/>
      <c r="H42" s="319"/>
      <c r="K42"/>
      <c r="L42"/>
      <c r="M42"/>
      <c r="N42"/>
    </row>
    <row r="43" spans="1:14" s="1" customFormat="1" ht="15.75">
      <c r="A43" s="227" t="s">
        <v>45</v>
      </c>
      <c r="B43" s="208" t="s">
        <v>46</v>
      </c>
      <c r="C43" s="209">
        <v>0</v>
      </c>
      <c r="D43" s="193">
        <v>0</v>
      </c>
      <c r="E43" s="109"/>
      <c r="F43" s="109"/>
      <c r="G43" s="109"/>
      <c r="H43" s="109"/>
      <c r="K43"/>
      <c r="L43"/>
      <c r="M43"/>
      <c r="N43"/>
    </row>
    <row r="44" spans="1:14" s="1" customFormat="1" ht="15.75">
      <c r="A44" s="227" t="s">
        <v>47</v>
      </c>
      <c r="B44" s="208" t="s">
        <v>46</v>
      </c>
      <c r="C44" s="209">
        <v>0</v>
      </c>
      <c r="D44" s="193">
        <v>0</v>
      </c>
      <c r="E44" s="109"/>
      <c r="F44" s="109"/>
      <c r="G44" s="109"/>
      <c r="H44" s="109"/>
      <c r="K44"/>
      <c r="L44"/>
      <c r="M44"/>
      <c r="N44"/>
    </row>
    <row r="45" spans="1:14" s="1" customFormat="1" ht="15.75">
      <c r="A45" s="229" t="s">
        <v>48</v>
      </c>
      <c r="B45" s="208" t="s">
        <v>46</v>
      </c>
      <c r="C45" s="209">
        <v>0</v>
      </c>
      <c r="D45" s="193">
        <v>0</v>
      </c>
      <c r="E45" s="109"/>
      <c r="F45" s="109"/>
      <c r="G45" s="109"/>
      <c r="H45" s="109"/>
      <c r="K45"/>
      <c r="L45"/>
      <c r="M45"/>
      <c r="N45"/>
    </row>
    <row r="46" spans="1:14" s="1" customFormat="1" ht="15.75">
      <c r="A46" s="227" t="s">
        <v>49</v>
      </c>
      <c r="B46" s="208" t="s">
        <v>11</v>
      </c>
      <c r="C46" s="209">
        <v>0</v>
      </c>
      <c r="D46" s="193">
        <v>0</v>
      </c>
      <c r="E46" s="109"/>
      <c r="F46" s="109"/>
      <c r="G46" s="109"/>
      <c r="H46" s="109"/>
      <c r="K46"/>
      <c r="L46"/>
      <c r="M46"/>
      <c r="N46"/>
    </row>
    <row r="47" spans="1:8" ht="20.25" customHeight="1">
      <c r="A47" s="570" t="s">
        <v>50</v>
      </c>
      <c r="B47" s="570"/>
      <c r="C47" s="570"/>
      <c r="D47" s="570"/>
      <c r="E47" s="109"/>
      <c r="F47" s="109"/>
      <c r="G47" s="109"/>
      <c r="H47" s="109"/>
    </row>
    <row r="48" spans="1:8" ht="26.25">
      <c r="A48" s="229" t="s">
        <v>51</v>
      </c>
      <c r="B48" s="208" t="s">
        <v>11</v>
      </c>
      <c r="C48" s="209"/>
      <c r="D48" s="193">
        <v>0</v>
      </c>
      <c r="E48" s="109"/>
      <c r="F48" s="109"/>
      <c r="G48" s="109"/>
      <c r="H48" s="109"/>
    </row>
    <row r="49" spans="1:8" ht="15.75">
      <c r="A49" s="227" t="s">
        <v>12</v>
      </c>
      <c r="B49" s="208" t="s">
        <v>11</v>
      </c>
      <c r="C49" s="209"/>
      <c r="D49" s="193">
        <v>0</v>
      </c>
      <c r="E49" s="109"/>
      <c r="F49" s="109"/>
      <c r="G49" s="109"/>
      <c r="H49" s="109"/>
    </row>
    <row r="50" spans="1:8" ht="15.75">
      <c r="A50" s="227" t="s">
        <v>13</v>
      </c>
      <c r="B50" s="208" t="s">
        <v>11</v>
      </c>
      <c r="C50" s="209"/>
      <c r="D50" s="230">
        <f>D53-D56-D59</f>
        <v>1935.816675</v>
      </c>
      <c r="E50" s="109"/>
      <c r="F50" s="109"/>
      <c r="G50" s="109"/>
      <c r="H50" s="113"/>
    </row>
    <row r="51" spans="1:8" ht="26.25">
      <c r="A51" s="231" t="s">
        <v>52</v>
      </c>
      <c r="B51" s="208" t="s">
        <v>11</v>
      </c>
      <c r="C51" s="232"/>
      <c r="D51" s="233">
        <v>0</v>
      </c>
      <c r="E51" s="109"/>
      <c r="F51" s="109"/>
      <c r="G51" s="109"/>
      <c r="H51" s="109"/>
    </row>
    <row r="52" spans="1:10" ht="17.25" customHeight="1">
      <c r="A52" s="254" t="s">
        <v>12</v>
      </c>
      <c r="B52" s="208" t="s">
        <v>11</v>
      </c>
      <c r="C52" s="276"/>
      <c r="D52" s="55">
        <v>0</v>
      </c>
      <c r="E52" s="109"/>
      <c r="F52" s="109"/>
      <c r="G52" s="109"/>
      <c r="H52" s="109"/>
      <c r="I52" s="49"/>
      <c r="J52" s="49"/>
    </row>
    <row r="53" spans="1:14" ht="15.75">
      <c r="A53" s="235" t="s">
        <v>13</v>
      </c>
      <c r="B53" s="208" t="s">
        <v>11</v>
      </c>
      <c r="C53" s="236"/>
      <c r="D53" s="237">
        <v>1960.74</v>
      </c>
      <c r="E53" s="109"/>
      <c r="F53" s="109"/>
      <c r="G53" s="109"/>
      <c r="H53" s="109" t="s">
        <v>26</v>
      </c>
      <c r="I53" s="60"/>
      <c r="J53" s="60"/>
      <c r="K53" s="61"/>
      <c r="L53" s="61"/>
      <c r="M53" s="61"/>
      <c r="N53" s="61"/>
    </row>
    <row r="54" spans="1:14" ht="18" customHeight="1" thickBot="1">
      <c r="A54" s="571" t="s">
        <v>53</v>
      </c>
      <c r="B54" s="571"/>
      <c r="C54" s="571"/>
      <c r="D54" s="571"/>
      <c r="E54" s="114"/>
      <c r="F54" s="115"/>
      <c r="G54" s="116"/>
      <c r="H54" s="109"/>
      <c r="I54" s="65"/>
      <c r="J54" s="65"/>
      <c r="K54" s="66"/>
      <c r="L54" s="66"/>
      <c r="M54" s="66"/>
      <c r="N54" s="66"/>
    </row>
    <row r="55" spans="1:14" ht="47.25">
      <c r="A55" s="67" t="s">
        <v>54</v>
      </c>
      <c r="B55" s="68" t="s">
        <v>55</v>
      </c>
      <c r="C55" s="69" t="s">
        <v>56</v>
      </c>
      <c r="D55" s="70" t="s">
        <v>57</v>
      </c>
      <c r="E55" s="114"/>
      <c r="F55" s="115"/>
      <c r="G55" s="116"/>
      <c r="H55" s="109"/>
      <c r="I55" s="65"/>
      <c r="J55" s="71"/>
      <c r="K55" s="66"/>
      <c r="L55" s="66"/>
      <c r="M55" s="66"/>
      <c r="N55" s="66"/>
    </row>
    <row r="56" spans="1:14" ht="15.75">
      <c r="A56" s="238" t="s">
        <v>58</v>
      </c>
      <c r="B56" s="239">
        <v>226.26</v>
      </c>
      <c r="C56" s="240">
        <f>B56*0.9913</f>
        <v>224.29153799999997</v>
      </c>
      <c r="D56" s="241">
        <f>B56-C56</f>
        <v>1.9684620000000166</v>
      </c>
      <c r="E56" s="117"/>
      <c r="F56" s="115"/>
      <c r="G56" s="116"/>
      <c r="H56" s="109"/>
      <c r="I56" s="65"/>
      <c r="J56" s="65"/>
      <c r="K56" s="66"/>
      <c r="L56" s="66"/>
      <c r="M56" s="66"/>
      <c r="N56" s="66"/>
    </row>
    <row r="57" spans="1:14" ht="15.75">
      <c r="A57" s="238" t="s">
        <v>59</v>
      </c>
      <c r="B57" s="239">
        <v>0</v>
      </c>
      <c r="C57" s="240">
        <f>B57*1.1615</f>
        <v>0</v>
      </c>
      <c r="D57" s="241">
        <f>B57-C57</f>
        <v>0</v>
      </c>
      <c r="E57" s="114"/>
      <c r="F57" s="115"/>
      <c r="G57" s="116"/>
      <c r="H57" s="109"/>
      <c r="I57" s="65"/>
      <c r="J57" s="65"/>
      <c r="K57" s="66"/>
      <c r="L57" s="66"/>
      <c r="M57" s="66"/>
      <c r="N57" s="66"/>
    </row>
    <row r="58" spans="1:14" ht="15.75">
      <c r="A58" s="238" t="s">
        <v>60</v>
      </c>
      <c r="B58" s="242">
        <v>0</v>
      </c>
      <c r="C58" s="240">
        <f>B58*1.1615</f>
        <v>0</v>
      </c>
      <c r="D58" s="241">
        <f>B58-C58</f>
        <v>0</v>
      </c>
      <c r="E58" s="62">
        <f>(2.07+1.8)*6*2301.2-0.37*2301.2*6</f>
        <v>48325.2</v>
      </c>
      <c r="F58" s="73"/>
      <c r="G58" s="74"/>
      <c r="H58" s="62"/>
      <c r="I58" s="65"/>
      <c r="J58" s="65"/>
      <c r="K58" s="66"/>
      <c r="L58" s="66"/>
      <c r="M58" s="66"/>
      <c r="N58" s="66"/>
    </row>
    <row r="59" spans="1:14" ht="16.5" thickBot="1">
      <c r="A59" s="261" t="s">
        <v>236</v>
      </c>
      <c r="B59" s="262">
        <v>2638.49</v>
      </c>
      <c r="C59" s="263">
        <f>B59*0.9913</f>
        <v>2615.535137</v>
      </c>
      <c r="D59" s="264">
        <f>B59-C59</f>
        <v>22.954862999999932</v>
      </c>
      <c r="E59" s="62"/>
      <c r="F59" s="73"/>
      <c r="G59" s="74"/>
      <c r="I59" s="65"/>
      <c r="J59" s="65"/>
      <c r="K59" s="66"/>
      <c r="L59" s="66"/>
      <c r="M59" s="66"/>
      <c r="N59" s="66"/>
    </row>
    <row r="60" spans="1:14" ht="63">
      <c r="A60" s="129" t="s">
        <v>62</v>
      </c>
      <c r="B60" s="130" t="s">
        <v>63</v>
      </c>
      <c r="C60" s="131" t="s">
        <v>64</v>
      </c>
      <c r="D60" s="132" t="s">
        <v>65</v>
      </c>
      <c r="E60" s="62"/>
      <c r="F60" s="73"/>
      <c r="H60" s="65"/>
      <c r="I60" s="65"/>
      <c r="J60" s="65"/>
      <c r="K60" s="66"/>
      <c r="L60" s="66"/>
      <c r="M60" s="66"/>
      <c r="N60" s="66"/>
    </row>
    <row r="61" spans="1:14" ht="15.75">
      <c r="A61" s="265" t="s">
        <v>58</v>
      </c>
      <c r="B61" s="244">
        <f>B56</f>
        <v>226.26</v>
      </c>
      <c r="C61" s="245">
        <f>B61</f>
        <v>226.26</v>
      </c>
      <c r="D61" s="266">
        <f>B61-C61</f>
        <v>0</v>
      </c>
      <c r="E61" s="62"/>
      <c r="F61" s="73"/>
      <c r="H61" s="65"/>
      <c r="I61" s="65"/>
      <c r="J61" s="65" t="s">
        <v>26</v>
      </c>
      <c r="K61" s="66"/>
      <c r="L61" s="66"/>
      <c r="M61" s="66"/>
      <c r="N61" s="66"/>
    </row>
    <row r="62" spans="1:14" ht="15.75">
      <c r="A62" s="265" t="s">
        <v>59</v>
      </c>
      <c r="B62" s="244">
        <v>0</v>
      </c>
      <c r="C62" s="245">
        <v>0</v>
      </c>
      <c r="D62" s="266">
        <f>B62-C62</f>
        <v>0</v>
      </c>
      <c r="E62" s="62"/>
      <c r="F62" s="73"/>
      <c r="H62" s="65"/>
      <c r="I62" s="65"/>
      <c r="J62" s="65"/>
      <c r="K62" s="66"/>
      <c r="L62" s="66"/>
      <c r="M62" s="66"/>
      <c r="N62" s="66"/>
    </row>
    <row r="63" spans="1:14" ht="15.75">
      <c r="A63" s="265" t="s">
        <v>60</v>
      </c>
      <c r="B63" s="244">
        <v>0</v>
      </c>
      <c r="C63" s="245">
        <v>0</v>
      </c>
      <c r="D63" s="266">
        <f>B63-C63</f>
        <v>0</v>
      </c>
      <c r="E63" s="62"/>
      <c r="F63" s="73"/>
      <c r="H63" s="65"/>
      <c r="I63" s="65"/>
      <c r="J63" s="65"/>
      <c r="K63" s="66"/>
      <c r="L63" s="66"/>
      <c r="M63" s="66"/>
      <c r="N63" s="66"/>
    </row>
    <row r="64" spans="1:14" ht="16.5" thickBot="1">
      <c r="A64" s="267" t="s">
        <v>236</v>
      </c>
      <c r="B64" s="268">
        <f>B59</f>
        <v>2638.49</v>
      </c>
      <c r="C64" s="269">
        <f>C59</f>
        <v>2615.535137</v>
      </c>
      <c r="D64" s="270">
        <f>B64-C64</f>
        <v>22.954862999999932</v>
      </c>
      <c r="E64" s="62"/>
      <c r="F64" s="73"/>
      <c r="H64" s="65" t="s">
        <v>26</v>
      </c>
      <c r="I64" s="65"/>
      <c r="J64" s="65"/>
      <c r="K64" s="66"/>
      <c r="L64" s="66"/>
      <c r="M64" s="66"/>
      <c r="N64" s="66"/>
    </row>
    <row r="65" spans="1:14" ht="15.75">
      <c r="A65" s="247"/>
      <c r="B65" s="248"/>
      <c r="C65" s="249"/>
      <c r="D65" s="250"/>
      <c r="E65" s="62"/>
      <c r="F65" s="73"/>
      <c r="H65" s="65"/>
      <c r="I65" s="65"/>
      <c r="J65" s="65"/>
      <c r="K65" s="66"/>
      <c r="L65" s="66"/>
      <c r="M65" s="66"/>
      <c r="N65" s="66"/>
    </row>
    <row r="66" spans="1:14" ht="26.25">
      <c r="A66" s="251" t="s">
        <v>66</v>
      </c>
      <c r="B66" s="248" t="s">
        <v>11</v>
      </c>
      <c r="C66" s="252"/>
      <c r="D66" s="253">
        <v>0</v>
      </c>
      <c r="E66" s="62"/>
      <c r="F66" s="73"/>
      <c r="H66" s="65"/>
      <c r="I66" s="65"/>
      <c r="J66" s="65" t="s">
        <v>26</v>
      </c>
      <c r="K66" s="66"/>
      <c r="L66" s="66"/>
      <c r="M66" s="66"/>
      <c r="N66" s="66"/>
    </row>
    <row r="67" spans="1:14" ht="17.25" customHeight="1">
      <c r="A67" s="572" t="s">
        <v>67</v>
      </c>
      <c r="B67" s="572"/>
      <c r="C67" s="572"/>
      <c r="D67" s="572"/>
      <c r="E67" s="83" t="e">
        <f>D67+B19</f>
        <v>#VALUE!</v>
      </c>
      <c r="F67" s="65"/>
      <c r="H67" s="84" t="e">
        <f>E67-B18</f>
        <v>#VALUE!</v>
      </c>
      <c r="I67" s="65"/>
      <c r="J67" s="65"/>
      <c r="K67" s="66"/>
      <c r="L67" s="66"/>
      <c r="M67" s="66"/>
      <c r="N67" s="66"/>
    </row>
    <row r="68" spans="1:5" ht="21" customHeight="1">
      <c r="A68" s="86" t="s">
        <v>45</v>
      </c>
      <c r="B68" s="86" t="s">
        <v>46</v>
      </c>
      <c r="C68" s="86"/>
      <c r="D68" s="177">
        <v>0</v>
      </c>
      <c r="E68" s="88"/>
    </row>
    <row r="69" spans="1:5" ht="21" customHeight="1">
      <c r="A69" s="86" t="s">
        <v>47</v>
      </c>
      <c r="B69" s="86" t="s">
        <v>46</v>
      </c>
      <c r="C69" s="86"/>
      <c r="D69" s="177">
        <v>0</v>
      </c>
      <c r="E69" s="88"/>
    </row>
    <row r="70" spans="1:5" ht="18" customHeight="1">
      <c r="A70" s="86" t="s">
        <v>48</v>
      </c>
      <c r="B70" s="86" t="s">
        <v>46</v>
      </c>
      <c r="C70" s="86"/>
      <c r="D70" s="177">
        <v>0</v>
      </c>
      <c r="E70" s="88"/>
    </row>
    <row r="71" spans="1:5" ht="16.5" customHeight="1">
      <c r="A71" s="86" t="s">
        <v>49</v>
      </c>
      <c r="B71" s="86" t="s">
        <v>11</v>
      </c>
      <c r="C71" s="86"/>
      <c r="D71" s="177">
        <v>0</v>
      </c>
      <c r="E71" s="88"/>
    </row>
    <row r="72" spans="1:5" ht="15.75" customHeight="1">
      <c r="A72" s="566" t="s">
        <v>68</v>
      </c>
      <c r="B72" s="566"/>
      <c r="C72" s="566"/>
      <c r="D72" s="566"/>
      <c r="E72" s="88"/>
    </row>
    <row r="73" spans="1:5" ht="18.75" customHeight="1">
      <c r="A73" s="86" t="s">
        <v>69</v>
      </c>
      <c r="B73" s="86" t="s">
        <v>46</v>
      </c>
      <c r="C73" s="86"/>
      <c r="D73" s="177">
        <v>0</v>
      </c>
      <c r="E73" s="88"/>
    </row>
    <row r="74" spans="1:5" ht="21.75" customHeight="1">
      <c r="A74" s="86" t="s">
        <v>70</v>
      </c>
      <c r="B74" s="254" t="s">
        <v>46</v>
      </c>
      <c r="C74" s="254"/>
      <c r="D74" s="177">
        <v>0</v>
      </c>
      <c r="E74" s="88"/>
    </row>
    <row r="75" spans="1:5" ht="36" customHeight="1">
      <c r="A75" s="255" t="s">
        <v>71</v>
      </c>
      <c r="B75" s="86" t="s">
        <v>11</v>
      </c>
      <c r="C75" s="86"/>
      <c r="D75" s="177">
        <v>0</v>
      </c>
      <c r="E75" s="88"/>
    </row>
    <row r="76" spans="1:4" ht="15.75">
      <c r="A76" s="256"/>
      <c r="B76" s="256"/>
      <c r="C76" s="256"/>
      <c r="D76" s="257"/>
    </row>
    <row r="77" spans="1:14" s="1" customFormat="1" ht="12.75">
      <c r="A77" s="178"/>
      <c r="B77" s="178"/>
      <c r="C77" s="178"/>
      <c r="D77" s="178"/>
      <c r="H77" s="1" t="s">
        <v>26</v>
      </c>
      <c r="K77"/>
      <c r="L77"/>
      <c r="M77"/>
      <c r="N77"/>
    </row>
    <row r="78" spans="1:14" s="1" customFormat="1" ht="12.75">
      <c r="A78" s="178" t="s">
        <v>72</v>
      </c>
      <c r="B78" s="178"/>
      <c r="C78" s="178"/>
      <c r="D78" s="178"/>
      <c r="K78"/>
      <c r="L78"/>
      <c r="M78"/>
      <c r="N78"/>
    </row>
    <row r="79" spans="1:14" s="1" customFormat="1" ht="12.75">
      <c r="A79" s="178"/>
      <c r="B79" s="178"/>
      <c r="C79" s="178"/>
      <c r="D79" s="178"/>
      <c r="H79" s="1" t="s">
        <v>26</v>
      </c>
      <c r="K79"/>
      <c r="L79"/>
      <c r="M79"/>
      <c r="N79"/>
    </row>
    <row r="80" spans="1:14" s="1" customFormat="1" ht="12.75">
      <c r="A80" s="178" t="s">
        <v>73</v>
      </c>
      <c r="B80" s="178"/>
      <c r="C80" s="178"/>
      <c r="D80" s="178"/>
      <c r="K80"/>
      <c r="L80"/>
      <c r="M80"/>
      <c r="N80"/>
    </row>
    <row r="81" spans="1:4" ht="12.75">
      <c r="A81" s="178"/>
      <c r="B81" s="178"/>
      <c r="C81" s="178"/>
      <c r="D81" s="178"/>
    </row>
    <row r="84" spans="1:14" s="1" customFormat="1" ht="12.75">
      <c r="A84"/>
      <c r="B84"/>
      <c r="C84"/>
      <c r="D84"/>
      <c r="E84" s="1" t="s">
        <v>26</v>
      </c>
      <c r="K84"/>
      <c r="L84"/>
      <c r="M84"/>
      <c r="N84"/>
    </row>
  </sheetData>
  <sheetProtection selectLockedCells="1" selectUnlockedCells="1"/>
  <mergeCells count="13">
    <mergeCell ref="A72:D72"/>
    <mergeCell ref="A14:D14"/>
    <mergeCell ref="A29:D29"/>
    <mergeCell ref="A42:D42"/>
    <mergeCell ref="A47:D47"/>
    <mergeCell ref="A54:D54"/>
    <mergeCell ref="A67:D67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3"/>
  <sheetViews>
    <sheetView zoomScale="80" zoomScaleNormal="80" zoomScalePageLayoutView="0" workbookViewId="0" topLeftCell="A25">
      <selection activeCell="D38" sqref="D38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560" t="s">
        <v>0</v>
      </c>
      <c r="B1" s="560"/>
      <c r="C1" s="560"/>
      <c r="D1" s="560"/>
    </row>
    <row r="2" spans="1:4" ht="15.75">
      <c r="A2" s="561" t="s">
        <v>220</v>
      </c>
      <c r="B2" s="562"/>
      <c r="C2" s="562"/>
      <c r="D2" s="562"/>
    </row>
    <row r="3" spans="1:4" ht="15.75">
      <c r="A3" s="562" t="s">
        <v>1</v>
      </c>
      <c r="B3" s="562"/>
      <c r="C3" s="562"/>
      <c r="D3" s="562"/>
    </row>
    <row r="4" spans="1:4" ht="12.75">
      <c r="A4" s="563" t="s">
        <v>112</v>
      </c>
      <c r="B4" s="563"/>
      <c r="C4" s="563"/>
      <c r="D4" s="563"/>
    </row>
    <row r="5" spans="1:4" ht="12.75">
      <c r="A5" s="564" t="s">
        <v>306</v>
      </c>
      <c r="B5" s="563"/>
      <c r="C5" s="563"/>
      <c r="D5" s="563"/>
    </row>
    <row r="6" spans="1:4" ht="9" customHeight="1">
      <c r="A6" s="258"/>
      <c r="B6" s="178"/>
      <c r="C6" s="178"/>
      <c r="D6" s="178"/>
    </row>
    <row r="7" spans="1:4" ht="18" customHeight="1">
      <c r="A7" s="565" t="s">
        <v>2</v>
      </c>
      <c r="B7" s="565"/>
      <c r="C7" s="565"/>
      <c r="D7" s="565"/>
    </row>
    <row r="8" spans="1:4" ht="12.75">
      <c r="A8" s="258" t="s">
        <v>173</v>
      </c>
      <c r="B8" s="178"/>
      <c r="C8" s="183"/>
      <c r="D8" s="178"/>
    </row>
    <row r="9" spans="1:5" ht="12.75">
      <c r="A9" s="184" t="s">
        <v>3</v>
      </c>
      <c r="B9" s="184" t="s">
        <v>4</v>
      </c>
      <c r="C9" s="184" t="s">
        <v>5</v>
      </c>
      <c r="D9" s="185"/>
      <c r="E9" s="109"/>
    </row>
    <row r="10" spans="1:5" ht="12.75">
      <c r="A10" s="186">
        <v>1</v>
      </c>
      <c r="B10" s="186">
        <v>2</v>
      </c>
      <c r="C10" s="186">
        <v>3</v>
      </c>
      <c r="D10" s="187">
        <v>4</v>
      </c>
      <c r="E10" s="109"/>
    </row>
    <row r="11" spans="1:5" ht="12.75">
      <c r="A11" s="20" t="s">
        <v>6</v>
      </c>
      <c r="B11" s="188"/>
      <c r="C11" s="189" t="s">
        <v>262</v>
      </c>
      <c r="D11" s="190"/>
      <c r="E11" s="109"/>
    </row>
    <row r="12" spans="1:5" ht="12.75">
      <c r="A12" s="20" t="s">
        <v>7</v>
      </c>
      <c r="B12" s="188"/>
      <c r="C12" s="189" t="s">
        <v>263</v>
      </c>
      <c r="D12" s="190"/>
      <c r="E12" s="109"/>
    </row>
    <row r="13" spans="1:5" ht="12.75">
      <c r="A13" s="20" t="s">
        <v>8</v>
      </c>
      <c r="B13" s="188"/>
      <c r="C13" s="189" t="s">
        <v>267</v>
      </c>
      <c r="D13" s="190"/>
      <c r="E13" s="109"/>
    </row>
    <row r="14" spans="1:5" ht="31.5" customHeight="1">
      <c r="A14" s="567" t="s">
        <v>9</v>
      </c>
      <c r="B14" s="567"/>
      <c r="C14" s="567"/>
      <c r="D14" s="567"/>
      <c r="E14" s="109"/>
    </row>
    <row r="15" spans="1:5" ht="26.25">
      <c r="A15" s="17" t="s">
        <v>10</v>
      </c>
      <c r="B15" s="191" t="s">
        <v>11</v>
      </c>
      <c r="C15" s="192">
        <v>32583.18</v>
      </c>
      <c r="D15" s="193"/>
      <c r="E15" s="109"/>
    </row>
    <row r="16" spans="1:8" ht="15.75">
      <c r="A16" s="20" t="s">
        <v>12</v>
      </c>
      <c r="B16" s="191" t="s">
        <v>11</v>
      </c>
      <c r="C16" s="192">
        <v>0</v>
      </c>
      <c r="D16" s="193"/>
      <c r="E16" s="109"/>
      <c r="F16" s="109"/>
      <c r="G16" s="109"/>
      <c r="H16" s="109"/>
    </row>
    <row r="17" spans="1:8" ht="15.75">
      <c r="A17" s="20" t="s">
        <v>13</v>
      </c>
      <c r="B17" s="191" t="s">
        <v>11</v>
      </c>
      <c r="C17" s="194">
        <v>1713.5</v>
      </c>
      <c r="D17" s="195"/>
      <c r="E17" s="109"/>
      <c r="F17" s="109"/>
      <c r="G17" s="109"/>
      <c r="H17" s="109"/>
    </row>
    <row r="18" spans="1:8" ht="31.5" customHeight="1">
      <c r="A18" s="17" t="s">
        <v>14</v>
      </c>
      <c r="B18" s="191" t="s">
        <v>11</v>
      </c>
      <c r="C18" s="194">
        <v>20555.88</v>
      </c>
      <c r="D18" s="195"/>
      <c r="E18" s="110">
        <f>C18-C20</f>
        <v>15697.392</v>
      </c>
      <c r="F18" s="109"/>
      <c r="G18" s="109"/>
      <c r="H18" s="109"/>
    </row>
    <row r="19" spans="1:8" ht="15.75">
      <c r="A19" s="20" t="s">
        <v>15</v>
      </c>
      <c r="B19" s="191" t="s">
        <v>11</v>
      </c>
      <c r="C19" s="194">
        <f>C18-C20-C21</f>
        <v>7521.863999999999</v>
      </c>
      <c r="D19" s="195"/>
      <c r="E19" s="110">
        <f>E37-E18</f>
        <v>0.0020000000004074536</v>
      </c>
      <c r="F19" s="109"/>
      <c r="G19" s="109"/>
      <c r="H19" s="109"/>
    </row>
    <row r="20" spans="1:8" ht="15.75">
      <c r="A20" s="20" t="s">
        <v>16</v>
      </c>
      <c r="B20" s="191" t="s">
        <v>11</v>
      </c>
      <c r="C20" s="194">
        <f>(2.44+2.54)*6*162.6</f>
        <v>4858.488</v>
      </c>
      <c r="D20" s="195"/>
      <c r="E20" s="111"/>
      <c r="F20" s="109"/>
      <c r="G20" s="109"/>
      <c r="H20" s="109"/>
    </row>
    <row r="21" spans="1:8" ht="15.75">
      <c r="A21" s="20" t="s">
        <v>17</v>
      </c>
      <c r="B21" s="191" t="s">
        <v>11</v>
      </c>
      <c r="C21" s="196">
        <f>162.6*4.19*12</f>
        <v>8175.528000000001</v>
      </c>
      <c r="D21" s="195"/>
      <c r="E21" s="109"/>
      <c r="F21" s="109"/>
      <c r="G21" s="109"/>
      <c r="H21" s="109"/>
    </row>
    <row r="22" spans="1:8" ht="15.75">
      <c r="A22" s="20" t="s">
        <v>18</v>
      </c>
      <c r="B22" s="191" t="s">
        <v>11</v>
      </c>
      <c r="C22" s="194">
        <f>C23+C24+C25+C26+C27</f>
        <v>20555.88</v>
      </c>
      <c r="D22" s="195" t="s">
        <v>19</v>
      </c>
      <c r="E22" s="110"/>
      <c r="F22" s="109"/>
      <c r="G22" s="109"/>
      <c r="H22" s="109"/>
    </row>
    <row r="23" spans="1:8" ht="15.75">
      <c r="A23" s="20" t="s">
        <v>20</v>
      </c>
      <c r="B23" s="191" t="s">
        <v>11</v>
      </c>
      <c r="C23" s="194">
        <f>C18*1</f>
        <v>20555.88</v>
      </c>
      <c r="D23" s="195"/>
      <c r="E23" s="109"/>
      <c r="F23" s="109"/>
      <c r="G23" s="109"/>
      <c r="H23" s="109"/>
    </row>
    <row r="24" spans="1:8" ht="15.75">
      <c r="A24" s="20" t="s">
        <v>21</v>
      </c>
      <c r="B24" s="191" t="s">
        <v>11</v>
      </c>
      <c r="C24" s="194">
        <v>0</v>
      </c>
      <c r="D24" s="197">
        <v>65.21</v>
      </c>
      <c r="E24" s="111"/>
      <c r="F24" s="109"/>
      <c r="G24" s="109"/>
      <c r="H24" s="109" t="s">
        <v>22</v>
      </c>
    </row>
    <row r="25" spans="1:8" ht="15.75">
      <c r="A25" s="20" t="s">
        <v>23</v>
      </c>
      <c r="B25" s="191" t="s">
        <v>11</v>
      </c>
      <c r="C25" s="194">
        <v>0</v>
      </c>
      <c r="D25" s="197">
        <v>119.63</v>
      </c>
      <c r="E25" s="111" t="e">
        <f>B25/#REF!*1</f>
        <v>#VALUE!</v>
      </c>
      <c r="F25" s="109"/>
      <c r="G25" s="109"/>
      <c r="H25" s="109"/>
    </row>
    <row r="26" spans="1:8" ht="15.75">
      <c r="A26" s="188" t="s">
        <v>24</v>
      </c>
      <c r="B26" s="191" t="s">
        <v>11</v>
      </c>
      <c r="C26" s="194">
        <v>0</v>
      </c>
      <c r="D26" s="197"/>
      <c r="E26" s="111" t="e">
        <f>B26/#REF!*1</f>
        <v>#VALUE!</v>
      </c>
      <c r="F26" s="109"/>
      <c r="G26" s="109"/>
      <c r="H26" s="109"/>
    </row>
    <row r="27" spans="1:8" ht="16.5" customHeight="1">
      <c r="A27" s="198" t="s">
        <v>96</v>
      </c>
      <c r="B27" s="191" t="s">
        <v>11</v>
      </c>
      <c r="C27" s="194">
        <v>0</v>
      </c>
      <c r="D27" s="197">
        <v>139.18</v>
      </c>
      <c r="E27" s="111" t="e">
        <f>B27/#REF!*1</f>
        <v>#VALUE!</v>
      </c>
      <c r="F27" s="109"/>
      <c r="G27" s="109"/>
      <c r="H27" s="109"/>
    </row>
    <row r="28" spans="1:8" ht="15.75">
      <c r="A28" s="20" t="s">
        <v>25</v>
      </c>
      <c r="B28" s="191" t="s">
        <v>11</v>
      </c>
      <c r="C28" s="194">
        <f>C15+C22</f>
        <v>53139.06</v>
      </c>
      <c r="D28" s="195" t="s">
        <v>26</v>
      </c>
      <c r="E28" s="111" t="e">
        <f>B28/#REF!*1</f>
        <v>#VALUE!</v>
      </c>
      <c r="F28" s="109"/>
      <c r="G28" s="109"/>
      <c r="H28" s="109"/>
    </row>
    <row r="29" spans="1:8" ht="35.25" customHeight="1">
      <c r="A29" s="568" t="s">
        <v>27</v>
      </c>
      <c r="B29" s="568"/>
      <c r="C29" s="568"/>
      <c r="D29" s="568"/>
      <c r="E29" s="109"/>
      <c r="F29" s="109"/>
      <c r="G29" s="109"/>
      <c r="H29" s="109"/>
    </row>
    <row r="30" spans="1:8" ht="63">
      <c r="A30" s="271" t="s">
        <v>28</v>
      </c>
      <c r="B30" s="307" t="s">
        <v>29</v>
      </c>
      <c r="C30" s="286" t="s">
        <v>30</v>
      </c>
      <c r="D30" s="308" t="s">
        <v>31</v>
      </c>
      <c r="E30" s="109"/>
      <c r="F30" s="109"/>
      <c r="G30" s="109"/>
      <c r="H30" s="109"/>
    </row>
    <row r="31" spans="1:8" ht="15.75">
      <c r="A31" s="203" t="s">
        <v>32</v>
      </c>
      <c r="B31" s="204" t="s">
        <v>33</v>
      </c>
      <c r="C31" s="205" t="s">
        <v>34</v>
      </c>
      <c r="D31" s="206">
        <f>(0.81+0.85)*6*162.6</f>
        <v>1619.496</v>
      </c>
      <c r="E31" s="109"/>
      <c r="F31" s="109"/>
      <c r="G31" s="109"/>
      <c r="H31" s="109"/>
    </row>
    <row r="32" spans="1:8" ht="15.75">
      <c r="A32" s="207" t="s">
        <v>36</v>
      </c>
      <c r="B32" s="208" t="s">
        <v>78</v>
      </c>
      <c r="C32" s="209" t="s">
        <v>37</v>
      </c>
      <c r="D32" s="210">
        <f>0.48*12*162.6</f>
        <v>936.5759999999999</v>
      </c>
      <c r="E32" s="109"/>
      <c r="F32" s="109"/>
      <c r="G32" s="109"/>
      <c r="H32" s="109"/>
    </row>
    <row r="33" spans="1:8" ht="15.75">
      <c r="A33" s="293" t="s">
        <v>174</v>
      </c>
      <c r="B33" s="208" t="s">
        <v>33</v>
      </c>
      <c r="C33" s="209" t="s">
        <v>34</v>
      </c>
      <c r="D33" s="210">
        <f>(1.08+1.35)*6*162.6-0.01</f>
        <v>2370.698</v>
      </c>
      <c r="E33" s="109"/>
      <c r="F33" s="109"/>
      <c r="G33" s="109"/>
      <c r="H33" s="109"/>
    </row>
    <row r="34" spans="1:8" ht="15.75">
      <c r="A34" s="207" t="s">
        <v>81</v>
      </c>
      <c r="B34" s="213" t="s">
        <v>82</v>
      </c>
      <c r="C34" s="209" t="s">
        <v>34</v>
      </c>
      <c r="D34" s="210">
        <f>1.33*12*162.6</f>
        <v>2595.096</v>
      </c>
      <c r="E34" s="109"/>
      <c r="F34" s="109"/>
      <c r="G34" s="109"/>
      <c r="H34" s="109"/>
    </row>
    <row r="35" spans="1:8" ht="15.75">
      <c r="A35" s="207" t="s">
        <v>38</v>
      </c>
      <c r="B35" s="208" t="s">
        <v>35</v>
      </c>
      <c r="C35" s="362" t="s">
        <v>221</v>
      </c>
      <c r="D35" s="210">
        <f>4.19*162.6*12</f>
        <v>8175.528000000001</v>
      </c>
      <c r="E35" s="109"/>
      <c r="F35" s="109"/>
      <c r="G35" s="109"/>
      <c r="H35" s="109"/>
    </row>
    <row r="36" spans="1:8" ht="47.25">
      <c r="A36" s="368" t="s">
        <v>218</v>
      </c>
      <c r="B36" s="369" t="s">
        <v>41</v>
      </c>
      <c r="C36" s="370"/>
      <c r="D36" s="309">
        <v>0</v>
      </c>
      <c r="E36" s="109"/>
      <c r="F36" s="109"/>
      <c r="G36" s="109"/>
      <c r="H36" s="109"/>
    </row>
    <row r="37" spans="1:14" s="1" customFormat="1" ht="15.75">
      <c r="A37" s="37" t="s">
        <v>42</v>
      </c>
      <c r="B37" s="222"/>
      <c r="C37" s="223"/>
      <c r="D37" s="97">
        <f>D31+D32+D33+D34+D35+D36</f>
        <v>15697.394</v>
      </c>
      <c r="E37" s="112">
        <f>D37-D36</f>
        <v>15697.394</v>
      </c>
      <c r="F37" s="109"/>
      <c r="G37" s="109"/>
      <c r="H37" s="109"/>
      <c r="K37"/>
      <c r="L37"/>
      <c r="M37"/>
      <c r="N37"/>
    </row>
    <row r="38" spans="1:14" s="1" customFormat="1" ht="15.75">
      <c r="A38" s="40" t="s">
        <v>43</v>
      </c>
      <c r="B38" s="224" t="s">
        <v>11</v>
      </c>
      <c r="C38" s="225"/>
      <c r="D38" s="226">
        <f>C28-D37</f>
        <v>37441.666</v>
      </c>
      <c r="E38" s="112"/>
      <c r="F38" s="109"/>
      <c r="G38" s="109"/>
      <c r="H38" s="109"/>
      <c r="K38"/>
      <c r="L38"/>
      <c r="M38"/>
      <c r="N38"/>
    </row>
    <row r="39" spans="1:14" s="1" customFormat="1" ht="15.75">
      <c r="A39" s="227" t="s">
        <v>12</v>
      </c>
      <c r="B39" s="228" t="s">
        <v>11</v>
      </c>
      <c r="C39" s="209"/>
      <c r="D39" s="193">
        <v>0</v>
      </c>
      <c r="E39" s="109"/>
      <c r="F39" s="109"/>
      <c r="G39" s="109"/>
      <c r="H39" s="109"/>
      <c r="K39"/>
      <c r="L39"/>
      <c r="M39"/>
      <c r="N39"/>
    </row>
    <row r="40" spans="1:14" s="1" customFormat="1" ht="15.75">
      <c r="A40" s="227" t="s">
        <v>13</v>
      </c>
      <c r="B40" s="228" t="s">
        <v>11</v>
      </c>
      <c r="C40" s="209"/>
      <c r="D40" s="195">
        <f>C17+C18-C23</f>
        <v>1713.5</v>
      </c>
      <c r="E40" s="109"/>
      <c r="F40" s="109"/>
      <c r="G40" s="109"/>
      <c r="H40" s="109"/>
      <c r="K40"/>
      <c r="L40"/>
      <c r="M40"/>
      <c r="N40"/>
    </row>
    <row r="41" spans="1:14" s="1" customFormat="1" ht="24" customHeight="1">
      <c r="A41" s="569" t="s">
        <v>44</v>
      </c>
      <c r="B41" s="569"/>
      <c r="C41" s="569"/>
      <c r="D41" s="569"/>
      <c r="E41" s="109"/>
      <c r="K41"/>
      <c r="L41"/>
      <c r="M41"/>
      <c r="N41"/>
    </row>
    <row r="42" spans="1:14" s="1" customFormat="1" ht="15.75">
      <c r="A42" s="227" t="s">
        <v>45</v>
      </c>
      <c r="B42" s="208" t="s">
        <v>46</v>
      </c>
      <c r="C42" s="209">
        <v>0</v>
      </c>
      <c r="D42" s="193">
        <v>0</v>
      </c>
      <c r="E42" s="109"/>
      <c r="K42"/>
      <c r="L42"/>
      <c r="M42"/>
      <c r="N42"/>
    </row>
    <row r="43" spans="1:14" s="1" customFormat="1" ht="15.75">
      <c r="A43" s="227" t="s">
        <v>47</v>
      </c>
      <c r="B43" s="208" t="s">
        <v>46</v>
      </c>
      <c r="C43" s="209">
        <v>0</v>
      </c>
      <c r="D43" s="193">
        <v>0</v>
      </c>
      <c r="E43" s="109"/>
      <c r="K43"/>
      <c r="L43"/>
      <c r="M43"/>
      <c r="N43"/>
    </row>
    <row r="44" spans="1:14" s="1" customFormat="1" ht="15.75">
      <c r="A44" s="229" t="s">
        <v>48</v>
      </c>
      <c r="B44" s="208" t="s">
        <v>46</v>
      </c>
      <c r="C44" s="209">
        <v>0</v>
      </c>
      <c r="D44" s="193">
        <v>0</v>
      </c>
      <c r="E44" s="109"/>
      <c r="K44"/>
      <c r="L44"/>
      <c r="M44"/>
      <c r="N44"/>
    </row>
    <row r="45" spans="1:14" s="1" customFormat="1" ht="15.75">
      <c r="A45" s="227" t="s">
        <v>49</v>
      </c>
      <c r="B45" s="208" t="s">
        <v>11</v>
      </c>
      <c r="C45" s="209">
        <v>0</v>
      </c>
      <c r="D45" s="193">
        <v>0</v>
      </c>
      <c r="E45" s="109"/>
      <c r="K45"/>
      <c r="L45"/>
      <c r="M45"/>
      <c r="N45"/>
    </row>
    <row r="46" spans="1:5" ht="20.25" customHeight="1">
      <c r="A46" s="570" t="s">
        <v>50</v>
      </c>
      <c r="B46" s="570"/>
      <c r="C46" s="570"/>
      <c r="D46" s="570"/>
      <c r="E46" s="109"/>
    </row>
    <row r="47" spans="1:5" ht="26.25">
      <c r="A47" s="229" t="s">
        <v>51</v>
      </c>
      <c r="B47" s="208" t="s">
        <v>11</v>
      </c>
      <c r="C47" s="209"/>
      <c r="D47" s="193">
        <v>0</v>
      </c>
      <c r="E47" s="109"/>
    </row>
    <row r="48" spans="1:5" ht="15.75">
      <c r="A48" s="227" t="s">
        <v>12</v>
      </c>
      <c r="B48" s="208" t="s">
        <v>11</v>
      </c>
      <c r="C48" s="209"/>
      <c r="D48" s="193">
        <v>0</v>
      </c>
      <c r="E48" s="109"/>
    </row>
    <row r="49" spans="1:8" ht="15.75">
      <c r="A49" s="227" t="s">
        <v>13</v>
      </c>
      <c r="B49" s="208" t="s">
        <v>11</v>
      </c>
      <c r="C49" s="209"/>
      <c r="D49" s="230">
        <f>D52-D55-D56-D57-D58</f>
        <v>947.31</v>
      </c>
      <c r="E49" s="109"/>
      <c r="H49" s="49"/>
    </row>
    <row r="50" spans="1:5" ht="26.25">
      <c r="A50" s="231" t="s">
        <v>52</v>
      </c>
      <c r="B50" s="208" t="s">
        <v>11</v>
      </c>
      <c r="C50" s="232"/>
      <c r="D50" s="233">
        <v>0</v>
      </c>
      <c r="E50" s="109"/>
    </row>
    <row r="51" spans="1:10" ht="17.25" customHeight="1">
      <c r="A51" s="254" t="s">
        <v>12</v>
      </c>
      <c r="B51" s="208" t="s">
        <v>11</v>
      </c>
      <c r="C51" s="209"/>
      <c r="D51" s="193">
        <v>0</v>
      </c>
      <c r="E51" s="109"/>
      <c r="I51" s="49"/>
      <c r="J51" s="49"/>
    </row>
    <row r="52" spans="1:14" ht="15.75">
      <c r="A52" s="235" t="s">
        <v>13</v>
      </c>
      <c r="B52" s="208" t="s">
        <v>11</v>
      </c>
      <c r="C52" s="236"/>
      <c r="D52" s="237">
        <v>947.31</v>
      </c>
      <c r="E52" s="109"/>
      <c r="H52" s="1" t="s">
        <v>26</v>
      </c>
      <c r="I52" s="60"/>
      <c r="J52" s="60"/>
      <c r="K52" s="61"/>
      <c r="L52" s="61"/>
      <c r="M52" s="61"/>
      <c r="N52" s="61"/>
    </row>
    <row r="53" spans="1:14" ht="18" customHeight="1">
      <c r="A53" s="571" t="s">
        <v>53</v>
      </c>
      <c r="B53" s="571"/>
      <c r="C53" s="571"/>
      <c r="D53" s="571"/>
      <c r="E53" s="114"/>
      <c r="F53" s="63"/>
      <c r="G53" s="64"/>
      <c r="I53" s="65"/>
      <c r="J53" s="65"/>
      <c r="K53" s="66"/>
      <c r="L53" s="66"/>
      <c r="M53" s="66"/>
      <c r="N53" s="66"/>
    </row>
    <row r="54" spans="1:14" ht="47.25">
      <c r="A54" s="67" t="s">
        <v>54</v>
      </c>
      <c r="B54" s="68" t="s">
        <v>55</v>
      </c>
      <c r="C54" s="69" t="s">
        <v>56</v>
      </c>
      <c r="D54" s="70" t="s">
        <v>57</v>
      </c>
      <c r="E54" s="114"/>
      <c r="F54" s="63"/>
      <c r="G54" s="64"/>
      <c r="I54" s="65"/>
      <c r="J54" s="71"/>
      <c r="K54" s="66"/>
      <c r="L54" s="66"/>
      <c r="M54" s="66"/>
      <c r="N54" s="66"/>
    </row>
    <row r="55" spans="1:14" ht="15.75">
      <c r="A55" s="238" t="s">
        <v>58</v>
      </c>
      <c r="B55" s="239">
        <v>1909.92</v>
      </c>
      <c r="C55" s="240">
        <f>B55*1</f>
        <v>1909.92</v>
      </c>
      <c r="D55" s="241">
        <f>B55-C55</f>
        <v>0</v>
      </c>
      <c r="E55" s="117"/>
      <c r="F55" s="63"/>
      <c r="G55" s="64"/>
      <c r="I55" s="65"/>
      <c r="J55" s="65"/>
      <c r="K55" s="66"/>
      <c r="L55" s="66"/>
      <c r="M55" s="66"/>
      <c r="N55" s="66"/>
    </row>
    <row r="56" spans="1:14" ht="15.75">
      <c r="A56" s="238" t="s">
        <v>59</v>
      </c>
      <c r="B56" s="239">
        <v>2185.78</v>
      </c>
      <c r="C56" s="240">
        <f>B56*1</f>
        <v>2185.78</v>
      </c>
      <c r="D56" s="241">
        <f>B56-C56</f>
        <v>0</v>
      </c>
      <c r="E56" s="114"/>
      <c r="F56" s="63"/>
      <c r="G56" s="64"/>
      <c r="I56" s="65"/>
      <c r="J56" s="65"/>
      <c r="K56" s="66"/>
      <c r="L56" s="66"/>
      <c r="M56" s="66"/>
      <c r="N56" s="66"/>
    </row>
    <row r="57" spans="1:14" ht="15.75">
      <c r="A57" s="238" t="s">
        <v>60</v>
      </c>
      <c r="B57" s="242">
        <v>12849.48</v>
      </c>
      <c r="C57" s="240">
        <f>B57*1</f>
        <v>12849.48</v>
      </c>
      <c r="D57" s="241">
        <f>B57-C57</f>
        <v>0</v>
      </c>
      <c r="E57" s="114">
        <f>(2.07+1.8)*6*2301.2-0.37*2301.2*6</f>
        <v>48325.2</v>
      </c>
      <c r="F57" s="73"/>
      <c r="G57" s="74"/>
      <c r="H57" s="62"/>
      <c r="I57" s="65"/>
      <c r="J57" s="65"/>
      <c r="K57" s="66"/>
      <c r="L57" s="66"/>
      <c r="M57" s="66"/>
      <c r="N57" s="66"/>
    </row>
    <row r="58" spans="1:14" ht="16.5" thickBot="1">
      <c r="A58" s="261" t="s">
        <v>236</v>
      </c>
      <c r="B58" s="262">
        <v>9108.63</v>
      </c>
      <c r="C58" s="240">
        <f>B58*1</f>
        <v>9108.63</v>
      </c>
      <c r="D58" s="264">
        <f>B58-C58</f>
        <v>0</v>
      </c>
      <c r="E58" s="114"/>
      <c r="F58" s="73"/>
      <c r="G58" s="74"/>
      <c r="I58" s="65"/>
      <c r="J58" s="65"/>
      <c r="K58" s="66"/>
      <c r="L58" s="66"/>
      <c r="M58" s="66"/>
      <c r="N58" s="66"/>
    </row>
    <row r="59" spans="1:14" ht="63">
      <c r="A59" s="129" t="s">
        <v>62</v>
      </c>
      <c r="B59" s="130" t="s">
        <v>63</v>
      </c>
      <c r="C59" s="131" t="s">
        <v>64</v>
      </c>
      <c r="D59" s="132" t="s">
        <v>65</v>
      </c>
      <c r="E59" s="114"/>
      <c r="F59" s="73"/>
      <c r="H59" s="65"/>
      <c r="I59" s="65"/>
      <c r="J59" s="65"/>
      <c r="K59" s="66"/>
      <c r="L59" s="66"/>
      <c r="M59" s="66"/>
      <c r="N59" s="66"/>
    </row>
    <row r="60" spans="1:14" ht="15.75">
      <c r="A60" s="265" t="s">
        <v>58</v>
      </c>
      <c r="B60" s="239">
        <v>1909.92</v>
      </c>
      <c r="C60" s="240">
        <v>1909.92</v>
      </c>
      <c r="D60" s="266">
        <f>B60-C60</f>
        <v>0</v>
      </c>
      <c r="E60" s="114"/>
      <c r="F60" s="73"/>
      <c r="H60" s="65"/>
      <c r="I60" s="65"/>
      <c r="J60" s="65" t="s">
        <v>26</v>
      </c>
      <c r="K60" s="66"/>
      <c r="L60" s="66"/>
      <c r="M60" s="66"/>
      <c r="N60" s="66"/>
    </row>
    <row r="61" spans="1:14" ht="15.75">
      <c r="A61" s="265" t="s">
        <v>59</v>
      </c>
      <c r="B61" s="239">
        <v>2185.78</v>
      </c>
      <c r="C61" s="240">
        <v>2185.78</v>
      </c>
      <c r="D61" s="266">
        <f>B61-C61</f>
        <v>0</v>
      </c>
      <c r="E61" s="114"/>
      <c r="F61" s="73"/>
      <c r="H61" s="65"/>
      <c r="I61" s="65"/>
      <c r="J61" s="65"/>
      <c r="K61" s="66"/>
      <c r="L61" s="66"/>
      <c r="M61" s="66"/>
      <c r="N61" s="66"/>
    </row>
    <row r="62" spans="1:14" ht="15.75">
      <c r="A62" s="265" t="s">
        <v>60</v>
      </c>
      <c r="B62" s="242">
        <v>12849.48</v>
      </c>
      <c r="C62" s="240">
        <v>12849.48</v>
      </c>
      <c r="D62" s="266">
        <f>B62-C62</f>
        <v>0</v>
      </c>
      <c r="E62" s="62"/>
      <c r="F62" s="73"/>
      <c r="H62" s="65"/>
      <c r="I62" s="65"/>
      <c r="J62" s="65"/>
      <c r="K62" s="66"/>
      <c r="L62" s="66"/>
      <c r="M62" s="66"/>
      <c r="N62" s="66"/>
    </row>
    <row r="63" spans="1:14" ht="16.5" thickBot="1">
      <c r="A63" s="267" t="s">
        <v>236</v>
      </c>
      <c r="B63" s="302">
        <v>9108.63</v>
      </c>
      <c r="C63" s="398">
        <v>9108.63</v>
      </c>
      <c r="D63" s="270">
        <f>B63-C63</f>
        <v>0</v>
      </c>
      <c r="E63" s="62"/>
      <c r="F63" s="73"/>
      <c r="H63" s="65" t="s">
        <v>26</v>
      </c>
      <c r="I63" s="65"/>
      <c r="J63" s="65"/>
      <c r="K63" s="66"/>
      <c r="L63" s="66"/>
      <c r="M63" s="66"/>
      <c r="N63" s="66"/>
    </row>
    <row r="64" spans="1:14" ht="15.75">
      <c r="A64" s="247"/>
      <c r="B64" s="248"/>
      <c r="C64" s="249"/>
      <c r="D64" s="250"/>
      <c r="E64" s="62"/>
      <c r="F64" s="73"/>
      <c r="H64" s="65"/>
      <c r="I64" s="65"/>
      <c r="J64" s="65"/>
      <c r="K64" s="66"/>
      <c r="L64" s="66"/>
      <c r="M64" s="66"/>
      <c r="N64" s="66"/>
    </row>
    <row r="65" spans="1:14" ht="26.25">
      <c r="A65" s="251" t="s">
        <v>66</v>
      </c>
      <c r="B65" s="248" t="s">
        <v>11</v>
      </c>
      <c r="C65" s="252"/>
      <c r="D65" s="253">
        <v>0</v>
      </c>
      <c r="E65" s="62"/>
      <c r="F65" s="73"/>
      <c r="H65" s="65"/>
      <c r="I65" s="65"/>
      <c r="J65" s="65" t="s">
        <v>26</v>
      </c>
      <c r="K65" s="66"/>
      <c r="L65" s="66"/>
      <c r="M65" s="66"/>
      <c r="N65" s="66"/>
    </row>
    <row r="66" spans="1:14" ht="17.25" customHeight="1">
      <c r="A66" s="572" t="s">
        <v>67</v>
      </c>
      <c r="B66" s="572"/>
      <c r="C66" s="572"/>
      <c r="D66" s="572"/>
      <c r="E66" s="83" t="e">
        <f>D66+B19</f>
        <v>#VALUE!</v>
      </c>
      <c r="F66" s="65"/>
      <c r="H66" s="84" t="e">
        <f>E66-B18</f>
        <v>#VALUE!</v>
      </c>
      <c r="I66" s="65"/>
      <c r="J66" s="65"/>
      <c r="K66" s="66"/>
      <c r="L66" s="66"/>
      <c r="M66" s="66"/>
      <c r="N66" s="66"/>
    </row>
    <row r="67" spans="1:5" ht="21" customHeight="1">
      <c r="A67" s="86" t="s">
        <v>45</v>
      </c>
      <c r="B67" s="86" t="s">
        <v>46</v>
      </c>
      <c r="C67" s="86"/>
      <c r="D67" s="177">
        <v>0</v>
      </c>
      <c r="E67" s="88"/>
    </row>
    <row r="68" spans="1:5" ht="21" customHeight="1">
      <c r="A68" s="86" t="s">
        <v>47</v>
      </c>
      <c r="B68" s="86" t="s">
        <v>46</v>
      </c>
      <c r="C68" s="86"/>
      <c r="D68" s="177">
        <v>0</v>
      </c>
      <c r="E68" s="88"/>
    </row>
    <row r="69" spans="1:5" ht="18" customHeight="1">
      <c r="A69" s="86" t="s">
        <v>48</v>
      </c>
      <c r="B69" s="86" t="s">
        <v>46</v>
      </c>
      <c r="C69" s="86"/>
      <c r="D69" s="177">
        <v>0</v>
      </c>
      <c r="E69" s="88"/>
    </row>
    <row r="70" spans="1:5" ht="16.5" customHeight="1">
      <c r="A70" s="86" t="s">
        <v>49</v>
      </c>
      <c r="B70" s="86" t="s">
        <v>11</v>
      </c>
      <c r="C70" s="86"/>
      <c r="D70" s="177">
        <v>0</v>
      </c>
      <c r="E70" s="88"/>
    </row>
    <row r="71" spans="1:5" ht="15.75" customHeight="1">
      <c r="A71" s="566" t="s">
        <v>68</v>
      </c>
      <c r="B71" s="566"/>
      <c r="C71" s="566"/>
      <c r="D71" s="566"/>
      <c r="E71" s="88"/>
    </row>
    <row r="72" spans="1:5" ht="18.75" customHeight="1">
      <c r="A72" s="86" t="s">
        <v>69</v>
      </c>
      <c r="B72" s="86" t="s">
        <v>46</v>
      </c>
      <c r="C72" s="86"/>
      <c r="D72" s="177">
        <v>0</v>
      </c>
      <c r="E72" s="88"/>
    </row>
    <row r="73" spans="1:5" ht="21.75" customHeight="1">
      <c r="A73" s="86" t="s">
        <v>70</v>
      </c>
      <c r="B73" s="254" t="s">
        <v>46</v>
      </c>
      <c r="C73" s="254"/>
      <c r="D73" s="177">
        <v>0</v>
      </c>
      <c r="E73" s="88"/>
    </row>
    <row r="74" spans="1:5" ht="36" customHeight="1">
      <c r="A74" s="255" t="s">
        <v>71</v>
      </c>
      <c r="B74" s="86" t="s">
        <v>11</v>
      </c>
      <c r="C74" s="86"/>
      <c r="D74" s="177">
        <v>0</v>
      </c>
      <c r="E74" s="88"/>
    </row>
    <row r="75" spans="1:4" ht="15.75">
      <c r="A75" s="256"/>
      <c r="B75" s="256"/>
      <c r="C75" s="256"/>
      <c r="D75" s="257"/>
    </row>
    <row r="76" spans="1:14" s="1" customFormat="1" ht="12.75">
      <c r="A76" s="178"/>
      <c r="B76" s="178"/>
      <c r="C76" s="178"/>
      <c r="D76" s="178"/>
      <c r="H76" s="1" t="s">
        <v>26</v>
      </c>
      <c r="K76"/>
      <c r="L76"/>
      <c r="M76"/>
      <c r="N76"/>
    </row>
    <row r="77" spans="1:14" s="1" customFormat="1" ht="12.75">
      <c r="A77" s="178" t="s">
        <v>72</v>
      </c>
      <c r="B77" s="178"/>
      <c r="C77" s="178" t="s">
        <v>141</v>
      </c>
      <c r="D77" s="178"/>
      <c r="K77"/>
      <c r="L77"/>
      <c r="M77"/>
      <c r="N77"/>
    </row>
    <row r="78" spans="1:14" s="1" customFormat="1" ht="12.75">
      <c r="A78" s="178"/>
      <c r="B78" s="178"/>
      <c r="C78" s="178"/>
      <c r="D78" s="178"/>
      <c r="H78" s="1" t="s">
        <v>26</v>
      </c>
      <c r="K78"/>
      <c r="L78"/>
      <c r="M78"/>
      <c r="N78"/>
    </row>
    <row r="79" spans="1:14" s="1" customFormat="1" ht="12.75">
      <c r="A79" s="178" t="s">
        <v>73</v>
      </c>
      <c r="B79" s="178"/>
      <c r="C79" s="178"/>
      <c r="D79" s="178"/>
      <c r="K79"/>
      <c r="L79"/>
      <c r="M79"/>
      <c r="N79"/>
    </row>
    <row r="80" spans="1:4" ht="12.75">
      <c r="A80" s="178"/>
      <c r="B80" s="178"/>
      <c r="C80" s="178"/>
      <c r="D80" s="178"/>
    </row>
    <row r="81" spans="1:4" ht="12.75">
      <c r="A81" s="178"/>
      <c r="B81" s="178"/>
      <c r="C81" s="178"/>
      <c r="D81" s="178"/>
    </row>
    <row r="83" spans="1:14" s="1" customFormat="1" ht="12.75">
      <c r="A83"/>
      <c r="B83"/>
      <c r="C83"/>
      <c r="D83"/>
      <c r="E83" s="1" t="s">
        <v>26</v>
      </c>
      <c r="K83"/>
      <c r="L83"/>
      <c r="M83"/>
      <c r="N83"/>
    </row>
  </sheetData>
  <sheetProtection selectLockedCells="1" selectUnlockedCells="1"/>
  <mergeCells count="13">
    <mergeCell ref="A71:D71"/>
    <mergeCell ref="A14:D14"/>
    <mergeCell ref="A29:D29"/>
    <mergeCell ref="A41:D41"/>
    <mergeCell ref="A46:D46"/>
    <mergeCell ref="A53:D53"/>
    <mergeCell ref="A66:D66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zoomScale="80" zoomScaleNormal="80" zoomScalePageLayoutView="0" workbookViewId="0" topLeftCell="A25">
      <selection activeCell="D40" sqref="D40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560" t="s">
        <v>0</v>
      </c>
      <c r="B1" s="560"/>
      <c r="C1" s="560"/>
      <c r="D1" s="560"/>
    </row>
    <row r="2" spans="1:4" ht="15.75">
      <c r="A2" s="561" t="s">
        <v>220</v>
      </c>
      <c r="B2" s="562"/>
      <c r="C2" s="562"/>
      <c r="D2" s="562"/>
    </row>
    <row r="3" spans="1:4" ht="15.75">
      <c r="A3" s="562" t="s">
        <v>1</v>
      </c>
      <c r="B3" s="562"/>
      <c r="C3" s="562"/>
      <c r="D3" s="562"/>
    </row>
    <row r="4" spans="1:4" ht="12.75">
      <c r="A4" s="563" t="s">
        <v>113</v>
      </c>
      <c r="B4" s="563"/>
      <c r="C4" s="563"/>
      <c r="D4" s="563"/>
    </row>
    <row r="5" spans="1:4" ht="12.75">
      <c r="A5" s="564" t="s">
        <v>266</v>
      </c>
      <c r="B5" s="563"/>
      <c r="C5" s="563"/>
      <c r="D5" s="563"/>
    </row>
    <row r="6" spans="1:4" ht="9" customHeight="1">
      <c r="A6" s="258"/>
      <c r="B6" s="178"/>
      <c r="C6" s="178"/>
      <c r="D6" s="178"/>
    </row>
    <row r="7" spans="1:4" ht="18" customHeight="1">
      <c r="A7" s="565" t="s">
        <v>2</v>
      </c>
      <c r="B7" s="565"/>
      <c r="C7" s="565"/>
      <c r="D7" s="565"/>
    </row>
    <row r="8" spans="1:4" ht="12.75">
      <c r="A8" s="258" t="s">
        <v>175</v>
      </c>
      <c r="B8" s="178"/>
      <c r="C8" s="183"/>
      <c r="D8" s="178"/>
    </row>
    <row r="9" spans="1:4" ht="12.75">
      <c r="A9" s="184" t="s">
        <v>3</v>
      </c>
      <c r="B9" s="184" t="s">
        <v>4</v>
      </c>
      <c r="C9" s="184" t="s">
        <v>5</v>
      </c>
      <c r="D9" s="185"/>
    </row>
    <row r="10" spans="1:4" ht="12.75">
      <c r="A10" s="186">
        <v>1</v>
      </c>
      <c r="B10" s="186">
        <v>2</v>
      </c>
      <c r="C10" s="186">
        <v>3</v>
      </c>
      <c r="D10" s="187">
        <v>4</v>
      </c>
    </row>
    <row r="11" spans="1:4" ht="12.75">
      <c r="A11" s="20" t="s">
        <v>6</v>
      </c>
      <c r="B11" s="188"/>
      <c r="C11" s="189" t="s">
        <v>262</v>
      </c>
      <c r="D11" s="190"/>
    </row>
    <row r="12" spans="1:4" ht="12.75">
      <c r="A12" s="20" t="s">
        <v>7</v>
      </c>
      <c r="B12" s="188"/>
      <c r="C12" s="189" t="s">
        <v>263</v>
      </c>
      <c r="D12" s="190"/>
    </row>
    <row r="13" spans="1:4" ht="12.75">
      <c r="A13" s="20" t="s">
        <v>8</v>
      </c>
      <c r="B13" s="188"/>
      <c r="C13" s="189" t="s">
        <v>267</v>
      </c>
      <c r="D13" s="190"/>
    </row>
    <row r="14" spans="1:5" ht="31.5" customHeight="1">
      <c r="A14" s="567" t="s">
        <v>9</v>
      </c>
      <c r="B14" s="567"/>
      <c r="C14" s="567"/>
      <c r="D14" s="567"/>
      <c r="E14" s="109"/>
    </row>
    <row r="15" spans="1:5" ht="26.25">
      <c r="A15" s="17" t="s">
        <v>10</v>
      </c>
      <c r="B15" s="191" t="s">
        <v>11</v>
      </c>
      <c r="C15" s="192">
        <v>45307.94</v>
      </c>
      <c r="D15" s="193"/>
      <c r="E15" s="109"/>
    </row>
    <row r="16" spans="1:5" ht="15.75">
      <c r="A16" s="20" t="s">
        <v>12</v>
      </c>
      <c r="B16" s="191" t="s">
        <v>11</v>
      </c>
      <c r="C16" s="192">
        <v>0</v>
      </c>
      <c r="D16" s="193"/>
      <c r="E16" s="59"/>
    </row>
    <row r="17" spans="1:5" ht="15.75">
      <c r="A17" s="20" t="s">
        <v>13</v>
      </c>
      <c r="B17" s="191" t="s">
        <v>11</v>
      </c>
      <c r="C17" s="194">
        <v>3916.4</v>
      </c>
      <c r="D17" s="195"/>
      <c r="E17" s="59"/>
    </row>
    <row r="18" spans="1:5" ht="31.5" customHeight="1">
      <c r="A18" s="17" t="s">
        <v>14</v>
      </c>
      <c r="B18" s="191" t="s">
        <v>11</v>
      </c>
      <c r="C18" s="194">
        <f>20669.64+5297.4</f>
        <v>25967.04</v>
      </c>
      <c r="D18" s="195"/>
      <c r="E18" s="18">
        <f>C18-C20</f>
        <v>15784.260000000002</v>
      </c>
    </row>
    <row r="19" spans="1:5" ht="15.75">
      <c r="A19" s="20" t="s">
        <v>15</v>
      </c>
      <c r="B19" s="191" t="s">
        <v>11</v>
      </c>
      <c r="C19" s="194">
        <f>C18-C20-C21</f>
        <v>7563.480000000001</v>
      </c>
      <c r="D19" s="195"/>
      <c r="E19" s="18">
        <f>E18-E39</f>
        <v>0</v>
      </c>
    </row>
    <row r="20" spans="1:5" ht="15.75">
      <c r="A20" s="20" t="s">
        <v>16</v>
      </c>
      <c r="B20" s="191" t="s">
        <v>11</v>
      </c>
      <c r="C20" s="194">
        <f>(2.44+2.54)*6*163.5+5297.4</f>
        <v>10182.779999999999</v>
      </c>
      <c r="D20" s="195"/>
      <c r="E20" s="149"/>
    </row>
    <row r="21" spans="1:5" ht="15.75">
      <c r="A21" s="20" t="s">
        <v>17</v>
      </c>
      <c r="B21" s="191" t="s">
        <v>11</v>
      </c>
      <c r="C21" s="196">
        <f>163.5*4.19*12</f>
        <v>8220.78</v>
      </c>
      <c r="D21" s="195"/>
      <c r="E21" s="109"/>
    </row>
    <row r="22" spans="1:5" ht="15.75">
      <c r="A22" s="20" t="s">
        <v>18</v>
      </c>
      <c r="B22" s="191" t="s">
        <v>11</v>
      </c>
      <c r="C22" s="194">
        <f>C23+C24+C25+C26+C27</f>
        <v>30277.568639999998</v>
      </c>
      <c r="D22" s="195" t="s">
        <v>19</v>
      </c>
      <c r="E22" s="110" t="e">
        <f>B24+B25+B26+B27+B28</f>
        <v>#VALUE!</v>
      </c>
    </row>
    <row r="23" spans="1:5" ht="15.75">
      <c r="A23" s="20" t="s">
        <v>20</v>
      </c>
      <c r="B23" s="191" t="s">
        <v>11</v>
      </c>
      <c r="C23" s="194">
        <f>C18*1.166</f>
        <v>30277.568639999998</v>
      </c>
      <c r="D23" s="195"/>
      <c r="E23" s="109"/>
    </row>
    <row r="24" spans="1:8" ht="15.75">
      <c r="A24" s="20" t="s">
        <v>21</v>
      </c>
      <c r="B24" s="191" t="s">
        <v>11</v>
      </c>
      <c r="C24" s="194">
        <v>0</v>
      </c>
      <c r="D24" s="197">
        <v>65.21</v>
      </c>
      <c r="E24" s="111" t="e">
        <f>B24/#REF!*1</f>
        <v>#VALUE!</v>
      </c>
      <c r="H24" s="1" t="s">
        <v>22</v>
      </c>
    </row>
    <row r="25" spans="1:5" ht="15.75">
      <c r="A25" s="20" t="s">
        <v>23</v>
      </c>
      <c r="B25" s="191" t="s">
        <v>11</v>
      </c>
      <c r="C25" s="194">
        <v>0</v>
      </c>
      <c r="D25" s="197">
        <v>119.63</v>
      </c>
      <c r="E25" s="111" t="e">
        <f>B25/#REF!*1</f>
        <v>#VALUE!</v>
      </c>
    </row>
    <row r="26" spans="1:5" ht="15.75">
      <c r="A26" s="188" t="s">
        <v>24</v>
      </c>
      <c r="B26" s="191" t="s">
        <v>11</v>
      </c>
      <c r="C26" s="194">
        <v>0</v>
      </c>
      <c r="D26" s="197"/>
      <c r="E26" s="111" t="e">
        <f>B26/#REF!*1</f>
        <v>#VALUE!</v>
      </c>
    </row>
    <row r="27" spans="1:5" ht="16.5" customHeight="1">
      <c r="A27" s="198" t="s">
        <v>96</v>
      </c>
      <c r="B27" s="191" t="s">
        <v>11</v>
      </c>
      <c r="C27" s="194">
        <v>0</v>
      </c>
      <c r="D27" s="197">
        <v>139.18</v>
      </c>
      <c r="E27" s="111" t="e">
        <f>B27/#REF!*1</f>
        <v>#VALUE!</v>
      </c>
    </row>
    <row r="28" spans="1:5" ht="15.75">
      <c r="A28" s="20" t="s">
        <v>25</v>
      </c>
      <c r="B28" s="191" t="s">
        <v>11</v>
      </c>
      <c r="C28" s="194">
        <f>C15+C22</f>
        <v>75585.50864</v>
      </c>
      <c r="D28" s="195" t="s">
        <v>26</v>
      </c>
      <c r="E28" s="111" t="e">
        <f>B28/#REF!*1</f>
        <v>#VALUE!</v>
      </c>
    </row>
    <row r="29" spans="1:5" ht="35.25" customHeight="1">
      <c r="A29" s="568" t="s">
        <v>27</v>
      </c>
      <c r="B29" s="568"/>
      <c r="C29" s="568"/>
      <c r="D29" s="568"/>
      <c r="E29" s="109"/>
    </row>
    <row r="30" spans="1:5" ht="63">
      <c r="A30" s="271" t="s">
        <v>28</v>
      </c>
      <c r="B30" s="307" t="s">
        <v>29</v>
      </c>
      <c r="C30" s="286" t="s">
        <v>30</v>
      </c>
      <c r="D30" s="308" t="s">
        <v>31</v>
      </c>
      <c r="E30" s="109"/>
    </row>
    <row r="31" spans="1:5" ht="15.75">
      <c r="A31" s="203" t="s">
        <v>32</v>
      </c>
      <c r="B31" s="204" t="s">
        <v>33</v>
      </c>
      <c r="C31" s="205" t="s">
        <v>34</v>
      </c>
      <c r="D31" s="206">
        <f>(0.81+0.85)*6*163.5</f>
        <v>1628.46</v>
      </c>
      <c r="E31" s="109"/>
    </row>
    <row r="32" spans="1:5" ht="15.75">
      <c r="A32" s="207" t="s">
        <v>36</v>
      </c>
      <c r="B32" s="208" t="s">
        <v>78</v>
      </c>
      <c r="C32" s="209" t="s">
        <v>37</v>
      </c>
      <c r="D32" s="210">
        <f>0.48*12*163.5</f>
        <v>941.76</v>
      </c>
      <c r="E32" s="109"/>
    </row>
    <row r="33" spans="1:8" ht="15.75">
      <c r="A33" s="293" t="s">
        <v>106</v>
      </c>
      <c r="B33" s="208" t="s">
        <v>33</v>
      </c>
      <c r="C33" s="209" t="s">
        <v>34</v>
      </c>
      <c r="D33" s="210">
        <f>(1.08+1.35)*6*163.5-0.03</f>
        <v>2383.8</v>
      </c>
      <c r="E33" s="109"/>
      <c r="F33" s="109"/>
      <c r="G33" s="109"/>
      <c r="H33" s="109"/>
    </row>
    <row r="34" spans="1:8" ht="15.75">
      <c r="A34" s="207" t="s">
        <v>81</v>
      </c>
      <c r="B34" s="213" t="s">
        <v>82</v>
      </c>
      <c r="C34" s="209" t="s">
        <v>34</v>
      </c>
      <c r="D34" s="210">
        <f>1.33*12*163.5</f>
        <v>2609.46</v>
      </c>
      <c r="E34" s="109"/>
      <c r="F34" s="109"/>
      <c r="G34" s="109"/>
      <c r="H34" s="109"/>
    </row>
    <row r="35" spans="1:8" ht="15.75">
      <c r="A35" s="207" t="s">
        <v>38</v>
      </c>
      <c r="B35" s="208" t="s">
        <v>35</v>
      </c>
      <c r="C35" s="362" t="s">
        <v>221</v>
      </c>
      <c r="D35" s="210">
        <f>4.19*163.5*12</f>
        <v>8220.78</v>
      </c>
      <c r="E35" s="109"/>
      <c r="F35" s="109"/>
      <c r="G35" s="109"/>
      <c r="H35" s="109"/>
    </row>
    <row r="36" spans="1:14" s="1" customFormat="1" ht="47.25">
      <c r="A36" s="294" t="s">
        <v>217</v>
      </c>
      <c r="B36" s="215" t="s">
        <v>41</v>
      </c>
      <c r="C36" s="371"/>
      <c r="D36" s="175">
        <f>D37+D38</f>
        <v>35529</v>
      </c>
      <c r="E36" s="109"/>
      <c r="F36" s="109"/>
      <c r="G36" s="109"/>
      <c r="H36" s="109"/>
      <c r="K36"/>
      <c r="L36"/>
      <c r="M36"/>
      <c r="N36"/>
    </row>
    <row r="37" spans="1:14" s="1" customFormat="1" ht="15.75">
      <c r="A37" s="219" t="s">
        <v>307</v>
      </c>
      <c r="B37" s="217" t="s">
        <v>148</v>
      </c>
      <c r="C37" s="464" t="s">
        <v>37</v>
      </c>
      <c r="D37" s="176">
        <v>8500</v>
      </c>
      <c r="E37" s="109"/>
      <c r="F37" s="109"/>
      <c r="G37" s="109"/>
      <c r="H37" s="109"/>
      <c r="K37"/>
      <c r="L37"/>
      <c r="M37"/>
      <c r="N37"/>
    </row>
    <row r="38" spans="1:14" s="1" customFormat="1" ht="15.75">
      <c r="A38" s="219" t="s">
        <v>308</v>
      </c>
      <c r="B38" s="217" t="s">
        <v>149</v>
      </c>
      <c r="C38" s="464" t="s">
        <v>227</v>
      </c>
      <c r="D38" s="176">
        <v>27029</v>
      </c>
      <c r="E38" s="109"/>
      <c r="F38" s="109"/>
      <c r="G38" s="109"/>
      <c r="H38" s="109"/>
      <c r="K38"/>
      <c r="L38"/>
      <c r="M38"/>
      <c r="N38"/>
    </row>
    <row r="39" spans="1:14" s="1" customFormat="1" ht="15.75">
      <c r="A39" s="37" t="s">
        <v>42</v>
      </c>
      <c r="B39" s="222"/>
      <c r="C39" s="223"/>
      <c r="D39" s="97">
        <f>SUM(D31:D36)</f>
        <v>51313.26</v>
      </c>
      <c r="E39" s="44">
        <f>D39-D36</f>
        <v>15784.260000000002</v>
      </c>
      <c r="F39" s="109"/>
      <c r="G39" s="109"/>
      <c r="H39" s="109"/>
      <c r="K39"/>
      <c r="L39"/>
      <c r="M39"/>
      <c r="N39"/>
    </row>
    <row r="40" spans="1:14" s="1" customFormat="1" ht="15.75">
      <c r="A40" s="40" t="s">
        <v>43</v>
      </c>
      <c r="B40" s="224" t="s">
        <v>11</v>
      </c>
      <c r="C40" s="225"/>
      <c r="D40" s="226">
        <f>C28-D39</f>
        <v>24272.248639999998</v>
      </c>
      <c r="E40" s="44"/>
      <c r="F40" s="109"/>
      <c r="G40" s="109"/>
      <c r="H40" s="109"/>
      <c r="K40"/>
      <c r="L40"/>
      <c r="M40"/>
      <c r="N40"/>
    </row>
    <row r="41" spans="1:14" s="1" customFormat="1" ht="15.75">
      <c r="A41" s="227" t="s">
        <v>12</v>
      </c>
      <c r="B41" s="228" t="s">
        <v>11</v>
      </c>
      <c r="C41" s="209"/>
      <c r="D41" s="193"/>
      <c r="E41" s="59"/>
      <c r="F41" s="109"/>
      <c r="G41" s="109"/>
      <c r="H41" s="109"/>
      <c r="K41"/>
      <c r="L41"/>
      <c r="M41"/>
      <c r="N41"/>
    </row>
    <row r="42" spans="1:14" s="1" customFormat="1" ht="15.75">
      <c r="A42" s="227" t="s">
        <v>13</v>
      </c>
      <c r="B42" s="228" t="s">
        <v>11</v>
      </c>
      <c r="C42" s="209"/>
      <c r="D42" s="195">
        <v>0</v>
      </c>
      <c r="E42" s="109"/>
      <c r="F42" s="109"/>
      <c r="G42" s="109"/>
      <c r="H42" s="109"/>
      <c r="K42"/>
      <c r="L42"/>
      <c r="M42"/>
      <c r="N42"/>
    </row>
    <row r="43" spans="1:14" s="1" customFormat="1" ht="24" customHeight="1">
      <c r="A43" s="569" t="s">
        <v>44</v>
      </c>
      <c r="B43" s="569"/>
      <c r="C43" s="569"/>
      <c r="D43" s="569"/>
      <c r="E43" s="109"/>
      <c r="F43" s="109"/>
      <c r="G43" s="109"/>
      <c r="H43" s="109"/>
      <c r="K43"/>
      <c r="L43"/>
      <c r="M43"/>
      <c r="N43"/>
    </row>
    <row r="44" spans="1:14" s="1" customFormat="1" ht="15.75">
      <c r="A44" s="227" t="s">
        <v>45</v>
      </c>
      <c r="B44" s="208" t="s">
        <v>46</v>
      </c>
      <c r="C44" s="209">
        <v>0</v>
      </c>
      <c r="D44" s="193">
        <v>0</v>
      </c>
      <c r="E44" s="109"/>
      <c r="F44" s="109"/>
      <c r="G44" s="109"/>
      <c r="H44" s="109"/>
      <c r="K44"/>
      <c r="L44"/>
      <c r="M44"/>
      <c r="N44"/>
    </row>
    <row r="45" spans="1:14" s="1" customFormat="1" ht="15.75">
      <c r="A45" s="227" t="s">
        <v>47</v>
      </c>
      <c r="B45" s="208" t="s">
        <v>46</v>
      </c>
      <c r="C45" s="209">
        <v>0</v>
      </c>
      <c r="D45" s="193">
        <v>0</v>
      </c>
      <c r="E45" s="109"/>
      <c r="F45" s="109"/>
      <c r="G45" s="109"/>
      <c r="H45" s="109"/>
      <c r="K45"/>
      <c r="L45"/>
      <c r="M45"/>
      <c r="N45"/>
    </row>
    <row r="46" spans="1:14" s="1" customFormat="1" ht="15.75">
      <c r="A46" s="229" t="s">
        <v>48</v>
      </c>
      <c r="B46" s="208" t="s">
        <v>46</v>
      </c>
      <c r="C46" s="209">
        <v>0</v>
      </c>
      <c r="D46" s="193">
        <v>0</v>
      </c>
      <c r="E46" s="109"/>
      <c r="F46" s="109"/>
      <c r="G46" s="109"/>
      <c r="H46" s="109"/>
      <c r="K46"/>
      <c r="L46"/>
      <c r="M46"/>
      <c r="N46"/>
    </row>
    <row r="47" spans="1:14" s="1" customFormat="1" ht="15.75">
      <c r="A47" s="227" t="s">
        <v>49</v>
      </c>
      <c r="B47" s="208" t="s">
        <v>11</v>
      </c>
      <c r="C47" s="209">
        <v>0</v>
      </c>
      <c r="D47" s="193">
        <v>0</v>
      </c>
      <c r="E47" s="109"/>
      <c r="F47" s="109"/>
      <c r="G47" s="109"/>
      <c r="H47" s="109"/>
      <c r="K47"/>
      <c r="L47"/>
      <c r="M47"/>
      <c r="N47"/>
    </row>
    <row r="48" spans="1:8" ht="20.25" customHeight="1">
      <c r="A48" s="570" t="s">
        <v>50</v>
      </c>
      <c r="B48" s="570"/>
      <c r="C48" s="570"/>
      <c r="D48" s="570"/>
      <c r="E48" s="109"/>
      <c r="F48" s="109"/>
      <c r="G48" s="109"/>
      <c r="H48" s="109"/>
    </row>
    <row r="49" spans="1:8" ht="26.25">
      <c r="A49" s="229" t="s">
        <v>51</v>
      </c>
      <c r="B49" s="208" t="s">
        <v>11</v>
      </c>
      <c r="C49" s="209"/>
      <c r="D49" s="193">
        <v>0</v>
      </c>
      <c r="E49" s="109"/>
      <c r="F49" s="109"/>
      <c r="G49" s="109"/>
      <c r="H49" s="109"/>
    </row>
    <row r="50" spans="1:8" ht="15.75">
      <c r="A50" s="227" t="s">
        <v>12</v>
      </c>
      <c r="B50" s="208" t="s">
        <v>11</v>
      </c>
      <c r="C50" s="209"/>
      <c r="D50" s="193">
        <v>0</v>
      </c>
      <c r="E50" s="109"/>
      <c r="F50" s="109"/>
      <c r="G50" s="109"/>
      <c r="H50" s="109"/>
    </row>
    <row r="51" spans="1:8" ht="15.75">
      <c r="A51" s="227" t="s">
        <v>13</v>
      </c>
      <c r="B51" s="208" t="s">
        <v>11</v>
      </c>
      <c r="C51" s="209"/>
      <c r="D51" s="230">
        <f>D54-D57-D58-D59-D60</f>
        <v>7959.178379999998</v>
      </c>
      <c r="E51" s="109"/>
      <c r="F51" s="109"/>
      <c r="G51" s="109"/>
      <c r="H51" s="113"/>
    </row>
    <row r="52" spans="1:8" ht="26.25">
      <c r="A52" s="231" t="s">
        <v>52</v>
      </c>
      <c r="B52" s="208" t="s">
        <v>11</v>
      </c>
      <c r="C52" s="232"/>
      <c r="D52" s="233">
        <v>0</v>
      </c>
      <c r="E52" s="109"/>
      <c r="F52" s="109"/>
      <c r="G52" s="109"/>
      <c r="H52" s="109"/>
    </row>
    <row r="53" spans="1:10" ht="17.25" customHeight="1">
      <c r="A53" s="254" t="s">
        <v>12</v>
      </c>
      <c r="B53" s="208" t="s">
        <v>11</v>
      </c>
      <c r="C53" s="209"/>
      <c r="D53" s="193">
        <v>0</v>
      </c>
      <c r="E53" s="109"/>
      <c r="F53" s="109"/>
      <c r="G53" s="109"/>
      <c r="H53" s="109"/>
      <c r="I53" s="49"/>
      <c r="J53" s="49"/>
    </row>
    <row r="54" spans="1:14" ht="15.75">
      <c r="A54" s="235" t="s">
        <v>13</v>
      </c>
      <c r="B54" s="208" t="s">
        <v>11</v>
      </c>
      <c r="C54" s="236"/>
      <c r="D54" s="237">
        <v>3695.48</v>
      </c>
      <c r="E54" s="109"/>
      <c r="F54" s="109"/>
      <c r="G54" s="109"/>
      <c r="H54" s="109" t="s">
        <v>26</v>
      </c>
      <c r="I54" s="60"/>
      <c r="J54" s="60"/>
      <c r="K54" s="61"/>
      <c r="L54" s="61"/>
      <c r="M54" s="61"/>
      <c r="N54" s="61"/>
    </row>
    <row r="55" spans="1:14" ht="18" customHeight="1">
      <c r="A55" s="571" t="s">
        <v>53</v>
      </c>
      <c r="B55" s="571"/>
      <c r="C55" s="571"/>
      <c r="D55" s="571"/>
      <c r="E55" s="114"/>
      <c r="F55" s="115"/>
      <c r="G55" s="116"/>
      <c r="H55" s="109"/>
      <c r="I55" s="65"/>
      <c r="J55" s="65"/>
      <c r="K55" s="66"/>
      <c r="L55" s="66"/>
      <c r="M55" s="66"/>
      <c r="N55" s="66"/>
    </row>
    <row r="56" spans="1:14" ht="47.25">
      <c r="A56" s="67" t="s">
        <v>54</v>
      </c>
      <c r="B56" s="68" t="s">
        <v>55</v>
      </c>
      <c r="C56" s="69" t="s">
        <v>56</v>
      </c>
      <c r="D56" s="70" t="s">
        <v>57</v>
      </c>
      <c r="E56" s="114"/>
      <c r="F56" s="115"/>
      <c r="G56" s="116"/>
      <c r="H56" s="109"/>
      <c r="I56" s="65"/>
      <c r="J56" s="71"/>
      <c r="K56" s="66"/>
      <c r="L56" s="66"/>
      <c r="M56" s="66"/>
      <c r="N56" s="66"/>
    </row>
    <row r="57" spans="1:14" ht="15.75">
      <c r="A57" s="238" t="s">
        <v>58</v>
      </c>
      <c r="B57" s="239">
        <v>1681.28</v>
      </c>
      <c r="C57" s="240">
        <f>B57*1.166</f>
        <v>1960.3724799999998</v>
      </c>
      <c r="D57" s="241">
        <f>B57-C57</f>
        <v>-279.0924799999998</v>
      </c>
      <c r="E57" s="117"/>
      <c r="F57" s="115"/>
      <c r="G57" s="116"/>
      <c r="H57" s="109"/>
      <c r="I57" s="65"/>
      <c r="J57" s="65"/>
      <c r="K57" s="66"/>
      <c r="L57" s="66"/>
      <c r="M57" s="66"/>
      <c r="N57" s="66"/>
    </row>
    <row r="58" spans="1:14" ht="15.75">
      <c r="A58" s="238" t="s">
        <v>59</v>
      </c>
      <c r="B58" s="239">
        <v>1924.11</v>
      </c>
      <c r="C58" s="240">
        <f>B58*1.166</f>
        <v>2243.5122599999995</v>
      </c>
      <c r="D58" s="241">
        <f>B58-C58</f>
        <v>-319.4022599999996</v>
      </c>
      <c r="E58" s="114"/>
      <c r="F58" s="115"/>
      <c r="G58" s="116"/>
      <c r="H58" s="109"/>
      <c r="I58" s="65"/>
      <c r="J58" s="65"/>
      <c r="K58" s="66"/>
      <c r="L58" s="66"/>
      <c r="M58" s="66"/>
      <c r="N58" s="66"/>
    </row>
    <row r="59" spans="1:14" ht="15.75">
      <c r="A59" s="238" t="s">
        <v>60</v>
      </c>
      <c r="B59" s="242">
        <v>12920.62</v>
      </c>
      <c r="C59" s="240">
        <f>B59*1.166</f>
        <v>15065.44292</v>
      </c>
      <c r="D59" s="241">
        <f>B59-C59</f>
        <v>-2144.8229199999987</v>
      </c>
      <c r="E59" s="114">
        <f>(2.07+1.8)*6*2301.2-0.37*2301.2*6</f>
        <v>48325.2</v>
      </c>
      <c r="F59" s="118"/>
      <c r="G59" s="119"/>
      <c r="H59" s="114"/>
      <c r="I59" s="65"/>
      <c r="J59" s="65"/>
      <c r="K59" s="66"/>
      <c r="L59" s="66"/>
      <c r="M59" s="66"/>
      <c r="N59" s="66"/>
    </row>
    <row r="60" spans="1:14" ht="16.5" thickBot="1">
      <c r="A60" s="261" t="s">
        <v>236</v>
      </c>
      <c r="B60" s="262">
        <v>9158.92</v>
      </c>
      <c r="C60" s="240">
        <f>B60*1.166</f>
        <v>10679.30072</v>
      </c>
      <c r="D60" s="264">
        <f>B60-C60</f>
        <v>-1520.3807199999992</v>
      </c>
      <c r="E60" s="114"/>
      <c r="F60" s="118"/>
      <c r="G60" s="119"/>
      <c r="H60" s="109"/>
      <c r="I60" s="65"/>
      <c r="J60" s="65"/>
      <c r="K60" s="66"/>
      <c r="L60" s="66"/>
      <c r="M60" s="66"/>
      <c r="N60" s="66"/>
    </row>
    <row r="61" spans="1:14" ht="63">
      <c r="A61" s="129" t="s">
        <v>62</v>
      </c>
      <c r="B61" s="130" t="s">
        <v>63</v>
      </c>
      <c r="C61" s="131" t="s">
        <v>64</v>
      </c>
      <c r="D61" s="132" t="s">
        <v>65</v>
      </c>
      <c r="E61" s="114"/>
      <c r="F61" s="118"/>
      <c r="G61" s="109"/>
      <c r="H61" s="120"/>
      <c r="I61" s="65"/>
      <c r="J61" s="65"/>
      <c r="K61" s="66"/>
      <c r="L61" s="66"/>
      <c r="M61" s="66"/>
      <c r="N61" s="66"/>
    </row>
    <row r="62" spans="1:14" ht="15.75">
      <c r="A62" s="238" t="s">
        <v>58</v>
      </c>
      <c r="B62" s="239">
        <v>1681.28</v>
      </c>
      <c r="C62" s="240">
        <f>B62*1.166</f>
        <v>1960.3724799999998</v>
      </c>
      <c r="D62" s="241">
        <f>B62-C62</f>
        <v>-279.0924799999998</v>
      </c>
      <c r="E62" s="114"/>
      <c r="F62" s="118"/>
      <c r="G62" s="109"/>
      <c r="H62" s="120"/>
      <c r="I62" s="65"/>
      <c r="J62" s="65" t="s">
        <v>26</v>
      </c>
      <c r="K62" s="66"/>
      <c r="L62" s="66"/>
      <c r="M62" s="66"/>
      <c r="N62" s="66"/>
    </row>
    <row r="63" spans="1:14" ht="15.75">
      <c r="A63" s="238" t="s">
        <v>59</v>
      </c>
      <c r="B63" s="239">
        <v>1924.11</v>
      </c>
      <c r="C63" s="240">
        <f>B63*1.166</f>
        <v>2243.5122599999995</v>
      </c>
      <c r="D63" s="241">
        <f>B63-C63</f>
        <v>-319.4022599999996</v>
      </c>
      <c r="E63" s="114"/>
      <c r="F63" s="118"/>
      <c r="G63" s="109"/>
      <c r="H63" s="120"/>
      <c r="I63" s="65"/>
      <c r="J63" s="65"/>
      <c r="K63" s="66"/>
      <c r="L63" s="66"/>
      <c r="M63" s="66"/>
      <c r="N63" s="66"/>
    </row>
    <row r="64" spans="1:14" ht="15.75">
      <c r="A64" s="238" t="s">
        <v>60</v>
      </c>
      <c r="B64" s="242">
        <v>12920.62</v>
      </c>
      <c r="C64" s="240">
        <f>B64*1.166</f>
        <v>15065.44292</v>
      </c>
      <c r="D64" s="241">
        <f>B64-C64</f>
        <v>-2144.8229199999987</v>
      </c>
      <c r="E64" s="62"/>
      <c r="F64" s="73"/>
      <c r="H64" s="65"/>
      <c r="I64" s="65"/>
      <c r="J64" s="65"/>
      <c r="K64" s="66"/>
      <c r="L64" s="66"/>
      <c r="M64" s="66"/>
      <c r="N64" s="66"/>
    </row>
    <row r="65" spans="1:14" ht="15.75">
      <c r="A65" s="261" t="s">
        <v>236</v>
      </c>
      <c r="B65" s="262">
        <v>9158.92</v>
      </c>
      <c r="C65" s="240">
        <f>C60</f>
        <v>10679.30072</v>
      </c>
      <c r="D65" s="264">
        <f>B65-C65</f>
        <v>-1520.3807199999992</v>
      </c>
      <c r="E65" s="62"/>
      <c r="F65" s="73"/>
      <c r="H65" s="65"/>
      <c r="I65" s="65"/>
      <c r="J65" s="65"/>
      <c r="K65" s="66"/>
      <c r="L65" s="66"/>
      <c r="M65" s="66"/>
      <c r="N65" s="66"/>
    </row>
    <row r="66" spans="1:14" ht="16.5" thickBot="1">
      <c r="A66" s="267"/>
      <c r="B66" s="268"/>
      <c r="C66" s="269"/>
      <c r="D66" s="270"/>
      <c r="E66" s="62"/>
      <c r="F66" s="73"/>
      <c r="H66" s="65" t="s">
        <v>26</v>
      </c>
      <c r="I66" s="65"/>
      <c r="J66" s="65"/>
      <c r="K66" s="66"/>
      <c r="L66" s="66"/>
      <c r="M66" s="66"/>
      <c r="N66" s="66"/>
    </row>
    <row r="67" spans="1:14" ht="15.75">
      <c r="A67" s="247"/>
      <c r="B67" s="248"/>
      <c r="C67" s="249"/>
      <c r="D67" s="250"/>
      <c r="E67" s="62"/>
      <c r="F67" s="73"/>
      <c r="H67" s="65"/>
      <c r="I67" s="65"/>
      <c r="J67" s="65"/>
      <c r="K67" s="66"/>
      <c r="L67" s="66"/>
      <c r="M67" s="66"/>
      <c r="N67" s="66"/>
    </row>
    <row r="68" spans="1:14" ht="26.25">
      <c r="A68" s="251" t="s">
        <v>66</v>
      </c>
      <c r="B68" s="248" t="s">
        <v>11</v>
      </c>
      <c r="C68" s="252"/>
      <c r="D68" s="253">
        <v>0</v>
      </c>
      <c r="E68" s="62"/>
      <c r="F68" s="73"/>
      <c r="H68" s="65"/>
      <c r="I68" s="65"/>
      <c r="J68" s="65" t="s">
        <v>26</v>
      </c>
      <c r="K68" s="66"/>
      <c r="L68" s="66"/>
      <c r="M68" s="66"/>
      <c r="N68" s="66"/>
    </row>
    <row r="69" spans="1:14" ht="17.25" customHeight="1">
      <c r="A69" s="572" t="s">
        <v>67</v>
      </c>
      <c r="B69" s="572"/>
      <c r="C69" s="572"/>
      <c r="D69" s="572"/>
      <c r="E69" s="83" t="e">
        <f>D69+B19</f>
        <v>#VALUE!</v>
      </c>
      <c r="F69" s="65"/>
      <c r="H69" s="84" t="e">
        <f>E69-B18</f>
        <v>#VALUE!</v>
      </c>
      <c r="I69" s="65"/>
      <c r="J69" s="65"/>
      <c r="K69" s="66"/>
      <c r="L69" s="66"/>
      <c r="M69" s="66"/>
      <c r="N69" s="66"/>
    </row>
    <row r="70" spans="1:5" ht="21" customHeight="1">
      <c r="A70" s="86" t="s">
        <v>45</v>
      </c>
      <c r="B70" s="86" t="s">
        <v>46</v>
      </c>
      <c r="C70" s="86"/>
      <c r="D70" s="177">
        <v>0</v>
      </c>
      <c r="E70" s="88"/>
    </row>
    <row r="71" spans="1:5" ht="21" customHeight="1">
      <c r="A71" s="86" t="s">
        <v>47</v>
      </c>
      <c r="B71" s="86" t="s">
        <v>46</v>
      </c>
      <c r="C71" s="86"/>
      <c r="D71" s="177">
        <v>0</v>
      </c>
      <c r="E71" s="88"/>
    </row>
    <row r="72" spans="1:5" ht="18" customHeight="1">
      <c r="A72" s="86" t="s">
        <v>48</v>
      </c>
      <c r="B72" s="86" t="s">
        <v>46</v>
      </c>
      <c r="C72" s="86"/>
      <c r="D72" s="177">
        <v>0</v>
      </c>
      <c r="E72" s="88"/>
    </row>
    <row r="73" spans="1:5" ht="16.5" customHeight="1">
      <c r="A73" s="86" t="s">
        <v>49</v>
      </c>
      <c r="B73" s="86" t="s">
        <v>11</v>
      </c>
      <c r="C73" s="86"/>
      <c r="D73" s="177">
        <v>0</v>
      </c>
      <c r="E73" s="88"/>
    </row>
    <row r="74" spans="1:5" ht="15.75" customHeight="1">
      <c r="A74" s="566" t="s">
        <v>68</v>
      </c>
      <c r="B74" s="566"/>
      <c r="C74" s="566"/>
      <c r="D74" s="566"/>
      <c r="E74" s="88"/>
    </row>
    <row r="75" spans="1:5" ht="18.75" customHeight="1">
      <c r="A75" s="86" t="s">
        <v>69</v>
      </c>
      <c r="B75" s="86" t="s">
        <v>46</v>
      </c>
      <c r="C75" s="86"/>
      <c r="D75" s="177">
        <v>1</v>
      </c>
      <c r="E75" s="88"/>
    </row>
    <row r="76" spans="1:5" ht="21.75" customHeight="1">
      <c r="A76" s="86" t="s">
        <v>70</v>
      </c>
      <c r="B76" s="254" t="s">
        <v>46</v>
      </c>
      <c r="C76" s="254"/>
      <c r="D76" s="177">
        <v>0</v>
      </c>
      <c r="E76" s="88"/>
    </row>
    <row r="77" spans="1:5" ht="36" customHeight="1">
      <c r="A77" s="255" t="s">
        <v>71</v>
      </c>
      <c r="B77" s="86" t="s">
        <v>11</v>
      </c>
      <c r="C77" s="86"/>
      <c r="D77" s="177">
        <v>11970.86</v>
      </c>
      <c r="E77" s="88"/>
    </row>
    <row r="78" spans="1:4" ht="15.75">
      <c r="A78" s="256"/>
      <c r="B78" s="256"/>
      <c r="C78" s="256"/>
      <c r="D78" s="257"/>
    </row>
    <row r="79" spans="1:14" s="1" customFormat="1" ht="12.75">
      <c r="A79" s="178"/>
      <c r="B79" s="178"/>
      <c r="C79" s="178"/>
      <c r="D79" s="178"/>
      <c r="H79" s="1" t="s">
        <v>26</v>
      </c>
      <c r="K79"/>
      <c r="L79"/>
      <c r="M79"/>
      <c r="N79"/>
    </row>
    <row r="80" spans="1:14" s="1" customFormat="1" ht="12.75">
      <c r="A80" s="178" t="s">
        <v>72</v>
      </c>
      <c r="B80" s="178"/>
      <c r="C80" s="178" t="s">
        <v>141</v>
      </c>
      <c r="D80" s="178"/>
      <c r="K80"/>
      <c r="L80"/>
      <c r="M80"/>
      <c r="N80"/>
    </row>
    <row r="81" spans="1:14" s="1" customFormat="1" ht="12.75">
      <c r="A81" s="178"/>
      <c r="B81" s="178"/>
      <c r="C81" s="178"/>
      <c r="D81" s="178"/>
      <c r="H81" s="1" t="s">
        <v>26</v>
      </c>
      <c r="K81"/>
      <c r="L81"/>
      <c r="M81"/>
      <c r="N81"/>
    </row>
    <row r="82" spans="1:14" s="1" customFormat="1" ht="12.75">
      <c r="A82" s="178" t="s">
        <v>73</v>
      </c>
      <c r="B82" s="178"/>
      <c r="C82" s="178"/>
      <c r="D82" s="178"/>
      <c r="K82"/>
      <c r="L82"/>
      <c r="M82"/>
      <c r="N82"/>
    </row>
    <row r="83" spans="1:4" ht="12.75">
      <c r="A83" s="178"/>
      <c r="B83" s="178"/>
      <c r="C83" s="178"/>
      <c r="D83" s="178"/>
    </row>
    <row r="84" spans="1:4" ht="12.75">
      <c r="A84" s="178"/>
      <c r="B84" s="178"/>
      <c r="C84" s="178"/>
      <c r="D84" s="178"/>
    </row>
    <row r="86" spans="1:14" s="1" customFormat="1" ht="12.75">
      <c r="A86"/>
      <c r="B86"/>
      <c r="C86"/>
      <c r="D86"/>
      <c r="E86" s="1" t="s">
        <v>26</v>
      </c>
      <c r="K86"/>
      <c r="L86"/>
      <c r="M86"/>
      <c r="N86"/>
    </row>
  </sheetData>
  <sheetProtection selectLockedCells="1" selectUnlockedCells="1"/>
  <mergeCells count="13">
    <mergeCell ref="A74:D74"/>
    <mergeCell ref="A14:D14"/>
    <mergeCell ref="A29:D29"/>
    <mergeCell ref="A43:D43"/>
    <mergeCell ref="A48:D48"/>
    <mergeCell ref="A55:D55"/>
    <mergeCell ref="A69:D69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3"/>
  <sheetViews>
    <sheetView zoomScale="80" zoomScaleNormal="80" zoomScalePageLayoutView="0" workbookViewId="0" topLeftCell="A19">
      <selection activeCell="D38" sqref="D38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560" t="s">
        <v>0</v>
      </c>
      <c r="B1" s="560"/>
      <c r="C1" s="560"/>
      <c r="D1" s="560"/>
    </row>
    <row r="2" spans="1:4" ht="15.75">
      <c r="A2" s="561" t="s">
        <v>220</v>
      </c>
      <c r="B2" s="562"/>
      <c r="C2" s="562"/>
      <c r="D2" s="562"/>
    </row>
    <row r="3" spans="1:4" ht="15.75">
      <c r="A3" s="562" t="s">
        <v>1</v>
      </c>
      <c r="B3" s="562"/>
      <c r="C3" s="562"/>
      <c r="D3" s="562"/>
    </row>
    <row r="4" spans="1:4" ht="12.75">
      <c r="A4" s="563" t="s">
        <v>114</v>
      </c>
      <c r="B4" s="563"/>
      <c r="C4" s="563"/>
      <c r="D4" s="563"/>
    </row>
    <row r="5" spans="1:4" ht="12.75">
      <c r="A5" s="564" t="s">
        <v>266</v>
      </c>
      <c r="B5" s="563"/>
      <c r="C5" s="563"/>
      <c r="D5" s="563"/>
    </row>
    <row r="6" spans="1:4" ht="9" customHeight="1">
      <c r="A6" s="258"/>
      <c r="B6" s="178"/>
      <c r="C6" s="178"/>
      <c r="D6" s="178"/>
    </row>
    <row r="7" spans="1:4" ht="18" customHeight="1">
      <c r="A7" s="565" t="s">
        <v>2</v>
      </c>
      <c r="B7" s="565"/>
      <c r="C7" s="565"/>
      <c r="D7" s="565"/>
    </row>
    <row r="8" spans="1:4" ht="12.75">
      <c r="A8" s="258" t="s">
        <v>176</v>
      </c>
      <c r="B8" s="178"/>
      <c r="C8" s="183"/>
      <c r="D8" s="178"/>
    </row>
    <row r="9" spans="1:4" ht="12.75">
      <c r="A9" s="184" t="s">
        <v>3</v>
      </c>
      <c r="B9" s="184" t="s">
        <v>4</v>
      </c>
      <c r="C9" s="184" t="s">
        <v>5</v>
      </c>
      <c r="D9" s="185"/>
    </row>
    <row r="10" spans="1:5" ht="12.75">
      <c r="A10" s="186">
        <v>1</v>
      </c>
      <c r="B10" s="186">
        <v>2</v>
      </c>
      <c r="C10" s="186">
        <v>3</v>
      </c>
      <c r="D10" s="187">
        <v>4</v>
      </c>
      <c r="E10" s="109"/>
    </row>
    <row r="11" spans="1:5" ht="12.75">
      <c r="A11" s="20" t="s">
        <v>6</v>
      </c>
      <c r="B11" s="188"/>
      <c r="C11" s="189" t="s">
        <v>262</v>
      </c>
      <c r="D11" s="190"/>
      <c r="E11" s="109"/>
    </row>
    <row r="12" spans="1:5" ht="12.75">
      <c r="A12" s="20" t="s">
        <v>7</v>
      </c>
      <c r="B12" s="188"/>
      <c r="C12" s="189" t="s">
        <v>263</v>
      </c>
      <c r="D12" s="190"/>
      <c r="E12" s="109"/>
    </row>
    <row r="13" spans="1:8" ht="12.75">
      <c r="A13" s="20" t="s">
        <v>8</v>
      </c>
      <c r="B13" s="188"/>
      <c r="C13" s="189" t="s">
        <v>267</v>
      </c>
      <c r="D13" s="190"/>
      <c r="E13" s="109"/>
      <c r="F13" s="109"/>
      <c r="G13" s="109"/>
      <c r="H13" s="109"/>
    </row>
    <row r="14" spans="1:8" ht="31.5" customHeight="1">
      <c r="A14" s="567" t="s">
        <v>9</v>
      </c>
      <c r="B14" s="567"/>
      <c r="C14" s="567"/>
      <c r="D14" s="567"/>
      <c r="E14" s="109"/>
      <c r="F14" s="109"/>
      <c r="G14" s="109"/>
      <c r="H14" s="109"/>
    </row>
    <row r="15" spans="1:8" ht="26.25">
      <c r="A15" s="17" t="s">
        <v>10</v>
      </c>
      <c r="B15" s="191" t="s">
        <v>11</v>
      </c>
      <c r="C15" s="192">
        <v>28597.16</v>
      </c>
      <c r="D15" s="193"/>
      <c r="E15" s="109"/>
      <c r="F15" s="109"/>
      <c r="G15" s="109"/>
      <c r="H15" s="109"/>
    </row>
    <row r="16" spans="1:8" ht="15.75">
      <c r="A16" s="20" t="s">
        <v>12</v>
      </c>
      <c r="B16" s="191" t="s">
        <v>11</v>
      </c>
      <c r="C16" s="192">
        <v>0</v>
      </c>
      <c r="D16" s="193"/>
      <c r="E16" s="109"/>
      <c r="F16" s="109"/>
      <c r="G16" s="109"/>
      <c r="H16" s="109"/>
    </row>
    <row r="17" spans="1:8" ht="15.75">
      <c r="A17" s="20" t="s">
        <v>13</v>
      </c>
      <c r="B17" s="191" t="s">
        <v>11</v>
      </c>
      <c r="C17" s="194">
        <v>1310</v>
      </c>
      <c r="D17" s="195"/>
      <c r="E17" s="319"/>
      <c r="F17" s="109"/>
      <c r="G17" s="109"/>
      <c r="H17" s="109"/>
    </row>
    <row r="18" spans="1:8" ht="31.5" customHeight="1">
      <c r="A18" s="17" t="s">
        <v>14</v>
      </c>
      <c r="B18" s="191" t="s">
        <v>11</v>
      </c>
      <c r="C18" s="194">
        <f>12803.64+1419.12</f>
        <v>14222.759999999998</v>
      </c>
      <c r="D18" s="195"/>
      <c r="E18" s="320">
        <f>C18-C20</f>
        <v>8341.295999999998</v>
      </c>
      <c r="F18" s="109"/>
      <c r="G18" s="109"/>
      <c r="H18" s="109"/>
    </row>
    <row r="19" spans="1:8" ht="15.75">
      <c r="A19" s="20" t="s">
        <v>15</v>
      </c>
      <c r="B19" s="191" t="s">
        <v>11</v>
      </c>
      <c r="C19" s="194">
        <f>C18-C20-C21</f>
        <v>3936.767999999998</v>
      </c>
      <c r="D19" s="195"/>
      <c r="E19" s="320">
        <f>E18-E37</f>
        <v>0.003999999998995918</v>
      </c>
      <c r="F19" s="109"/>
      <c r="G19" s="109"/>
      <c r="H19" s="109"/>
    </row>
    <row r="20" spans="1:8" ht="15.75">
      <c r="A20" s="20" t="s">
        <v>16</v>
      </c>
      <c r="B20" s="191" t="s">
        <v>11</v>
      </c>
      <c r="C20" s="194">
        <f>(4.16+4.33)*6*87.6+1419.12</f>
        <v>5881.463999999999</v>
      </c>
      <c r="D20" s="195"/>
      <c r="E20" s="321"/>
      <c r="F20" s="109"/>
      <c r="G20" s="109"/>
      <c r="H20" s="109"/>
    </row>
    <row r="21" spans="1:8" ht="15.75">
      <c r="A21" s="20" t="s">
        <v>17</v>
      </c>
      <c r="B21" s="191" t="s">
        <v>11</v>
      </c>
      <c r="C21" s="196">
        <f>87.6*4.19*12</f>
        <v>4404.528</v>
      </c>
      <c r="D21" s="195"/>
      <c r="E21" s="319"/>
      <c r="F21" s="109"/>
      <c r="G21" s="109"/>
      <c r="H21" s="109"/>
    </row>
    <row r="22" spans="1:8" ht="15.75">
      <c r="A22" s="20" t="s">
        <v>18</v>
      </c>
      <c r="B22" s="191" t="s">
        <v>11</v>
      </c>
      <c r="C22" s="194">
        <f>C23+C24+C25+C26+C27</f>
        <v>13743.452988</v>
      </c>
      <c r="D22" s="195" t="s">
        <v>19</v>
      </c>
      <c r="E22" s="320"/>
      <c r="F22" s="109"/>
      <c r="G22" s="109"/>
      <c r="H22" s="109"/>
    </row>
    <row r="23" spans="1:8" ht="15.75">
      <c r="A23" s="20" t="s">
        <v>20</v>
      </c>
      <c r="B23" s="191" t="s">
        <v>11</v>
      </c>
      <c r="C23" s="194">
        <f>C18*0.9663</f>
        <v>13743.452988</v>
      </c>
      <c r="D23" s="195"/>
      <c r="E23" s="319"/>
      <c r="F23" s="109"/>
      <c r="G23" s="109"/>
      <c r="H23" s="109"/>
    </row>
    <row r="24" spans="1:8" ht="15.75">
      <c r="A24" s="20" t="s">
        <v>21</v>
      </c>
      <c r="B24" s="191" t="s">
        <v>11</v>
      </c>
      <c r="C24" s="194">
        <v>0</v>
      </c>
      <c r="D24" s="197">
        <v>65.21</v>
      </c>
      <c r="E24" s="321"/>
      <c r="F24" s="109"/>
      <c r="G24" s="109"/>
      <c r="H24" s="109" t="s">
        <v>22</v>
      </c>
    </row>
    <row r="25" spans="1:8" ht="15.75">
      <c r="A25" s="20" t="s">
        <v>23</v>
      </c>
      <c r="B25" s="191" t="s">
        <v>11</v>
      </c>
      <c r="C25" s="194">
        <v>0</v>
      </c>
      <c r="D25" s="197">
        <v>119.63</v>
      </c>
      <c r="E25" s="321"/>
      <c r="F25" s="109"/>
      <c r="G25" s="109"/>
      <c r="H25" s="109"/>
    </row>
    <row r="26" spans="1:8" ht="15.75">
      <c r="A26" s="188" t="s">
        <v>24</v>
      </c>
      <c r="B26" s="191" t="s">
        <v>11</v>
      </c>
      <c r="C26" s="194">
        <v>0</v>
      </c>
      <c r="D26" s="197"/>
      <c r="E26" s="321"/>
      <c r="F26" s="109"/>
      <c r="G26" s="109"/>
      <c r="H26" s="109"/>
    </row>
    <row r="27" spans="1:8" ht="16.5" customHeight="1">
      <c r="A27" s="198" t="s">
        <v>96</v>
      </c>
      <c r="B27" s="191" t="s">
        <v>11</v>
      </c>
      <c r="C27" s="194">
        <v>0</v>
      </c>
      <c r="D27" s="197">
        <v>139.18</v>
      </c>
      <c r="E27" s="321"/>
      <c r="F27" s="109"/>
      <c r="G27" s="109"/>
      <c r="H27" s="109"/>
    </row>
    <row r="28" spans="1:8" ht="15.75">
      <c r="A28" s="20" t="s">
        <v>25</v>
      </c>
      <c r="B28" s="191" t="s">
        <v>11</v>
      </c>
      <c r="C28" s="194">
        <f>C15+C22</f>
        <v>42340.612988</v>
      </c>
      <c r="D28" s="195" t="s">
        <v>26</v>
      </c>
      <c r="E28" s="321" t="e">
        <f>B28/#REF!*1</f>
        <v>#VALUE!</v>
      </c>
      <c r="F28" s="109"/>
      <c r="G28" s="109"/>
      <c r="H28" s="109"/>
    </row>
    <row r="29" spans="1:8" ht="35.25" customHeight="1">
      <c r="A29" s="568" t="s">
        <v>27</v>
      </c>
      <c r="B29" s="568"/>
      <c r="C29" s="568"/>
      <c r="D29" s="568"/>
      <c r="E29" s="319"/>
      <c r="F29" s="109"/>
      <c r="G29" s="109"/>
      <c r="H29" s="109"/>
    </row>
    <row r="30" spans="1:8" ht="63">
      <c r="A30" s="271" t="s">
        <v>28</v>
      </c>
      <c r="B30" s="307" t="s">
        <v>29</v>
      </c>
      <c r="C30" s="286" t="s">
        <v>30</v>
      </c>
      <c r="D30" s="308" t="s">
        <v>31</v>
      </c>
      <c r="E30" s="319"/>
      <c r="F30" s="109"/>
      <c r="G30" s="109"/>
      <c r="H30" s="109"/>
    </row>
    <row r="31" spans="1:8" ht="15.75">
      <c r="A31" s="203" t="s">
        <v>32</v>
      </c>
      <c r="B31" s="204" t="s">
        <v>33</v>
      </c>
      <c r="C31" s="205" t="s">
        <v>34</v>
      </c>
      <c r="D31" s="206">
        <f>(0.81+0.85)*6*87.6</f>
        <v>872.496</v>
      </c>
      <c r="E31" s="319"/>
      <c r="F31" s="109"/>
      <c r="G31" s="109"/>
      <c r="H31" s="109"/>
    </row>
    <row r="32" spans="1:8" ht="15.75">
      <c r="A32" s="207" t="s">
        <v>36</v>
      </c>
      <c r="B32" s="208" t="s">
        <v>78</v>
      </c>
      <c r="C32" s="209" t="s">
        <v>37</v>
      </c>
      <c r="D32" s="210">
        <f>0.48*12*87.6</f>
        <v>504.57599999999996</v>
      </c>
      <c r="E32" s="319"/>
      <c r="F32" s="109"/>
      <c r="G32" s="109"/>
      <c r="H32" s="109"/>
    </row>
    <row r="33" spans="1:8" ht="15.75">
      <c r="A33" s="293" t="s">
        <v>177</v>
      </c>
      <c r="B33" s="208" t="s">
        <v>33</v>
      </c>
      <c r="C33" s="209" t="s">
        <v>34</v>
      </c>
      <c r="D33" s="210">
        <f>87.6*(0.97+1.24)*6+0.02</f>
        <v>1161.5959999999998</v>
      </c>
      <c r="E33" s="319"/>
      <c r="F33" s="109"/>
      <c r="G33" s="109"/>
      <c r="H33" s="109"/>
    </row>
    <row r="34" spans="1:8" ht="15.75">
      <c r="A34" s="207" t="s">
        <v>81</v>
      </c>
      <c r="B34" s="213" t="s">
        <v>82</v>
      </c>
      <c r="C34" s="209" t="s">
        <v>34</v>
      </c>
      <c r="D34" s="210">
        <f>1.33*12*87.6</f>
        <v>1398.096</v>
      </c>
      <c r="E34" s="319"/>
      <c r="F34" s="109"/>
      <c r="G34" s="109"/>
      <c r="H34" s="109"/>
    </row>
    <row r="35" spans="1:8" ht="15.75">
      <c r="A35" s="207" t="s">
        <v>38</v>
      </c>
      <c r="B35" s="208" t="s">
        <v>35</v>
      </c>
      <c r="C35" s="362" t="s">
        <v>221</v>
      </c>
      <c r="D35" s="210">
        <f>4.19*87.6*12</f>
        <v>4404.528</v>
      </c>
      <c r="E35" s="319"/>
      <c r="F35" s="109"/>
      <c r="G35" s="109"/>
      <c r="H35" s="109"/>
    </row>
    <row r="36" spans="1:14" s="1" customFormat="1" ht="47.25">
      <c r="A36" s="365" t="s">
        <v>40</v>
      </c>
      <c r="B36" s="215" t="s">
        <v>41</v>
      </c>
      <c r="C36" s="371"/>
      <c r="D36" s="175">
        <v>0</v>
      </c>
      <c r="E36" s="319"/>
      <c r="F36" s="109"/>
      <c r="G36" s="109"/>
      <c r="H36" s="109"/>
      <c r="K36"/>
      <c r="L36"/>
      <c r="M36"/>
      <c r="N36"/>
    </row>
    <row r="37" spans="1:14" s="1" customFormat="1" ht="15.75">
      <c r="A37" s="37" t="s">
        <v>42</v>
      </c>
      <c r="B37" s="222"/>
      <c r="C37" s="223"/>
      <c r="D37" s="97">
        <f>SUM(D31:D36)</f>
        <v>8341.292</v>
      </c>
      <c r="E37" s="181">
        <f>D37-D36</f>
        <v>8341.292</v>
      </c>
      <c r="F37" s="109"/>
      <c r="G37" s="109"/>
      <c r="H37" s="109"/>
      <c r="K37"/>
      <c r="L37"/>
      <c r="M37"/>
      <c r="N37"/>
    </row>
    <row r="38" spans="1:14" s="1" customFormat="1" ht="15.75">
      <c r="A38" s="40" t="s">
        <v>43</v>
      </c>
      <c r="B38" s="224" t="s">
        <v>11</v>
      </c>
      <c r="C38" s="225"/>
      <c r="D38" s="226">
        <f>C28-D37</f>
        <v>33999.320988</v>
      </c>
      <c r="E38" s="181"/>
      <c r="F38" s="109"/>
      <c r="G38" s="109"/>
      <c r="H38" s="109"/>
      <c r="K38"/>
      <c r="L38"/>
      <c r="M38"/>
      <c r="N38"/>
    </row>
    <row r="39" spans="1:14" s="1" customFormat="1" ht="15.75">
      <c r="A39" s="227" t="s">
        <v>12</v>
      </c>
      <c r="B39" s="228" t="s">
        <v>11</v>
      </c>
      <c r="C39" s="209"/>
      <c r="D39" s="193"/>
      <c r="E39" s="319"/>
      <c r="F39" s="109"/>
      <c r="G39" s="109"/>
      <c r="H39" s="109"/>
      <c r="K39"/>
      <c r="L39"/>
      <c r="M39"/>
      <c r="N39"/>
    </row>
    <row r="40" spans="1:14" s="1" customFormat="1" ht="15.75">
      <c r="A40" s="227" t="s">
        <v>13</v>
      </c>
      <c r="B40" s="228" t="s">
        <v>11</v>
      </c>
      <c r="C40" s="209"/>
      <c r="D40" s="195">
        <f>C17+C18-C23</f>
        <v>1789.3070119999993</v>
      </c>
      <c r="E40" s="319"/>
      <c r="F40" s="109"/>
      <c r="G40" s="109"/>
      <c r="H40" s="109"/>
      <c r="K40"/>
      <c r="L40"/>
      <c r="M40"/>
      <c r="N40"/>
    </row>
    <row r="41" spans="1:14" s="1" customFormat="1" ht="24" customHeight="1">
      <c r="A41" s="569" t="s">
        <v>44</v>
      </c>
      <c r="B41" s="569"/>
      <c r="C41" s="569"/>
      <c r="D41" s="569"/>
      <c r="E41" s="319"/>
      <c r="F41" s="109"/>
      <c r="G41" s="109"/>
      <c r="H41" s="109"/>
      <c r="K41"/>
      <c r="L41"/>
      <c r="M41"/>
      <c r="N41"/>
    </row>
    <row r="42" spans="1:14" s="1" customFormat="1" ht="15.75">
      <c r="A42" s="227" t="s">
        <v>45</v>
      </c>
      <c r="B42" s="208" t="s">
        <v>46</v>
      </c>
      <c r="C42" s="209">
        <v>0</v>
      </c>
      <c r="D42" s="193">
        <v>0</v>
      </c>
      <c r="E42" s="319"/>
      <c r="F42" s="109"/>
      <c r="G42" s="109"/>
      <c r="H42" s="109"/>
      <c r="K42"/>
      <c r="L42"/>
      <c r="M42"/>
      <c r="N42"/>
    </row>
    <row r="43" spans="1:14" s="1" customFormat="1" ht="15.75">
      <c r="A43" s="227" t="s">
        <v>47</v>
      </c>
      <c r="B43" s="208" t="s">
        <v>46</v>
      </c>
      <c r="C43" s="209">
        <v>0</v>
      </c>
      <c r="D43" s="193">
        <v>0</v>
      </c>
      <c r="E43" s="319"/>
      <c r="F43" s="109"/>
      <c r="G43" s="109"/>
      <c r="H43" s="109"/>
      <c r="K43"/>
      <c r="L43"/>
      <c r="M43"/>
      <c r="N43"/>
    </row>
    <row r="44" spans="1:14" s="1" customFormat="1" ht="15.75">
      <c r="A44" s="229" t="s">
        <v>48</v>
      </c>
      <c r="B44" s="208" t="s">
        <v>46</v>
      </c>
      <c r="C44" s="209">
        <v>0</v>
      </c>
      <c r="D44" s="193">
        <v>0</v>
      </c>
      <c r="E44" s="319"/>
      <c r="F44" s="109"/>
      <c r="G44" s="109"/>
      <c r="H44" s="109"/>
      <c r="K44"/>
      <c r="L44"/>
      <c r="M44"/>
      <c r="N44"/>
    </row>
    <row r="45" spans="1:14" s="1" customFormat="1" ht="15.75">
      <c r="A45" s="227" t="s">
        <v>49</v>
      </c>
      <c r="B45" s="208" t="s">
        <v>11</v>
      </c>
      <c r="C45" s="209">
        <v>0</v>
      </c>
      <c r="D45" s="193">
        <v>0</v>
      </c>
      <c r="E45" s="319"/>
      <c r="F45" s="109"/>
      <c r="G45" s="109"/>
      <c r="H45" s="109"/>
      <c r="K45"/>
      <c r="L45"/>
      <c r="M45"/>
      <c r="N45"/>
    </row>
    <row r="46" spans="1:8" ht="20.25" customHeight="1">
      <c r="A46" s="570" t="s">
        <v>50</v>
      </c>
      <c r="B46" s="570"/>
      <c r="C46" s="570"/>
      <c r="D46" s="570"/>
      <c r="E46" s="319"/>
      <c r="F46" s="109"/>
      <c r="G46" s="109"/>
      <c r="H46" s="109"/>
    </row>
    <row r="47" spans="1:8" ht="26.25">
      <c r="A47" s="229" t="s">
        <v>51</v>
      </c>
      <c r="B47" s="208" t="s">
        <v>11</v>
      </c>
      <c r="C47" s="209"/>
      <c r="D47" s="193">
        <v>0</v>
      </c>
      <c r="E47" s="319"/>
      <c r="F47" s="109"/>
      <c r="G47" s="109"/>
      <c r="H47" s="109"/>
    </row>
    <row r="48" spans="1:8" ht="15.75">
      <c r="A48" s="227" t="s">
        <v>12</v>
      </c>
      <c r="B48" s="208" t="s">
        <v>11</v>
      </c>
      <c r="C48" s="209"/>
      <c r="D48" s="193">
        <v>0</v>
      </c>
      <c r="E48" s="319"/>
      <c r="F48" s="109"/>
      <c r="G48" s="109"/>
      <c r="H48" s="109"/>
    </row>
    <row r="49" spans="1:8" ht="15.75">
      <c r="A49" s="227" t="s">
        <v>13</v>
      </c>
      <c r="B49" s="208" t="s">
        <v>11</v>
      </c>
      <c r="C49" s="209"/>
      <c r="D49" s="230">
        <f>D52-D55-D56-D57-D58</f>
        <v>333.96917800000074</v>
      </c>
      <c r="E49" s="319"/>
      <c r="F49" s="109"/>
      <c r="G49" s="109"/>
      <c r="H49" s="113"/>
    </row>
    <row r="50" spans="1:8" ht="26.25">
      <c r="A50" s="231" t="s">
        <v>52</v>
      </c>
      <c r="B50" s="208" t="s">
        <v>11</v>
      </c>
      <c r="C50" s="232"/>
      <c r="D50" s="233">
        <v>0</v>
      </c>
      <c r="E50" s="319"/>
      <c r="F50" s="109"/>
      <c r="G50" s="109"/>
      <c r="H50" s="109"/>
    </row>
    <row r="51" spans="1:10" ht="17.25" customHeight="1">
      <c r="A51" s="254" t="s">
        <v>12</v>
      </c>
      <c r="B51" s="208" t="s">
        <v>11</v>
      </c>
      <c r="C51" s="209"/>
      <c r="D51" s="193">
        <v>0</v>
      </c>
      <c r="E51" s="319"/>
      <c r="F51" s="109"/>
      <c r="G51" s="109"/>
      <c r="H51" s="109"/>
      <c r="I51" s="49"/>
      <c r="J51" s="49"/>
    </row>
    <row r="52" spans="1:14" ht="15.75">
      <c r="A52" s="235" t="s">
        <v>13</v>
      </c>
      <c r="B52" s="208" t="s">
        <v>11</v>
      </c>
      <c r="C52" s="236"/>
      <c r="D52" s="237">
        <v>641.45</v>
      </c>
      <c r="E52" s="319"/>
      <c r="F52" s="109"/>
      <c r="G52" s="109"/>
      <c r="H52" s="109" t="s">
        <v>26</v>
      </c>
      <c r="I52" s="60"/>
      <c r="J52" s="60"/>
      <c r="K52" s="61"/>
      <c r="L52" s="61"/>
      <c r="M52" s="61"/>
      <c r="N52" s="61"/>
    </row>
    <row r="53" spans="1:14" ht="18" customHeight="1">
      <c r="A53" s="571" t="s">
        <v>53</v>
      </c>
      <c r="B53" s="571"/>
      <c r="C53" s="571"/>
      <c r="D53" s="571"/>
      <c r="E53" s="114"/>
      <c r="F53" s="115"/>
      <c r="G53" s="116"/>
      <c r="H53" s="109"/>
      <c r="I53" s="65"/>
      <c r="J53" s="65"/>
      <c r="K53" s="66"/>
      <c r="L53" s="66"/>
      <c r="M53" s="66"/>
      <c r="N53" s="66"/>
    </row>
    <row r="54" spans="1:14" ht="47.25">
      <c r="A54" s="67" t="s">
        <v>54</v>
      </c>
      <c r="B54" s="68" t="s">
        <v>55</v>
      </c>
      <c r="C54" s="69" t="s">
        <v>56</v>
      </c>
      <c r="D54" s="70" t="s">
        <v>57</v>
      </c>
      <c r="E54" s="114"/>
      <c r="F54" s="63"/>
      <c r="G54" s="64"/>
      <c r="I54" s="65"/>
      <c r="J54" s="71"/>
      <c r="K54" s="66"/>
      <c r="L54" s="66"/>
      <c r="M54" s="66"/>
      <c r="N54" s="66"/>
    </row>
    <row r="55" spans="1:14" ht="15.75">
      <c r="A55" s="238" t="s">
        <v>58</v>
      </c>
      <c r="B55" s="239">
        <v>754</v>
      </c>
      <c r="C55" s="240">
        <f>B55*0.9663</f>
        <v>728.5902</v>
      </c>
      <c r="D55" s="241">
        <f>B55-C55</f>
        <v>25.40980000000002</v>
      </c>
      <c r="E55" s="117"/>
      <c r="F55" s="63"/>
      <c r="G55" s="64"/>
      <c r="I55" s="65"/>
      <c r="J55" s="65"/>
      <c r="K55" s="66"/>
      <c r="L55" s="66"/>
      <c r="M55" s="66"/>
      <c r="N55" s="66"/>
    </row>
    <row r="56" spans="1:14" ht="15.75">
      <c r="A56" s="238" t="s">
        <v>59</v>
      </c>
      <c r="B56" s="239">
        <v>862.92</v>
      </c>
      <c r="C56" s="240">
        <f>B56*0.9663</f>
        <v>833.839596</v>
      </c>
      <c r="D56" s="241">
        <f>B56-C56</f>
        <v>29.08040399999993</v>
      </c>
      <c r="E56" s="114"/>
      <c r="F56" s="63"/>
      <c r="G56" s="64"/>
      <c r="I56" s="65"/>
      <c r="J56" s="65"/>
      <c r="K56" s="66"/>
      <c r="L56" s="66"/>
      <c r="M56" s="66"/>
      <c r="N56" s="66"/>
    </row>
    <row r="57" spans="1:14" ht="15.75">
      <c r="A57" s="238" t="s">
        <v>60</v>
      </c>
      <c r="B57" s="242">
        <v>2599.92</v>
      </c>
      <c r="C57" s="240">
        <f>B57*0.9663</f>
        <v>2512.302696</v>
      </c>
      <c r="D57" s="241">
        <f>B57-C57</f>
        <v>87.61730399999988</v>
      </c>
      <c r="E57" s="114">
        <f>(2.07+1.8)*6*2301.2-0.37*2301.2*6</f>
        <v>48325.2</v>
      </c>
      <c r="F57" s="73"/>
      <c r="G57" s="74"/>
      <c r="H57" s="62"/>
      <c r="I57" s="65"/>
      <c r="J57" s="65"/>
      <c r="K57" s="66"/>
      <c r="L57" s="66"/>
      <c r="M57" s="66"/>
      <c r="N57" s="66"/>
    </row>
    <row r="58" spans="1:14" ht="16.5" thickBot="1">
      <c r="A58" s="261" t="s">
        <v>236</v>
      </c>
      <c r="B58" s="262">
        <v>4907.22</v>
      </c>
      <c r="C58" s="240">
        <f>B58*0.9663</f>
        <v>4741.846686000001</v>
      </c>
      <c r="D58" s="264">
        <f>B58-C58</f>
        <v>165.37331399999948</v>
      </c>
      <c r="E58" s="114"/>
      <c r="F58" s="73"/>
      <c r="G58" s="74"/>
      <c r="I58" s="65"/>
      <c r="J58" s="65"/>
      <c r="K58" s="66"/>
      <c r="L58" s="66"/>
      <c r="M58" s="66"/>
      <c r="N58" s="66"/>
    </row>
    <row r="59" spans="1:14" ht="63">
      <c r="A59" s="129" t="s">
        <v>62</v>
      </c>
      <c r="B59" s="130" t="s">
        <v>63</v>
      </c>
      <c r="C59" s="131" t="s">
        <v>64</v>
      </c>
      <c r="D59" s="132" t="s">
        <v>65</v>
      </c>
      <c r="E59" s="114"/>
      <c r="F59" s="73"/>
      <c r="H59" s="65"/>
      <c r="I59" s="65"/>
      <c r="J59" s="65"/>
      <c r="K59" s="66"/>
      <c r="L59" s="66"/>
      <c r="M59" s="66"/>
      <c r="N59" s="66"/>
    </row>
    <row r="60" spans="1:14" ht="15.75">
      <c r="A60" s="238" t="s">
        <v>58</v>
      </c>
      <c r="B60" s="239">
        <v>754</v>
      </c>
      <c r="C60" s="240">
        <f>B60</f>
        <v>754</v>
      </c>
      <c r="D60" s="241">
        <f>B60-C60</f>
        <v>0</v>
      </c>
      <c r="E60" s="114"/>
      <c r="F60" s="73"/>
      <c r="H60" s="65"/>
      <c r="I60" s="65"/>
      <c r="J60" s="65" t="s">
        <v>26</v>
      </c>
      <c r="K60" s="66"/>
      <c r="L60" s="66"/>
      <c r="M60" s="66"/>
      <c r="N60" s="66"/>
    </row>
    <row r="61" spans="1:14" ht="15.75">
      <c r="A61" s="238" t="s">
        <v>59</v>
      </c>
      <c r="B61" s="239">
        <v>862.92</v>
      </c>
      <c r="C61" s="240">
        <f>B61</f>
        <v>862.92</v>
      </c>
      <c r="D61" s="241">
        <f>B61-C61</f>
        <v>0</v>
      </c>
      <c r="E61" s="114"/>
      <c r="F61" s="73"/>
      <c r="H61" s="65"/>
      <c r="I61" s="65"/>
      <c r="J61" s="65"/>
      <c r="K61" s="66"/>
      <c r="L61" s="66"/>
      <c r="M61" s="66"/>
      <c r="N61" s="66"/>
    </row>
    <row r="62" spans="1:14" ht="15.75">
      <c r="A62" s="238" t="s">
        <v>60</v>
      </c>
      <c r="B62" s="242">
        <v>2599.92</v>
      </c>
      <c r="C62" s="240">
        <f>B62</f>
        <v>2599.92</v>
      </c>
      <c r="D62" s="241">
        <f>B62-C62</f>
        <v>0</v>
      </c>
      <c r="E62" s="114"/>
      <c r="F62" s="73"/>
      <c r="H62" s="65"/>
      <c r="I62" s="65"/>
      <c r="J62" s="65"/>
      <c r="K62" s="66"/>
      <c r="L62" s="66"/>
      <c r="M62" s="66"/>
      <c r="N62" s="66"/>
    </row>
    <row r="63" spans="1:14" ht="15.75">
      <c r="A63" s="261" t="s">
        <v>236</v>
      </c>
      <c r="B63" s="262">
        <v>4907.22</v>
      </c>
      <c r="C63" s="240">
        <f>C58</f>
        <v>4741.846686000001</v>
      </c>
      <c r="D63" s="264">
        <f>B63-C63</f>
        <v>165.37331399999948</v>
      </c>
      <c r="E63" s="114"/>
      <c r="F63" s="73"/>
      <c r="H63" s="65" t="s">
        <v>26</v>
      </c>
      <c r="I63" s="65"/>
      <c r="J63" s="65"/>
      <c r="K63" s="66"/>
      <c r="L63" s="66"/>
      <c r="M63" s="66"/>
      <c r="N63" s="66"/>
    </row>
    <row r="64" spans="1:14" ht="15.75">
      <c r="A64" s="247"/>
      <c r="B64" s="248"/>
      <c r="C64" s="249"/>
      <c r="D64" s="250"/>
      <c r="E64" s="114"/>
      <c r="F64" s="73"/>
      <c r="H64" s="65"/>
      <c r="I64" s="65"/>
      <c r="J64" s="65"/>
      <c r="K64" s="66"/>
      <c r="L64" s="66"/>
      <c r="M64" s="66"/>
      <c r="N64" s="66"/>
    </row>
    <row r="65" spans="1:14" ht="26.25">
      <c r="A65" s="251" t="s">
        <v>66</v>
      </c>
      <c r="B65" s="248" t="s">
        <v>11</v>
      </c>
      <c r="C65" s="252"/>
      <c r="D65" s="253">
        <v>0</v>
      </c>
      <c r="E65" s="114"/>
      <c r="F65" s="73"/>
      <c r="H65" s="65"/>
      <c r="I65" s="65"/>
      <c r="J65" s="65" t="s">
        <v>26</v>
      </c>
      <c r="K65" s="66"/>
      <c r="L65" s="66"/>
      <c r="M65" s="66"/>
      <c r="N65" s="66"/>
    </row>
    <row r="66" spans="1:14" ht="17.25" customHeight="1">
      <c r="A66" s="572" t="s">
        <v>67</v>
      </c>
      <c r="B66" s="572"/>
      <c r="C66" s="572"/>
      <c r="D66" s="572"/>
      <c r="E66" s="121" t="e">
        <f>D66+B19</f>
        <v>#VALUE!</v>
      </c>
      <c r="F66" s="65"/>
      <c r="H66" s="84" t="e">
        <f>E66-B18</f>
        <v>#VALUE!</v>
      </c>
      <c r="I66" s="65"/>
      <c r="J66" s="65"/>
      <c r="K66" s="66"/>
      <c r="L66" s="66"/>
      <c r="M66" s="66"/>
      <c r="N66" s="66"/>
    </row>
    <row r="67" spans="1:5" ht="21" customHeight="1">
      <c r="A67" s="86" t="s">
        <v>45</v>
      </c>
      <c r="B67" s="86" t="s">
        <v>46</v>
      </c>
      <c r="C67" s="86"/>
      <c r="D67" s="177">
        <v>0</v>
      </c>
      <c r="E67" s="123"/>
    </row>
    <row r="68" spans="1:5" ht="21" customHeight="1">
      <c r="A68" s="86" t="s">
        <v>47</v>
      </c>
      <c r="B68" s="86" t="s">
        <v>46</v>
      </c>
      <c r="C68" s="86"/>
      <c r="D68" s="177">
        <v>0</v>
      </c>
      <c r="E68" s="123"/>
    </row>
    <row r="69" spans="1:5" ht="18" customHeight="1">
      <c r="A69" s="86" t="s">
        <v>48</v>
      </c>
      <c r="B69" s="86" t="s">
        <v>46</v>
      </c>
      <c r="C69" s="86"/>
      <c r="D69" s="177">
        <v>0</v>
      </c>
      <c r="E69" s="123"/>
    </row>
    <row r="70" spans="1:5" ht="16.5" customHeight="1">
      <c r="A70" s="86" t="s">
        <v>49</v>
      </c>
      <c r="B70" s="86" t="s">
        <v>11</v>
      </c>
      <c r="C70" s="86"/>
      <c r="D70" s="177">
        <v>0</v>
      </c>
      <c r="E70" s="123"/>
    </row>
    <row r="71" spans="1:5" ht="15.75" customHeight="1">
      <c r="A71" s="566" t="s">
        <v>68</v>
      </c>
      <c r="B71" s="566"/>
      <c r="C71" s="566"/>
      <c r="D71" s="566"/>
      <c r="E71" s="123"/>
    </row>
    <row r="72" spans="1:5" ht="18.75" customHeight="1">
      <c r="A72" s="86" t="s">
        <v>69</v>
      </c>
      <c r="B72" s="86" t="s">
        <v>46</v>
      </c>
      <c r="C72" s="86"/>
      <c r="D72" s="177">
        <v>0</v>
      </c>
      <c r="E72" s="123"/>
    </row>
    <row r="73" spans="1:5" ht="21.75" customHeight="1">
      <c r="A73" s="86" t="s">
        <v>70</v>
      </c>
      <c r="B73" s="254" t="s">
        <v>46</v>
      </c>
      <c r="C73" s="254"/>
      <c r="D73" s="177">
        <v>0</v>
      </c>
      <c r="E73" s="123"/>
    </row>
    <row r="74" spans="1:5" ht="36" customHeight="1">
      <c r="A74" s="255" t="s">
        <v>71</v>
      </c>
      <c r="B74" s="86" t="s">
        <v>11</v>
      </c>
      <c r="C74" s="86"/>
      <c r="D74" s="177">
        <v>0</v>
      </c>
      <c r="E74" s="123"/>
    </row>
    <row r="75" spans="1:5" ht="15.75">
      <c r="A75" s="256"/>
      <c r="B75" s="256"/>
      <c r="C75" s="256"/>
      <c r="D75" s="257"/>
      <c r="E75" s="109"/>
    </row>
    <row r="76" spans="1:14" s="1" customFormat="1" ht="12.75">
      <c r="A76" s="178"/>
      <c r="B76" s="178"/>
      <c r="C76" s="178"/>
      <c r="D76" s="178"/>
      <c r="E76" s="109"/>
      <c r="H76" s="1" t="s">
        <v>26</v>
      </c>
      <c r="K76"/>
      <c r="L76"/>
      <c r="M76"/>
      <c r="N76"/>
    </row>
    <row r="77" spans="1:14" s="1" customFormat="1" ht="12.75">
      <c r="A77" s="178" t="s">
        <v>72</v>
      </c>
      <c r="B77" s="178"/>
      <c r="C77" s="178" t="s">
        <v>141</v>
      </c>
      <c r="D77" s="178"/>
      <c r="E77" s="109"/>
      <c r="K77"/>
      <c r="L77"/>
      <c r="M77"/>
      <c r="N77"/>
    </row>
    <row r="78" spans="1:14" s="1" customFormat="1" ht="12.75">
      <c r="A78" s="178"/>
      <c r="B78" s="178"/>
      <c r="C78" s="178"/>
      <c r="D78" s="178"/>
      <c r="H78" s="1" t="s">
        <v>26</v>
      </c>
      <c r="K78"/>
      <c r="L78"/>
      <c r="M78"/>
      <c r="N78"/>
    </row>
    <row r="79" spans="1:14" s="1" customFormat="1" ht="12.75">
      <c r="A79" s="178" t="s">
        <v>73</v>
      </c>
      <c r="B79" s="178"/>
      <c r="C79" s="178"/>
      <c r="D79" s="178"/>
      <c r="K79"/>
      <c r="L79"/>
      <c r="M79"/>
      <c r="N79"/>
    </row>
    <row r="80" spans="1:4" ht="12.75">
      <c r="A80" s="178"/>
      <c r="B80" s="178"/>
      <c r="C80" s="178"/>
      <c r="D80" s="178"/>
    </row>
    <row r="81" spans="1:4" ht="12.75">
      <c r="A81" s="178"/>
      <c r="B81" s="178"/>
      <c r="C81" s="178"/>
      <c r="D81" s="178"/>
    </row>
    <row r="82" spans="1:4" ht="12.75">
      <c r="A82" s="178"/>
      <c r="B82" s="178"/>
      <c r="C82" s="178"/>
      <c r="D82" s="178"/>
    </row>
    <row r="83" spans="1:14" s="1" customFormat="1" ht="12.75">
      <c r="A83" s="178"/>
      <c r="B83" s="178"/>
      <c r="C83" s="178"/>
      <c r="D83" s="178"/>
      <c r="E83" s="1" t="s">
        <v>26</v>
      </c>
      <c r="K83"/>
      <c r="L83"/>
      <c r="M83"/>
      <c r="N83"/>
    </row>
  </sheetData>
  <sheetProtection selectLockedCells="1" selectUnlockedCells="1"/>
  <mergeCells count="13">
    <mergeCell ref="A71:D71"/>
    <mergeCell ref="A14:D14"/>
    <mergeCell ref="A29:D29"/>
    <mergeCell ref="A41:D41"/>
    <mergeCell ref="A46:D46"/>
    <mergeCell ref="A53:D53"/>
    <mergeCell ref="A66:D66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2"/>
  <sheetViews>
    <sheetView zoomScale="80" zoomScaleNormal="80" zoomScalePageLayoutView="0" workbookViewId="0" topLeftCell="A28">
      <selection activeCell="D48" sqref="D48"/>
    </sheetView>
  </sheetViews>
  <sheetFormatPr defaultColWidth="11.57421875" defaultRowHeight="12.75"/>
  <cols>
    <col min="1" max="1" width="54.7109375" style="0" customWidth="1"/>
    <col min="2" max="2" width="17.7109375" style="0" customWidth="1"/>
    <col min="3" max="3" width="24.421875" style="0" customWidth="1"/>
    <col min="4" max="4" width="15.0039062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560" t="s">
        <v>0</v>
      </c>
      <c r="B1" s="560"/>
      <c r="C1" s="560"/>
      <c r="D1" s="560"/>
    </row>
    <row r="2" spans="1:4" ht="15.75">
      <c r="A2" s="561" t="s">
        <v>220</v>
      </c>
      <c r="B2" s="562"/>
      <c r="C2" s="562"/>
      <c r="D2" s="562"/>
    </row>
    <row r="3" spans="1:4" ht="15.75">
      <c r="A3" s="562" t="s">
        <v>1</v>
      </c>
      <c r="B3" s="562"/>
      <c r="C3" s="562"/>
      <c r="D3" s="562"/>
    </row>
    <row r="4" spans="1:4" ht="12.75">
      <c r="A4" s="563" t="s">
        <v>115</v>
      </c>
      <c r="B4" s="563"/>
      <c r="C4" s="563"/>
      <c r="D4" s="563"/>
    </row>
    <row r="5" spans="1:4" ht="12.75">
      <c r="A5" s="564" t="s">
        <v>266</v>
      </c>
      <c r="B5" s="563"/>
      <c r="C5" s="563"/>
      <c r="D5" s="563"/>
    </row>
    <row r="6" spans="1:4" ht="9" customHeight="1">
      <c r="A6" s="258"/>
      <c r="B6" s="178"/>
      <c r="C6" s="178"/>
      <c r="D6" s="178"/>
    </row>
    <row r="7" spans="1:4" ht="28.5" customHeight="1">
      <c r="A7" s="565" t="s">
        <v>2</v>
      </c>
      <c r="B7" s="565"/>
      <c r="C7" s="565"/>
      <c r="D7" s="565"/>
    </row>
    <row r="8" spans="1:4" ht="12.75">
      <c r="A8" s="182" t="s">
        <v>252</v>
      </c>
      <c r="B8" s="178"/>
      <c r="C8" s="183"/>
      <c r="D8" s="178"/>
    </row>
    <row r="9" spans="1:4" ht="12.75">
      <c r="A9" s="184" t="s">
        <v>3</v>
      </c>
      <c r="B9" s="184" t="s">
        <v>4</v>
      </c>
      <c r="C9" s="184" t="s">
        <v>5</v>
      </c>
      <c r="D9" s="185"/>
    </row>
    <row r="10" spans="1:4" ht="12.75">
      <c r="A10" s="186">
        <v>1</v>
      </c>
      <c r="B10" s="186">
        <v>2</v>
      </c>
      <c r="C10" s="186">
        <v>3</v>
      </c>
      <c r="D10" s="187">
        <v>4</v>
      </c>
    </row>
    <row r="11" spans="1:5" ht="12.75">
      <c r="A11" s="20" t="s">
        <v>6</v>
      </c>
      <c r="B11" s="188"/>
      <c r="C11" s="189" t="s">
        <v>262</v>
      </c>
      <c r="D11" s="190"/>
      <c r="E11" s="109"/>
    </row>
    <row r="12" spans="1:5" ht="12.75">
      <c r="A12" s="20" t="s">
        <v>7</v>
      </c>
      <c r="B12" s="188"/>
      <c r="C12" s="189" t="s">
        <v>263</v>
      </c>
      <c r="D12" s="190"/>
      <c r="E12" s="109"/>
    </row>
    <row r="13" spans="1:5" ht="12.75">
      <c r="A13" s="20" t="s">
        <v>8</v>
      </c>
      <c r="B13" s="188"/>
      <c r="C13" s="189" t="s">
        <v>267</v>
      </c>
      <c r="D13" s="190"/>
      <c r="E13" s="109"/>
    </row>
    <row r="14" spans="1:9" ht="31.5" customHeight="1">
      <c r="A14" s="567" t="s">
        <v>9</v>
      </c>
      <c r="B14" s="567"/>
      <c r="C14" s="567"/>
      <c r="D14" s="567"/>
      <c r="E14" s="109"/>
      <c r="F14" s="109"/>
      <c r="G14" s="109"/>
      <c r="H14" s="109"/>
      <c r="I14" s="109"/>
    </row>
    <row r="15" spans="1:9" ht="26.25">
      <c r="A15" s="17" t="s">
        <v>10</v>
      </c>
      <c r="B15" s="191" t="s">
        <v>11</v>
      </c>
      <c r="C15" s="194">
        <v>29329.66</v>
      </c>
      <c r="D15" s="193"/>
      <c r="E15" s="109"/>
      <c r="F15" s="109"/>
      <c r="G15" s="109"/>
      <c r="H15" s="109"/>
      <c r="I15" s="109"/>
    </row>
    <row r="16" spans="1:9" ht="15.75">
      <c r="A16" s="20" t="s">
        <v>12</v>
      </c>
      <c r="B16" s="191" t="s">
        <v>11</v>
      </c>
      <c r="C16" s="192">
        <v>0</v>
      </c>
      <c r="D16" s="193"/>
      <c r="E16" s="109"/>
      <c r="F16" s="109"/>
      <c r="G16" s="109"/>
      <c r="H16" s="109"/>
      <c r="I16" s="109"/>
    </row>
    <row r="17" spans="1:9" ht="15.75">
      <c r="A17" s="20" t="s">
        <v>13</v>
      </c>
      <c r="B17" s="191" t="s">
        <v>11</v>
      </c>
      <c r="C17" s="194">
        <v>24128.8</v>
      </c>
      <c r="D17" s="195"/>
      <c r="E17" s="109"/>
      <c r="F17" s="109"/>
      <c r="G17" s="109"/>
      <c r="H17" s="109"/>
      <c r="I17" s="109"/>
    </row>
    <row r="18" spans="1:9" ht="31.5" customHeight="1">
      <c r="A18" s="17" t="s">
        <v>14</v>
      </c>
      <c r="B18" s="191" t="s">
        <v>11</v>
      </c>
      <c r="C18" s="194">
        <f>168147.12+24818.04</f>
        <v>192965.16</v>
      </c>
      <c r="D18" s="195"/>
      <c r="E18" s="110">
        <f>C18-C20-24818.04</f>
        <v>143794.002</v>
      </c>
      <c r="F18" s="109"/>
      <c r="G18" s="109"/>
      <c r="H18" s="109"/>
      <c r="I18" s="109"/>
    </row>
    <row r="19" spans="1:9" ht="15.75">
      <c r="A19" s="20" t="s">
        <v>15</v>
      </c>
      <c r="B19" s="191" t="s">
        <v>11</v>
      </c>
      <c r="C19" s="194">
        <f>C18-C20-C21</f>
        <v>119905.80600000001</v>
      </c>
      <c r="D19" s="195"/>
      <c r="E19" s="110">
        <f>E18-E47</f>
        <v>0.003999999986262992</v>
      </c>
      <c r="F19" s="109"/>
      <c r="G19" s="109"/>
      <c r="H19" s="109"/>
      <c r="I19" s="109"/>
    </row>
    <row r="20" spans="1:9" ht="15.75">
      <c r="A20" s="20" t="s">
        <v>16</v>
      </c>
      <c r="B20" s="191" t="s">
        <v>11</v>
      </c>
      <c r="C20" s="194">
        <f>(1.81+2.38)*6*968.7</f>
        <v>24353.118</v>
      </c>
      <c r="D20" s="195"/>
      <c r="E20" s="111"/>
      <c r="F20" s="109"/>
      <c r="G20" s="109"/>
      <c r="H20" s="109"/>
      <c r="I20" s="109"/>
    </row>
    <row r="21" spans="1:9" ht="15.75">
      <c r="A21" s="20" t="s">
        <v>17</v>
      </c>
      <c r="B21" s="191" t="s">
        <v>11</v>
      </c>
      <c r="C21" s="196">
        <f>968.7*4.19*12</f>
        <v>48706.236000000004</v>
      </c>
      <c r="D21" s="195"/>
      <c r="E21" s="109"/>
      <c r="F21" s="109"/>
      <c r="G21" s="109"/>
      <c r="H21" s="109"/>
      <c r="I21" s="109"/>
    </row>
    <row r="22" spans="1:9" ht="15.75">
      <c r="A22" s="20" t="s">
        <v>18</v>
      </c>
      <c r="B22" s="191" t="s">
        <v>11</v>
      </c>
      <c r="C22" s="194">
        <f>C23+C24+C25+C26</f>
        <v>208518.151896</v>
      </c>
      <c r="D22" s="195" t="s">
        <v>19</v>
      </c>
      <c r="E22" s="110"/>
      <c r="F22" s="109"/>
      <c r="G22" s="109"/>
      <c r="H22" s="109"/>
      <c r="I22" s="109"/>
    </row>
    <row r="23" spans="1:9" ht="15.75">
      <c r="A23" s="20" t="s">
        <v>20</v>
      </c>
      <c r="B23" s="191" t="s">
        <v>11</v>
      </c>
      <c r="C23" s="194">
        <f>C18*1.0806</f>
        <v>208518.151896</v>
      </c>
      <c r="D23" s="195"/>
      <c r="E23" s="109"/>
      <c r="F23" s="109"/>
      <c r="G23" s="109"/>
      <c r="H23" s="109"/>
      <c r="I23" s="109"/>
    </row>
    <row r="24" spans="1:9" ht="15.75">
      <c r="A24" s="20" t="s">
        <v>21</v>
      </c>
      <c r="B24" s="191" t="s">
        <v>11</v>
      </c>
      <c r="C24" s="194">
        <v>0</v>
      </c>
      <c r="D24" s="197">
        <v>65.21</v>
      </c>
      <c r="E24" s="111" t="e">
        <f>B24/#REF!*1</f>
        <v>#VALUE!</v>
      </c>
      <c r="F24" s="109"/>
      <c r="G24" s="109"/>
      <c r="H24" s="109" t="s">
        <v>22</v>
      </c>
      <c r="I24" s="109"/>
    </row>
    <row r="25" spans="1:9" ht="15.75">
      <c r="A25" s="20" t="s">
        <v>23</v>
      </c>
      <c r="B25" s="191" t="s">
        <v>11</v>
      </c>
      <c r="C25" s="194">
        <v>0</v>
      </c>
      <c r="D25" s="197">
        <v>119.63</v>
      </c>
      <c r="E25" s="111" t="e">
        <f>B25/#REF!*1</f>
        <v>#VALUE!</v>
      </c>
      <c r="F25" s="109"/>
      <c r="G25" s="109"/>
      <c r="H25" s="109"/>
      <c r="I25" s="109"/>
    </row>
    <row r="26" spans="1:9" ht="18.75" customHeight="1">
      <c r="A26" s="188" t="s">
        <v>24</v>
      </c>
      <c r="B26" s="191" t="s">
        <v>11</v>
      </c>
      <c r="C26" s="194">
        <v>0</v>
      </c>
      <c r="D26" s="197"/>
      <c r="E26" s="111" t="e">
        <f>B26/#REF!*1</f>
        <v>#VALUE!</v>
      </c>
      <c r="F26" s="109"/>
      <c r="G26" s="109"/>
      <c r="H26" s="109"/>
      <c r="I26" s="109"/>
    </row>
    <row r="27" spans="1:9" ht="15.75">
      <c r="A27" s="20" t="s">
        <v>25</v>
      </c>
      <c r="B27" s="191" t="s">
        <v>11</v>
      </c>
      <c r="C27" s="194">
        <f>C15+C22</f>
        <v>237847.811896</v>
      </c>
      <c r="D27" s="195" t="s">
        <v>26</v>
      </c>
      <c r="E27" s="111" t="e">
        <f>B27/#REF!*1</f>
        <v>#VALUE!</v>
      </c>
      <c r="F27" s="109"/>
      <c r="G27" s="109"/>
      <c r="H27" s="109"/>
      <c r="I27" s="109"/>
    </row>
    <row r="28" spans="1:9" ht="35.25" customHeight="1">
      <c r="A28" s="568" t="s">
        <v>27</v>
      </c>
      <c r="B28" s="568"/>
      <c r="C28" s="568"/>
      <c r="D28" s="568"/>
      <c r="E28" s="109"/>
      <c r="F28" s="109"/>
      <c r="G28" s="109"/>
      <c r="H28" s="109"/>
      <c r="I28" s="109"/>
    </row>
    <row r="29" spans="1:9" ht="51">
      <c r="A29" s="199" t="s">
        <v>28</v>
      </c>
      <c r="B29" s="200" t="s">
        <v>29</v>
      </c>
      <c r="C29" s="201" t="s">
        <v>30</v>
      </c>
      <c r="D29" s="202" t="s">
        <v>31</v>
      </c>
      <c r="E29" s="109"/>
      <c r="F29" s="109"/>
      <c r="G29" s="109"/>
      <c r="H29" s="109"/>
      <c r="I29" s="109"/>
    </row>
    <row r="30" spans="1:9" ht="15.75">
      <c r="A30" s="203" t="s">
        <v>32</v>
      </c>
      <c r="B30" s="204" t="s">
        <v>33</v>
      </c>
      <c r="C30" s="393" t="s">
        <v>34</v>
      </c>
      <c r="D30" s="206">
        <f>0.6*12*968.7</f>
        <v>6974.639999999999</v>
      </c>
      <c r="E30" s="109"/>
      <c r="F30" s="109"/>
      <c r="G30" s="109"/>
      <c r="H30" s="109"/>
      <c r="I30" s="109"/>
    </row>
    <row r="31" spans="1:9" ht="15.75">
      <c r="A31" s="207" t="s">
        <v>75</v>
      </c>
      <c r="B31" s="208" t="s">
        <v>76</v>
      </c>
      <c r="C31" s="209" t="s">
        <v>34</v>
      </c>
      <c r="D31" s="210">
        <f>2.4*12*968.7</f>
        <v>27898.559999999998</v>
      </c>
      <c r="E31" s="109"/>
      <c r="F31" s="109"/>
      <c r="G31" s="109"/>
      <c r="H31" s="109"/>
      <c r="I31" s="109"/>
    </row>
    <row r="32" spans="1:9" ht="15.75">
      <c r="A32" s="207" t="s">
        <v>237</v>
      </c>
      <c r="B32" s="208" t="s">
        <v>35</v>
      </c>
      <c r="C32" s="362" t="s">
        <v>301</v>
      </c>
      <c r="D32" s="210">
        <f>0.15*12*968.7</f>
        <v>1743.6599999999999</v>
      </c>
      <c r="E32" s="109"/>
      <c r="F32" s="109"/>
      <c r="G32" s="109"/>
      <c r="H32" s="109"/>
      <c r="I32" s="109"/>
    </row>
    <row r="33" spans="1:9" ht="15.75">
      <c r="A33" s="207" t="s">
        <v>36</v>
      </c>
      <c r="B33" s="208" t="s">
        <v>78</v>
      </c>
      <c r="C33" s="209" t="s">
        <v>37</v>
      </c>
      <c r="D33" s="210">
        <f>0.48*12*968.7</f>
        <v>5579.712</v>
      </c>
      <c r="E33" s="109"/>
      <c r="F33" s="109"/>
      <c r="G33" s="109"/>
      <c r="H33" s="109"/>
      <c r="I33" s="109"/>
    </row>
    <row r="34" spans="1:9" ht="15.75">
      <c r="A34" s="207" t="s">
        <v>79</v>
      </c>
      <c r="B34" s="363" t="s">
        <v>33</v>
      </c>
      <c r="C34" s="209" t="s">
        <v>34</v>
      </c>
      <c r="D34" s="210">
        <f>0.73*12*968.7</f>
        <v>8485.812</v>
      </c>
      <c r="E34" s="109"/>
      <c r="F34" s="109"/>
      <c r="G34" s="109"/>
      <c r="H34" s="109"/>
      <c r="I34" s="109"/>
    </row>
    <row r="35" spans="1:9" ht="15.75">
      <c r="A35" s="207" t="s">
        <v>106</v>
      </c>
      <c r="B35" s="208" t="s">
        <v>33</v>
      </c>
      <c r="C35" s="209" t="s">
        <v>34</v>
      </c>
      <c r="D35" s="210">
        <f>968.7*1.9*12+0.17</f>
        <v>22086.53</v>
      </c>
      <c r="E35" s="109"/>
      <c r="F35" s="109"/>
      <c r="G35" s="109"/>
      <c r="H35" s="109"/>
      <c r="I35" s="109"/>
    </row>
    <row r="36" spans="1:9" ht="31.5">
      <c r="A36" s="207" t="s">
        <v>81</v>
      </c>
      <c r="B36" s="213" t="s">
        <v>82</v>
      </c>
      <c r="C36" s="209" t="s">
        <v>34</v>
      </c>
      <c r="D36" s="210">
        <f>968.7*1.33*12</f>
        <v>15460.452000000001</v>
      </c>
      <c r="E36" s="109"/>
      <c r="F36" s="109"/>
      <c r="G36" s="109"/>
      <c r="H36" s="109"/>
      <c r="I36" s="109"/>
    </row>
    <row r="37" spans="1:9" ht="15.75">
      <c r="A37" s="207" t="s">
        <v>38</v>
      </c>
      <c r="B37" s="208" t="s">
        <v>35</v>
      </c>
      <c r="C37" s="362" t="s">
        <v>221</v>
      </c>
      <c r="D37" s="210">
        <f>4.19*968.7*12</f>
        <v>48706.236000000004</v>
      </c>
      <c r="E37" s="109"/>
      <c r="F37" s="109"/>
      <c r="G37" s="109"/>
      <c r="H37" s="109"/>
      <c r="I37" s="109"/>
    </row>
    <row r="38" spans="1:9" ht="15.75">
      <c r="A38" s="207" t="s">
        <v>85</v>
      </c>
      <c r="B38" s="208" t="s">
        <v>222</v>
      </c>
      <c r="C38" s="259" t="s">
        <v>37</v>
      </c>
      <c r="D38" s="210">
        <f>968.7*12*0.59</f>
        <v>6858.396000000001</v>
      </c>
      <c r="E38" s="109"/>
      <c r="F38" s="109"/>
      <c r="G38" s="109"/>
      <c r="H38" s="109"/>
      <c r="I38" s="109"/>
    </row>
    <row r="39" spans="1:9" ht="15.75">
      <c r="A39" s="207" t="s">
        <v>209</v>
      </c>
      <c r="B39" s="208"/>
      <c r="C39" s="316"/>
      <c r="D39" s="210"/>
      <c r="E39" s="109"/>
      <c r="F39" s="109"/>
      <c r="G39" s="109"/>
      <c r="H39" s="109"/>
      <c r="I39" s="109"/>
    </row>
    <row r="40" spans="1:9" ht="31.5">
      <c r="A40" s="207" t="s">
        <v>213</v>
      </c>
      <c r="B40" s="208" t="s">
        <v>35</v>
      </c>
      <c r="C40" s="316" t="s">
        <v>210</v>
      </c>
      <c r="D40" s="210">
        <v>930</v>
      </c>
      <c r="E40" s="109"/>
      <c r="F40" s="109"/>
      <c r="G40" s="109"/>
      <c r="H40" s="109"/>
      <c r="I40" s="109"/>
    </row>
    <row r="41" spans="1:9" ht="15.75">
      <c r="A41" s="207" t="s">
        <v>211</v>
      </c>
      <c r="B41" s="208" t="s">
        <v>35</v>
      </c>
      <c r="C41" s="316" t="s">
        <v>212</v>
      </c>
      <c r="D41" s="210">
        <v>23888.04</v>
      </c>
      <c r="E41" s="109"/>
      <c r="F41" s="109"/>
      <c r="G41" s="109"/>
      <c r="H41" s="109"/>
      <c r="I41" s="109"/>
    </row>
    <row r="42" spans="1:14" s="1" customFormat="1" ht="78.75">
      <c r="A42" s="260" t="s">
        <v>207</v>
      </c>
      <c r="B42" s="215" t="s">
        <v>41</v>
      </c>
      <c r="C42" s="205"/>
      <c r="D42" s="381">
        <f>D43+D44+D45+D46</f>
        <v>6497.54</v>
      </c>
      <c r="E42" s="109"/>
      <c r="F42" s="109"/>
      <c r="G42" s="109"/>
      <c r="H42" s="109"/>
      <c r="I42" s="109"/>
      <c r="K42"/>
      <c r="L42"/>
      <c r="M42"/>
      <c r="N42"/>
    </row>
    <row r="43" spans="1:14" s="1" customFormat="1" ht="15.75">
      <c r="A43" s="220" t="s">
        <v>271</v>
      </c>
      <c r="B43" s="217" t="s">
        <v>159</v>
      </c>
      <c r="C43" s="218" t="s">
        <v>34</v>
      </c>
      <c r="D43" s="176">
        <v>352</v>
      </c>
      <c r="E43" s="109"/>
      <c r="F43" s="109"/>
      <c r="G43" s="109"/>
      <c r="H43" s="109"/>
      <c r="I43" s="109"/>
      <c r="K43"/>
      <c r="L43"/>
      <c r="M43"/>
      <c r="N43"/>
    </row>
    <row r="44" spans="1:14" s="1" customFormat="1" ht="15.75">
      <c r="A44" s="220" t="s">
        <v>277</v>
      </c>
      <c r="B44" s="217" t="s">
        <v>159</v>
      </c>
      <c r="C44" s="218" t="s">
        <v>34</v>
      </c>
      <c r="D44" s="176">
        <v>3823.54</v>
      </c>
      <c r="E44" s="109"/>
      <c r="F44" s="109"/>
      <c r="G44" s="109"/>
      <c r="H44" s="109"/>
      <c r="I44" s="109"/>
      <c r="K44"/>
      <c r="L44"/>
      <c r="M44"/>
      <c r="N44"/>
    </row>
    <row r="45" spans="1:14" s="1" customFormat="1" ht="15.75">
      <c r="A45" s="220" t="s">
        <v>326</v>
      </c>
      <c r="B45" s="217" t="s">
        <v>154</v>
      </c>
      <c r="C45" s="218" t="s">
        <v>34</v>
      </c>
      <c r="D45" s="176">
        <v>2290</v>
      </c>
      <c r="E45" s="109"/>
      <c r="F45" s="109"/>
      <c r="G45" s="109"/>
      <c r="H45" s="109"/>
      <c r="I45" s="109"/>
      <c r="K45"/>
      <c r="L45"/>
      <c r="M45"/>
      <c r="N45"/>
    </row>
    <row r="46" spans="1:14" s="1" customFormat="1" ht="15.75">
      <c r="A46" s="220" t="s">
        <v>309</v>
      </c>
      <c r="B46" s="217" t="s">
        <v>149</v>
      </c>
      <c r="C46" s="218" t="s">
        <v>34</v>
      </c>
      <c r="D46" s="176">
        <v>32</v>
      </c>
      <c r="E46" s="109"/>
      <c r="F46" s="109"/>
      <c r="G46" s="109"/>
      <c r="H46" s="109"/>
      <c r="I46" s="109"/>
      <c r="K46"/>
      <c r="L46"/>
      <c r="M46"/>
      <c r="N46"/>
    </row>
    <row r="47" spans="1:14" s="1" customFormat="1" ht="15.75">
      <c r="A47" s="37" t="s">
        <v>42</v>
      </c>
      <c r="B47" s="222"/>
      <c r="C47" s="222"/>
      <c r="D47" s="97">
        <f>D30+D31+D32+D33+D34+D35+D36+D37+D38+D40+D41+D42</f>
        <v>175109.57800000004</v>
      </c>
      <c r="E47" s="112">
        <f>D47-D40-D41-D42</f>
        <v>143793.99800000002</v>
      </c>
      <c r="F47" s="109"/>
      <c r="G47" s="109"/>
      <c r="H47" s="109"/>
      <c r="I47" s="109"/>
      <c r="K47"/>
      <c r="L47"/>
      <c r="M47"/>
      <c r="N47"/>
    </row>
    <row r="48" spans="1:14" s="1" customFormat="1" ht="15.75">
      <c r="A48" s="40" t="s">
        <v>43</v>
      </c>
      <c r="B48" s="224" t="s">
        <v>11</v>
      </c>
      <c r="C48" s="225"/>
      <c r="D48" s="226">
        <f>C27-D47</f>
        <v>62738.23389599996</v>
      </c>
      <c r="E48" s="112"/>
      <c r="F48" s="109"/>
      <c r="G48" s="109"/>
      <c r="H48" s="109"/>
      <c r="I48" s="109"/>
      <c r="K48"/>
      <c r="L48"/>
      <c r="M48"/>
      <c r="N48"/>
    </row>
    <row r="49" spans="1:14" s="1" customFormat="1" ht="15.75">
      <c r="A49" s="227" t="s">
        <v>12</v>
      </c>
      <c r="B49" s="228" t="s">
        <v>11</v>
      </c>
      <c r="C49" s="209"/>
      <c r="D49" s="193"/>
      <c r="E49" s="109"/>
      <c r="F49" s="109"/>
      <c r="G49" s="109"/>
      <c r="H49" s="109"/>
      <c r="I49" s="109"/>
      <c r="K49"/>
      <c r="L49"/>
      <c r="M49"/>
      <c r="N49"/>
    </row>
    <row r="50" spans="1:14" s="1" customFormat="1" ht="15.75">
      <c r="A50" s="227" t="s">
        <v>13</v>
      </c>
      <c r="B50" s="228" t="s">
        <v>11</v>
      </c>
      <c r="C50" s="209"/>
      <c r="D50" s="195">
        <f>C15+C18-C23</f>
        <v>13776.668104000011</v>
      </c>
      <c r="E50" s="109"/>
      <c r="F50" s="109"/>
      <c r="G50" s="109"/>
      <c r="H50" s="109"/>
      <c r="I50" s="109"/>
      <c r="K50"/>
      <c r="L50"/>
      <c r="M50"/>
      <c r="N50"/>
    </row>
    <row r="51" spans="1:14" s="1" customFormat="1" ht="24" customHeight="1">
      <c r="A51" s="569" t="s">
        <v>44</v>
      </c>
      <c r="B51" s="569"/>
      <c r="C51" s="569"/>
      <c r="D51" s="569"/>
      <c r="E51" s="109"/>
      <c r="F51" s="109"/>
      <c r="G51" s="109"/>
      <c r="H51" s="109"/>
      <c r="I51" s="109"/>
      <c r="K51"/>
      <c r="L51"/>
      <c r="M51"/>
      <c r="N51"/>
    </row>
    <row r="52" spans="1:14" s="1" customFormat="1" ht="15.75">
      <c r="A52" s="227" t="s">
        <v>45</v>
      </c>
      <c r="B52" s="208" t="s">
        <v>46</v>
      </c>
      <c r="C52" s="209">
        <v>0</v>
      </c>
      <c r="D52" s="193">
        <v>0</v>
      </c>
      <c r="E52" s="109"/>
      <c r="F52" s="109"/>
      <c r="G52" s="109"/>
      <c r="H52" s="109"/>
      <c r="I52" s="109"/>
      <c r="K52"/>
      <c r="L52"/>
      <c r="M52"/>
      <c r="N52"/>
    </row>
    <row r="53" spans="1:14" s="1" customFormat="1" ht="15.75">
      <c r="A53" s="227" t="s">
        <v>47</v>
      </c>
      <c r="B53" s="208" t="s">
        <v>46</v>
      </c>
      <c r="C53" s="209">
        <v>0</v>
      </c>
      <c r="D53" s="193">
        <v>0</v>
      </c>
      <c r="E53" s="109"/>
      <c r="F53" s="109"/>
      <c r="G53" s="109"/>
      <c r="H53" s="109"/>
      <c r="I53" s="109"/>
      <c r="K53"/>
      <c r="L53"/>
      <c r="M53"/>
      <c r="N53"/>
    </row>
    <row r="54" spans="1:14" s="1" customFormat="1" ht="26.25">
      <c r="A54" s="229" t="s">
        <v>48</v>
      </c>
      <c r="B54" s="208" t="s">
        <v>46</v>
      </c>
      <c r="C54" s="209">
        <v>0</v>
      </c>
      <c r="D54" s="193">
        <v>0</v>
      </c>
      <c r="E54" s="109"/>
      <c r="F54" s="109"/>
      <c r="G54" s="109"/>
      <c r="H54" s="109"/>
      <c r="I54" s="109"/>
      <c r="K54"/>
      <c r="L54"/>
      <c r="M54"/>
      <c r="N54"/>
    </row>
    <row r="55" spans="1:14" s="1" customFormat="1" ht="15.75">
      <c r="A55" s="227" t="s">
        <v>49</v>
      </c>
      <c r="B55" s="208" t="s">
        <v>11</v>
      </c>
      <c r="C55" s="209">
        <v>0</v>
      </c>
      <c r="D55" s="193">
        <v>0</v>
      </c>
      <c r="E55" s="109"/>
      <c r="F55" s="109"/>
      <c r="G55" s="109"/>
      <c r="H55" s="109"/>
      <c r="I55" s="109"/>
      <c r="K55"/>
      <c r="L55"/>
      <c r="M55"/>
      <c r="N55"/>
    </row>
    <row r="56" spans="1:9" ht="20.25" customHeight="1">
      <c r="A56" s="570" t="s">
        <v>50</v>
      </c>
      <c r="B56" s="570"/>
      <c r="C56" s="570"/>
      <c r="D56" s="570"/>
      <c r="E56" s="109"/>
      <c r="F56" s="109"/>
      <c r="G56" s="109"/>
      <c r="H56" s="109"/>
      <c r="I56" s="109"/>
    </row>
    <row r="57" spans="1:5" ht="26.25">
      <c r="A57" s="229" t="s">
        <v>51</v>
      </c>
      <c r="B57" s="208" t="s">
        <v>11</v>
      </c>
      <c r="C57" s="209"/>
      <c r="D57" s="193">
        <v>0</v>
      </c>
      <c r="E57" s="109"/>
    </row>
    <row r="58" spans="1:5" ht="15.75">
      <c r="A58" s="227" t="s">
        <v>12</v>
      </c>
      <c r="B58" s="208" t="s">
        <v>11</v>
      </c>
      <c r="C58" s="209"/>
      <c r="D58" s="193">
        <v>0</v>
      </c>
      <c r="E58" s="109"/>
    </row>
    <row r="59" spans="1:8" ht="15.75">
      <c r="A59" s="227" t="s">
        <v>13</v>
      </c>
      <c r="B59" s="208" t="s">
        <v>11</v>
      </c>
      <c r="C59" s="209"/>
      <c r="D59" s="230">
        <f>D62-D65-D66-D67-D68</f>
        <v>26902.843936</v>
      </c>
      <c r="E59" s="109"/>
      <c r="H59" s="49"/>
    </row>
    <row r="60" spans="1:5" ht="26.25">
      <c r="A60" s="231" t="s">
        <v>52</v>
      </c>
      <c r="B60" s="208" t="s">
        <v>11</v>
      </c>
      <c r="C60" s="232"/>
      <c r="D60" s="233">
        <v>0</v>
      </c>
      <c r="E60" s="109"/>
    </row>
    <row r="61" spans="1:10" ht="17.25" customHeight="1">
      <c r="A61" s="254" t="s">
        <v>12</v>
      </c>
      <c r="B61" s="208" t="s">
        <v>11</v>
      </c>
      <c r="C61" s="209"/>
      <c r="D61" s="193">
        <v>0</v>
      </c>
      <c r="E61" s="109"/>
      <c r="I61" s="49"/>
      <c r="J61" s="49"/>
    </row>
    <row r="62" spans="1:14" ht="15.75">
      <c r="A62" s="235" t="s">
        <v>13</v>
      </c>
      <c r="B62" s="208" t="s">
        <v>11</v>
      </c>
      <c r="C62" s="236"/>
      <c r="D62" s="237">
        <v>14921.77</v>
      </c>
      <c r="E62" s="109"/>
      <c r="H62" s="1" t="s">
        <v>26</v>
      </c>
      <c r="I62" s="60"/>
      <c r="J62" s="60"/>
      <c r="K62" s="61"/>
      <c r="L62" s="61"/>
      <c r="M62" s="61"/>
      <c r="N62" s="61"/>
    </row>
    <row r="63" spans="1:14" ht="18" customHeight="1">
      <c r="A63" s="571" t="s">
        <v>53</v>
      </c>
      <c r="B63" s="571"/>
      <c r="C63" s="571"/>
      <c r="D63" s="571"/>
      <c r="E63" s="114"/>
      <c r="F63" s="63"/>
      <c r="G63" s="64"/>
      <c r="I63" s="65"/>
      <c r="J63" s="65"/>
      <c r="K63" s="66"/>
      <c r="L63" s="66"/>
      <c r="M63" s="66"/>
      <c r="N63" s="66"/>
    </row>
    <row r="64" spans="1:14" ht="51">
      <c r="A64" s="67" t="s">
        <v>54</v>
      </c>
      <c r="B64" s="68" t="s">
        <v>55</v>
      </c>
      <c r="C64" s="157" t="s">
        <v>56</v>
      </c>
      <c r="D64" s="158" t="s">
        <v>57</v>
      </c>
      <c r="E64" s="114"/>
      <c r="F64" s="63"/>
      <c r="G64" s="64"/>
      <c r="I64" s="65"/>
      <c r="J64" s="71"/>
      <c r="K64" s="66"/>
      <c r="L64" s="66"/>
      <c r="M64" s="66"/>
      <c r="N64" s="66"/>
    </row>
    <row r="65" spans="1:14" ht="15.75">
      <c r="A65" s="238" t="s">
        <v>58</v>
      </c>
      <c r="B65" s="239">
        <v>13574.78</v>
      </c>
      <c r="C65" s="418">
        <f>B65*1.0806</f>
        <v>14668.907268</v>
      </c>
      <c r="D65" s="419">
        <f>B65-C65</f>
        <v>-1094.1272680000002</v>
      </c>
      <c r="E65" s="117"/>
      <c r="F65" s="63"/>
      <c r="G65" s="64"/>
      <c r="I65" s="65"/>
      <c r="J65" s="65"/>
      <c r="K65" s="66"/>
      <c r="L65" s="66"/>
      <c r="M65" s="66"/>
      <c r="N65" s="66"/>
    </row>
    <row r="66" spans="1:14" ht="15.75">
      <c r="A66" s="238" t="s">
        <v>59</v>
      </c>
      <c r="B66" s="239">
        <v>12898.7</v>
      </c>
      <c r="C66" s="418">
        <f>B66*1.0806</f>
        <v>13938.33522</v>
      </c>
      <c r="D66" s="419">
        <f>B66-C66</f>
        <v>-1039.6352200000001</v>
      </c>
      <c r="E66" s="114"/>
      <c r="F66" s="63"/>
      <c r="G66" s="64"/>
      <c r="I66" s="65"/>
      <c r="J66" s="65"/>
      <c r="K66" s="66"/>
      <c r="L66" s="66"/>
      <c r="M66" s="66"/>
      <c r="N66" s="66"/>
    </row>
    <row r="67" spans="1:14" ht="15.75">
      <c r="A67" s="238" t="s">
        <v>60</v>
      </c>
      <c r="B67" s="242">
        <v>71541.48</v>
      </c>
      <c r="C67" s="418">
        <f>B67*1.0806</f>
        <v>77307.723288</v>
      </c>
      <c r="D67" s="419">
        <f>B67-C67</f>
        <v>-5766.243287999998</v>
      </c>
      <c r="E67" s="114">
        <f>(2.07+1.8)*6*2301.2-0.37*2301.2*6</f>
        <v>48325.2</v>
      </c>
      <c r="F67" s="73"/>
      <c r="G67" s="74"/>
      <c r="H67" s="62"/>
      <c r="I67" s="65"/>
      <c r="J67" s="65"/>
      <c r="K67" s="66"/>
      <c r="L67" s="66"/>
      <c r="M67" s="66"/>
      <c r="N67" s="66"/>
    </row>
    <row r="68" spans="1:14" ht="16.5" thickBot="1">
      <c r="A68" s="261" t="s">
        <v>236</v>
      </c>
      <c r="B68" s="262">
        <v>50633.6</v>
      </c>
      <c r="C68" s="418">
        <f>B68*1.0806</f>
        <v>54714.66816</v>
      </c>
      <c r="D68" s="420">
        <f>B68-C68</f>
        <v>-4081.0681600000025</v>
      </c>
      <c r="E68" s="114"/>
      <c r="F68" s="73"/>
      <c r="G68" s="74"/>
      <c r="I68" s="65"/>
      <c r="J68" s="65"/>
      <c r="K68" s="66"/>
      <c r="L68" s="66"/>
      <c r="M68" s="66"/>
      <c r="N68" s="66"/>
    </row>
    <row r="69" spans="1:14" ht="76.5">
      <c r="A69" s="129" t="s">
        <v>62</v>
      </c>
      <c r="B69" s="130" t="s">
        <v>63</v>
      </c>
      <c r="C69" s="130" t="s">
        <v>64</v>
      </c>
      <c r="D69" s="159" t="s">
        <v>65</v>
      </c>
      <c r="E69" s="114"/>
      <c r="F69" s="73"/>
      <c r="H69" s="65"/>
      <c r="I69" s="65"/>
      <c r="J69" s="65"/>
      <c r="K69" s="66"/>
      <c r="L69" s="66"/>
      <c r="M69" s="66"/>
      <c r="N69" s="66"/>
    </row>
    <row r="70" spans="1:14" ht="15.75">
      <c r="A70" s="265" t="s">
        <v>58</v>
      </c>
      <c r="B70" s="239">
        <v>13574.78</v>
      </c>
      <c r="C70" s="418">
        <f>B70*1.0806</f>
        <v>14668.907268</v>
      </c>
      <c r="D70" s="422">
        <f>B70-C70</f>
        <v>-1094.1272680000002</v>
      </c>
      <c r="E70" s="114"/>
      <c r="F70" s="73"/>
      <c r="H70" s="65"/>
      <c r="I70" s="65"/>
      <c r="J70" s="65" t="s">
        <v>26</v>
      </c>
      <c r="K70" s="66"/>
      <c r="L70" s="66"/>
      <c r="M70" s="66"/>
      <c r="N70" s="66"/>
    </row>
    <row r="71" spans="1:14" ht="15.75">
      <c r="A71" s="265" t="s">
        <v>59</v>
      </c>
      <c r="B71" s="239">
        <v>12898.7</v>
      </c>
      <c r="C71" s="418">
        <f>B71*1.0806</f>
        <v>13938.33522</v>
      </c>
      <c r="D71" s="422">
        <f>B71-C71</f>
        <v>-1039.6352200000001</v>
      </c>
      <c r="E71" s="114"/>
      <c r="F71" s="73"/>
      <c r="H71" s="65"/>
      <c r="I71" s="65"/>
      <c r="J71" s="65"/>
      <c r="K71" s="66"/>
      <c r="L71" s="66"/>
      <c r="M71" s="66"/>
      <c r="N71" s="66"/>
    </row>
    <row r="72" spans="1:14" ht="15.75">
      <c r="A72" s="265" t="s">
        <v>60</v>
      </c>
      <c r="B72" s="242">
        <v>71541.48</v>
      </c>
      <c r="C72" s="418">
        <f>B72*1.0806</f>
        <v>77307.723288</v>
      </c>
      <c r="D72" s="422">
        <f>B72-C72</f>
        <v>-5766.243287999998</v>
      </c>
      <c r="E72" s="114"/>
      <c r="F72" s="73"/>
      <c r="H72" s="65"/>
      <c r="I72" s="65"/>
      <c r="J72" s="65"/>
      <c r="K72" s="66"/>
      <c r="L72" s="66"/>
      <c r="M72" s="66"/>
      <c r="N72" s="66"/>
    </row>
    <row r="73" spans="1:14" ht="16.5" thickBot="1">
      <c r="A73" s="267" t="s">
        <v>236</v>
      </c>
      <c r="B73" s="302">
        <v>50633.6</v>
      </c>
      <c r="C73" s="423">
        <f>C68</f>
        <v>54714.66816</v>
      </c>
      <c r="D73" s="424">
        <f>B73-C73</f>
        <v>-4081.0681600000025</v>
      </c>
      <c r="E73" s="114"/>
      <c r="F73" s="73"/>
      <c r="H73" s="65" t="s">
        <v>26</v>
      </c>
      <c r="I73" s="65"/>
      <c r="J73" s="65"/>
      <c r="K73" s="66"/>
      <c r="L73" s="66"/>
      <c r="M73" s="66"/>
      <c r="N73" s="66"/>
    </row>
    <row r="74" spans="1:14" ht="26.25">
      <c r="A74" s="251" t="s">
        <v>66</v>
      </c>
      <c r="B74" s="248" t="s">
        <v>11</v>
      </c>
      <c r="C74" s="427"/>
      <c r="D74" s="428">
        <v>0</v>
      </c>
      <c r="E74" s="62"/>
      <c r="F74" s="73"/>
      <c r="H74" s="65"/>
      <c r="I74" s="65"/>
      <c r="J74" s="65" t="s">
        <v>26</v>
      </c>
      <c r="K74" s="66"/>
      <c r="L74" s="66"/>
      <c r="M74" s="66"/>
      <c r="N74" s="66"/>
    </row>
    <row r="75" spans="1:14" ht="17.25" customHeight="1">
      <c r="A75" s="572" t="s">
        <v>67</v>
      </c>
      <c r="B75" s="572"/>
      <c r="C75" s="572"/>
      <c r="D75" s="572"/>
      <c r="E75" s="83" t="e">
        <f>D75+B19</f>
        <v>#VALUE!</v>
      </c>
      <c r="F75" s="65"/>
      <c r="H75" s="84" t="e">
        <f>E75-B18</f>
        <v>#VALUE!</v>
      </c>
      <c r="I75" s="65"/>
      <c r="J75" s="65"/>
      <c r="K75" s="66"/>
      <c r="L75" s="66"/>
      <c r="M75" s="66"/>
      <c r="N75" s="66"/>
    </row>
    <row r="76" spans="1:5" ht="21" customHeight="1">
      <c r="A76" s="86" t="s">
        <v>45</v>
      </c>
      <c r="B76" s="86" t="s">
        <v>46</v>
      </c>
      <c r="C76" s="86"/>
      <c r="D76" s="177">
        <v>0</v>
      </c>
      <c r="E76" s="88"/>
    </row>
    <row r="77" spans="1:5" ht="21" customHeight="1">
      <c r="A77" s="86" t="s">
        <v>47</v>
      </c>
      <c r="B77" s="86" t="s">
        <v>46</v>
      </c>
      <c r="C77" s="86"/>
      <c r="D77" s="177">
        <v>0</v>
      </c>
      <c r="E77" s="88"/>
    </row>
    <row r="78" spans="1:5" ht="18" customHeight="1">
      <c r="A78" s="86" t="s">
        <v>48</v>
      </c>
      <c r="B78" s="86" t="s">
        <v>46</v>
      </c>
      <c r="C78" s="86"/>
      <c r="D78" s="177">
        <v>0</v>
      </c>
      <c r="E78" s="88"/>
    </row>
    <row r="79" spans="1:5" ht="16.5" customHeight="1">
      <c r="A79" s="86" t="s">
        <v>49</v>
      </c>
      <c r="B79" s="86" t="s">
        <v>11</v>
      </c>
      <c r="C79" s="86"/>
      <c r="D79" s="177">
        <v>0</v>
      </c>
      <c r="E79" s="88"/>
    </row>
    <row r="80" spans="1:5" ht="15.75" customHeight="1">
      <c r="A80" s="566" t="s">
        <v>68</v>
      </c>
      <c r="B80" s="566"/>
      <c r="C80" s="566"/>
      <c r="D80" s="566"/>
      <c r="E80" s="88"/>
    </row>
    <row r="81" spans="1:5" ht="18.75" customHeight="1">
      <c r="A81" s="86" t="s">
        <v>69</v>
      </c>
      <c r="B81" s="86" t="s">
        <v>46</v>
      </c>
      <c r="C81" s="86"/>
      <c r="D81" s="177">
        <v>1</v>
      </c>
      <c r="E81" s="88"/>
    </row>
    <row r="82" spans="1:5" ht="21.75" customHeight="1">
      <c r="A82" s="86" t="s">
        <v>70</v>
      </c>
      <c r="B82" s="254" t="s">
        <v>46</v>
      </c>
      <c r="C82" s="254"/>
      <c r="D82" s="177">
        <v>1</v>
      </c>
      <c r="E82" s="88"/>
    </row>
    <row r="83" spans="1:5" ht="36" customHeight="1">
      <c r="A83" s="255" t="s">
        <v>71</v>
      </c>
      <c r="B83" s="86" t="s">
        <v>11</v>
      </c>
      <c r="C83" s="86"/>
      <c r="D83" s="177">
        <v>26351.01</v>
      </c>
      <c r="E83" s="88"/>
    </row>
    <row r="84" spans="1:4" ht="1.5" customHeight="1">
      <c r="A84" s="256"/>
      <c r="B84" s="256"/>
      <c r="C84" s="256"/>
      <c r="D84" s="257"/>
    </row>
    <row r="85" spans="1:14" s="1" customFormat="1" ht="12.75">
      <c r="A85" s="178"/>
      <c r="B85" s="178"/>
      <c r="C85" s="178"/>
      <c r="D85" s="178"/>
      <c r="H85" s="1" t="s">
        <v>26</v>
      </c>
      <c r="K85"/>
      <c r="L85"/>
      <c r="M85"/>
      <c r="N85"/>
    </row>
    <row r="86" spans="1:14" s="1" customFormat="1" ht="12.75">
      <c r="A86" s="178" t="s">
        <v>72</v>
      </c>
      <c r="B86" s="178"/>
      <c r="C86" s="178" t="s">
        <v>141</v>
      </c>
      <c r="D86" s="178"/>
      <c r="K86"/>
      <c r="L86"/>
      <c r="M86"/>
      <c r="N86"/>
    </row>
    <row r="87" spans="1:14" s="1" customFormat="1" ht="12.75">
      <c r="A87" s="178" t="s">
        <v>73</v>
      </c>
      <c r="B87" s="178"/>
      <c r="C87" s="178"/>
      <c r="D87" s="178"/>
      <c r="H87" s="1" t="s">
        <v>26</v>
      </c>
      <c r="K87"/>
      <c r="L87"/>
      <c r="M87"/>
      <c r="N87"/>
    </row>
    <row r="88" spans="1:14" s="1" customFormat="1" ht="12.75">
      <c r="A88" s="178"/>
      <c r="B88" s="178"/>
      <c r="C88" s="178"/>
      <c r="D88" s="178"/>
      <c r="K88"/>
      <c r="L88"/>
      <c r="M88"/>
      <c r="N88"/>
    </row>
    <row r="89" spans="1:4" ht="12.75">
      <c r="A89" s="178"/>
      <c r="B89" s="178"/>
      <c r="C89" s="178"/>
      <c r="D89" s="178"/>
    </row>
    <row r="92" spans="1:14" s="1" customFormat="1" ht="12.75">
      <c r="A92"/>
      <c r="B92"/>
      <c r="C92"/>
      <c r="D92"/>
      <c r="E92" s="1" t="s">
        <v>26</v>
      </c>
      <c r="K92"/>
      <c r="L92"/>
      <c r="M92"/>
      <c r="N92"/>
    </row>
  </sheetData>
  <sheetProtection selectLockedCells="1" selectUnlockedCells="1"/>
  <mergeCells count="13">
    <mergeCell ref="A80:D80"/>
    <mergeCell ref="A14:D14"/>
    <mergeCell ref="A28:D28"/>
    <mergeCell ref="A51:D51"/>
    <mergeCell ref="A56:D56"/>
    <mergeCell ref="A63:D63"/>
    <mergeCell ref="A75:D75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600" verticalDpi="600" orientation="portrait" paperSize="1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7"/>
  <sheetViews>
    <sheetView zoomScalePageLayoutView="0" workbookViewId="0" topLeftCell="A37">
      <selection activeCell="D52" sqref="D52"/>
    </sheetView>
  </sheetViews>
  <sheetFormatPr defaultColWidth="11.57421875" defaultRowHeight="12.75"/>
  <cols>
    <col min="1" max="1" width="52.00390625" style="0" customWidth="1"/>
    <col min="2" max="2" width="18.7109375" style="0" customWidth="1"/>
    <col min="3" max="3" width="26.00390625" style="0" customWidth="1"/>
    <col min="4" max="4" width="16.71093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560" t="s">
        <v>0</v>
      </c>
      <c r="B1" s="560"/>
      <c r="C1" s="560"/>
      <c r="D1" s="560"/>
    </row>
    <row r="2" spans="1:4" ht="15.75">
      <c r="A2" s="561" t="s">
        <v>220</v>
      </c>
      <c r="B2" s="562"/>
      <c r="C2" s="562"/>
      <c r="D2" s="562"/>
    </row>
    <row r="3" spans="1:4" ht="15.75">
      <c r="A3" s="562" t="s">
        <v>1</v>
      </c>
      <c r="B3" s="562"/>
      <c r="C3" s="562"/>
      <c r="D3" s="562"/>
    </row>
    <row r="4" spans="1:4" ht="12.75">
      <c r="A4" s="563" t="s">
        <v>74</v>
      </c>
      <c r="B4" s="563"/>
      <c r="C4" s="563"/>
      <c r="D4" s="563"/>
    </row>
    <row r="5" spans="1:4" ht="12.75">
      <c r="A5" s="564" t="s">
        <v>266</v>
      </c>
      <c r="B5" s="563"/>
      <c r="C5" s="563"/>
      <c r="D5" s="563"/>
    </row>
    <row r="6" ht="11.25" customHeight="1">
      <c r="A6" s="2"/>
    </row>
    <row r="7" spans="1:4" ht="30" customHeight="1">
      <c r="A7" s="565" t="s">
        <v>2</v>
      </c>
      <c r="B7" s="565"/>
      <c r="C7" s="565"/>
      <c r="D7" s="565"/>
    </row>
    <row r="8" spans="1:4" ht="19.5" customHeight="1">
      <c r="A8" s="258" t="s">
        <v>150</v>
      </c>
      <c r="B8" s="178"/>
      <c r="C8" s="183"/>
      <c r="D8" s="178"/>
    </row>
    <row r="9" spans="1:5" ht="12.75">
      <c r="A9" s="184" t="s">
        <v>3</v>
      </c>
      <c r="B9" s="184" t="s">
        <v>4</v>
      </c>
      <c r="C9" s="184" t="s">
        <v>5</v>
      </c>
      <c r="D9" s="185"/>
      <c r="E9" s="109"/>
    </row>
    <row r="10" spans="1:5" ht="12.75">
      <c r="A10" s="186">
        <v>1</v>
      </c>
      <c r="B10" s="186">
        <v>2</v>
      </c>
      <c r="C10" s="186">
        <v>3</v>
      </c>
      <c r="D10" s="187">
        <v>4</v>
      </c>
      <c r="E10" s="109"/>
    </row>
    <row r="11" spans="1:5" ht="12.75">
      <c r="A11" s="20" t="s">
        <v>6</v>
      </c>
      <c r="B11" s="188"/>
      <c r="C11" s="189" t="s">
        <v>262</v>
      </c>
      <c r="D11" s="190"/>
      <c r="E11" s="109"/>
    </row>
    <row r="12" spans="1:5" ht="12.75">
      <c r="A12" s="20" t="s">
        <v>7</v>
      </c>
      <c r="B12" s="188"/>
      <c r="C12" s="189" t="s">
        <v>263</v>
      </c>
      <c r="D12" s="190"/>
      <c r="E12" s="109"/>
    </row>
    <row r="13" spans="1:5" ht="12.75">
      <c r="A13" s="20" t="s">
        <v>8</v>
      </c>
      <c r="B13" s="188"/>
      <c r="C13" s="189" t="s">
        <v>267</v>
      </c>
      <c r="D13" s="190"/>
      <c r="E13" s="109"/>
    </row>
    <row r="14" spans="1:5" ht="31.5" customHeight="1">
      <c r="A14" s="567" t="s">
        <v>9</v>
      </c>
      <c r="B14" s="567"/>
      <c r="C14" s="567"/>
      <c r="D14" s="567"/>
      <c r="E14" s="109"/>
    </row>
    <row r="15" spans="1:8" ht="39">
      <c r="A15" s="17" t="s">
        <v>10</v>
      </c>
      <c r="B15" s="191" t="s">
        <v>11</v>
      </c>
      <c r="C15" s="194">
        <v>-10821.23</v>
      </c>
      <c r="D15" s="193"/>
      <c r="E15" s="109"/>
      <c r="F15" s="109"/>
      <c r="G15" s="109"/>
      <c r="H15" s="109"/>
    </row>
    <row r="16" spans="1:8" ht="15.75">
      <c r="A16" s="20" t="s">
        <v>12</v>
      </c>
      <c r="B16" s="191" t="s">
        <v>11</v>
      </c>
      <c r="C16" s="192">
        <v>0</v>
      </c>
      <c r="D16" s="193"/>
      <c r="E16" s="109"/>
      <c r="F16" s="109"/>
      <c r="G16" s="109"/>
      <c r="H16" s="109"/>
    </row>
    <row r="17" spans="1:8" ht="15.75">
      <c r="A17" s="20" t="s">
        <v>13</v>
      </c>
      <c r="B17" s="191" t="s">
        <v>11</v>
      </c>
      <c r="C17" s="194">
        <v>52354.37</v>
      </c>
      <c r="D17" s="195"/>
      <c r="E17" s="109"/>
      <c r="F17" s="109"/>
      <c r="G17" s="109"/>
      <c r="H17" s="109"/>
    </row>
    <row r="18" spans="1:8" ht="31.5" customHeight="1">
      <c r="A18" s="17" t="s">
        <v>14</v>
      </c>
      <c r="B18" s="191" t="s">
        <v>11</v>
      </c>
      <c r="C18" s="194">
        <f>114727.86+10486.68</f>
        <v>125214.54000000001</v>
      </c>
      <c r="D18" s="195"/>
      <c r="E18" s="479">
        <f>C18-C20-10486.68</f>
        <v>88291.674</v>
      </c>
      <c r="F18" s="109"/>
      <c r="G18" s="109"/>
      <c r="H18" s="109"/>
    </row>
    <row r="19" spans="1:8" ht="15.75">
      <c r="A19" s="20" t="s">
        <v>15</v>
      </c>
      <c r="B19" s="191" t="s">
        <v>11</v>
      </c>
      <c r="C19" s="194">
        <f>C18-C20-C21</f>
        <v>68052.246</v>
      </c>
      <c r="D19" s="195"/>
      <c r="E19" s="480">
        <f>E18-E51</f>
        <v>-0.004000000029918738</v>
      </c>
      <c r="F19" s="109"/>
      <c r="G19" s="109"/>
      <c r="H19" s="109"/>
    </row>
    <row r="20" spans="1:8" ht="15.75">
      <c r="A20" s="20" t="s">
        <v>16</v>
      </c>
      <c r="B20" s="191" t="s">
        <v>11</v>
      </c>
      <c r="C20" s="194">
        <f>(3.46+3.75)*6*611.1</f>
        <v>26436.186</v>
      </c>
      <c r="D20" s="195"/>
      <c r="E20" s="111"/>
      <c r="F20" s="109"/>
      <c r="G20" s="109"/>
      <c r="H20" s="109"/>
    </row>
    <row r="21" spans="1:8" ht="15.75">
      <c r="A21" s="20" t="s">
        <v>17</v>
      </c>
      <c r="B21" s="191" t="s">
        <v>11</v>
      </c>
      <c r="C21" s="196">
        <f>611.1*4.19*12</f>
        <v>30726.108000000007</v>
      </c>
      <c r="D21" s="195"/>
      <c r="E21" s="109"/>
      <c r="F21" s="109"/>
      <c r="G21" s="109"/>
      <c r="H21" s="109"/>
    </row>
    <row r="22" spans="1:8" ht="15.75">
      <c r="A22" s="20" t="s">
        <v>18</v>
      </c>
      <c r="B22" s="191" t="s">
        <v>11</v>
      </c>
      <c r="C22" s="194">
        <f>C23+C24+C25+C26</f>
        <v>168451.120662</v>
      </c>
      <c r="D22" s="195" t="s">
        <v>19</v>
      </c>
      <c r="E22" s="110"/>
      <c r="F22" s="109"/>
      <c r="G22" s="109"/>
      <c r="H22" s="109"/>
    </row>
    <row r="23" spans="1:8" ht="15.75">
      <c r="A23" s="20" t="s">
        <v>20</v>
      </c>
      <c r="B23" s="191" t="s">
        <v>11</v>
      </c>
      <c r="C23" s="194">
        <f>C18*1.3453</f>
        <v>168451.120662</v>
      </c>
      <c r="D23" s="195"/>
      <c r="E23" s="109"/>
      <c r="F23" s="109"/>
      <c r="G23" s="109"/>
      <c r="H23" s="109"/>
    </row>
    <row r="24" spans="1:8" ht="15.75">
      <c r="A24" s="20" t="s">
        <v>21</v>
      </c>
      <c r="B24" s="191" t="s">
        <v>11</v>
      </c>
      <c r="C24" s="194">
        <v>0</v>
      </c>
      <c r="D24" s="197">
        <v>65.21</v>
      </c>
      <c r="E24" s="111"/>
      <c r="F24" s="109"/>
      <c r="G24" s="109"/>
      <c r="H24" s="109" t="s">
        <v>22</v>
      </c>
    </row>
    <row r="25" spans="1:8" ht="26.25">
      <c r="A25" s="429" t="s">
        <v>258</v>
      </c>
      <c r="B25" s="191" t="s">
        <v>11</v>
      </c>
      <c r="C25" s="194">
        <v>0</v>
      </c>
      <c r="D25" s="197">
        <v>119.63</v>
      </c>
      <c r="E25" s="111"/>
      <c r="F25" s="109"/>
      <c r="G25" s="109"/>
      <c r="H25" s="109"/>
    </row>
    <row r="26" spans="1:8" ht="15.75">
      <c r="A26" s="188" t="s">
        <v>24</v>
      </c>
      <c r="B26" s="191" t="s">
        <v>11</v>
      </c>
      <c r="C26" s="194">
        <v>0</v>
      </c>
      <c r="D26" s="197"/>
      <c r="E26" s="111"/>
      <c r="F26" s="109"/>
      <c r="G26" s="109"/>
      <c r="H26" s="109"/>
    </row>
    <row r="27" spans="1:8" ht="15.75">
      <c r="A27" s="20" t="s">
        <v>25</v>
      </c>
      <c r="B27" s="191" t="s">
        <v>11</v>
      </c>
      <c r="C27" s="194">
        <f>C15+C22</f>
        <v>157629.890662</v>
      </c>
      <c r="D27" s="195" t="s">
        <v>26</v>
      </c>
      <c r="E27" s="111"/>
      <c r="F27" s="109"/>
      <c r="G27" s="109"/>
      <c r="H27" s="109"/>
    </row>
    <row r="28" spans="1:8" ht="35.25" customHeight="1">
      <c r="A28" s="568" t="s">
        <v>27</v>
      </c>
      <c r="B28" s="568"/>
      <c r="C28" s="568"/>
      <c r="D28" s="568"/>
      <c r="E28" s="109"/>
      <c r="F28" s="109"/>
      <c r="G28" s="109"/>
      <c r="H28" s="109"/>
    </row>
    <row r="29" spans="1:8" ht="51">
      <c r="A29" s="271" t="s">
        <v>28</v>
      </c>
      <c r="B29" s="272" t="s">
        <v>29</v>
      </c>
      <c r="C29" s="201" t="s">
        <v>30</v>
      </c>
      <c r="D29" s="273" t="s">
        <v>31</v>
      </c>
      <c r="E29" s="109"/>
      <c r="F29" s="109"/>
      <c r="G29" s="109"/>
      <c r="H29" s="109"/>
    </row>
    <row r="30" spans="1:8" ht="15.75">
      <c r="A30" s="203" t="s">
        <v>32</v>
      </c>
      <c r="B30" s="204" t="s">
        <v>33</v>
      </c>
      <c r="C30" s="205" t="s">
        <v>34</v>
      </c>
      <c r="D30" s="274">
        <f>0.6*12*611.1</f>
        <v>4399.92</v>
      </c>
      <c r="E30" s="109"/>
      <c r="F30" s="109"/>
      <c r="G30" s="109"/>
      <c r="H30" s="109"/>
    </row>
    <row r="31" spans="1:8" ht="15.75">
      <c r="A31" s="207" t="s">
        <v>75</v>
      </c>
      <c r="B31" s="208" t="s">
        <v>76</v>
      </c>
      <c r="C31" s="209" t="s">
        <v>34</v>
      </c>
      <c r="D31" s="211">
        <f>2.4*12*611.1</f>
        <v>17599.68</v>
      </c>
      <c r="E31" s="109"/>
      <c r="F31" s="109"/>
      <c r="G31" s="109"/>
      <c r="H31" s="109"/>
    </row>
    <row r="32" spans="1:8" ht="15.75">
      <c r="A32" s="207" t="s">
        <v>237</v>
      </c>
      <c r="B32" s="208" t="s">
        <v>238</v>
      </c>
      <c r="C32" s="209" t="s">
        <v>301</v>
      </c>
      <c r="D32" s="211">
        <f>611.1*0.16*12</f>
        <v>1173.3120000000001</v>
      </c>
      <c r="E32" s="109"/>
      <c r="F32" s="109"/>
      <c r="G32" s="109"/>
      <c r="H32" s="109"/>
    </row>
    <row r="33" spans="1:8" ht="15.75">
      <c r="A33" s="207" t="s">
        <v>36</v>
      </c>
      <c r="B33" s="208" t="s">
        <v>78</v>
      </c>
      <c r="C33" s="209" t="s">
        <v>37</v>
      </c>
      <c r="D33" s="210">
        <f>0.48*12*611.1</f>
        <v>3519.936</v>
      </c>
      <c r="E33" s="172"/>
      <c r="F33" s="109"/>
      <c r="G33" s="109"/>
      <c r="H33" s="109"/>
    </row>
    <row r="34" spans="1:8" ht="15.75">
      <c r="A34" s="207" t="s">
        <v>79</v>
      </c>
      <c r="B34" s="212" t="s">
        <v>33</v>
      </c>
      <c r="C34" s="209" t="s">
        <v>34</v>
      </c>
      <c r="D34" s="210">
        <f>0.75*12*611.1</f>
        <v>5499.900000000001</v>
      </c>
      <c r="E34" s="172"/>
      <c r="F34" s="109"/>
      <c r="G34" s="109"/>
      <c r="H34" s="109"/>
    </row>
    <row r="35" spans="1:8" ht="15.75">
      <c r="A35" s="207" t="s">
        <v>80</v>
      </c>
      <c r="B35" s="208" t="s">
        <v>33</v>
      </c>
      <c r="C35" s="209" t="s">
        <v>34</v>
      </c>
      <c r="D35" s="211">
        <f>1.42*12*611.1</f>
        <v>10413.144</v>
      </c>
      <c r="E35" s="109"/>
      <c r="F35" s="109"/>
      <c r="G35" s="109"/>
      <c r="H35" s="109"/>
    </row>
    <row r="36" spans="1:8" ht="15.75">
      <c r="A36" s="207" t="s">
        <v>81</v>
      </c>
      <c r="B36" s="213" t="s">
        <v>82</v>
      </c>
      <c r="C36" s="209" t="s">
        <v>34</v>
      </c>
      <c r="D36" s="210">
        <f>1.33*12*611.1</f>
        <v>9753.156</v>
      </c>
      <c r="E36" s="109"/>
      <c r="F36" s="109"/>
      <c r="G36" s="109"/>
      <c r="H36" s="109"/>
    </row>
    <row r="37" spans="1:8" ht="15.75">
      <c r="A37" s="207" t="s">
        <v>38</v>
      </c>
      <c r="B37" s="208" t="s">
        <v>35</v>
      </c>
      <c r="C37" s="362" t="s">
        <v>221</v>
      </c>
      <c r="D37" s="210">
        <f>4.19*611.1*12</f>
        <v>30726.108000000007</v>
      </c>
      <c r="E37" s="109"/>
      <c r="F37" s="109"/>
      <c r="G37" s="109"/>
      <c r="H37" s="109"/>
    </row>
    <row r="38" spans="1:8" ht="15.75">
      <c r="A38" s="207" t="s">
        <v>233</v>
      </c>
      <c r="B38" s="208" t="s">
        <v>222</v>
      </c>
      <c r="C38" s="362" t="s">
        <v>37</v>
      </c>
      <c r="D38" s="210">
        <f>611.1*0.71*12-0.05</f>
        <v>5206.522</v>
      </c>
      <c r="E38" s="109"/>
      <c r="F38" s="109"/>
      <c r="G38" s="109"/>
      <c r="H38" s="109"/>
    </row>
    <row r="39" spans="1:8" ht="15.75">
      <c r="A39" s="207" t="s">
        <v>209</v>
      </c>
      <c r="B39" s="208"/>
      <c r="C39" s="275"/>
      <c r="D39" s="210"/>
      <c r="E39" s="109"/>
      <c r="F39" s="109"/>
      <c r="G39" s="109"/>
      <c r="H39" s="109"/>
    </row>
    <row r="40" spans="1:8" ht="31.5">
      <c r="A40" s="207" t="s">
        <v>213</v>
      </c>
      <c r="B40" s="208" t="s">
        <v>35</v>
      </c>
      <c r="C40" s="275" t="s">
        <v>210</v>
      </c>
      <c r="D40" s="210">
        <v>956.01</v>
      </c>
      <c r="E40" s="109"/>
      <c r="F40" s="109"/>
      <c r="G40" s="109"/>
      <c r="H40" s="109"/>
    </row>
    <row r="41" spans="1:8" ht="15.75">
      <c r="A41" s="207" t="s">
        <v>211</v>
      </c>
      <c r="B41" s="208" t="s">
        <v>35</v>
      </c>
      <c r="C41" s="275" t="s">
        <v>212</v>
      </c>
      <c r="D41" s="210">
        <v>15257.88</v>
      </c>
      <c r="E41" s="109"/>
      <c r="F41" s="109"/>
      <c r="G41" s="109"/>
      <c r="H41" s="109"/>
    </row>
    <row r="42" spans="1:8" ht="78.75">
      <c r="A42" s="260" t="s">
        <v>201</v>
      </c>
      <c r="B42" s="215" t="s">
        <v>41</v>
      </c>
      <c r="C42" s="221"/>
      <c r="D42" s="381">
        <f>D43+D44+D45+D46+D47+D48+D49+D50</f>
        <v>31793</v>
      </c>
      <c r="E42" s="109"/>
      <c r="F42" s="109"/>
      <c r="G42" s="109"/>
      <c r="H42" s="109"/>
    </row>
    <row r="43" spans="1:8" ht="15.75">
      <c r="A43" s="220" t="s">
        <v>271</v>
      </c>
      <c r="B43" s="217" t="s">
        <v>159</v>
      </c>
      <c r="C43" s="209" t="s">
        <v>34</v>
      </c>
      <c r="D43" s="176">
        <v>352</v>
      </c>
      <c r="E43" s="109"/>
      <c r="F43" s="109"/>
      <c r="G43" s="109"/>
      <c r="H43" s="109"/>
    </row>
    <row r="44" spans="1:8" ht="15.75">
      <c r="A44" s="220" t="s">
        <v>324</v>
      </c>
      <c r="B44" s="217" t="s">
        <v>159</v>
      </c>
      <c r="C44" s="209" t="s">
        <v>34</v>
      </c>
      <c r="D44" s="176">
        <v>2549</v>
      </c>
      <c r="E44" s="109"/>
      <c r="F44" s="109"/>
      <c r="G44" s="109"/>
      <c r="H44" s="109"/>
    </row>
    <row r="45" spans="1:8" ht="15.75">
      <c r="A45" s="220" t="s">
        <v>272</v>
      </c>
      <c r="B45" s="217" t="s">
        <v>154</v>
      </c>
      <c r="C45" s="209" t="s">
        <v>34</v>
      </c>
      <c r="D45" s="176">
        <v>1113</v>
      </c>
      <c r="E45" s="109"/>
      <c r="F45" s="109"/>
      <c r="G45" s="109"/>
      <c r="H45" s="109"/>
    </row>
    <row r="46" spans="1:8" ht="15.75">
      <c r="A46" s="220" t="s">
        <v>147</v>
      </c>
      <c r="B46" s="217" t="s">
        <v>154</v>
      </c>
      <c r="C46" s="209" t="s">
        <v>34</v>
      </c>
      <c r="D46" s="176">
        <v>3462</v>
      </c>
      <c r="E46" s="109"/>
      <c r="F46" s="109"/>
      <c r="G46" s="109"/>
      <c r="H46" s="109"/>
    </row>
    <row r="47" spans="1:8" ht="18.75" customHeight="1">
      <c r="A47" s="220" t="s">
        <v>273</v>
      </c>
      <c r="B47" s="217" t="s">
        <v>148</v>
      </c>
      <c r="C47" s="209" t="s">
        <v>34</v>
      </c>
      <c r="D47" s="176">
        <v>860</v>
      </c>
      <c r="E47" s="109"/>
      <c r="F47" s="109"/>
      <c r="G47" s="109"/>
      <c r="H47" s="109"/>
    </row>
    <row r="48" spans="1:8" ht="17.25" customHeight="1">
      <c r="A48" s="220" t="s">
        <v>228</v>
      </c>
      <c r="B48" s="217" t="s">
        <v>149</v>
      </c>
      <c r="C48" s="209" t="s">
        <v>34</v>
      </c>
      <c r="D48" s="176">
        <v>269</v>
      </c>
      <c r="E48" s="109"/>
      <c r="F48" s="109"/>
      <c r="G48" s="109"/>
      <c r="H48" s="109"/>
    </row>
    <row r="49" spans="1:8" ht="18.75" customHeight="1">
      <c r="A49" s="220" t="s">
        <v>274</v>
      </c>
      <c r="B49" s="217" t="s">
        <v>149</v>
      </c>
      <c r="C49" s="209" t="s">
        <v>34</v>
      </c>
      <c r="D49" s="176">
        <v>1328</v>
      </c>
      <c r="E49" s="109"/>
      <c r="F49" s="109"/>
      <c r="G49" s="109"/>
      <c r="H49" s="109"/>
    </row>
    <row r="50" spans="1:8" ht="47.25">
      <c r="A50" s="219" t="s">
        <v>275</v>
      </c>
      <c r="B50" s="217" t="s">
        <v>145</v>
      </c>
      <c r="C50" s="221" t="s">
        <v>276</v>
      </c>
      <c r="D50" s="176">
        <v>21860</v>
      </c>
      <c r="E50" s="109"/>
      <c r="F50" s="109"/>
      <c r="G50" s="109"/>
      <c r="H50" s="109"/>
    </row>
    <row r="51" spans="1:8" ht="15.75">
      <c r="A51" s="37" t="s">
        <v>42</v>
      </c>
      <c r="B51" s="222"/>
      <c r="C51" s="223"/>
      <c r="D51" s="97">
        <f>D30+D31+D32+D33+D34+D35+D36+D37+D38+D40+D41+D42</f>
        <v>136298.56800000003</v>
      </c>
      <c r="E51" s="112">
        <f>D51-D42-D40-D41</f>
        <v>88291.67800000003</v>
      </c>
      <c r="F51" s="109"/>
      <c r="G51" s="109"/>
      <c r="H51" s="109"/>
    </row>
    <row r="52" spans="1:8" ht="15.75">
      <c r="A52" s="40" t="s">
        <v>43</v>
      </c>
      <c r="B52" s="224" t="s">
        <v>11</v>
      </c>
      <c r="C52" s="225"/>
      <c r="D52" s="226">
        <f>C27-D51</f>
        <v>21331.322661999962</v>
      </c>
      <c r="E52" s="112"/>
      <c r="F52" s="109"/>
      <c r="G52" s="109"/>
      <c r="H52" s="109"/>
    </row>
    <row r="53" spans="1:8" ht="15.75">
      <c r="A53" s="227" t="s">
        <v>12</v>
      </c>
      <c r="B53" s="228" t="s">
        <v>11</v>
      </c>
      <c r="C53" s="209"/>
      <c r="D53" s="193">
        <v>0</v>
      </c>
      <c r="E53" s="109"/>
      <c r="F53" s="109"/>
      <c r="G53" s="109"/>
      <c r="H53" s="109"/>
    </row>
    <row r="54" spans="1:8" ht="15.75">
      <c r="A54" s="227" t="s">
        <v>13</v>
      </c>
      <c r="B54" s="228" t="s">
        <v>11</v>
      </c>
      <c r="C54" s="209"/>
      <c r="D54" s="195">
        <f>C17+C18-C23</f>
        <v>9117.789338000002</v>
      </c>
      <c r="E54" s="109"/>
      <c r="F54" s="109"/>
      <c r="G54" s="109"/>
      <c r="H54" s="109"/>
    </row>
    <row r="55" spans="1:8" ht="24" customHeight="1">
      <c r="A55" s="569" t="s">
        <v>44</v>
      </c>
      <c r="B55" s="569"/>
      <c r="C55" s="569"/>
      <c r="D55" s="569"/>
      <c r="E55" s="109"/>
      <c r="F55" s="109"/>
      <c r="G55" s="109"/>
      <c r="H55" s="109"/>
    </row>
    <row r="56" spans="1:8" ht="15.75">
      <c r="A56" s="227" t="s">
        <v>45</v>
      </c>
      <c r="B56" s="208" t="s">
        <v>46</v>
      </c>
      <c r="C56" s="209"/>
      <c r="D56" s="193">
        <v>0</v>
      </c>
      <c r="E56" s="109"/>
      <c r="F56" s="109"/>
      <c r="G56" s="109"/>
      <c r="H56" s="109"/>
    </row>
    <row r="57" spans="1:8" ht="15.75">
      <c r="A57" s="227" t="s">
        <v>47</v>
      </c>
      <c r="B57" s="208" t="s">
        <v>46</v>
      </c>
      <c r="C57" s="209"/>
      <c r="D57" s="193">
        <v>0</v>
      </c>
      <c r="E57" s="109"/>
      <c r="F57" s="109"/>
      <c r="G57" s="109"/>
      <c r="H57" s="109"/>
    </row>
    <row r="58" spans="1:8" ht="26.25">
      <c r="A58" s="229" t="s">
        <v>48</v>
      </c>
      <c r="B58" s="208" t="s">
        <v>46</v>
      </c>
      <c r="C58" s="209"/>
      <c r="D58" s="193">
        <v>0</v>
      </c>
      <c r="E58" s="109"/>
      <c r="F58" s="109"/>
      <c r="G58" s="109"/>
      <c r="H58" s="109"/>
    </row>
    <row r="59" spans="1:8" ht="15.75">
      <c r="A59" s="227" t="s">
        <v>49</v>
      </c>
      <c r="B59" s="208" t="s">
        <v>11</v>
      </c>
      <c r="C59" s="209"/>
      <c r="D59" s="193">
        <v>0</v>
      </c>
      <c r="E59" s="109"/>
      <c r="F59" s="109"/>
      <c r="G59" s="109"/>
      <c r="H59" s="109"/>
    </row>
    <row r="60" spans="1:8" ht="20.25" customHeight="1">
      <c r="A60" s="570" t="s">
        <v>50</v>
      </c>
      <c r="B60" s="570"/>
      <c r="C60" s="570"/>
      <c r="D60" s="570"/>
      <c r="E60" s="109"/>
      <c r="F60" s="109"/>
      <c r="G60" s="109"/>
      <c r="H60" s="109"/>
    </row>
    <row r="61" spans="1:8" ht="26.25">
      <c r="A61" s="229" t="s">
        <v>51</v>
      </c>
      <c r="B61" s="208" t="s">
        <v>11</v>
      </c>
      <c r="C61" s="209"/>
      <c r="D61" s="193">
        <v>0</v>
      </c>
      <c r="E61" s="109"/>
      <c r="F61" s="109"/>
      <c r="G61" s="109"/>
      <c r="H61" s="109"/>
    </row>
    <row r="62" spans="1:8" ht="15.75">
      <c r="A62" s="227" t="s">
        <v>12</v>
      </c>
      <c r="B62" s="208" t="s">
        <v>11</v>
      </c>
      <c r="C62" s="209"/>
      <c r="D62" s="193">
        <v>0</v>
      </c>
      <c r="E62" s="109"/>
      <c r="F62" s="109"/>
      <c r="G62" s="109"/>
      <c r="H62" s="109"/>
    </row>
    <row r="63" spans="1:8" ht="15.75">
      <c r="A63" s="227" t="s">
        <v>13</v>
      </c>
      <c r="B63" s="208" t="s">
        <v>11</v>
      </c>
      <c r="C63" s="209"/>
      <c r="D63" s="230">
        <f>D66-D69-D70-D71-D72</f>
        <v>115967.59134199999</v>
      </c>
      <c r="E63" s="109"/>
      <c r="F63" s="109"/>
      <c r="G63" s="109"/>
      <c r="H63" s="113"/>
    </row>
    <row r="64" spans="1:8" ht="26.25">
      <c r="A64" s="231" t="s">
        <v>52</v>
      </c>
      <c r="B64" s="208" t="s">
        <v>11</v>
      </c>
      <c r="C64" s="232"/>
      <c r="D64" s="233">
        <v>0</v>
      </c>
      <c r="E64" s="109"/>
      <c r="F64" s="109"/>
      <c r="G64" s="109"/>
      <c r="H64" s="109"/>
    </row>
    <row r="65" spans="1:10" ht="17.25" customHeight="1">
      <c r="A65" s="254" t="s">
        <v>12</v>
      </c>
      <c r="B65" s="208" t="s">
        <v>11</v>
      </c>
      <c r="C65" s="276"/>
      <c r="D65" s="55">
        <v>0</v>
      </c>
      <c r="E65" s="109"/>
      <c r="F65" s="109"/>
      <c r="G65" s="109"/>
      <c r="H65" s="109"/>
      <c r="I65" s="49"/>
      <c r="J65" s="49"/>
    </row>
    <row r="66" spans="1:14" ht="15.75">
      <c r="A66" s="235" t="s">
        <v>13</v>
      </c>
      <c r="B66" s="208" t="s">
        <v>11</v>
      </c>
      <c r="C66" s="236"/>
      <c r="D66" s="237">
        <v>96212.93</v>
      </c>
      <c r="E66" s="109"/>
      <c r="F66" s="109"/>
      <c r="G66" s="109"/>
      <c r="H66" s="109" t="s">
        <v>26</v>
      </c>
      <c r="I66" s="60"/>
      <c r="J66" s="60"/>
      <c r="K66" s="61"/>
      <c r="L66" s="61"/>
      <c r="M66" s="61"/>
      <c r="N66" s="61"/>
    </row>
    <row r="67" spans="1:14" ht="18" customHeight="1">
      <c r="A67" s="571" t="s">
        <v>53</v>
      </c>
      <c r="B67" s="571"/>
      <c r="C67" s="571"/>
      <c r="D67" s="571"/>
      <c r="E67" s="114"/>
      <c r="F67" s="115"/>
      <c r="G67" s="116"/>
      <c r="H67" s="109"/>
      <c r="I67" s="65"/>
      <c r="J67" s="65"/>
      <c r="K67" s="66"/>
      <c r="L67" s="66"/>
      <c r="M67" s="66"/>
      <c r="N67" s="66"/>
    </row>
    <row r="68" spans="1:14" ht="41.25" customHeight="1">
      <c r="A68" s="67" t="s">
        <v>54</v>
      </c>
      <c r="B68" s="68" t="s">
        <v>55</v>
      </c>
      <c r="C68" s="157" t="s">
        <v>56</v>
      </c>
      <c r="D68" s="158" t="s">
        <v>57</v>
      </c>
      <c r="E68" s="114"/>
      <c r="F68" s="115"/>
      <c r="G68" s="116"/>
      <c r="H68" s="109"/>
      <c r="I68" s="65"/>
      <c r="J68" s="71"/>
      <c r="K68" s="66"/>
      <c r="L68" s="66"/>
      <c r="M68" s="66"/>
      <c r="N68" s="66"/>
    </row>
    <row r="69" spans="1:14" ht="15.75">
      <c r="A69" s="238" t="s">
        <v>58</v>
      </c>
      <c r="B69" s="277">
        <v>9927.01</v>
      </c>
      <c r="C69" s="430">
        <f>B69*1.3453</f>
        <v>13354.806553</v>
      </c>
      <c r="D69" s="431">
        <f>B69-C69</f>
        <v>-3427.796553</v>
      </c>
      <c r="E69" s="117"/>
      <c r="F69" s="63"/>
      <c r="G69" s="64"/>
      <c r="I69" s="65"/>
      <c r="J69" s="65"/>
      <c r="K69" s="66"/>
      <c r="L69" s="66"/>
      <c r="M69" s="66"/>
      <c r="N69" s="66"/>
    </row>
    <row r="70" spans="1:14" ht="15.75">
      <c r="A70" s="238" t="s">
        <v>59</v>
      </c>
      <c r="B70" s="277">
        <v>8963.79</v>
      </c>
      <c r="C70" s="430">
        <f>B70*1.3453</f>
        <v>12058.986687</v>
      </c>
      <c r="D70" s="431">
        <f>B70-C70</f>
        <v>-3095.1966869999997</v>
      </c>
      <c r="E70" s="114"/>
      <c r="F70" s="63"/>
      <c r="G70" s="64"/>
      <c r="I70" s="65"/>
      <c r="J70" s="65"/>
      <c r="K70" s="66"/>
      <c r="L70" s="66"/>
      <c r="M70" s="66"/>
      <c r="N70" s="66"/>
    </row>
    <row r="71" spans="1:14" ht="15.75">
      <c r="A71" s="238" t="s">
        <v>60</v>
      </c>
      <c r="B71" s="280">
        <v>38319.34</v>
      </c>
      <c r="C71" s="430">
        <f>B71*1.3453</f>
        <v>51551.00810199999</v>
      </c>
      <c r="D71" s="431">
        <f>B71-C71</f>
        <v>-13231.668101999996</v>
      </c>
      <c r="E71" s="114"/>
      <c r="F71" s="73"/>
      <c r="G71" s="74"/>
      <c r="H71" s="62"/>
      <c r="I71" s="65"/>
      <c r="J71" s="65"/>
      <c r="K71" s="66"/>
      <c r="L71" s="66"/>
      <c r="M71" s="66"/>
      <c r="N71" s="66"/>
    </row>
    <row r="72" spans="1:14" ht="15.75">
      <c r="A72" s="243" t="s">
        <v>236</v>
      </c>
      <c r="B72" s="281">
        <v>33922.03</v>
      </c>
      <c r="C72" s="430">
        <f>B72</f>
        <v>33922.03</v>
      </c>
      <c r="D72" s="432">
        <f>B72-C72</f>
        <v>0</v>
      </c>
      <c r="E72" s="114"/>
      <c r="F72" s="73"/>
      <c r="G72" s="74"/>
      <c r="I72" s="65"/>
      <c r="J72" s="65"/>
      <c r="K72" s="66"/>
      <c r="L72" s="66"/>
      <c r="M72" s="66"/>
      <c r="N72" s="66"/>
    </row>
    <row r="73" spans="1:14" ht="63.75">
      <c r="A73" s="75" t="s">
        <v>62</v>
      </c>
      <c r="B73" s="68" t="s">
        <v>63</v>
      </c>
      <c r="C73" s="157" t="s">
        <v>64</v>
      </c>
      <c r="D73" s="158" t="s">
        <v>65</v>
      </c>
      <c r="E73" s="114"/>
      <c r="F73" s="73"/>
      <c r="H73" s="65"/>
      <c r="I73" s="65"/>
      <c r="J73" s="65"/>
      <c r="K73" s="66"/>
      <c r="L73" s="66"/>
      <c r="M73" s="66"/>
      <c r="N73" s="66"/>
    </row>
    <row r="74" spans="1:14" ht="15.75">
      <c r="A74" s="238" t="s">
        <v>58</v>
      </c>
      <c r="B74" s="282">
        <f aca="true" t="shared" si="0" ref="B74:C76">B69</f>
        <v>9927.01</v>
      </c>
      <c r="C74" s="433">
        <f t="shared" si="0"/>
        <v>13354.806553</v>
      </c>
      <c r="D74" s="431">
        <f>B74-C74</f>
        <v>-3427.796553</v>
      </c>
      <c r="E74" s="114"/>
      <c r="F74" s="73"/>
      <c r="H74" s="65"/>
      <c r="I74" s="65"/>
      <c r="J74" s="65" t="s">
        <v>26</v>
      </c>
      <c r="K74" s="66"/>
      <c r="L74" s="66"/>
      <c r="M74" s="66"/>
      <c r="N74" s="66"/>
    </row>
    <row r="75" spans="1:14" ht="15.75">
      <c r="A75" s="238" t="s">
        <v>59</v>
      </c>
      <c r="B75" s="277">
        <f t="shared" si="0"/>
        <v>8963.79</v>
      </c>
      <c r="C75" s="433">
        <f t="shared" si="0"/>
        <v>12058.986687</v>
      </c>
      <c r="D75" s="431">
        <f>B75-C75</f>
        <v>-3095.1966869999997</v>
      </c>
      <c r="E75" s="114"/>
      <c r="F75" s="73"/>
      <c r="H75" s="65"/>
      <c r="I75" s="65"/>
      <c r="J75" s="65"/>
      <c r="K75" s="66"/>
      <c r="L75" s="66"/>
      <c r="M75" s="66"/>
      <c r="N75" s="66"/>
    </row>
    <row r="76" spans="1:14" ht="15.75">
      <c r="A76" s="238" t="s">
        <v>60</v>
      </c>
      <c r="B76" s="277">
        <f t="shared" si="0"/>
        <v>38319.34</v>
      </c>
      <c r="C76" s="433">
        <f t="shared" si="0"/>
        <v>51551.00810199999</v>
      </c>
      <c r="D76" s="431">
        <f>B76-C76</f>
        <v>-13231.668101999996</v>
      </c>
      <c r="E76" s="114"/>
      <c r="F76" s="73"/>
      <c r="H76" s="65"/>
      <c r="I76" s="65"/>
      <c r="J76" s="65"/>
      <c r="K76" s="66"/>
      <c r="L76" s="66"/>
      <c r="M76" s="66"/>
      <c r="N76" s="66"/>
    </row>
    <row r="77" spans="1:14" ht="15.75">
      <c r="A77" s="246" t="s">
        <v>236</v>
      </c>
      <c r="B77" s="277">
        <f>B72</f>
        <v>33922.03</v>
      </c>
      <c r="C77" s="433">
        <f>B77</f>
        <v>33922.03</v>
      </c>
      <c r="D77" s="431">
        <f>B77-C77</f>
        <v>0</v>
      </c>
      <c r="E77" s="114"/>
      <c r="F77" s="73"/>
      <c r="H77" s="65" t="s">
        <v>26</v>
      </c>
      <c r="I77" s="65"/>
      <c r="J77" s="65"/>
      <c r="K77" s="66"/>
      <c r="L77" s="66"/>
      <c r="M77" s="66"/>
      <c r="N77" s="66"/>
    </row>
    <row r="78" spans="1:14" ht="15.75">
      <c r="A78" s="247"/>
      <c r="B78" s="248"/>
      <c r="C78" s="425"/>
      <c r="D78" s="426"/>
      <c r="E78" s="114"/>
      <c r="F78" s="73"/>
      <c r="H78" s="65"/>
      <c r="I78" s="65"/>
      <c r="J78" s="65"/>
      <c r="K78" s="66"/>
      <c r="L78" s="66"/>
      <c r="M78" s="66"/>
      <c r="N78" s="66"/>
    </row>
    <row r="79" spans="1:14" ht="26.25">
      <c r="A79" s="251" t="s">
        <v>66</v>
      </c>
      <c r="B79" s="248" t="s">
        <v>11</v>
      </c>
      <c r="C79" s="427"/>
      <c r="D79" s="434">
        <v>0</v>
      </c>
      <c r="E79" s="114"/>
      <c r="F79" s="73"/>
      <c r="H79" s="65"/>
      <c r="I79" s="65"/>
      <c r="J79" s="65" t="s">
        <v>26</v>
      </c>
      <c r="K79" s="66"/>
      <c r="L79" s="66"/>
      <c r="M79" s="66"/>
      <c r="N79" s="66"/>
    </row>
    <row r="80" spans="1:14" ht="17.25" customHeight="1">
      <c r="A80" s="572" t="s">
        <v>67</v>
      </c>
      <c r="B80" s="572"/>
      <c r="C80" s="572"/>
      <c r="D80" s="572"/>
      <c r="E80" s="121" t="s">
        <v>83</v>
      </c>
      <c r="F80" s="65"/>
      <c r="H80" s="84" t="e">
        <f>E80-B18</f>
        <v>#VALUE!</v>
      </c>
      <c r="I80" s="65"/>
      <c r="J80" s="65"/>
      <c r="K80" s="66"/>
      <c r="L80" s="66"/>
      <c r="M80" s="66"/>
      <c r="N80" s="66"/>
    </row>
    <row r="81" spans="1:5" ht="21" customHeight="1">
      <c r="A81" s="86" t="s">
        <v>45</v>
      </c>
      <c r="B81" s="86" t="s">
        <v>46</v>
      </c>
      <c r="C81" s="86">
        <v>0</v>
      </c>
      <c r="D81" s="177">
        <v>0</v>
      </c>
      <c r="E81" s="123"/>
    </row>
    <row r="82" spans="1:5" ht="21" customHeight="1">
      <c r="A82" s="86" t="s">
        <v>47</v>
      </c>
      <c r="B82" s="86" t="s">
        <v>46</v>
      </c>
      <c r="C82" s="86">
        <v>0</v>
      </c>
      <c r="D82" s="177">
        <v>0</v>
      </c>
      <c r="E82" s="123"/>
    </row>
    <row r="83" spans="1:5" ht="18" customHeight="1">
      <c r="A83" s="86" t="s">
        <v>48</v>
      </c>
      <c r="B83" s="86" t="s">
        <v>46</v>
      </c>
      <c r="C83" s="86">
        <v>0</v>
      </c>
      <c r="D83" s="177">
        <v>0</v>
      </c>
      <c r="E83" s="123"/>
    </row>
    <row r="84" spans="1:5" ht="16.5" customHeight="1">
      <c r="A84" s="86" t="s">
        <v>49</v>
      </c>
      <c r="B84" s="86" t="s">
        <v>11</v>
      </c>
      <c r="C84" s="86">
        <v>0</v>
      </c>
      <c r="D84" s="177">
        <v>0</v>
      </c>
      <c r="E84" s="123"/>
    </row>
    <row r="85" spans="1:5" ht="15.75" customHeight="1">
      <c r="A85" s="566" t="s">
        <v>68</v>
      </c>
      <c r="B85" s="566"/>
      <c r="C85" s="566"/>
      <c r="D85" s="566"/>
      <c r="E85" s="123"/>
    </row>
    <row r="86" spans="1:5" ht="18.75" customHeight="1">
      <c r="A86" s="86" t="s">
        <v>69</v>
      </c>
      <c r="B86" s="86" t="s">
        <v>46</v>
      </c>
      <c r="C86" s="86"/>
      <c r="D86" s="177">
        <v>1</v>
      </c>
      <c r="E86" s="123"/>
    </row>
    <row r="87" spans="1:5" ht="21.75" customHeight="1">
      <c r="A87" s="86" t="s">
        <v>70</v>
      </c>
      <c r="B87" s="254" t="s">
        <v>46</v>
      </c>
      <c r="C87" s="254"/>
      <c r="D87" s="177">
        <v>1</v>
      </c>
      <c r="E87" s="123"/>
    </row>
    <row r="88" spans="1:5" ht="36" customHeight="1">
      <c r="A88" s="255" t="s">
        <v>71</v>
      </c>
      <c r="B88" s="86" t="s">
        <v>11</v>
      </c>
      <c r="C88" s="86"/>
      <c r="D88" s="177">
        <v>101874.92</v>
      </c>
      <c r="E88" s="123"/>
    </row>
    <row r="89" spans="1:5" ht="15.75">
      <c r="A89" s="256"/>
      <c r="B89" s="256"/>
      <c r="C89" s="256"/>
      <c r="D89" s="257"/>
      <c r="E89" s="109"/>
    </row>
    <row r="90" spans="1:14" s="1" customFormat="1" ht="12.75">
      <c r="A90" s="178"/>
      <c r="B90" s="178"/>
      <c r="C90" s="178"/>
      <c r="D90" s="178"/>
      <c r="E90" s="109"/>
      <c r="H90" s="1" t="s">
        <v>26</v>
      </c>
      <c r="K90"/>
      <c r="L90"/>
      <c r="M90"/>
      <c r="N90"/>
    </row>
    <row r="91" spans="1:14" s="1" customFormat="1" ht="12.75">
      <c r="A91" s="178" t="s">
        <v>72</v>
      </c>
      <c r="B91" s="178"/>
      <c r="C91" s="178" t="s">
        <v>141</v>
      </c>
      <c r="D91" s="178"/>
      <c r="E91" s="109"/>
      <c r="K91"/>
      <c r="L91"/>
      <c r="M91"/>
      <c r="N91"/>
    </row>
    <row r="92" spans="1:14" s="1" customFormat="1" ht="12.75">
      <c r="A92" s="178"/>
      <c r="B92" s="178"/>
      <c r="C92" s="178"/>
      <c r="D92" s="178"/>
      <c r="E92" s="109"/>
      <c r="H92" s="1" t="s">
        <v>26</v>
      </c>
      <c r="K92"/>
      <c r="L92"/>
      <c r="M92"/>
      <c r="N92"/>
    </row>
    <row r="93" spans="1:14" s="1" customFormat="1" ht="12.75">
      <c r="A93" s="178" t="s">
        <v>73</v>
      </c>
      <c r="B93" s="178"/>
      <c r="C93" s="178"/>
      <c r="D93" s="178"/>
      <c r="E93" s="109"/>
      <c r="K93"/>
      <c r="L93"/>
      <c r="M93"/>
      <c r="N93"/>
    </row>
    <row r="97" spans="1:14" s="1" customFormat="1" ht="12.75">
      <c r="A97"/>
      <c r="B97"/>
      <c r="C97"/>
      <c r="D97"/>
      <c r="E97" s="1" t="s">
        <v>26</v>
      </c>
      <c r="K97"/>
      <c r="L97"/>
      <c r="M97"/>
      <c r="N97"/>
    </row>
  </sheetData>
  <sheetProtection selectLockedCells="1" selectUnlockedCells="1"/>
  <mergeCells count="13">
    <mergeCell ref="A85:D85"/>
    <mergeCell ref="A14:D14"/>
    <mergeCell ref="A28:D28"/>
    <mergeCell ref="A55:D55"/>
    <mergeCell ref="A60:D60"/>
    <mergeCell ref="A67:D67"/>
    <mergeCell ref="A80:D80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600" verticalDpi="600" orientation="portrait" paperSize="12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="80" zoomScaleNormal="80" zoomScalePageLayoutView="0" workbookViewId="0" topLeftCell="A34">
      <selection activeCell="D40" sqref="D40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560" t="s">
        <v>0</v>
      </c>
      <c r="B1" s="560"/>
      <c r="C1" s="560"/>
      <c r="D1" s="560"/>
    </row>
    <row r="2" spans="1:4" ht="15.75">
      <c r="A2" s="561" t="s">
        <v>220</v>
      </c>
      <c r="B2" s="562"/>
      <c r="C2" s="562"/>
      <c r="D2" s="562"/>
    </row>
    <row r="3" spans="1:4" ht="15.75">
      <c r="A3" s="562" t="s">
        <v>1</v>
      </c>
      <c r="B3" s="562"/>
      <c r="C3" s="562"/>
      <c r="D3" s="562"/>
    </row>
    <row r="4" spans="1:4" ht="12.75">
      <c r="A4" s="563" t="s">
        <v>116</v>
      </c>
      <c r="B4" s="563"/>
      <c r="C4" s="563"/>
      <c r="D4" s="563"/>
    </row>
    <row r="5" spans="1:4" ht="12.75">
      <c r="A5" s="564" t="s">
        <v>266</v>
      </c>
      <c r="B5" s="563"/>
      <c r="C5" s="563"/>
      <c r="D5" s="563"/>
    </row>
    <row r="6" spans="1:4" ht="9" customHeight="1">
      <c r="A6" s="258"/>
      <c r="B6" s="178"/>
      <c r="C6" s="178"/>
      <c r="D6" s="178"/>
    </row>
    <row r="7" spans="1:4" ht="18" customHeight="1">
      <c r="A7" s="565" t="s">
        <v>2</v>
      </c>
      <c r="B7" s="565"/>
      <c r="C7" s="565"/>
      <c r="D7" s="565"/>
    </row>
    <row r="8" spans="1:4" ht="12.75">
      <c r="A8" s="258" t="s">
        <v>178</v>
      </c>
      <c r="B8" s="178"/>
      <c r="C8" s="183"/>
      <c r="D8" s="178"/>
    </row>
    <row r="9" spans="1:4" ht="12.75">
      <c r="A9" s="184" t="s">
        <v>3</v>
      </c>
      <c r="B9" s="184" t="s">
        <v>4</v>
      </c>
      <c r="C9" s="184" t="s">
        <v>5</v>
      </c>
      <c r="D9" s="185"/>
    </row>
    <row r="10" spans="1:4" ht="12.75">
      <c r="A10" s="186">
        <v>1</v>
      </c>
      <c r="B10" s="186">
        <v>2</v>
      </c>
      <c r="C10" s="186">
        <v>3</v>
      </c>
      <c r="D10" s="187">
        <v>4</v>
      </c>
    </row>
    <row r="11" spans="1:4" ht="12.75">
      <c r="A11" s="20" t="s">
        <v>6</v>
      </c>
      <c r="B11" s="188"/>
      <c r="C11" s="189" t="s">
        <v>262</v>
      </c>
      <c r="D11" s="190"/>
    </row>
    <row r="12" spans="1:4" ht="12.75">
      <c r="A12" s="20" t="s">
        <v>7</v>
      </c>
      <c r="B12" s="188"/>
      <c r="C12" s="189" t="s">
        <v>263</v>
      </c>
      <c r="D12" s="190"/>
    </row>
    <row r="13" spans="1:8" ht="12.75">
      <c r="A13" s="20" t="s">
        <v>8</v>
      </c>
      <c r="B13" s="188"/>
      <c r="C13" s="189" t="s">
        <v>267</v>
      </c>
      <c r="D13" s="190"/>
      <c r="E13" s="109"/>
      <c r="F13" s="109"/>
      <c r="G13" s="109"/>
      <c r="H13" s="109"/>
    </row>
    <row r="14" spans="1:8" ht="31.5" customHeight="1">
      <c r="A14" s="567" t="s">
        <v>9</v>
      </c>
      <c r="B14" s="567"/>
      <c r="C14" s="567"/>
      <c r="D14" s="567"/>
      <c r="E14" s="109"/>
      <c r="F14" s="109"/>
      <c r="G14" s="109"/>
      <c r="H14" s="109"/>
    </row>
    <row r="15" spans="1:8" ht="26.25">
      <c r="A15" s="17" t="s">
        <v>10</v>
      </c>
      <c r="B15" s="191" t="s">
        <v>11</v>
      </c>
      <c r="C15" s="372">
        <v>14069.15</v>
      </c>
      <c r="D15" s="193"/>
      <c r="E15" s="109"/>
      <c r="F15" s="109"/>
      <c r="G15" s="109"/>
      <c r="H15" s="109"/>
    </row>
    <row r="16" spans="1:8" ht="15.75">
      <c r="A16" s="20" t="s">
        <v>12</v>
      </c>
      <c r="B16" s="191" t="s">
        <v>11</v>
      </c>
      <c r="C16" s="192">
        <v>0</v>
      </c>
      <c r="D16" s="193"/>
      <c r="E16" s="109"/>
      <c r="F16" s="109"/>
      <c r="G16" s="109"/>
      <c r="H16" s="109"/>
    </row>
    <row r="17" spans="1:8" ht="15.75">
      <c r="A17" s="20" t="s">
        <v>13</v>
      </c>
      <c r="B17" s="191" t="s">
        <v>11</v>
      </c>
      <c r="C17" s="194">
        <v>3109.8</v>
      </c>
      <c r="D17" s="195"/>
      <c r="E17" s="109"/>
      <c r="F17" s="109"/>
      <c r="G17" s="109"/>
      <c r="H17" s="109"/>
    </row>
    <row r="18" spans="1:8" ht="31.5" customHeight="1">
      <c r="A18" s="17" t="s">
        <v>14</v>
      </c>
      <c r="B18" s="191" t="s">
        <v>11</v>
      </c>
      <c r="C18" s="194">
        <f>14792.4+1892.16</f>
        <v>16684.56</v>
      </c>
      <c r="D18" s="195"/>
      <c r="E18" s="110">
        <f>C18-C20</f>
        <v>10949.400000000001</v>
      </c>
      <c r="F18" s="109"/>
      <c r="G18" s="109"/>
      <c r="H18" s="109"/>
    </row>
    <row r="19" spans="1:8" ht="15.75">
      <c r="A19" s="20" t="s">
        <v>15</v>
      </c>
      <c r="B19" s="191" t="s">
        <v>11</v>
      </c>
      <c r="C19" s="194">
        <f>C18-C20-C21</f>
        <v>5670.000000000001</v>
      </c>
      <c r="D19" s="195"/>
      <c r="E19" s="110">
        <f>E18-E39</f>
        <v>0</v>
      </c>
      <c r="F19" s="109"/>
      <c r="G19" s="109"/>
      <c r="H19" s="109"/>
    </row>
    <row r="20" spans="1:8" ht="15.75">
      <c r="A20" s="20" t="s">
        <v>16</v>
      </c>
      <c r="B20" s="191" t="s">
        <v>11</v>
      </c>
      <c r="C20" s="194">
        <f>(2.98+3.12)*6*105+1892.16</f>
        <v>5735.16</v>
      </c>
      <c r="D20" s="195"/>
      <c r="E20" s="111"/>
      <c r="F20" s="109"/>
      <c r="G20" s="109"/>
      <c r="H20" s="109"/>
    </row>
    <row r="21" spans="1:8" ht="15.75">
      <c r="A21" s="20" t="s">
        <v>17</v>
      </c>
      <c r="B21" s="191" t="s">
        <v>11</v>
      </c>
      <c r="C21" s="196">
        <f>105*4.19*12</f>
        <v>5279.400000000001</v>
      </c>
      <c r="D21" s="195"/>
      <c r="E21" s="109"/>
      <c r="F21" s="109"/>
      <c r="G21" s="109"/>
      <c r="H21" s="109"/>
    </row>
    <row r="22" spans="1:8" ht="15.75">
      <c r="A22" s="20" t="s">
        <v>18</v>
      </c>
      <c r="B22" s="191" t="s">
        <v>11</v>
      </c>
      <c r="C22" s="194">
        <f>C23+C24+C25+C26+C27</f>
        <v>21156.022080000002</v>
      </c>
      <c r="D22" s="195" t="s">
        <v>19</v>
      </c>
      <c r="E22" s="110" t="e">
        <f>B24+B25+B26+B27+B28</f>
        <v>#VALUE!</v>
      </c>
      <c r="F22" s="109"/>
      <c r="G22" s="109"/>
      <c r="H22" s="109"/>
    </row>
    <row r="23" spans="1:8" ht="15.75">
      <c r="A23" s="20" t="s">
        <v>20</v>
      </c>
      <c r="B23" s="191" t="s">
        <v>11</v>
      </c>
      <c r="C23" s="194">
        <f>C18*1.268</f>
        <v>21156.022080000002</v>
      </c>
      <c r="D23" s="195"/>
      <c r="E23" s="109"/>
      <c r="F23" s="109"/>
      <c r="G23" s="109"/>
      <c r="H23" s="109"/>
    </row>
    <row r="24" spans="1:8" ht="15.75">
      <c r="A24" s="20" t="s">
        <v>21</v>
      </c>
      <c r="B24" s="191" t="s">
        <v>11</v>
      </c>
      <c r="C24" s="194">
        <v>0</v>
      </c>
      <c r="D24" s="197">
        <v>65.21</v>
      </c>
      <c r="E24" s="111" t="e">
        <f>B24/#REF!*1</f>
        <v>#VALUE!</v>
      </c>
      <c r="F24" s="109"/>
      <c r="G24" s="109"/>
      <c r="H24" s="109" t="s">
        <v>22</v>
      </c>
    </row>
    <row r="25" spans="1:8" ht="15.75">
      <c r="A25" s="20" t="s">
        <v>23</v>
      </c>
      <c r="B25" s="191" t="s">
        <v>11</v>
      </c>
      <c r="C25" s="194">
        <v>0</v>
      </c>
      <c r="D25" s="197">
        <v>119.63</v>
      </c>
      <c r="E25" s="111" t="e">
        <f>B25/#REF!*1</f>
        <v>#VALUE!</v>
      </c>
      <c r="F25" s="109"/>
      <c r="G25" s="109"/>
      <c r="H25" s="109"/>
    </row>
    <row r="26" spans="1:8" ht="15.75">
      <c r="A26" s="188" t="s">
        <v>24</v>
      </c>
      <c r="B26" s="191" t="s">
        <v>11</v>
      </c>
      <c r="C26" s="194">
        <v>0</v>
      </c>
      <c r="D26" s="197"/>
      <c r="E26" s="111" t="e">
        <f>B26/#REF!*1</f>
        <v>#VALUE!</v>
      </c>
      <c r="F26" s="109"/>
      <c r="G26" s="109"/>
      <c r="H26" s="109"/>
    </row>
    <row r="27" spans="1:8" ht="16.5" customHeight="1">
      <c r="A27" s="198" t="s">
        <v>96</v>
      </c>
      <c r="B27" s="191" t="s">
        <v>11</v>
      </c>
      <c r="C27" s="194">
        <v>0</v>
      </c>
      <c r="D27" s="197">
        <v>139.18</v>
      </c>
      <c r="E27" s="111" t="e">
        <f>B27/#REF!*1</f>
        <v>#VALUE!</v>
      </c>
      <c r="F27" s="109"/>
      <c r="G27" s="109"/>
      <c r="H27" s="109"/>
    </row>
    <row r="28" spans="1:8" ht="15.75">
      <c r="A28" s="20" t="s">
        <v>25</v>
      </c>
      <c r="B28" s="191" t="s">
        <v>11</v>
      </c>
      <c r="C28" s="194">
        <f>C15+C22</f>
        <v>35225.172080000004</v>
      </c>
      <c r="D28" s="195" t="s">
        <v>26</v>
      </c>
      <c r="E28" s="111" t="e">
        <f>B28/#REF!*1</f>
        <v>#VALUE!</v>
      </c>
      <c r="F28" s="109"/>
      <c r="G28" s="109"/>
      <c r="H28" s="109"/>
    </row>
    <row r="29" spans="1:8" ht="35.25" customHeight="1">
      <c r="A29" s="568" t="s">
        <v>27</v>
      </c>
      <c r="B29" s="568"/>
      <c r="C29" s="568"/>
      <c r="D29" s="568"/>
      <c r="E29" s="109"/>
      <c r="F29" s="109"/>
      <c r="G29" s="109"/>
      <c r="H29" s="109"/>
    </row>
    <row r="30" spans="1:8" ht="63">
      <c r="A30" s="271" t="s">
        <v>28</v>
      </c>
      <c r="B30" s="307" t="s">
        <v>29</v>
      </c>
      <c r="C30" s="286" t="s">
        <v>30</v>
      </c>
      <c r="D30" s="308" t="s">
        <v>31</v>
      </c>
      <c r="E30" s="109"/>
      <c r="F30" s="109"/>
      <c r="G30" s="109"/>
      <c r="H30" s="109"/>
    </row>
    <row r="31" spans="1:8" ht="15.75">
      <c r="A31" s="203" t="s">
        <v>32</v>
      </c>
      <c r="B31" s="204" t="s">
        <v>33</v>
      </c>
      <c r="C31" s="205" t="s">
        <v>34</v>
      </c>
      <c r="D31" s="206">
        <f>(0.85+0.95)*6*105</f>
        <v>1134</v>
      </c>
      <c r="E31" s="109"/>
      <c r="F31" s="109"/>
      <c r="G31" s="109"/>
      <c r="H31" s="109"/>
    </row>
    <row r="32" spans="1:8" ht="15.75">
      <c r="A32" s="207" t="s">
        <v>36</v>
      </c>
      <c r="B32" s="208" t="s">
        <v>33</v>
      </c>
      <c r="C32" s="209" t="s">
        <v>37</v>
      </c>
      <c r="D32" s="210">
        <f>0.24*12*105</f>
        <v>302.4</v>
      </c>
      <c r="E32" s="109"/>
      <c r="F32" s="109"/>
      <c r="G32" s="109"/>
      <c r="H32" s="109"/>
    </row>
    <row r="33" spans="1:8" ht="15.75">
      <c r="A33" s="293" t="s">
        <v>174</v>
      </c>
      <c r="B33" s="208" t="s">
        <v>33</v>
      </c>
      <c r="C33" s="209" t="s">
        <v>34</v>
      </c>
      <c r="D33" s="210">
        <f>(1.41+1.19)*6*105</f>
        <v>1637.9999999999998</v>
      </c>
      <c r="E33" s="109"/>
      <c r="F33" s="109"/>
      <c r="G33" s="109"/>
      <c r="H33" s="109"/>
    </row>
    <row r="34" spans="1:8" ht="15.75">
      <c r="A34" s="207" t="s">
        <v>81</v>
      </c>
      <c r="B34" s="213" t="s">
        <v>82</v>
      </c>
      <c r="C34" s="209" t="s">
        <v>34</v>
      </c>
      <c r="D34" s="210">
        <f>1.33*12*105</f>
        <v>1675.8000000000002</v>
      </c>
      <c r="E34" s="109"/>
      <c r="F34" s="109"/>
      <c r="G34" s="109"/>
      <c r="H34" s="109"/>
    </row>
    <row r="35" spans="1:8" ht="15.75">
      <c r="A35" s="207" t="s">
        <v>38</v>
      </c>
      <c r="B35" s="208" t="s">
        <v>35</v>
      </c>
      <c r="C35" s="362" t="s">
        <v>221</v>
      </c>
      <c r="D35" s="210">
        <f>4.19*105*12</f>
        <v>5279.400000000001</v>
      </c>
      <c r="E35" s="109"/>
      <c r="F35" s="109"/>
      <c r="G35" s="109"/>
      <c r="H35" s="109"/>
    </row>
    <row r="36" spans="1:8" ht="15.75">
      <c r="A36" s="207" t="s">
        <v>85</v>
      </c>
      <c r="B36" s="208" t="s">
        <v>222</v>
      </c>
      <c r="C36" s="214" t="s">
        <v>37</v>
      </c>
      <c r="D36" s="210">
        <f>105*12*0.73</f>
        <v>919.8</v>
      </c>
      <c r="E36" s="109"/>
      <c r="F36" s="109"/>
      <c r="G36" s="109"/>
      <c r="H36" s="109"/>
    </row>
    <row r="37" spans="1:14" s="1" customFormat="1" ht="47.25">
      <c r="A37" s="365" t="s">
        <v>40</v>
      </c>
      <c r="B37" s="215" t="s">
        <v>41</v>
      </c>
      <c r="C37" s="209" t="s">
        <v>34</v>
      </c>
      <c r="D37" s="381">
        <f>D38</f>
        <v>12000</v>
      </c>
      <c r="E37" s="109"/>
      <c r="F37" s="109"/>
      <c r="G37" s="109"/>
      <c r="H37" s="109"/>
      <c r="K37"/>
      <c r="L37"/>
      <c r="M37"/>
      <c r="N37"/>
    </row>
    <row r="38" spans="1:14" s="1" customFormat="1" ht="45" customHeight="1">
      <c r="A38" s="216" t="s">
        <v>310</v>
      </c>
      <c r="B38" s="217" t="s">
        <v>148</v>
      </c>
      <c r="C38" s="366" t="s">
        <v>311</v>
      </c>
      <c r="D38" s="176">
        <v>12000</v>
      </c>
      <c r="E38" s="109"/>
      <c r="F38" s="109"/>
      <c r="G38" s="109"/>
      <c r="H38" s="109"/>
      <c r="K38"/>
      <c r="L38"/>
      <c r="M38"/>
      <c r="N38"/>
    </row>
    <row r="39" spans="1:14" s="1" customFormat="1" ht="15.75">
      <c r="A39" s="37" t="s">
        <v>42</v>
      </c>
      <c r="B39" s="222"/>
      <c r="C39" s="223"/>
      <c r="D39" s="97">
        <f>D31+D32+D33+D34+D35+D36+D37</f>
        <v>22949.4</v>
      </c>
      <c r="E39" s="112">
        <f>D39-D37</f>
        <v>10949.400000000001</v>
      </c>
      <c r="F39" s="109"/>
      <c r="G39" s="109"/>
      <c r="H39" s="109"/>
      <c r="K39"/>
      <c r="L39"/>
      <c r="M39"/>
      <c r="N39"/>
    </row>
    <row r="40" spans="1:14" s="1" customFormat="1" ht="15.75">
      <c r="A40" s="40" t="s">
        <v>43</v>
      </c>
      <c r="B40" s="224" t="s">
        <v>11</v>
      </c>
      <c r="C40" s="225"/>
      <c r="D40" s="226">
        <f>C28-D39</f>
        <v>12275.772080000002</v>
      </c>
      <c r="E40" s="112"/>
      <c r="F40" s="109"/>
      <c r="G40" s="109"/>
      <c r="H40" s="109"/>
      <c r="K40"/>
      <c r="L40"/>
      <c r="M40"/>
      <c r="N40"/>
    </row>
    <row r="41" spans="1:14" s="1" customFormat="1" ht="15.75">
      <c r="A41" s="227" t="s">
        <v>12</v>
      </c>
      <c r="B41" s="228" t="s">
        <v>11</v>
      </c>
      <c r="C41" s="209"/>
      <c r="D41" s="193"/>
      <c r="E41" s="109"/>
      <c r="F41" s="109"/>
      <c r="G41" s="109"/>
      <c r="H41" s="109"/>
      <c r="K41"/>
      <c r="L41"/>
      <c r="M41"/>
      <c r="N41"/>
    </row>
    <row r="42" spans="1:14" s="1" customFormat="1" ht="15.75">
      <c r="A42" s="227" t="s">
        <v>13</v>
      </c>
      <c r="B42" s="228" t="s">
        <v>11</v>
      </c>
      <c r="C42" s="209"/>
      <c r="D42" s="377">
        <v>0</v>
      </c>
      <c r="E42" s="109"/>
      <c r="F42" s="109"/>
      <c r="G42" s="109"/>
      <c r="H42" s="109"/>
      <c r="K42"/>
      <c r="L42"/>
      <c r="M42"/>
      <c r="N42"/>
    </row>
    <row r="43" spans="1:14" s="1" customFormat="1" ht="24" customHeight="1">
      <c r="A43" s="569" t="s">
        <v>44</v>
      </c>
      <c r="B43" s="569"/>
      <c r="C43" s="569"/>
      <c r="D43" s="569"/>
      <c r="E43" s="109"/>
      <c r="F43" s="109"/>
      <c r="G43" s="109"/>
      <c r="H43" s="109"/>
      <c r="K43"/>
      <c r="L43"/>
      <c r="M43"/>
      <c r="N43"/>
    </row>
    <row r="44" spans="1:14" s="1" customFormat="1" ht="15.75">
      <c r="A44" s="227" t="s">
        <v>45</v>
      </c>
      <c r="B44" s="208" t="s">
        <v>46</v>
      </c>
      <c r="C44" s="209">
        <v>0</v>
      </c>
      <c r="D44" s="193">
        <v>0</v>
      </c>
      <c r="E44" s="109"/>
      <c r="F44" s="109"/>
      <c r="G44" s="109"/>
      <c r="H44" s="109"/>
      <c r="K44"/>
      <c r="L44"/>
      <c r="M44"/>
      <c r="N44"/>
    </row>
    <row r="45" spans="1:14" s="1" customFormat="1" ht="15.75">
      <c r="A45" s="227" t="s">
        <v>47</v>
      </c>
      <c r="B45" s="208" t="s">
        <v>46</v>
      </c>
      <c r="C45" s="209">
        <v>0</v>
      </c>
      <c r="D45" s="193">
        <v>0</v>
      </c>
      <c r="E45" s="109"/>
      <c r="F45" s="109"/>
      <c r="G45" s="109"/>
      <c r="H45" s="109"/>
      <c r="K45"/>
      <c r="L45"/>
      <c r="M45"/>
      <c r="N45"/>
    </row>
    <row r="46" spans="1:14" s="1" customFormat="1" ht="15.75">
      <c r="A46" s="229" t="s">
        <v>48</v>
      </c>
      <c r="B46" s="208" t="s">
        <v>46</v>
      </c>
      <c r="C46" s="209">
        <v>0</v>
      </c>
      <c r="D46" s="193">
        <v>0</v>
      </c>
      <c r="E46" s="109"/>
      <c r="F46" s="109"/>
      <c r="G46" s="109"/>
      <c r="H46" s="109"/>
      <c r="K46"/>
      <c r="L46"/>
      <c r="M46"/>
      <c r="N46"/>
    </row>
    <row r="47" spans="1:14" s="1" customFormat="1" ht="15.75">
      <c r="A47" s="227" t="s">
        <v>49</v>
      </c>
      <c r="B47" s="208" t="s">
        <v>11</v>
      </c>
      <c r="C47" s="209">
        <v>0</v>
      </c>
      <c r="D47" s="193">
        <v>0</v>
      </c>
      <c r="E47" s="109"/>
      <c r="F47" s="109"/>
      <c r="G47" s="109"/>
      <c r="H47" s="109"/>
      <c r="K47"/>
      <c r="L47"/>
      <c r="M47"/>
      <c r="N47"/>
    </row>
    <row r="48" spans="1:8" ht="20.25" customHeight="1">
      <c r="A48" s="570" t="s">
        <v>50</v>
      </c>
      <c r="B48" s="570"/>
      <c r="C48" s="570"/>
      <c r="D48" s="570"/>
      <c r="E48" s="109"/>
      <c r="F48" s="109"/>
      <c r="G48" s="109"/>
      <c r="H48" s="109"/>
    </row>
    <row r="49" spans="1:8" ht="26.25">
      <c r="A49" s="229" t="s">
        <v>51</v>
      </c>
      <c r="B49" s="208" t="s">
        <v>11</v>
      </c>
      <c r="C49" s="209"/>
      <c r="D49" s="193">
        <v>0</v>
      </c>
      <c r="E49" s="109"/>
      <c r="F49" s="109"/>
      <c r="G49" s="109"/>
      <c r="H49" s="109"/>
    </row>
    <row r="50" spans="1:8" ht="15.75">
      <c r="A50" s="227" t="s">
        <v>12</v>
      </c>
      <c r="B50" s="208" t="s">
        <v>11</v>
      </c>
      <c r="C50" s="209"/>
      <c r="D50" s="193">
        <v>0</v>
      </c>
      <c r="E50" s="109"/>
      <c r="F50" s="109"/>
      <c r="G50" s="109"/>
      <c r="H50" s="109"/>
    </row>
    <row r="51" spans="1:8" ht="15.75">
      <c r="A51" s="227" t="s">
        <v>13</v>
      </c>
      <c r="B51" s="208" t="s">
        <v>11</v>
      </c>
      <c r="C51" s="209"/>
      <c r="D51" s="230">
        <f>D54-D57-D58-D59-D60</f>
        <v>6204.65048</v>
      </c>
      <c r="E51" s="109"/>
      <c r="F51" s="109"/>
      <c r="G51" s="109"/>
      <c r="H51" s="113"/>
    </row>
    <row r="52" spans="1:8" ht="26.25">
      <c r="A52" s="231" t="s">
        <v>52</v>
      </c>
      <c r="B52" s="208" t="s">
        <v>11</v>
      </c>
      <c r="C52" s="232"/>
      <c r="D52" s="233">
        <v>0</v>
      </c>
      <c r="E52" s="109"/>
      <c r="F52" s="109"/>
      <c r="G52" s="109"/>
      <c r="H52" s="109"/>
    </row>
    <row r="53" spans="1:10" ht="17.25" customHeight="1">
      <c r="A53" s="254" t="s">
        <v>12</v>
      </c>
      <c r="B53" s="208" t="s">
        <v>11</v>
      </c>
      <c r="C53" s="209"/>
      <c r="D53" s="193">
        <v>0</v>
      </c>
      <c r="E53" s="109"/>
      <c r="F53" s="109"/>
      <c r="G53" s="109"/>
      <c r="H53" s="109"/>
      <c r="I53" s="49"/>
      <c r="J53" s="49"/>
    </row>
    <row r="54" spans="1:14" ht="15.75">
      <c r="A54" s="235" t="s">
        <v>13</v>
      </c>
      <c r="B54" s="208" t="s">
        <v>11</v>
      </c>
      <c r="C54" s="236"/>
      <c r="D54" s="237">
        <v>1913.74</v>
      </c>
      <c r="E54" s="109"/>
      <c r="F54" s="109"/>
      <c r="G54" s="109"/>
      <c r="H54" s="109" t="s">
        <v>26</v>
      </c>
      <c r="I54" s="60"/>
      <c r="J54" s="60"/>
      <c r="K54" s="61"/>
      <c r="L54" s="61"/>
      <c r="M54" s="61"/>
      <c r="N54" s="61"/>
    </row>
    <row r="55" spans="1:14" ht="18" customHeight="1">
      <c r="A55" s="571" t="s">
        <v>53</v>
      </c>
      <c r="B55" s="571"/>
      <c r="C55" s="571"/>
      <c r="D55" s="571"/>
      <c r="E55" s="114"/>
      <c r="F55" s="115"/>
      <c r="G55" s="116"/>
      <c r="H55" s="109"/>
      <c r="I55" s="65"/>
      <c r="J55" s="65"/>
      <c r="K55" s="66"/>
      <c r="L55" s="66"/>
      <c r="M55" s="66"/>
      <c r="N55" s="66"/>
    </row>
    <row r="56" spans="1:14" ht="47.25">
      <c r="A56" s="67" t="s">
        <v>54</v>
      </c>
      <c r="B56" s="68" t="s">
        <v>55</v>
      </c>
      <c r="C56" s="69" t="s">
        <v>56</v>
      </c>
      <c r="D56" s="70" t="s">
        <v>57</v>
      </c>
      <c r="E56" s="114"/>
      <c r="F56" s="115"/>
      <c r="G56" s="116"/>
      <c r="H56" s="109"/>
      <c r="I56" s="65"/>
      <c r="J56" s="71"/>
      <c r="K56" s="66"/>
      <c r="L56" s="66"/>
      <c r="M56" s="66"/>
      <c r="N56" s="66"/>
    </row>
    <row r="57" spans="1:14" ht="15.75">
      <c r="A57" s="238" t="s">
        <v>58</v>
      </c>
      <c r="B57" s="239">
        <v>1131.3</v>
      </c>
      <c r="C57" s="240">
        <f>B57*1.268</f>
        <v>1434.4884</v>
      </c>
      <c r="D57" s="241">
        <f>B57-C57</f>
        <v>-303.1884</v>
      </c>
      <c r="E57" s="117"/>
      <c r="F57" s="115"/>
      <c r="G57" s="116"/>
      <c r="H57" s="109"/>
      <c r="I57" s="65"/>
      <c r="J57" s="65"/>
      <c r="K57" s="66"/>
      <c r="L57" s="66"/>
      <c r="M57" s="66"/>
      <c r="N57" s="66"/>
    </row>
    <row r="58" spans="1:14" ht="15.75">
      <c r="A58" s="238" t="s">
        <v>59</v>
      </c>
      <c r="B58" s="239">
        <v>0</v>
      </c>
      <c r="C58" s="240">
        <f>B58*1.268</f>
        <v>0</v>
      </c>
      <c r="D58" s="241">
        <f>B58-C58</f>
        <v>0</v>
      </c>
      <c r="E58" s="114"/>
      <c r="F58" s="63"/>
      <c r="G58" s="64"/>
      <c r="I58" s="65"/>
      <c r="J58" s="65"/>
      <c r="K58" s="66"/>
      <c r="L58" s="66"/>
      <c r="M58" s="66"/>
      <c r="N58" s="66"/>
    </row>
    <row r="59" spans="1:14" ht="15.75">
      <c r="A59" s="238" t="s">
        <v>60</v>
      </c>
      <c r="B59" s="242">
        <v>8997.66</v>
      </c>
      <c r="C59" s="240">
        <f>B59*1.268</f>
        <v>11409.03288</v>
      </c>
      <c r="D59" s="241">
        <f>B59-C59</f>
        <v>-2411.372880000001</v>
      </c>
      <c r="E59" s="114">
        <f>(2.07+1.8)*6*2301.2-0.37*2301.2*6</f>
        <v>48325.2</v>
      </c>
      <c r="F59" s="73"/>
      <c r="G59" s="74"/>
      <c r="H59" s="62"/>
      <c r="I59" s="65"/>
      <c r="J59" s="65"/>
      <c r="K59" s="66"/>
      <c r="L59" s="66"/>
      <c r="M59" s="66"/>
      <c r="N59" s="66"/>
    </row>
    <row r="60" spans="1:14" ht="16.5" thickBot="1">
      <c r="A60" s="261" t="s">
        <v>236</v>
      </c>
      <c r="B60" s="262">
        <v>5881.9</v>
      </c>
      <c r="C60" s="240">
        <f>B60*1.268</f>
        <v>7458.249199999999</v>
      </c>
      <c r="D60" s="264">
        <f>B60-C60</f>
        <v>-1576.3491999999997</v>
      </c>
      <c r="E60" s="114"/>
      <c r="F60" s="73"/>
      <c r="G60" s="74"/>
      <c r="I60" s="65"/>
      <c r="J60" s="65"/>
      <c r="K60" s="66"/>
      <c r="L60" s="66"/>
      <c r="M60" s="66"/>
      <c r="N60" s="66"/>
    </row>
    <row r="61" spans="1:14" ht="63">
      <c r="A61" s="129" t="s">
        <v>62</v>
      </c>
      <c r="B61" s="130" t="s">
        <v>63</v>
      </c>
      <c r="C61" s="131" t="s">
        <v>64</v>
      </c>
      <c r="D61" s="132" t="s">
        <v>65</v>
      </c>
      <c r="E61" s="114"/>
      <c r="F61" s="73"/>
      <c r="H61" s="65"/>
      <c r="I61" s="65"/>
      <c r="J61" s="65"/>
      <c r="K61" s="66"/>
      <c r="L61" s="66"/>
      <c r="M61" s="66"/>
      <c r="N61" s="66"/>
    </row>
    <row r="62" spans="1:14" ht="15.75">
      <c r="A62" s="265" t="s">
        <v>58</v>
      </c>
      <c r="B62" s="239">
        <v>1131.3</v>
      </c>
      <c r="C62" s="240">
        <f>B62*1.268</f>
        <v>1434.4884</v>
      </c>
      <c r="D62" s="266">
        <f>B62-C62</f>
        <v>-303.1884</v>
      </c>
      <c r="E62" s="114"/>
      <c r="F62" s="73"/>
      <c r="H62" s="65"/>
      <c r="I62" s="65"/>
      <c r="J62" s="65" t="s">
        <v>26</v>
      </c>
      <c r="K62" s="66"/>
      <c r="L62" s="66"/>
      <c r="M62" s="66"/>
      <c r="N62" s="66"/>
    </row>
    <row r="63" spans="1:14" ht="15.75">
      <c r="A63" s="265" t="s">
        <v>59</v>
      </c>
      <c r="B63" s="239">
        <v>0</v>
      </c>
      <c r="C63" s="240">
        <f>B63*1.268</f>
        <v>0</v>
      </c>
      <c r="D63" s="266">
        <f>B63-C63</f>
        <v>0</v>
      </c>
      <c r="E63" s="114"/>
      <c r="F63" s="73"/>
      <c r="H63" s="65"/>
      <c r="I63" s="65"/>
      <c r="J63" s="65"/>
      <c r="K63" s="66"/>
      <c r="L63" s="66"/>
      <c r="M63" s="66"/>
      <c r="N63" s="66"/>
    </row>
    <row r="64" spans="1:14" ht="15.75">
      <c r="A64" s="265" t="s">
        <v>60</v>
      </c>
      <c r="B64" s="242">
        <v>8997.66</v>
      </c>
      <c r="C64" s="240">
        <f>B64*1.268</f>
        <v>11409.03288</v>
      </c>
      <c r="D64" s="266">
        <f>B64-C64</f>
        <v>-2411.372880000001</v>
      </c>
      <c r="E64" s="114"/>
      <c r="F64" s="73"/>
      <c r="H64" s="65"/>
      <c r="I64" s="65"/>
      <c r="J64" s="65"/>
      <c r="K64" s="66"/>
      <c r="L64" s="66"/>
      <c r="M64" s="66"/>
      <c r="N64" s="66"/>
    </row>
    <row r="65" spans="1:14" ht="16.5" thickBot="1">
      <c r="A65" s="267" t="s">
        <v>236</v>
      </c>
      <c r="B65" s="302">
        <v>5881.9</v>
      </c>
      <c r="C65" s="269">
        <f>C60</f>
        <v>7458.249199999999</v>
      </c>
      <c r="D65" s="270">
        <v>0</v>
      </c>
      <c r="E65" s="114"/>
      <c r="F65" s="73"/>
      <c r="H65" s="65" t="s">
        <v>26</v>
      </c>
      <c r="I65" s="65"/>
      <c r="J65" s="65"/>
      <c r="K65" s="66"/>
      <c r="L65" s="66"/>
      <c r="M65" s="66"/>
      <c r="N65" s="66"/>
    </row>
    <row r="66" spans="1:14" ht="15.75">
      <c r="A66" s="247"/>
      <c r="B66" s="248"/>
      <c r="C66" s="249"/>
      <c r="D66" s="250"/>
      <c r="E66" s="114"/>
      <c r="F66" s="73"/>
      <c r="H66" s="65"/>
      <c r="I66" s="65"/>
      <c r="J66" s="65"/>
      <c r="K66" s="66"/>
      <c r="L66" s="66"/>
      <c r="M66" s="66"/>
      <c r="N66" s="66"/>
    </row>
    <row r="67" spans="1:14" ht="26.25">
      <c r="A67" s="251" t="s">
        <v>66</v>
      </c>
      <c r="B67" s="248" t="s">
        <v>11</v>
      </c>
      <c r="C67" s="252"/>
      <c r="D67" s="253">
        <v>0</v>
      </c>
      <c r="E67" s="114"/>
      <c r="F67" s="73"/>
      <c r="H67" s="65"/>
      <c r="I67" s="65"/>
      <c r="J67" s="65" t="s">
        <v>26</v>
      </c>
      <c r="K67" s="66"/>
      <c r="L67" s="66"/>
      <c r="M67" s="66"/>
      <c r="N67" s="66"/>
    </row>
    <row r="68" spans="1:14" ht="17.25" customHeight="1">
      <c r="A68" s="572" t="s">
        <v>67</v>
      </c>
      <c r="B68" s="572"/>
      <c r="C68" s="572"/>
      <c r="D68" s="572"/>
      <c r="E68" s="121" t="e">
        <f>D68+B19</f>
        <v>#VALUE!</v>
      </c>
      <c r="F68" s="65"/>
      <c r="H68" s="84" t="e">
        <f>E68-B18</f>
        <v>#VALUE!</v>
      </c>
      <c r="I68" s="65"/>
      <c r="J68" s="65"/>
      <c r="K68" s="66"/>
      <c r="L68" s="66"/>
      <c r="M68" s="66"/>
      <c r="N68" s="66"/>
    </row>
    <row r="69" spans="1:5" ht="21" customHeight="1">
      <c r="A69" s="86" t="s">
        <v>45</v>
      </c>
      <c r="B69" s="86" t="s">
        <v>46</v>
      </c>
      <c r="C69" s="86"/>
      <c r="D69" s="177">
        <v>0</v>
      </c>
      <c r="E69" s="123"/>
    </row>
    <row r="70" spans="1:5" ht="21" customHeight="1">
      <c r="A70" s="86" t="s">
        <v>47</v>
      </c>
      <c r="B70" s="86" t="s">
        <v>46</v>
      </c>
      <c r="C70" s="86"/>
      <c r="D70" s="177">
        <v>0</v>
      </c>
      <c r="E70" s="123"/>
    </row>
    <row r="71" spans="1:5" ht="18" customHeight="1">
      <c r="A71" s="86" t="s">
        <v>48</v>
      </c>
      <c r="B71" s="86" t="s">
        <v>46</v>
      </c>
      <c r="C71" s="86"/>
      <c r="D71" s="177">
        <v>0</v>
      </c>
      <c r="E71" s="123"/>
    </row>
    <row r="72" spans="1:5" ht="16.5" customHeight="1">
      <c r="A72" s="86" t="s">
        <v>49</v>
      </c>
      <c r="B72" s="86" t="s">
        <v>11</v>
      </c>
      <c r="C72" s="86"/>
      <c r="D72" s="177">
        <v>0</v>
      </c>
      <c r="E72" s="123"/>
    </row>
    <row r="73" spans="1:5" ht="15.75" customHeight="1">
      <c r="A73" s="566" t="s">
        <v>68</v>
      </c>
      <c r="B73" s="566"/>
      <c r="C73" s="566"/>
      <c r="D73" s="566"/>
      <c r="E73" s="123"/>
    </row>
    <row r="74" spans="1:5" ht="18.75" customHeight="1">
      <c r="A74" s="86" t="s">
        <v>69</v>
      </c>
      <c r="B74" s="86" t="s">
        <v>46</v>
      </c>
      <c r="C74" s="86"/>
      <c r="D74" s="177">
        <v>0</v>
      </c>
      <c r="E74" s="123"/>
    </row>
    <row r="75" spans="1:5" ht="21.75" customHeight="1">
      <c r="A75" s="86" t="s">
        <v>70</v>
      </c>
      <c r="B75" s="254" t="s">
        <v>46</v>
      </c>
      <c r="C75" s="254"/>
      <c r="D75" s="177">
        <v>0</v>
      </c>
      <c r="E75" s="123"/>
    </row>
    <row r="76" spans="1:5" ht="36" customHeight="1">
      <c r="A76" s="255" t="s">
        <v>71</v>
      </c>
      <c r="B76" s="86" t="s">
        <v>11</v>
      </c>
      <c r="C76" s="86"/>
      <c r="D76" s="177">
        <v>0</v>
      </c>
      <c r="E76" s="123"/>
    </row>
    <row r="77" spans="1:5" ht="15.75">
      <c r="A77" s="256"/>
      <c r="B77" s="256"/>
      <c r="C77" s="256"/>
      <c r="D77" s="257"/>
      <c r="E77" s="109"/>
    </row>
    <row r="78" spans="1:14" s="1" customFormat="1" ht="12.75">
      <c r="A78" s="178"/>
      <c r="B78" s="178"/>
      <c r="C78" s="178"/>
      <c r="D78" s="178"/>
      <c r="E78" s="109"/>
      <c r="H78" s="1" t="s">
        <v>26</v>
      </c>
      <c r="K78"/>
      <c r="L78"/>
      <c r="M78"/>
      <c r="N78"/>
    </row>
    <row r="79" spans="1:14" s="1" customFormat="1" ht="12.75">
      <c r="A79" s="178" t="s">
        <v>72</v>
      </c>
      <c r="B79" s="178"/>
      <c r="C79" s="178"/>
      <c r="D79" s="178"/>
      <c r="E79" s="109"/>
      <c r="K79"/>
      <c r="L79"/>
      <c r="M79"/>
      <c r="N79"/>
    </row>
    <row r="80" spans="1:14" s="1" customFormat="1" ht="12.75">
      <c r="A80" s="178"/>
      <c r="B80" s="178"/>
      <c r="C80" s="178"/>
      <c r="D80" s="178"/>
      <c r="E80" s="109"/>
      <c r="H80" s="1" t="s">
        <v>26</v>
      </c>
      <c r="K80"/>
      <c r="L80"/>
      <c r="M80"/>
      <c r="N80"/>
    </row>
    <row r="81" spans="1:14" s="1" customFormat="1" ht="12.75">
      <c r="A81" s="178" t="s">
        <v>73</v>
      </c>
      <c r="B81" s="178"/>
      <c r="C81" s="178"/>
      <c r="D81" s="178"/>
      <c r="E81" s="109"/>
      <c r="K81"/>
      <c r="L81"/>
      <c r="M81"/>
      <c r="N81"/>
    </row>
    <row r="82" spans="1:4" ht="12.75">
      <c r="A82" s="178"/>
      <c r="B82" s="178"/>
      <c r="C82" s="178"/>
      <c r="D82" s="178"/>
    </row>
    <row r="83" spans="1:4" ht="12.75">
      <c r="A83" s="178"/>
      <c r="B83" s="178"/>
      <c r="C83" s="178"/>
      <c r="D83" s="178"/>
    </row>
    <row r="84" spans="1:4" ht="12.75">
      <c r="A84" s="178"/>
      <c r="B84" s="178"/>
      <c r="C84" s="178"/>
      <c r="D84" s="178"/>
    </row>
    <row r="85" spans="1:14" s="1" customFormat="1" ht="12.75">
      <c r="A85" s="178"/>
      <c r="B85" s="178"/>
      <c r="C85" s="178"/>
      <c r="D85" s="178"/>
      <c r="E85" s="1" t="s">
        <v>26</v>
      </c>
      <c r="K85"/>
      <c r="L85"/>
      <c r="M85"/>
      <c r="N85"/>
    </row>
  </sheetData>
  <sheetProtection selectLockedCells="1" selectUnlockedCells="1"/>
  <mergeCells count="13">
    <mergeCell ref="A73:D73"/>
    <mergeCell ref="A14:D14"/>
    <mergeCell ref="A29:D29"/>
    <mergeCell ref="A43:D43"/>
    <mergeCell ref="A48:D48"/>
    <mergeCell ref="A55:D55"/>
    <mergeCell ref="A68:D68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80"/>
  <sheetViews>
    <sheetView zoomScalePageLayoutView="0" workbookViewId="0" topLeftCell="A25">
      <selection activeCell="C18" sqref="C18"/>
    </sheetView>
  </sheetViews>
  <sheetFormatPr defaultColWidth="9.140625" defaultRowHeight="12.75"/>
  <cols>
    <col min="1" max="1" width="35.140625" style="0" customWidth="1"/>
    <col min="2" max="2" width="20.28125" style="0" customWidth="1"/>
    <col min="3" max="3" width="21.28125" style="0" customWidth="1"/>
    <col min="4" max="4" width="24.7109375" style="0" customWidth="1"/>
  </cols>
  <sheetData>
    <row r="1" spans="1:4" ht="18">
      <c r="A1" s="573" t="s">
        <v>0</v>
      </c>
      <c r="B1" s="573"/>
      <c r="C1" s="573"/>
      <c r="D1" s="573"/>
    </row>
    <row r="2" spans="1:4" ht="15.75">
      <c r="A2" s="574" t="s">
        <v>220</v>
      </c>
      <c r="B2" s="575"/>
      <c r="C2" s="575"/>
      <c r="D2" s="575"/>
    </row>
    <row r="3" spans="1:4" ht="15.75">
      <c r="A3" s="575" t="s">
        <v>1</v>
      </c>
      <c r="B3" s="575"/>
      <c r="C3" s="575"/>
      <c r="D3" s="575"/>
    </row>
    <row r="4" spans="1:4" ht="12.75">
      <c r="A4" s="576" t="s">
        <v>327</v>
      </c>
      <c r="B4" s="576"/>
      <c r="C4" s="576"/>
      <c r="D4" s="576"/>
    </row>
    <row r="5" spans="1:4" ht="12.75">
      <c r="A5" s="577" t="s">
        <v>266</v>
      </c>
      <c r="B5" s="576"/>
      <c r="C5" s="576"/>
      <c r="D5" s="576"/>
    </row>
    <row r="6" ht="12.75">
      <c r="A6" s="516"/>
    </row>
    <row r="7" spans="1:4" ht="12.75">
      <c r="A7" s="578" t="s">
        <v>2</v>
      </c>
      <c r="B7" s="578"/>
      <c r="C7" s="578"/>
      <c r="D7" s="578"/>
    </row>
    <row r="8" spans="1:3" ht="12.75">
      <c r="A8" s="516" t="s">
        <v>176</v>
      </c>
      <c r="C8" s="3"/>
    </row>
    <row r="9" spans="1:4" ht="12.75">
      <c r="A9" s="517" t="s">
        <v>3</v>
      </c>
      <c r="B9" s="517" t="s">
        <v>4</v>
      </c>
      <c r="C9" s="517" t="s">
        <v>5</v>
      </c>
      <c r="D9" s="518"/>
    </row>
    <row r="10" spans="1:4" ht="12.75">
      <c r="A10" s="519">
        <v>1</v>
      </c>
      <c r="B10" s="519">
        <v>2</v>
      </c>
      <c r="C10" s="519">
        <v>3</v>
      </c>
      <c r="D10" s="520">
        <v>4</v>
      </c>
    </row>
    <row r="11" spans="1:4" ht="12.75">
      <c r="A11" s="521" t="s">
        <v>6</v>
      </c>
      <c r="B11" s="522"/>
      <c r="C11" s="523" t="s">
        <v>262</v>
      </c>
      <c r="D11" s="524"/>
    </row>
    <row r="12" spans="1:4" ht="12.75">
      <c r="A12" s="521" t="s">
        <v>7</v>
      </c>
      <c r="B12" s="522"/>
      <c r="C12" s="523" t="s">
        <v>263</v>
      </c>
      <c r="D12" s="524"/>
    </row>
    <row r="13" spans="1:4" ht="12.75">
      <c r="A13" s="521" t="s">
        <v>8</v>
      </c>
      <c r="B13" s="522"/>
      <c r="C13" s="523" t="s">
        <v>267</v>
      </c>
      <c r="D13" s="524"/>
    </row>
    <row r="14" spans="1:4" ht="15.75">
      <c r="A14" s="567" t="s">
        <v>9</v>
      </c>
      <c r="B14" s="567"/>
      <c r="C14" s="567"/>
      <c r="D14" s="567"/>
    </row>
    <row r="15" spans="1:4" ht="41.25" customHeight="1">
      <c r="A15" s="525" t="s">
        <v>10</v>
      </c>
      <c r="B15" s="526" t="s">
        <v>11</v>
      </c>
      <c r="C15" s="15">
        <v>23317.53</v>
      </c>
      <c r="D15" s="14"/>
    </row>
    <row r="16" spans="1:4" ht="15">
      <c r="A16" s="521" t="s">
        <v>12</v>
      </c>
      <c r="B16" s="526" t="s">
        <v>11</v>
      </c>
      <c r="C16" s="13">
        <v>0</v>
      </c>
      <c r="D16" s="14"/>
    </row>
    <row r="17" spans="1:4" ht="15">
      <c r="A17" s="521" t="s">
        <v>13</v>
      </c>
      <c r="B17" s="526" t="s">
        <v>11</v>
      </c>
      <c r="C17" s="15">
        <v>9647.71</v>
      </c>
      <c r="D17" s="16"/>
    </row>
    <row r="18" spans="1:4" ht="43.5" customHeight="1">
      <c r="A18" s="17" t="s">
        <v>14</v>
      </c>
      <c r="B18" s="526" t="s">
        <v>11</v>
      </c>
      <c r="C18" s="15">
        <f>13092.72+1558.44</f>
        <v>14651.16</v>
      </c>
      <c r="D18" s="16"/>
    </row>
    <row r="19" spans="1:4" ht="15">
      <c r="A19" s="521" t="s">
        <v>15</v>
      </c>
      <c r="B19" s="526" t="s">
        <v>11</v>
      </c>
      <c r="C19" s="15">
        <f>C18-C20-C21</f>
        <v>3637.1759999999995</v>
      </c>
      <c r="D19" s="16"/>
    </row>
    <row r="20" spans="1:4" ht="15">
      <c r="A20" s="521" t="s">
        <v>16</v>
      </c>
      <c r="B20" s="526" t="s">
        <v>11</v>
      </c>
      <c r="C20" s="15">
        <f>(4.8+4.81)*6*87.6+1558.44</f>
        <v>6609.456</v>
      </c>
      <c r="D20" s="16"/>
    </row>
    <row r="21" spans="1:4" ht="15">
      <c r="A21" s="521" t="s">
        <v>17</v>
      </c>
      <c r="B21" s="526" t="s">
        <v>11</v>
      </c>
      <c r="C21" s="19">
        <f>87.6*4.19*12</f>
        <v>4404.528</v>
      </c>
      <c r="D21" s="16"/>
    </row>
    <row r="22" spans="1:4" ht="15">
      <c r="A22" s="20" t="s">
        <v>18</v>
      </c>
      <c r="B22" s="526" t="s">
        <v>11</v>
      </c>
      <c r="C22" s="15">
        <f>C23+C24+C25+C26+C27</f>
        <v>24729.692963999998</v>
      </c>
      <c r="D22" s="16" t="s">
        <v>19</v>
      </c>
    </row>
    <row r="23" spans="1:4" ht="15">
      <c r="A23" s="521" t="s">
        <v>20</v>
      </c>
      <c r="B23" s="526" t="s">
        <v>11</v>
      </c>
      <c r="C23" s="15">
        <f>C18*1.6879</f>
        <v>24729.692963999998</v>
      </c>
      <c r="D23" s="16"/>
    </row>
    <row r="24" spans="1:4" ht="15">
      <c r="A24" s="521" t="s">
        <v>21</v>
      </c>
      <c r="B24" s="526" t="s">
        <v>11</v>
      </c>
      <c r="C24" s="15">
        <v>0</v>
      </c>
      <c r="D24" s="21">
        <v>65.21</v>
      </c>
    </row>
    <row r="25" spans="1:4" ht="15">
      <c r="A25" s="521" t="s">
        <v>23</v>
      </c>
      <c r="B25" s="526" t="s">
        <v>11</v>
      </c>
      <c r="C25" s="15">
        <v>0</v>
      </c>
      <c r="D25" s="21">
        <v>119.63</v>
      </c>
    </row>
    <row r="26" spans="1:4" ht="15">
      <c r="A26" s="522" t="s">
        <v>24</v>
      </c>
      <c r="B26" s="526" t="s">
        <v>11</v>
      </c>
      <c r="C26" s="15">
        <v>0</v>
      </c>
      <c r="D26" s="21"/>
    </row>
    <row r="27" spans="1:4" ht="15">
      <c r="A27" s="527" t="s">
        <v>96</v>
      </c>
      <c r="B27" s="526" t="s">
        <v>11</v>
      </c>
      <c r="C27" s="15">
        <v>0</v>
      </c>
      <c r="D27" s="21">
        <v>139.18</v>
      </c>
    </row>
    <row r="28" spans="1:4" ht="15">
      <c r="A28" s="521" t="s">
        <v>25</v>
      </c>
      <c r="B28" s="526" t="s">
        <v>11</v>
      </c>
      <c r="C28" s="15">
        <f>C15+C22</f>
        <v>48047.222964</v>
      </c>
      <c r="D28" s="16" t="s">
        <v>26</v>
      </c>
    </row>
    <row r="29" spans="1:4" ht="15.75">
      <c r="A29" s="579" t="s">
        <v>27</v>
      </c>
      <c r="B29" s="579"/>
      <c r="C29" s="579"/>
      <c r="D29" s="579"/>
    </row>
    <row r="30" spans="1:4" ht="60">
      <c r="A30" s="528" t="s">
        <v>28</v>
      </c>
      <c r="B30" s="529" t="s">
        <v>29</v>
      </c>
      <c r="C30" s="530" t="s">
        <v>30</v>
      </c>
      <c r="D30" s="25" t="s">
        <v>31</v>
      </c>
    </row>
    <row r="31" spans="1:4" ht="30">
      <c r="A31" s="531" t="s">
        <v>32</v>
      </c>
      <c r="B31" s="532" t="s">
        <v>33</v>
      </c>
      <c r="C31" s="533" t="s">
        <v>34</v>
      </c>
      <c r="D31" s="92">
        <f>0.85*12*87.6</f>
        <v>893.5199999999999</v>
      </c>
    </row>
    <row r="32" spans="1:4" ht="15">
      <c r="A32" s="534" t="s">
        <v>36</v>
      </c>
      <c r="B32" s="535" t="s">
        <v>33</v>
      </c>
      <c r="C32" s="322" t="s">
        <v>37</v>
      </c>
      <c r="D32" s="93">
        <f>0.24*12*87.6</f>
        <v>252.28799999999998</v>
      </c>
    </row>
    <row r="33" spans="1:4" ht="15">
      <c r="A33" s="536" t="s">
        <v>179</v>
      </c>
      <c r="B33" s="535" t="s">
        <v>33</v>
      </c>
      <c r="C33" s="322" t="s">
        <v>34</v>
      </c>
      <c r="D33" s="93">
        <f>0.16*12*87.6</f>
        <v>168.19199999999998</v>
      </c>
    </row>
    <row r="34" spans="1:4" ht="15">
      <c r="A34" s="534" t="s">
        <v>81</v>
      </c>
      <c r="B34" s="537" t="s">
        <v>82</v>
      </c>
      <c r="C34" s="322" t="s">
        <v>34</v>
      </c>
      <c r="D34" s="93">
        <f>1.33*12*87.6</f>
        <v>1398.096</v>
      </c>
    </row>
    <row r="35" spans="1:4" ht="15">
      <c r="A35" s="534" t="s">
        <v>38</v>
      </c>
      <c r="B35" s="535" t="s">
        <v>35</v>
      </c>
      <c r="C35" s="331" t="s">
        <v>221</v>
      </c>
      <c r="D35" s="93">
        <f>4.19*87.6*12</f>
        <v>4404.528</v>
      </c>
    </row>
    <row r="36" spans="1:4" ht="15">
      <c r="A36" s="534" t="s">
        <v>85</v>
      </c>
      <c r="B36" s="535" t="s">
        <v>222</v>
      </c>
      <c r="C36" s="538" t="s">
        <v>37</v>
      </c>
      <c r="D36" s="93">
        <f>87.6*12*0.88+0.02</f>
        <v>925.0759999999998</v>
      </c>
    </row>
    <row r="37" spans="1:4" ht="45">
      <c r="A37" s="539" t="s">
        <v>40</v>
      </c>
      <c r="B37" s="540" t="s">
        <v>41</v>
      </c>
      <c r="C37" s="533"/>
      <c r="D37" s="36">
        <v>0</v>
      </c>
    </row>
    <row r="38" spans="1:4" ht="15.75">
      <c r="A38" s="506" t="s">
        <v>42</v>
      </c>
      <c r="B38" s="541"/>
      <c r="C38" s="542"/>
      <c r="D38" s="97">
        <f>D31+D32+D33+D34+D35+D36+D37</f>
        <v>8041.7</v>
      </c>
    </row>
    <row r="39" spans="1:4" ht="15">
      <c r="A39" s="509" t="s">
        <v>43</v>
      </c>
      <c r="B39" s="543" t="s">
        <v>11</v>
      </c>
      <c r="C39" s="544"/>
      <c r="D39" s="43">
        <f>C28-D38</f>
        <v>40005.522964</v>
      </c>
    </row>
    <row r="40" spans="1:4" ht="15">
      <c r="A40" s="522" t="s">
        <v>12</v>
      </c>
      <c r="B40" s="545" t="s">
        <v>11</v>
      </c>
      <c r="C40" s="322"/>
      <c r="D40" s="14"/>
    </row>
    <row r="41" spans="1:4" ht="15">
      <c r="A41" s="522" t="s">
        <v>13</v>
      </c>
      <c r="B41" s="545" t="s">
        <v>11</v>
      </c>
      <c r="C41" s="322"/>
      <c r="D41" s="16">
        <v>3637.1759999999995</v>
      </c>
    </row>
    <row r="42" spans="1:4" ht="15.75">
      <c r="A42" s="580" t="s">
        <v>44</v>
      </c>
      <c r="B42" s="580"/>
      <c r="C42" s="580"/>
      <c r="D42" s="580"/>
    </row>
    <row r="43" spans="1:4" ht="15">
      <c r="A43" s="522" t="s">
        <v>45</v>
      </c>
      <c r="B43" s="535" t="s">
        <v>46</v>
      </c>
      <c r="C43" s="322">
        <v>0</v>
      </c>
      <c r="D43" s="14">
        <v>0</v>
      </c>
    </row>
    <row r="44" spans="1:4" ht="15">
      <c r="A44" s="522" t="s">
        <v>47</v>
      </c>
      <c r="B44" s="535" t="s">
        <v>46</v>
      </c>
      <c r="C44" s="322">
        <v>0</v>
      </c>
      <c r="D44" s="14">
        <v>0</v>
      </c>
    </row>
    <row r="45" spans="1:4" ht="25.5">
      <c r="A45" s="527" t="s">
        <v>48</v>
      </c>
      <c r="B45" s="535" t="s">
        <v>46</v>
      </c>
      <c r="C45" s="322">
        <v>0</v>
      </c>
      <c r="D45" s="14">
        <v>0</v>
      </c>
    </row>
    <row r="46" spans="1:4" ht="15">
      <c r="A46" s="522" t="s">
        <v>49</v>
      </c>
      <c r="B46" s="535" t="s">
        <v>11</v>
      </c>
      <c r="C46" s="322">
        <v>0</v>
      </c>
      <c r="D46" s="14">
        <v>0</v>
      </c>
    </row>
    <row r="47" spans="1:4" ht="15.75">
      <c r="A47" s="581" t="s">
        <v>50</v>
      </c>
      <c r="B47" s="581"/>
      <c r="C47" s="581"/>
      <c r="D47" s="581"/>
    </row>
    <row r="48" spans="1:4" ht="38.25">
      <c r="A48" s="527" t="s">
        <v>51</v>
      </c>
      <c r="B48" s="535" t="s">
        <v>11</v>
      </c>
      <c r="C48" s="322"/>
      <c r="D48" s="14">
        <v>0</v>
      </c>
    </row>
    <row r="49" spans="1:4" ht="15">
      <c r="A49" s="522" t="s">
        <v>12</v>
      </c>
      <c r="B49" s="535" t="s">
        <v>11</v>
      </c>
      <c r="C49" s="322"/>
      <c r="D49" s="14">
        <v>0</v>
      </c>
    </row>
    <row r="50" spans="1:4" ht="15">
      <c r="A50" s="522" t="s">
        <v>13</v>
      </c>
      <c r="B50" s="535" t="s">
        <v>11</v>
      </c>
      <c r="C50" s="322"/>
      <c r="D50" s="48">
        <f>D53-D56-D57-D58-D59</f>
        <v>6078.439868</v>
      </c>
    </row>
    <row r="51" spans="1:4" ht="38.25">
      <c r="A51" s="546" t="s">
        <v>52</v>
      </c>
      <c r="B51" s="535" t="s">
        <v>11</v>
      </c>
      <c r="C51" s="547"/>
      <c r="D51" s="52">
        <v>0</v>
      </c>
    </row>
    <row r="52" spans="1:4" ht="15">
      <c r="A52" s="548" t="s">
        <v>12</v>
      </c>
      <c r="B52" s="535" t="s">
        <v>11</v>
      </c>
      <c r="C52" s="322"/>
      <c r="D52" s="14">
        <v>0</v>
      </c>
    </row>
    <row r="53" spans="1:4" ht="15">
      <c r="A53" s="549" t="s">
        <v>13</v>
      </c>
      <c r="B53" s="535" t="s">
        <v>11</v>
      </c>
      <c r="C53" s="550"/>
      <c r="D53" s="58">
        <v>1723.4</v>
      </c>
    </row>
    <row r="54" spans="1:4" ht="16.5" thickBot="1">
      <c r="A54" s="571" t="s">
        <v>53</v>
      </c>
      <c r="B54" s="571"/>
      <c r="C54" s="571"/>
      <c r="D54" s="571"/>
    </row>
    <row r="55" spans="1:4" ht="47.25">
      <c r="A55" s="67" t="s">
        <v>54</v>
      </c>
      <c r="B55" s="68" t="s">
        <v>55</v>
      </c>
      <c r="C55" s="69" t="s">
        <v>56</v>
      </c>
      <c r="D55" s="70" t="s">
        <v>57</v>
      </c>
    </row>
    <row r="56" spans="1:4" ht="15">
      <c r="A56" s="551" t="s">
        <v>58</v>
      </c>
      <c r="B56" s="99">
        <v>1423.7</v>
      </c>
      <c r="C56" s="100">
        <f>B56*1.6879</f>
        <v>2403.06323</v>
      </c>
      <c r="D56" s="101">
        <f>B56-C56</f>
        <v>-979.3632300000002</v>
      </c>
    </row>
    <row r="57" spans="1:4" ht="15">
      <c r="A57" s="551" t="s">
        <v>59</v>
      </c>
      <c r="B57" s="99">
        <v>0</v>
      </c>
      <c r="C57" s="100">
        <f>B57*0.8884</f>
        <v>0</v>
      </c>
      <c r="D57" s="101">
        <f>B57-C57</f>
        <v>0</v>
      </c>
    </row>
    <row r="58" spans="1:4" ht="15">
      <c r="A58" s="551" t="s">
        <v>60</v>
      </c>
      <c r="B58" s="102">
        <v>0</v>
      </c>
      <c r="C58" s="100">
        <f>B58*0.8884</f>
        <v>0</v>
      </c>
      <c r="D58" s="101">
        <f>B58-C58</f>
        <v>0</v>
      </c>
    </row>
    <row r="59" spans="1:4" ht="15.75" thickBot="1">
      <c r="A59" s="552" t="s">
        <v>236</v>
      </c>
      <c r="B59" s="126">
        <v>4907.22</v>
      </c>
      <c r="C59" s="100">
        <f>B59*1.6879</f>
        <v>8282.896638</v>
      </c>
      <c r="D59" s="128">
        <f>B59-C59</f>
        <v>-3375.676638</v>
      </c>
    </row>
    <row r="60" spans="1:4" ht="63">
      <c r="A60" s="129" t="s">
        <v>62</v>
      </c>
      <c r="B60" s="130" t="s">
        <v>63</v>
      </c>
      <c r="C60" s="131" t="s">
        <v>64</v>
      </c>
      <c r="D60" s="132" t="s">
        <v>65</v>
      </c>
    </row>
    <row r="61" spans="1:4" ht="15">
      <c r="A61" s="553" t="s">
        <v>58</v>
      </c>
      <c r="B61" s="99">
        <v>1423.7</v>
      </c>
      <c r="C61" s="105">
        <f>C56</f>
        <v>2403.06323</v>
      </c>
      <c r="D61" s="134">
        <f>B61-C61</f>
        <v>-979.3632300000002</v>
      </c>
    </row>
    <row r="62" spans="1:4" ht="15">
      <c r="A62" s="553" t="s">
        <v>59</v>
      </c>
      <c r="B62" s="99">
        <v>0</v>
      </c>
      <c r="C62" s="105">
        <f>C57*1.0063</f>
        <v>0</v>
      </c>
      <c r="D62" s="134">
        <f>B62-C62</f>
        <v>0</v>
      </c>
    </row>
    <row r="63" spans="1:4" ht="15">
      <c r="A63" s="553" t="s">
        <v>60</v>
      </c>
      <c r="B63" s="102">
        <v>0</v>
      </c>
      <c r="C63" s="105">
        <f>C58*1.0063</f>
        <v>0</v>
      </c>
      <c r="D63" s="134">
        <f>B63-C63</f>
        <v>0</v>
      </c>
    </row>
    <row r="64" spans="1:4" ht="15">
      <c r="A64" s="553" t="s">
        <v>236</v>
      </c>
      <c r="B64" s="126">
        <v>4907.22</v>
      </c>
      <c r="C64" s="105">
        <f>C59</f>
        <v>8282.896638</v>
      </c>
      <c r="D64" s="134">
        <f>B64-C64</f>
        <v>-3375.676638</v>
      </c>
    </row>
    <row r="65" spans="1:4" ht="15">
      <c r="A65" s="554"/>
      <c r="B65" s="555"/>
      <c r="C65" s="78"/>
      <c r="D65" s="79"/>
    </row>
    <row r="66" spans="1:4" ht="25.5">
      <c r="A66" s="556" t="s">
        <v>66</v>
      </c>
      <c r="B66" s="555" t="s">
        <v>11</v>
      </c>
      <c r="C66" s="81"/>
      <c r="D66" s="82">
        <v>0</v>
      </c>
    </row>
    <row r="67" spans="1:4" ht="15.75">
      <c r="A67" s="572" t="s">
        <v>67</v>
      </c>
      <c r="B67" s="572"/>
      <c r="C67" s="572"/>
      <c r="D67" s="572"/>
    </row>
    <row r="68" spans="1:4" ht="15.75">
      <c r="A68" s="557" t="s">
        <v>45</v>
      </c>
      <c r="B68" s="557" t="s">
        <v>46</v>
      </c>
      <c r="C68" s="86"/>
      <c r="D68" s="177">
        <v>0</v>
      </c>
    </row>
    <row r="69" spans="1:4" ht="15.75">
      <c r="A69" s="557" t="s">
        <v>47</v>
      </c>
      <c r="B69" s="557" t="s">
        <v>46</v>
      </c>
      <c r="C69" s="557"/>
      <c r="D69" s="177">
        <v>0</v>
      </c>
    </row>
    <row r="70" spans="1:4" ht="15.75">
      <c r="A70" s="557" t="s">
        <v>48</v>
      </c>
      <c r="B70" s="557" t="s">
        <v>46</v>
      </c>
      <c r="C70" s="557"/>
      <c r="D70" s="177">
        <v>0</v>
      </c>
    </row>
    <row r="71" spans="1:4" ht="15.75">
      <c r="A71" s="557" t="s">
        <v>49</v>
      </c>
      <c r="B71" s="557" t="s">
        <v>11</v>
      </c>
      <c r="C71" s="557"/>
      <c r="D71" s="177">
        <v>0</v>
      </c>
    </row>
    <row r="72" spans="1:4" ht="12.75">
      <c r="A72" s="566" t="s">
        <v>68</v>
      </c>
      <c r="B72" s="566"/>
      <c r="C72" s="566"/>
      <c r="D72" s="566"/>
    </row>
    <row r="73" spans="1:4" ht="15.75">
      <c r="A73" s="557" t="s">
        <v>69</v>
      </c>
      <c r="B73" s="557" t="s">
        <v>46</v>
      </c>
      <c r="C73" s="557"/>
      <c r="D73" s="177">
        <v>1</v>
      </c>
    </row>
    <row r="74" spans="1:4" ht="15.75">
      <c r="A74" s="557" t="s">
        <v>70</v>
      </c>
      <c r="B74" s="548" t="s">
        <v>46</v>
      </c>
      <c r="C74" s="548"/>
      <c r="D74" s="177">
        <v>0</v>
      </c>
    </row>
    <row r="75" spans="1:4" ht="39">
      <c r="A75" s="558" t="s">
        <v>71</v>
      </c>
      <c r="B75" s="557" t="s">
        <v>11</v>
      </c>
      <c r="C75" s="557"/>
      <c r="D75" s="177">
        <v>15528.01</v>
      </c>
    </row>
    <row r="76" ht="15">
      <c r="D76" s="559"/>
    </row>
    <row r="78" ht="12.75">
      <c r="A78" t="s">
        <v>72</v>
      </c>
    </row>
    <row r="80" ht="12.75">
      <c r="A80" t="s">
        <v>73</v>
      </c>
    </row>
  </sheetData>
  <sheetProtection selectLockedCells="1" selectUnlockedCells="1"/>
  <mergeCells count="13">
    <mergeCell ref="A72:D72"/>
    <mergeCell ref="A14:D14"/>
    <mergeCell ref="A29:D29"/>
    <mergeCell ref="A42:D42"/>
    <mergeCell ref="A47:D47"/>
    <mergeCell ref="A54:D54"/>
    <mergeCell ref="A67:D67"/>
    <mergeCell ref="A1:D1"/>
    <mergeCell ref="A2:D2"/>
    <mergeCell ref="A3:D3"/>
    <mergeCell ref="A4:D4"/>
    <mergeCell ref="A5:D5"/>
    <mergeCell ref="A7:D7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zoomScale="80" zoomScaleNormal="80" zoomScalePageLayoutView="0" workbookViewId="0" topLeftCell="A22">
      <selection activeCell="D39" sqref="D39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560" t="s">
        <v>0</v>
      </c>
      <c r="B1" s="560"/>
      <c r="C1" s="560"/>
      <c r="D1" s="560"/>
    </row>
    <row r="2" spans="1:4" ht="15.75">
      <c r="A2" s="561" t="s">
        <v>220</v>
      </c>
      <c r="B2" s="562"/>
      <c r="C2" s="562"/>
      <c r="D2" s="562"/>
    </row>
    <row r="3" spans="1:4" ht="15.75">
      <c r="A3" s="562" t="s">
        <v>1</v>
      </c>
      <c r="B3" s="562"/>
      <c r="C3" s="562"/>
      <c r="D3" s="562"/>
    </row>
    <row r="4" spans="1:4" ht="12.75">
      <c r="A4" s="563" t="s">
        <v>117</v>
      </c>
      <c r="B4" s="563"/>
      <c r="C4" s="563"/>
      <c r="D4" s="563"/>
    </row>
    <row r="5" spans="1:4" ht="12.75">
      <c r="A5" s="564" t="s">
        <v>266</v>
      </c>
      <c r="B5" s="563"/>
      <c r="C5" s="563"/>
      <c r="D5" s="563"/>
    </row>
    <row r="6" ht="9" customHeight="1">
      <c r="A6" s="2"/>
    </row>
    <row r="7" spans="1:4" ht="18" customHeight="1">
      <c r="A7" s="565" t="s">
        <v>2</v>
      </c>
      <c r="B7" s="565"/>
      <c r="C7" s="565"/>
      <c r="D7" s="565"/>
    </row>
    <row r="8" spans="1:3" ht="12.75">
      <c r="A8" s="2" t="s">
        <v>180</v>
      </c>
      <c r="C8" s="3"/>
    </row>
    <row r="9" spans="1:4" ht="12.75">
      <c r="A9" s="4" t="s">
        <v>3</v>
      </c>
      <c r="B9" s="4" t="s">
        <v>4</v>
      </c>
      <c r="C9" s="4" t="s">
        <v>5</v>
      </c>
      <c r="D9" s="5"/>
    </row>
    <row r="10" spans="1:4" ht="12.75">
      <c r="A10" s="6">
        <v>1</v>
      </c>
      <c r="B10" s="6">
        <v>2</v>
      </c>
      <c r="C10" s="6">
        <v>3</v>
      </c>
      <c r="D10" s="7">
        <v>4</v>
      </c>
    </row>
    <row r="11" spans="1:4" ht="12.75">
      <c r="A11" s="8" t="s">
        <v>6</v>
      </c>
      <c r="B11" s="9"/>
      <c r="C11" s="144" t="s">
        <v>312</v>
      </c>
      <c r="D11" s="10"/>
    </row>
    <row r="12" spans="1:5" ht="12.75">
      <c r="A12" s="8" t="s">
        <v>7</v>
      </c>
      <c r="B12" s="9"/>
      <c r="C12" s="144" t="s">
        <v>263</v>
      </c>
      <c r="D12" s="10"/>
      <c r="E12" s="109"/>
    </row>
    <row r="13" spans="1:5" ht="12.75">
      <c r="A13" s="8" t="s">
        <v>8</v>
      </c>
      <c r="B13" s="9"/>
      <c r="C13" s="144" t="s">
        <v>267</v>
      </c>
      <c r="D13" s="10"/>
      <c r="E13" s="109"/>
    </row>
    <row r="14" spans="1:5" ht="31.5" customHeight="1">
      <c r="A14" s="567" t="s">
        <v>9</v>
      </c>
      <c r="B14" s="567"/>
      <c r="C14" s="567"/>
      <c r="D14" s="567"/>
      <c r="E14" s="109"/>
    </row>
    <row r="15" spans="1:5" ht="25.5">
      <c r="A15" s="11" t="s">
        <v>10</v>
      </c>
      <c r="B15" s="12" t="s">
        <v>11</v>
      </c>
      <c r="C15" s="13">
        <v>8156.26</v>
      </c>
      <c r="D15" s="14"/>
      <c r="E15" s="109"/>
    </row>
    <row r="16" spans="1:8" ht="15">
      <c r="A16" s="8" t="s">
        <v>12</v>
      </c>
      <c r="B16" s="12" t="s">
        <v>11</v>
      </c>
      <c r="C16" s="13">
        <v>0</v>
      </c>
      <c r="D16" s="14"/>
      <c r="E16" s="109"/>
      <c r="F16" s="109"/>
      <c r="G16" s="109"/>
      <c r="H16" s="109"/>
    </row>
    <row r="17" spans="1:8" ht="15">
      <c r="A17" s="8" t="s">
        <v>13</v>
      </c>
      <c r="B17" s="12" t="s">
        <v>11</v>
      </c>
      <c r="C17" s="15">
        <v>3363.7</v>
      </c>
      <c r="D17" s="16"/>
      <c r="E17" s="109"/>
      <c r="F17" s="109"/>
      <c r="G17" s="109"/>
      <c r="H17" s="109"/>
    </row>
    <row r="18" spans="1:8" ht="31.5" customHeight="1">
      <c r="A18" s="17" t="s">
        <v>14</v>
      </c>
      <c r="B18" s="12" t="s">
        <v>11</v>
      </c>
      <c r="C18" s="15">
        <f>6532.74</f>
        <v>6532.74</v>
      </c>
      <c r="D18" s="16"/>
      <c r="E18" s="110">
        <f>C18-C20</f>
        <v>5075.237999999999</v>
      </c>
      <c r="F18" s="109"/>
      <c r="G18" s="109"/>
      <c r="H18" s="109"/>
    </row>
    <row r="19" spans="1:8" ht="15">
      <c r="A19" s="8" t="s">
        <v>15</v>
      </c>
      <c r="B19" s="12" t="s">
        <v>11</v>
      </c>
      <c r="C19" s="15">
        <f>C18-C20-C21</f>
        <v>2174.081999999999</v>
      </c>
      <c r="D19" s="16"/>
      <c r="E19" s="110">
        <f>E18-E38</f>
        <v>-0.004000000000814907</v>
      </c>
      <c r="F19" s="109"/>
      <c r="G19" s="109"/>
      <c r="H19" s="109"/>
    </row>
    <row r="20" spans="1:8" ht="15">
      <c r="A20" s="8" t="s">
        <v>16</v>
      </c>
      <c r="B20" s="12" t="s">
        <v>11</v>
      </c>
      <c r="C20" s="15">
        <f>(1.97+2.24)*6*57.7</f>
        <v>1457.502</v>
      </c>
      <c r="D20" s="16"/>
      <c r="E20" s="111"/>
      <c r="F20" s="109"/>
      <c r="G20" s="109"/>
      <c r="H20" s="109"/>
    </row>
    <row r="21" spans="1:8" ht="15">
      <c r="A21" s="8" t="s">
        <v>17</v>
      </c>
      <c r="B21" s="12" t="s">
        <v>11</v>
      </c>
      <c r="C21" s="19">
        <f>57.7*4.19*12</f>
        <v>2901.1560000000004</v>
      </c>
      <c r="D21" s="16"/>
      <c r="E21" s="109"/>
      <c r="F21" s="109"/>
      <c r="G21" s="109"/>
      <c r="H21" s="109"/>
    </row>
    <row r="22" spans="1:8" ht="15">
      <c r="A22" s="20" t="s">
        <v>18</v>
      </c>
      <c r="B22" s="12" t="s">
        <v>11</v>
      </c>
      <c r="C22" s="15">
        <f>C23+C24+C25+C26+C27</f>
        <v>10367.45838</v>
      </c>
      <c r="D22" s="16" t="s">
        <v>19</v>
      </c>
      <c r="E22" s="110"/>
      <c r="F22" s="109"/>
      <c r="G22" s="109"/>
      <c r="H22" s="109"/>
    </row>
    <row r="23" spans="1:8" ht="15">
      <c r="A23" s="8" t="s">
        <v>20</v>
      </c>
      <c r="B23" s="12" t="s">
        <v>11</v>
      </c>
      <c r="C23" s="15">
        <f>C18*1.587</f>
        <v>10367.45838</v>
      </c>
      <c r="D23" s="16"/>
      <c r="E23" s="109"/>
      <c r="F23" s="109"/>
      <c r="G23" s="109"/>
      <c r="H23" s="109"/>
    </row>
    <row r="24" spans="1:8" ht="15">
      <c r="A24" s="8" t="s">
        <v>21</v>
      </c>
      <c r="B24" s="12" t="s">
        <v>11</v>
      </c>
      <c r="C24" s="15">
        <v>0</v>
      </c>
      <c r="D24" s="21">
        <v>65.21</v>
      </c>
      <c r="E24" s="111" t="e">
        <f>B24/#REF!*1</f>
        <v>#VALUE!</v>
      </c>
      <c r="F24" s="109"/>
      <c r="G24" s="109"/>
      <c r="H24" s="109" t="s">
        <v>22</v>
      </c>
    </row>
    <row r="25" spans="1:8" ht="15">
      <c r="A25" s="8" t="s">
        <v>23</v>
      </c>
      <c r="B25" s="12" t="s">
        <v>11</v>
      </c>
      <c r="C25" s="15">
        <v>0</v>
      </c>
      <c r="D25" s="21">
        <v>119.63</v>
      </c>
      <c r="E25" s="111" t="e">
        <f>B25/#REF!*1</f>
        <v>#VALUE!</v>
      </c>
      <c r="F25" s="109"/>
      <c r="G25" s="109"/>
      <c r="H25" s="109"/>
    </row>
    <row r="26" spans="1:8" ht="15">
      <c r="A26" s="9" t="s">
        <v>24</v>
      </c>
      <c r="B26" s="12" t="s">
        <v>11</v>
      </c>
      <c r="C26" s="15">
        <v>0</v>
      </c>
      <c r="D26" s="21"/>
      <c r="E26" s="111" t="e">
        <f>B26/#REF!*1</f>
        <v>#VALUE!</v>
      </c>
      <c r="F26" s="109"/>
      <c r="G26" s="109"/>
      <c r="H26" s="109"/>
    </row>
    <row r="27" spans="1:8" ht="16.5" customHeight="1">
      <c r="A27" s="98" t="s">
        <v>96</v>
      </c>
      <c r="B27" s="12" t="s">
        <v>11</v>
      </c>
      <c r="C27" s="15">
        <v>0</v>
      </c>
      <c r="D27" s="21">
        <v>139.18</v>
      </c>
      <c r="E27" s="111" t="e">
        <f>B27/#REF!*1</f>
        <v>#VALUE!</v>
      </c>
      <c r="F27" s="109"/>
      <c r="G27" s="109"/>
      <c r="H27" s="109"/>
    </row>
    <row r="28" spans="1:8" ht="15">
      <c r="A28" s="8" t="s">
        <v>25</v>
      </c>
      <c r="B28" s="12" t="s">
        <v>11</v>
      </c>
      <c r="C28" s="15">
        <f>C15+C22</f>
        <v>18523.71838</v>
      </c>
      <c r="D28" s="16" t="s">
        <v>26</v>
      </c>
      <c r="E28" s="111" t="e">
        <f>B28/#REF!*1</f>
        <v>#VALUE!</v>
      </c>
      <c r="F28" s="109"/>
      <c r="G28" s="109"/>
      <c r="H28" s="109"/>
    </row>
    <row r="29" spans="1:8" ht="35.25" customHeight="1">
      <c r="A29" s="568" t="s">
        <v>27</v>
      </c>
      <c r="B29" s="568"/>
      <c r="C29" s="568"/>
      <c r="D29" s="568"/>
      <c r="E29" s="109"/>
      <c r="F29" s="109"/>
      <c r="G29" s="109"/>
      <c r="H29" s="109"/>
    </row>
    <row r="30" spans="1:8" ht="60">
      <c r="A30" s="22" t="s">
        <v>28</v>
      </c>
      <c r="B30" s="23" t="s">
        <v>29</v>
      </c>
      <c r="C30" s="24" t="s">
        <v>30</v>
      </c>
      <c r="D30" s="25" t="s">
        <v>31</v>
      </c>
      <c r="E30" s="109"/>
      <c r="F30" s="109"/>
      <c r="G30" s="109"/>
      <c r="H30" s="109"/>
    </row>
    <row r="31" spans="1:8" ht="15">
      <c r="A31" s="26" t="s">
        <v>32</v>
      </c>
      <c r="B31" s="27" t="s">
        <v>33</v>
      </c>
      <c r="C31" s="28" t="s">
        <v>34</v>
      </c>
      <c r="D31" s="92">
        <f>(0.85+0.95)*6*57.7</f>
        <v>623.16</v>
      </c>
      <c r="E31" s="109"/>
      <c r="F31" s="109"/>
      <c r="G31" s="109"/>
      <c r="H31" s="109"/>
    </row>
    <row r="32" spans="1:8" ht="15">
      <c r="A32" s="29" t="s">
        <v>36</v>
      </c>
      <c r="B32" s="30" t="s">
        <v>33</v>
      </c>
      <c r="C32" s="31" t="s">
        <v>37</v>
      </c>
      <c r="D32" s="93">
        <f>0.24*12*57.7</f>
        <v>166.17600000000002</v>
      </c>
      <c r="E32" s="109"/>
      <c r="F32" s="109"/>
      <c r="G32" s="109"/>
      <c r="H32" s="109"/>
    </row>
    <row r="33" spans="1:8" ht="15">
      <c r="A33" s="153" t="s">
        <v>174</v>
      </c>
      <c r="B33" s="30" t="s">
        <v>33</v>
      </c>
      <c r="C33" s="31" t="s">
        <v>34</v>
      </c>
      <c r="D33" s="93">
        <v>0</v>
      </c>
      <c r="E33" s="109"/>
      <c r="F33" s="109"/>
      <c r="G33" s="109"/>
      <c r="H33" s="109"/>
    </row>
    <row r="34" spans="1:8" ht="15">
      <c r="A34" s="29" t="s">
        <v>81</v>
      </c>
      <c r="B34" s="91" t="s">
        <v>82</v>
      </c>
      <c r="C34" s="31" t="s">
        <v>34</v>
      </c>
      <c r="D34" s="93">
        <f>57.7*12*1.33</f>
        <v>920.8920000000002</v>
      </c>
      <c r="E34" s="109"/>
      <c r="F34" s="109"/>
      <c r="G34" s="109"/>
      <c r="H34" s="109"/>
    </row>
    <row r="35" spans="1:8" ht="15">
      <c r="A35" s="29" t="s">
        <v>38</v>
      </c>
      <c r="B35" s="30" t="s">
        <v>35</v>
      </c>
      <c r="C35" s="364" t="s">
        <v>221</v>
      </c>
      <c r="D35" s="93">
        <f>4.19*57.7*12</f>
        <v>2901.1560000000004</v>
      </c>
      <c r="E35" s="109"/>
      <c r="F35" s="109"/>
      <c r="G35" s="109"/>
      <c r="H35" s="109"/>
    </row>
    <row r="36" spans="1:8" ht="15">
      <c r="A36" s="29" t="s">
        <v>85</v>
      </c>
      <c r="B36" s="30" t="s">
        <v>222</v>
      </c>
      <c r="C36" s="171" t="s">
        <v>37</v>
      </c>
      <c r="D36" s="93">
        <f>57.7*0.67*12-0.05</f>
        <v>463.85800000000006</v>
      </c>
      <c r="E36" s="109"/>
      <c r="F36" s="109"/>
      <c r="G36" s="109"/>
      <c r="H36" s="109"/>
    </row>
    <row r="37" spans="1:14" s="1" customFormat="1" ht="45">
      <c r="A37" s="33" t="s">
        <v>40</v>
      </c>
      <c r="B37" s="34" t="s">
        <v>41</v>
      </c>
      <c r="C37" s="28"/>
      <c r="D37" s="36">
        <v>0</v>
      </c>
      <c r="E37" s="109"/>
      <c r="F37" s="109"/>
      <c r="G37" s="109"/>
      <c r="H37" s="109"/>
      <c r="K37"/>
      <c r="L37"/>
      <c r="M37"/>
      <c r="N37"/>
    </row>
    <row r="38" spans="1:14" s="1" customFormat="1" ht="15.75">
      <c r="A38" s="37" t="s">
        <v>42</v>
      </c>
      <c r="B38" s="38"/>
      <c r="C38" s="39"/>
      <c r="D38" s="97">
        <f>SUM(D31:D37)</f>
        <v>5075.242</v>
      </c>
      <c r="E38" s="112">
        <f>D38-D37</f>
        <v>5075.242</v>
      </c>
      <c r="F38" s="109"/>
      <c r="G38" s="109"/>
      <c r="H38" s="109"/>
      <c r="K38"/>
      <c r="L38"/>
      <c r="M38"/>
      <c r="N38"/>
    </row>
    <row r="39" spans="1:14" s="1" customFormat="1" ht="15">
      <c r="A39" s="40" t="s">
        <v>43</v>
      </c>
      <c r="B39" s="41" t="s">
        <v>11</v>
      </c>
      <c r="C39" s="42"/>
      <c r="D39" s="43">
        <f>C28-D38</f>
        <v>13448.476379999998</v>
      </c>
      <c r="E39" s="112"/>
      <c r="F39" s="109"/>
      <c r="G39" s="109"/>
      <c r="H39" s="109"/>
      <c r="K39"/>
      <c r="L39"/>
      <c r="M39"/>
      <c r="N39"/>
    </row>
    <row r="40" spans="1:14" s="1" customFormat="1" ht="15">
      <c r="A40" s="45" t="s">
        <v>12</v>
      </c>
      <c r="B40" s="46" t="s">
        <v>11</v>
      </c>
      <c r="C40" s="31"/>
      <c r="D40" s="14"/>
      <c r="E40" s="109"/>
      <c r="F40" s="109"/>
      <c r="G40" s="109"/>
      <c r="H40" s="109"/>
      <c r="K40"/>
      <c r="L40"/>
      <c r="M40"/>
      <c r="N40"/>
    </row>
    <row r="41" spans="1:14" s="1" customFormat="1" ht="15">
      <c r="A41" s="45" t="s">
        <v>13</v>
      </c>
      <c r="B41" s="46" t="s">
        <v>11</v>
      </c>
      <c r="C41" s="31"/>
      <c r="D41" s="16">
        <v>0</v>
      </c>
      <c r="E41" s="109"/>
      <c r="F41" s="109"/>
      <c r="G41" s="109"/>
      <c r="H41" s="109"/>
      <c r="K41"/>
      <c r="L41"/>
      <c r="M41"/>
      <c r="N41"/>
    </row>
    <row r="42" spans="1:14" s="1" customFormat="1" ht="24" customHeight="1">
      <c r="A42" s="569" t="s">
        <v>44</v>
      </c>
      <c r="B42" s="569"/>
      <c r="C42" s="569"/>
      <c r="D42" s="569"/>
      <c r="E42" s="109"/>
      <c r="K42"/>
      <c r="L42"/>
      <c r="M42"/>
      <c r="N42"/>
    </row>
    <row r="43" spans="1:14" s="1" customFormat="1" ht="15">
      <c r="A43" s="45" t="s">
        <v>45</v>
      </c>
      <c r="B43" s="30" t="s">
        <v>46</v>
      </c>
      <c r="C43" s="31">
        <v>0</v>
      </c>
      <c r="D43" s="14">
        <v>0</v>
      </c>
      <c r="E43" s="109"/>
      <c r="K43"/>
      <c r="L43"/>
      <c r="M43"/>
      <c r="N43"/>
    </row>
    <row r="44" spans="1:14" s="1" customFormat="1" ht="15">
      <c r="A44" s="45" t="s">
        <v>47</v>
      </c>
      <c r="B44" s="30" t="s">
        <v>46</v>
      </c>
      <c r="C44" s="31">
        <v>0</v>
      </c>
      <c r="D44" s="14">
        <v>0</v>
      </c>
      <c r="E44" s="109"/>
      <c r="K44"/>
      <c r="L44"/>
      <c r="M44"/>
      <c r="N44"/>
    </row>
    <row r="45" spans="1:14" s="1" customFormat="1" ht="15">
      <c r="A45" s="47" t="s">
        <v>48</v>
      </c>
      <c r="B45" s="30" t="s">
        <v>46</v>
      </c>
      <c r="C45" s="31">
        <v>0</v>
      </c>
      <c r="D45" s="14">
        <v>0</v>
      </c>
      <c r="E45" s="109"/>
      <c r="K45"/>
      <c r="L45"/>
      <c r="M45"/>
      <c r="N45"/>
    </row>
    <row r="46" spans="1:14" s="1" customFormat="1" ht="15">
      <c r="A46" s="45" t="s">
        <v>49</v>
      </c>
      <c r="B46" s="30" t="s">
        <v>11</v>
      </c>
      <c r="C46" s="31">
        <v>0</v>
      </c>
      <c r="D46" s="14">
        <v>0</v>
      </c>
      <c r="E46" s="109"/>
      <c r="K46"/>
      <c r="L46"/>
      <c r="M46"/>
      <c r="N46"/>
    </row>
    <row r="47" spans="1:5" ht="20.25" customHeight="1">
      <c r="A47" s="570" t="s">
        <v>50</v>
      </c>
      <c r="B47" s="570"/>
      <c r="C47" s="570"/>
      <c r="D47" s="570"/>
      <c r="E47" s="109"/>
    </row>
    <row r="48" spans="1:5" ht="25.5">
      <c r="A48" s="47" t="s">
        <v>51</v>
      </c>
      <c r="B48" s="30" t="s">
        <v>11</v>
      </c>
      <c r="C48" s="31"/>
      <c r="D48" s="14">
        <v>0</v>
      </c>
      <c r="E48" s="109"/>
    </row>
    <row r="49" spans="1:5" ht="15">
      <c r="A49" s="45" t="s">
        <v>12</v>
      </c>
      <c r="B49" s="30" t="s">
        <v>11</v>
      </c>
      <c r="C49" s="31"/>
      <c r="D49" s="14">
        <v>0</v>
      </c>
      <c r="E49" s="109"/>
    </row>
    <row r="50" spans="1:8" ht="15">
      <c r="A50" s="45" t="s">
        <v>13</v>
      </c>
      <c r="B50" s="30" t="s">
        <v>11</v>
      </c>
      <c r="C50" s="31"/>
      <c r="D50" s="58">
        <f>D53-D56-D59</f>
        <v>4863.20875</v>
      </c>
      <c r="E50" s="109"/>
      <c r="H50" s="49"/>
    </row>
    <row r="51" spans="1:5" ht="25.5">
      <c r="A51" s="50" t="s">
        <v>52</v>
      </c>
      <c r="B51" s="30" t="s">
        <v>11</v>
      </c>
      <c r="C51" s="51"/>
      <c r="D51" s="52">
        <v>0</v>
      </c>
      <c r="E51" s="109"/>
    </row>
    <row r="52" spans="1:10" ht="17.25" customHeight="1">
      <c r="A52" s="53" t="s">
        <v>12</v>
      </c>
      <c r="B52" s="30" t="s">
        <v>11</v>
      </c>
      <c r="C52" s="31"/>
      <c r="D52" s="14">
        <v>0</v>
      </c>
      <c r="E52" s="109"/>
      <c r="I52" s="49"/>
      <c r="J52" s="49"/>
    </row>
    <row r="53" spans="1:14" ht="15">
      <c r="A53" s="56" t="s">
        <v>13</v>
      </c>
      <c r="B53" s="30" t="s">
        <v>11</v>
      </c>
      <c r="C53" s="57"/>
      <c r="D53" s="58">
        <v>2523.28</v>
      </c>
      <c r="E53" s="109"/>
      <c r="H53" s="1" t="s">
        <v>26</v>
      </c>
      <c r="I53" s="60"/>
      <c r="J53" s="60"/>
      <c r="K53" s="61"/>
      <c r="L53" s="61"/>
      <c r="M53" s="61"/>
      <c r="N53" s="61"/>
    </row>
    <row r="54" spans="1:14" ht="18" customHeight="1">
      <c r="A54" s="571" t="s">
        <v>53</v>
      </c>
      <c r="B54" s="571"/>
      <c r="C54" s="571"/>
      <c r="D54" s="571"/>
      <c r="E54" s="114"/>
      <c r="F54" s="63"/>
      <c r="G54" s="64"/>
      <c r="I54" s="65"/>
      <c r="J54" s="65"/>
      <c r="K54" s="66"/>
      <c r="L54" s="66"/>
      <c r="M54" s="66"/>
      <c r="N54" s="66"/>
    </row>
    <row r="55" spans="1:14" ht="47.25">
      <c r="A55" s="67" t="s">
        <v>54</v>
      </c>
      <c r="B55" s="68" t="s">
        <v>55</v>
      </c>
      <c r="C55" s="69" t="s">
        <v>56</v>
      </c>
      <c r="D55" s="70" t="s">
        <v>57</v>
      </c>
      <c r="E55" s="114"/>
      <c r="F55" s="63"/>
      <c r="G55" s="64"/>
      <c r="I55" s="65"/>
      <c r="J55" s="71"/>
      <c r="K55" s="66"/>
      <c r="L55" s="66"/>
      <c r="M55" s="66"/>
      <c r="N55" s="66"/>
    </row>
    <row r="56" spans="1:14" ht="15">
      <c r="A56" s="72" t="s">
        <v>58</v>
      </c>
      <c r="B56" s="99">
        <v>754</v>
      </c>
      <c r="C56" s="100">
        <f>B56*1.587</f>
        <v>1196.598</v>
      </c>
      <c r="D56" s="101">
        <f>B56-C56</f>
        <v>-442.59799999999996</v>
      </c>
      <c r="E56" s="117"/>
      <c r="F56" s="63"/>
      <c r="G56" s="64"/>
      <c r="I56" s="65"/>
      <c r="J56" s="65"/>
      <c r="K56" s="66"/>
      <c r="L56" s="66"/>
      <c r="M56" s="66"/>
      <c r="N56" s="66"/>
    </row>
    <row r="57" spans="1:14" ht="15">
      <c r="A57" s="72" t="s">
        <v>59</v>
      </c>
      <c r="B57" s="99">
        <v>0</v>
      </c>
      <c r="C57" s="100">
        <f>B57*0.8884</f>
        <v>0</v>
      </c>
      <c r="D57" s="101">
        <f>B57-C57</f>
        <v>0</v>
      </c>
      <c r="E57" s="114"/>
      <c r="F57" s="63"/>
      <c r="G57" s="64"/>
      <c r="I57" s="65"/>
      <c r="J57" s="65"/>
      <c r="K57" s="66"/>
      <c r="L57" s="66"/>
      <c r="M57" s="66"/>
      <c r="N57" s="66"/>
    </row>
    <row r="58" spans="1:14" ht="15">
      <c r="A58" s="72" t="s">
        <v>60</v>
      </c>
      <c r="B58" s="102">
        <v>0</v>
      </c>
      <c r="C58" s="100">
        <f>B58*0.8884</f>
        <v>0</v>
      </c>
      <c r="D58" s="101">
        <f>B58-C58</f>
        <v>0</v>
      </c>
      <c r="E58" s="114">
        <f>(2.07+1.8)*6*2301.2-0.37*2301.2*6</f>
        <v>48325.2</v>
      </c>
      <c r="F58" s="73"/>
      <c r="G58" s="74"/>
      <c r="H58" s="62"/>
      <c r="I58" s="65"/>
      <c r="J58" s="65"/>
      <c r="K58" s="66"/>
      <c r="L58" s="66"/>
      <c r="M58" s="66"/>
      <c r="N58" s="66"/>
    </row>
    <row r="59" spans="1:14" ht="15.75" thickBot="1">
      <c r="A59" s="125" t="s">
        <v>236</v>
      </c>
      <c r="B59" s="126">
        <v>3232.25</v>
      </c>
      <c r="C59" s="100">
        <f>B59*1.587</f>
        <v>5129.58075</v>
      </c>
      <c r="D59" s="128">
        <f>B59-C59</f>
        <v>-1897.33075</v>
      </c>
      <c r="E59" s="114"/>
      <c r="F59" s="73"/>
      <c r="G59" s="74"/>
      <c r="I59" s="65"/>
      <c r="J59" s="65"/>
      <c r="K59" s="66"/>
      <c r="L59" s="66"/>
      <c r="M59" s="66"/>
      <c r="N59" s="66"/>
    </row>
    <row r="60" spans="1:14" ht="63">
      <c r="A60" s="129" t="s">
        <v>62</v>
      </c>
      <c r="B60" s="130" t="s">
        <v>63</v>
      </c>
      <c r="C60" s="131" t="s">
        <v>64</v>
      </c>
      <c r="D60" s="132" t="s">
        <v>65</v>
      </c>
      <c r="E60" s="114"/>
      <c r="F60" s="73"/>
      <c r="H60" s="65"/>
      <c r="I60" s="65"/>
      <c r="J60" s="65"/>
      <c r="K60" s="66"/>
      <c r="L60" s="66"/>
      <c r="M60" s="66"/>
      <c r="N60" s="66"/>
    </row>
    <row r="61" spans="1:14" ht="15">
      <c r="A61" s="133" t="s">
        <v>58</v>
      </c>
      <c r="B61" s="104">
        <v>754</v>
      </c>
      <c r="C61" s="105">
        <f>C56</f>
        <v>1196.598</v>
      </c>
      <c r="D61" s="134">
        <f>B61-C61</f>
        <v>-442.59799999999996</v>
      </c>
      <c r="E61" s="114"/>
      <c r="F61" s="73"/>
      <c r="H61" s="65"/>
      <c r="I61" s="65"/>
      <c r="J61" s="65" t="s">
        <v>26</v>
      </c>
      <c r="K61" s="66"/>
      <c r="L61" s="66"/>
      <c r="M61" s="66"/>
      <c r="N61" s="66"/>
    </row>
    <row r="62" spans="1:14" ht="15">
      <c r="A62" s="133" t="s">
        <v>59</v>
      </c>
      <c r="B62" s="104">
        <v>0</v>
      </c>
      <c r="C62" s="105">
        <v>0</v>
      </c>
      <c r="D62" s="134">
        <f>B62-C62</f>
        <v>0</v>
      </c>
      <c r="E62" s="114"/>
      <c r="F62" s="73"/>
      <c r="H62" s="65"/>
      <c r="I62" s="65"/>
      <c r="J62" s="65"/>
      <c r="K62" s="66"/>
      <c r="L62" s="66"/>
      <c r="M62" s="66"/>
      <c r="N62" s="66"/>
    </row>
    <row r="63" spans="1:14" ht="15">
      <c r="A63" s="133" t="s">
        <v>60</v>
      </c>
      <c r="B63" s="104">
        <v>0</v>
      </c>
      <c r="C63" s="105">
        <v>0</v>
      </c>
      <c r="D63" s="134">
        <f>B63-C63</f>
        <v>0</v>
      </c>
      <c r="E63" s="114"/>
      <c r="F63" s="73"/>
      <c r="H63" s="65"/>
      <c r="I63" s="65"/>
      <c r="J63" s="65"/>
      <c r="K63" s="66"/>
      <c r="L63" s="66"/>
      <c r="M63" s="66"/>
      <c r="N63" s="66"/>
    </row>
    <row r="64" spans="1:14" ht="15.75" thickBot="1">
      <c r="A64" s="135" t="s">
        <v>236</v>
      </c>
      <c r="B64" s="136">
        <v>3232.25</v>
      </c>
      <c r="C64" s="137">
        <f>C59</f>
        <v>5129.58075</v>
      </c>
      <c r="D64" s="138">
        <f>B64-C64</f>
        <v>-1897.33075</v>
      </c>
      <c r="E64" s="114"/>
      <c r="F64" s="73"/>
      <c r="H64" s="65" t="s">
        <v>26</v>
      </c>
      <c r="I64" s="65"/>
      <c r="J64" s="65"/>
      <c r="K64" s="66"/>
      <c r="L64" s="66"/>
      <c r="M64" s="66"/>
      <c r="N64" s="66"/>
    </row>
    <row r="65" spans="1:14" ht="15">
      <c r="A65" s="77"/>
      <c r="B65" s="76"/>
      <c r="C65" s="78"/>
      <c r="D65" s="79"/>
      <c r="E65" s="114"/>
      <c r="F65" s="73"/>
      <c r="H65" s="65"/>
      <c r="I65" s="65"/>
      <c r="J65" s="65"/>
      <c r="K65" s="66"/>
      <c r="L65" s="66"/>
      <c r="M65" s="66"/>
      <c r="N65" s="66"/>
    </row>
    <row r="66" spans="1:14" ht="25.5">
      <c r="A66" s="80" t="s">
        <v>66</v>
      </c>
      <c r="B66" s="76" t="s">
        <v>11</v>
      </c>
      <c r="C66" s="81"/>
      <c r="D66" s="82">
        <v>0</v>
      </c>
      <c r="E66" s="114"/>
      <c r="F66" s="73"/>
      <c r="H66" s="65"/>
      <c r="I66" s="65"/>
      <c r="J66" s="65" t="s">
        <v>26</v>
      </c>
      <c r="K66" s="66"/>
      <c r="L66" s="66"/>
      <c r="M66" s="66"/>
      <c r="N66" s="66"/>
    </row>
    <row r="67" spans="1:14" ht="17.25" customHeight="1">
      <c r="A67" s="572" t="s">
        <v>67</v>
      </c>
      <c r="B67" s="572"/>
      <c r="C67" s="572"/>
      <c r="D67" s="572"/>
      <c r="E67" s="121" t="e">
        <f>D67+B19</f>
        <v>#VALUE!</v>
      </c>
      <c r="F67" s="65"/>
      <c r="H67" s="84" t="e">
        <f>E67-B18</f>
        <v>#VALUE!</v>
      </c>
      <c r="I67" s="65"/>
      <c r="J67" s="65"/>
      <c r="K67" s="66"/>
      <c r="L67" s="66"/>
      <c r="M67" s="66"/>
      <c r="N67" s="66"/>
    </row>
    <row r="68" spans="1:5" ht="21" customHeight="1">
      <c r="A68" s="85" t="s">
        <v>45</v>
      </c>
      <c r="B68" s="85" t="s">
        <v>46</v>
      </c>
      <c r="C68" s="86"/>
      <c r="D68" s="177">
        <v>0</v>
      </c>
      <c r="E68" s="123"/>
    </row>
    <row r="69" spans="1:5" ht="21" customHeight="1">
      <c r="A69" s="85" t="s">
        <v>47</v>
      </c>
      <c r="B69" s="85" t="s">
        <v>46</v>
      </c>
      <c r="C69" s="85"/>
      <c r="D69" s="177">
        <v>0</v>
      </c>
      <c r="E69" s="123"/>
    </row>
    <row r="70" spans="1:5" ht="18" customHeight="1">
      <c r="A70" s="85" t="s">
        <v>48</v>
      </c>
      <c r="B70" s="85" t="s">
        <v>46</v>
      </c>
      <c r="C70" s="85"/>
      <c r="D70" s="177">
        <v>0</v>
      </c>
      <c r="E70" s="123"/>
    </row>
    <row r="71" spans="1:5" ht="16.5" customHeight="1">
      <c r="A71" s="85" t="s">
        <v>49</v>
      </c>
      <c r="B71" s="85" t="s">
        <v>11</v>
      </c>
      <c r="C71" s="85"/>
      <c r="D71" s="177">
        <v>0</v>
      </c>
      <c r="E71" s="123"/>
    </row>
    <row r="72" spans="1:5" ht="15.75" customHeight="1">
      <c r="A72" s="566" t="s">
        <v>68</v>
      </c>
      <c r="B72" s="566"/>
      <c r="C72" s="566"/>
      <c r="D72" s="566"/>
      <c r="E72" s="123"/>
    </row>
    <row r="73" spans="1:5" ht="18.75" customHeight="1">
      <c r="A73" s="85" t="s">
        <v>69</v>
      </c>
      <c r="B73" s="85" t="s">
        <v>46</v>
      </c>
      <c r="C73" s="85"/>
      <c r="D73" s="177">
        <v>1</v>
      </c>
      <c r="E73" s="123"/>
    </row>
    <row r="74" spans="1:5" ht="21.75" customHeight="1">
      <c r="A74" s="85" t="s">
        <v>70</v>
      </c>
      <c r="B74" s="53" t="s">
        <v>46</v>
      </c>
      <c r="C74" s="53"/>
      <c r="D74" s="177">
        <v>0</v>
      </c>
      <c r="E74" s="123"/>
    </row>
    <row r="75" spans="1:5" ht="36" customHeight="1">
      <c r="A75" s="89" t="s">
        <v>71</v>
      </c>
      <c r="B75" s="85" t="s">
        <v>11</v>
      </c>
      <c r="C75" s="85"/>
      <c r="D75" s="177">
        <v>0</v>
      </c>
      <c r="E75" s="123"/>
    </row>
    <row r="76" spans="1:5" ht="15">
      <c r="A76" s="66"/>
      <c r="B76" s="66"/>
      <c r="C76" s="66"/>
      <c r="D76" s="90"/>
      <c r="E76" s="109"/>
    </row>
    <row r="77" spans="1:14" s="1" customFormat="1" ht="12.75">
      <c r="A77"/>
      <c r="B77"/>
      <c r="C77"/>
      <c r="D77"/>
      <c r="H77" s="1" t="s">
        <v>26</v>
      </c>
      <c r="K77"/>
      <c r="L77"/>
      <c r="M77"/>
      <c r="N77"/>
    </row>
    <row r="78" spans="1:14" s="1" customFormat="1" ht="12.75">
      <c r="A78" t="s">
        <v>72</v>
      </c>
      <c r="B78"/>
      <c r="C78"/>
      <c r="D78"/>
      <c r="K78"/>
      <c r="L78"/>
      <c r="M78"/>
      <c r="N78"/>
    </row>
    <row r="79" spans="1:14" s="1" customFormat="1" ht="12.75">
      <c r="A79"/>
      <c r="B79"/>
      <c r="C79"/>
      <c r="D79"/>
      <c r="H79" s="1" t="s">
        <v>26</v>
      </c>
      <c r="K79"/>
      <c r="L79"/>
      <c r="M79"/>
      <c r="N79"/>
    </row>
    <row r="80" spans="1:14" s="1" customFormat="1" ht="12.75">
      <c r="A80" t="s">
        <v>73</v>
      </c>
      <c r="B80"/>
      <c r="C80"/>
      <c r="D80"/>
      <c r="K80"/>
      <c r="L80"/>
      <c r="M80"/>
      <c r="N80"/>
    </row>
    <row r="84" spans="1:14" s="1" customFormat="1" ht="12.75">
      <c r="A84"/>
      <c r="B84"/>
      <c r="C84"/>
      <c r="D84"/>
      <c r="E84" s="1" t="s">
        <v>26</v>
      </c>
      <c r="K84"/>
      <c r="L84"/>
      <c r="M84"/>
      <c r="N84"/>
    </row>
  </sheetData>
  <sheetProtection selectLockedCells="1" selectUnlockedCells="1"/>
  <mergeCells count="13">
    <mergeCell ref="A72:D72"/>
    <mergeCell ref="A14:D14"/>
    <mergeCell ref="A29:D29"/>
    <mergeCell ref="A42:D42"/>
    <mergeCell ref="A47:D47"/>
    <mergeCell ref="A54:D54"/>
    <mergeCell ref="A67:D67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zoomScale="80" zoomScaleNormal="80" zoomScalePageLayoutView="0" workbookViewId="0" topLeftCell="A25">
      <selection activeCell="D39" sqref="D39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560" t="s">
        <v>0</v>
      </c>
      <c r="B1" s="560"/>
      <c r="C1" s="560"/>
      <c r="D1" s="560"/>
    </row>
    <row r="2" spans="1:4" ht="15.75">
      <c r="A2" s="561" t="s">
        <v>220</v>
      </c>
      <c r="B2" s="562"/>
      <c r="C2" s="562"/>
      <c r="D2" s="562"/>
    </row>
    <row r="3" spans="1:4" ht="15.75">
      <c r="A3" s="562" t="s">
        <v>1</v>
      </c>
      <c r="B3" s="562"/>
      <c r="C3" s="562"/>
      <c r="D3" s="562"/>
    </row>
    <row r="4" spans="1:4" ht="12.75">
      <c r="A4" s="563" t="s">
        <v>118</v>
      </c>
      <c r="B4" s="563"/>
      <c r="C4" s="563"/>
      <c r="D4" s="563"/>
    </row>
    <row r="5" spans="1:4" ht="12.75">
      <c r="A5" s="564" t="s">
        <v>266</v>
      </c>
      <c r="B5" s="563"/>
      <c r="C5" s="563"/>
      <c r="D5" s="563"/>
    </row>
    <row r="6" ht="9" customHeight="1">
      <c r="A6" s="2"/>
    </row>
    <row r="7" spans="1:4" ht="18" customHeight="1">
      <c r="A7" s="565" t="s">
        <v>2</v>
      </c>
      <c r="B7" s="565"/>
      <c r="C7" s="565"/>
      <c r="D7" s="565"/>
    </row>
    <row r="8" spans="1:3" ht="12.75">
      <c r="A8" s="2" t="s">
        <v>322</v>
      </c>
      <c r="C8" s="3"/>
    </row>
    <row r="9" spans="1:4" ht="12.75">
      <c r="A9" s="4" t="s">
        <v>3</v>
      </c>
      <c r="B9" s="4" t="s">
        <v>4</v>
      </c>
      <c r="C9" s="4" t="s">
        <v>5</v>
      </c>
      <c r="D9" s="5"/>
    </row>
    <row r="10" spans="1:4" ht="12.75">
      <c r="A10" s="6">
        <v>1</v>
      </c>
      <c r="B10" s="6">
        <v>2</v>
      </c>
      <c r="C10" s="6">
        <v>3</v>
      </c>
      <c r="D10" s="7">
        <v>4</v>
      </c>
    </row>
    <row r="11" spans="1:4" ht="12.75">
      <c r="A11" s="8" t="s">
        <v>6</v>
      </c>
      <c r="B11" s="9"/>
      <c r="C11" s="144" t="s">
        <v>262</v>
      </c>
      <c r="D11" s="10"/>
    </row>
    <row r="12" spans="1:4" ht="12.75">
      <c r="A12" s="8" t="s">
        <v>7</v>
      </c>
      <c r="B12" s="9"/>
      <c r="C12" s="144" t="s">
        <v>263</v>
      </c>
      <c r="D12" s="10"/>
    </row>
    <row r="13" spans="1:8" ht="12.75">
      <c r="A13" s="8" t="s">
        <v>8</v>
      </c>
      <c r="B13" s="9"/>
      <c r="C13" s="144" t="s">
        <v>267</v>
      </c>
      <c r="D13" s="10"/>
      <c r="E13" s="109"/>
      <c r="F13" s="109"/>
      <c r="G13" s="109"/>
      <c r="H13" s="109"/>
    </row>
    <row r="14" spans="1:8" ht="31.5" customHeight="1">
      <c r="A14" s="567" t="s">
        <v>9</v>
      </c>
      <c r="B14" s="567"/>
      <c r="C14" s="567"/>
      <c r="D14" s="567"/>
      <c r="E14" s="109"/>
      <c r="F14" s="109"/>
      <c r="G14" s="109"/>
      <c r="H14" s="109"/>
    </row>
    <row r="15" spans="1:8" ht="25.5">
      <c r="A15" s="11" t="s">
        <v>10</v>
      </c>
      <c r="B15" s="12" t="s">
        <v>11</v>
      </c>
      <c r="C15" s="15">
        <v>75606.43</v>
      </c>
      <c r="D15" s="14"/>
      <c r="E15" s="109"/>
      <c r="F15" s="109"/>
      <c r="G15" s="109"/>
      <c r="H15" s="109"/>
    </row>
    <row r="16" spans="1:8" ht="15">
      <c r="A16" s="8" t="s">
        <v>12</v>
      </c>
      <c r="B16" s="12" t="s">
        <v>11</v>
      </c>
      <c r="C16" s="13">
        <v>0</v>
      </c>
      <c r="D16" s="14"/>
      <c r="E16" s="109"/>
      <c r="F16" s="109"/>
      <c r="G16" s="109"/>
      <c r="H16" s="109"/>
    </row>
    <row r="17" spans="1:8" ht="15">
      <c r="A17" s="8" t="s">
        <v>13</v>
      </c>
      <c r="B17" s="12" t="s">
        <v>11</v>
      </c>
      <c r="C17" s="15">
        <v>13779.6</v>
      </c>
      <c r="D17" s="16"/>
      <c r="E17" s="109"/>
      <c r="F17" s="109"/>
      <c r="G17" s="109"/>
      <c r="H17" s="109"/>
    </row>
    <row r="18" spans="1:8" ht="31.5" customHeight="1">
      <c r="A18" s="17" t="s">
        <v>14</v>
      </c>
      <c r="B18" s="12" t="s">
        <v>11</v>
      </c>
      <c r="C18" s="15">
        <f>17785.88+2537.46</f>
        <v>20323.34</v>
      </c>
      <c r="D18" s="16"/>
      <c r="E18" s="110">
        <f>C18-C20</f>
        <v>11681.2784</v>
      </c>
      <c r="F18" s="109"/>
      <c r="G18" s="109"/>
      <c r="H18" s="109"/>
    </row>
    <row r="19" spans="1:8" ht="15">
      <c r="A19" s="8" t="s">
        <v>15</v>
      </c>
      <c r="B19" s="12" t="s">
        <v>11</v>
      </c>
      <c r="C19" s="15">
        <f>C18-C20-C21</f>
        <v>5350.020799999998</v>
      </c>
      <c r="D19" s="16"/>
      <c r="E19" s="110">
        <f>E18-E38</f>
        <v>-0.0004000000026280759</v>
      </c>
      <c r="F19" s="109"/>
      <c r="G19" s="109"/>
      <c r="H19" s="109"/>
    </row>
    <row r="20" spans="1:8" ht="15">
      <c r="A20" s="8" t="s">
        <v>16</v>
      </c>
      <c r="B20" s="12" t="s">
        <v>11</v>
      </c>
      <c r="C20" s="15">
        <f>(3.96+4.12)*6*125.92+2537.46</f>
        <v>8642.0616</v>
      </c>
      <c r="D20" s="16"/>
      <c r="E20" s="111"/>
      <c r="F20" s="109"/>
      <c r="G20" s="109"/>
      <c r="H20" s="109"/>
    </row>
    <row r="21" spans="1:8" ht="15">
      <c r="A21" s="8" t="s">
        <v>17</v>
      </c>
      <c r="B21" s="12" t="s">
        <v>11</v>
      </c>
      <c r="C21" s="19">
        <f>125.92*4.19*12</f>
        <v>6331.257600000001</v>
      </c>
      <c r="D21" s="16"/>
      <c r="E21" s="109"/>
      <c r="F21" s="109"/>
      <c r="G21" s="109"/>
      <c r="H21" s="109"/>
    </row>
    <row r="22" spans="1:8" ht="15">
      <c r="A22" s="20" t="s">
        <v>18</v>
      </c>
      <c r="B22" s="12" t="s">
        <v>11</v>
      </c>
      <c r="C22" s="15">
        <f>C23+C24+C25+C26+C27</f>
        <v>21636.227764</v>
      </c>
      <c r="D22" s="16" t="s">
        <v>19</v>
      </c>
      <c r="E22" s="110" t="e">
        <f>B24+B25+B26+B27+B28</f>
        <v>#VALUE!</v>
      </c>
      <c r="F22" s="109"/>
      <c r="G22" s="109"/>
      <c r="H22" s="109"/>
    </row>
    <row r="23" spans="1:8" ht="15">
      <c r="A23" s="8" t="s">
        <v>20</v>
      </c>
      <c r="B23" s="12" t="s">
        <v>11</v>
      </c>
      <c r="C23" s="15">
        <f>C18*1.0646</f>
        <v>21636.227764</v>
      </c>
      <c r="D23" s="16"/>
      <c r="E23" s="109"/>
      <c r="F23" s="109"/>
      <c r="G23" s="109"/>
      <c r="H23" s="109"/>
    </row>
    <row r="24" spans="1:8" ht="15">
      <c r="A24" s="8" t="s">
        <v>21</v>
      </c>
      <c r="B24" s="12" t="s">
        <v>11</v>
      </c>
      <c r="C24" s="15">
        <v>0</v>
      </c>
      <c r="D24" s="21">
        <v>65.21</v>
      </c>
      <c r="E24" s="111" t="e">
        <f>B24/#REF!*1</f>
        <v>#VALUE!</v>
      </c>
      <c r="F24" s="109"/>
      <c r="G24" s="109"/>
      <c r="H24" s="109" t="s">
        <v>22</v>
      </c>
    </row>
    <row r="25" spans="1:8" ht="15">
      <c r="A25" s="8" t="s">
        <v>23</v>
      </c>
      <c r="B25" s="12" t="s">
        <v>11</v>
      </c>
      <c r="C25" s="15">
        <v>0</v>
      </c>
      <c r="D25" s="21">
        <v>119.63</v>
      </c>
      <c r="E25" s="111" t="e">
        <f>B25/#REF!*1</f>
        <v>#VALUE!</v>
      </c>
      <c r="F25" s="109"/>
      <c r="G25" s="109"/>
      <c r="H25" s="109"/>
    </row>
    <row r="26" spans="1:8" ht="15">
      <c r="A26" s="9" t="s">
        <v>24</v>
      </c>
      <c r="B26" s="12" t="s">
        <v>11</v>
      </c>
      <c r="C26" s="15">
        <v>0</v>
      </c>
      <c r="D26" s="21"/>
      <c r="E26" s="111" t="e">
        <f>B26/#REF!*1</f>
        <v>#VALUE!</v>
      </c>
      <c r="F26" s="109"/>
      <c r="G26" s="109"/>
      <c r="H26" s="109"/>
    </row>
    <row r="27" spans="1:8" ht="16.5" customHeight="1">
      <c r="A27" s="98" t="s">
        <v>96</v>
      </c>
      <c r="B27" s="12" t="s">
        <v>11</v>
      </c>
      <c r="C27" s="15">
        <v>0</v>
      </c>
      <c r="D27" s="21">
        <v>139.18</v>
      </c>
      <c r="E27" s="111" t="e">
        <f>B27/#REF!*1</f>
        <v>#VALUE!</v>
      </c>
      <c r="F27" s="109"/>
      <c r="G27" s="109"/>
      <c r="H27" s="109"/>
    </row>
    <row r="28" spans="1:8" ht="15">
      <c r="A28" s="8" t="s">
        <v>25</v>
      </c>
      <c r="B28" s="12" t="s">
        <v>11</v>
      </c>
      <c r="C28" s="15">
        <f>C15+C22</f>
        <v>97242.65776399999</v>
      </c>
      <c r="D28" s="16" t="s">
        <v>26</v>
      </c>
      <c r="E28" s="111" t="e">
        <f>B28/#REF!*1</f>
        <v>#VALUE!</v>
      </c>
      <c r="F28" s="109"/>
      <c r="G28" s="109"/>
      <c r="H28" s="109"/>
    </row>
    <row r="29" spans="1:8" ht="35.25" customHeight="1">
      <c r="A29" s="568" t="s">
        <v>27</v>
      </c>
      <c r="B29" s="568"/>
      <c r="C29" s="568"/>
      <c r="D29" s="568"/>
      <c r="E29" s="109"/>
      <c r="F29" s="109"/>
      <c r="G29" s="109"/>
      <c r="H29" s="109"/>
    </row>
    <row r="30" spans="1:8" ht="60">
      <c r="A30" s="22" t="s">
        <v>28</v>
      </c>
      <c r="B30" s="23" t="s">
        <v>29</v>
      </c>
      <c r="C30" s="24" t="s">
        <v>30</v>
      </c>
      <c r="D30" s="25" t="s">
        <v>31</v>
      </c>
      <c r="E30" s="109"/>
      <c r="F30" s="109"/>
      <c r="G30" s="109"/>
      <c r="H30" s="109"/>
    </row>
    <row r="31" spans="1:8" ht="15">
      <c r="A31" s="26" t="s">
        <v>32</v>
      </c>
      <c r="B31" s="27" t="s">
        <v>33</v>
      </c>
      <c r="C31" s="28" t="s">
        <v>34</v>
      </c>
      <c r="D31" s="92">
        <f>(0.85+0.95)*6*125.92</f>
        <v>1359.936</v>
      </c>
      <c r="E31" s="109"/>
      <c r="F31" s="109"/>
      <c r="G31" s="109"/>
      <c r="H31" s="109"/>
    </row>
    <row r="32" spans="1:8" ht="15">
      <c r="A32" s="29" t="s">
        <v>36</v>
      </c>
      <c r="B32" s="30" t="s">
        <v>33</v>
      </c>
      <c r="C32" s="31" t="s">
        <v>37</v>
      </c>
      <c r="D32" s="93">
        <f>0.24*12*125.92</f>
        <v>362.64959999999996</v>
      </c>
      <c r="E32" s="109"/>
      <c r="F32" s="109"/>
      <c r="G32" s="109"/>
      <c r="H32" s="109"/>
    </row>
    <row r="33" spans="1:8" ht="15">
      <c r="A33" s="153" t="s">
        <v>179</v>
      </c>
      <c r="B33" s="30" t="s">
        <v>33</v>
      </c>
      <c r="C33" s="31" t="s">
        <v>34</v>
      </c>
      <c r="D33" s="93">
        <f>(0.36+0.16)*6*125.92</f>
        <v>392.8704</v>
      </c>
      <c r="E33" s="109"/>
      <c r="F33" s="109"/>
      <c r="G33" s="109"/>
      <c r="H33" s="109"/>
    </row>
    <row r="34" spans="1:8" ht="15">
      <c r="A34" s="29" t="s">
        <v>81</v>
      </c>
      <c r="B34" s="91" t="s">
        <v>82</v>
      </c>
      <c r="C34" s="31" t="s">
        <v>34</v>
      </c>
      <c r="D34" s="93">
        <f>1.33*12*125.92</f>
        <v>2009.6832000000002</v>
      </c>
      <c r="E34" s="109"/>
      <c r="F34" s="109"/>
      <c r="G34" s="109"/>
      <c r="H34" s="109"/>
    </row>
    <row r="35" spans="1:8" ht="15">
      <c r="A35" s="29" t="s">
        <v>38</v>
      </c>
      <c r="B35" s="30" t="s">
        <v>35</v>
      </c>
      <c r="C35" s="364" t="s">
        <v>221</v>
      </c>
      <c r="D35" s="93">
        <f>4.19*125.92*12</f>
        <v>6331.257600000001</v>
      </c>
      <c r="E35" s="109"/>
      <c r="F35" s="109"/>
      <c r="G35" s="109"/>
      <c r="H35" s="109"/>
    </row>
    <row r="36" spans="1:8" ht="15">
      <c r="A36" s="29" t="s">
        <v>85</v>
      </c>
      <c r="B36" s="30" t="s">
        <v>222</v>
      </c>
      <c r="C36" s="171" t="s">
        <v>37</v>
      </c>
      <c r="D36" s="93">
        <f>125.92*0.8*12+16.05</f>
        <v>1224.882</v>
      </c>
      <c r="E36" s="109"/>
      <c r="F36" s="109"/>
      <c r="G36" s="109"/>
      <c r="H36" s="109"/>
    </row>
    <row r="37" spans="1:14" s="1" customFormat="1" ht="45">
      <c r="A37" s="33" t="s">
        <v>40</v>
      </c>
      <c r="B37" s="34" t="s">
        <v>41</v>
      </c>
      <c r="C37" s="28"/>
      <c r="D37" s="36">
        <v>0</v>
      </c>
      <c r="E37" s="109"/>
      <c r="F37" s="109"/>
      <c r="G37" s="109"/>
      <c r="H37" s="109"/>
      <c r="K37"/>
      <c r="L37"/>
      <c r="M37"/>
      <c r="N37"/>
    </row>
    <row r="38" spans="1:14" s="1" customFormat="1" ht="15.75">
      <c r="A38" s="37" t="s">
        <v>42</v>
      </c>
      <c r="B38" s="38"/>
      <c r="C38" s="39"/>
      <c r="D38" s="97">
        <f>SUM(D31:D37)</f>
        <v>11681.278800000002</v>
      </c>
      <c r="E38" s="112">
        <f>D38-D37</f>
        <v>11681.278800000002</v>
      </c>
      <c r="F38" s="109"/>
      <c r="G38" s="109"/>
      <c r="H38" s="109"/>
      <c r="K38"/>
      <c r="L38"/>
      <c r="M38"/>
      <c r="N38"/>
    </row>
    <row r="39" spans="1:14" s="1" customFormat="1" ht="15">
      <c r="A39" s="40" t="s">
        <v>43</v>
      </c>
      <c r="B39" s="41" t="s">
        <v>11</v>
      </c>
      <c r="C39" s="42"/>
      <c r="D39" s="43">
        <f>C28-D38</f>
        <v>85561.37896399999</v>
      </c>
      <c r="E39" s="112"/>
      <c r="F39" s="109"/>
      <c r="G39" s="109"/>
      <c r="H39" s="109"/>
      <c r="K39"/>
      <c r="L39"/>
      <c r="M39"/>
      <c r="N39"/>
    </row>
    <row r="40" spans="1:14" s="1" customFormat="1" ht="15">
      <c r="A40" s="45" t="s">
        <v>12</v>
      </c>
      <c r="B40" s="46" t="s">
        <v>11</v>
      </c>
      <c r="C40" s="31"/>
      <c r="D40" s="14"/>
      <c r="E40" s="109"/>
      <c r="F40" s="109"/>
      <c r="G40" s="109"/>
      <c r="H40" s="109"/>
      <c r="K40"/>
      <c r="L40"/>
      <c r="M40"/>
      <c r="N40"/>
    </row>
    <row r="41" spans="1:14" s="1" customFormat="1" ht="15">
      <c r="A41" s="45" t="s">
        <v>13</v>
      </c>
      <c r="B41" s="46" t="s">
        <v>11</v>
      </c>
      <c r="C41" s="31"/>
      <c r="D41" s="16">
        <v>11740.18</v>
      </c>
      <c r="E41" s="109"/>
      <c r="F41" s="109"/>
      <c r="G41" s="109"/>
      <c r="H41" s="109"/>
      <c r="K41"/>
      <c r="L41"/>
      <c r="M41"/>
      <c r="N41"/>
    </row>
    <row r="42" spans="1:14" s="1" customFormat="1" ht="24" customHeight="1">
      <c r="A42" s="569" t="s">
        <v>44</v>
      </c>
      <c r="B42" s="569"/>
      <c r="C42" s="569"/>
      <c r="D42" s="569"/>
      <c r="E42" s="109"/>
      <c r="F42" s="109"/>
      <c r="G42" s="109"/>
      <c r="H42" s="109"/>
      <c r="K42"/>
      <c r="L42"/>
      <c r="M42"/>
      <c r="N42"/>
    </row>
    <row r="43" spans="1:14" s="1" customFormat="1" ht="15">
      <c r="A43" s="45" t="s">
        <v>45</v>
      </c>
      <c r="B43" s="30" t="s">
        <v>46</v>
      </c>
      <c r="C43" s="31">
        <v>0</v>
      </c>
      <c r="D43" s="14">
        <v>0</v>
      </c>
      <c r="E43" s="109"/>
      <c r="F43" s="109"/>
      <c r="G43" s="109"/>
      <c r="H43" s="109"/>
      <c r="K43"/>
      <c r="L43"/>
      <c r="M43"/>
      <c r="N43"/>
    </row>
    <row r="44" spans="1:14" s="1" customFormat="1" ht="15">
      <c r="A44" s="45" t="s">
        <v>47</v>
      </c>
      <c r="B44" s="30" t="s">
        <v>46</v>
      </c>
      <c r="C44" s="31">
        <v>0</v>
      </c>
      <c r="D44" s="14">
        <v>0</v>
      </c>
      <c r="E44" s="109"/>
      <c r="F44" s="109"/>
      <c r="G44" s="109"/>
      <c r="H44" s="109"/>
      <c r="K44"/>
      <c r="L44"/>
      <c r="M44"/>
      <c r="N44"/>
    </row>
    <row r="45" spans="1:14" s="1" customFormat="1" ht="15">
      <c r="A45" s="47" t="s">
        <v>48</v>
      </c>
      <c r="B45" s="30" t="s">
        <v>46</v>
      </c>
      <c r="C45" s="31">
        <v>0</v>
      </c>
      <c r="D45" s="14">
        <v>0</v>
      </c>
      <c r="E45" s="109"/>
      <c r="F45" s="109"/>
      <c r="G45" s="109"/>
      <c r="H45" s="109"/>
      <c r="K45"/>
      <c r="L45"/>
      <c r="M45"/>
      <c r="N45"/>
    </row>
    <row r="46" spans="1:14" s="1" customFormat="1" ht="15">
      <c r="A46" s="45" t="s">
        <v>49</v>
      </c>
      <c r="B46" s="30" t="s">
        <v>11</v>
      </c>
      <c r="C46" s="31">
        <v>0</v>
      </c>
      <c r="D46" s="14">
        <v>0</v>
      </c>
      <c r="E46" s="109"/>
      <c r="F46" s="109"/>
      <c r="G46" s="109"/>
      <c r="H46" s="109"/>
      <c r="K46"/>
      <c r="L46"/>
      <c r="M46"/>
      <c r="N46"/>
    </row>
    <row r="47" spans="1:8" ht="20.25" customHeight="1">
      <c r="A47" s="570" t="s">
        <v>50</v>
      </c>
      <c r="B47" s="570"/>
      <c r="C47" s="570"/>
      <c r="D47" s="570"/>
      <c r="E47" s="109"/>
      <c r="F47" s="109"/>
      <c r="G47" s="109"/>
      <c r="H47" s="109"/>
    </row>
    <row r="48" spans="1:8" ht="25.5">
      <c r="A48" s="47" t="s">
        <v>51</v>
      </c>
      <c r="B48" s="30" t="s">
        <v>11</v>
      </c>
      <c r="C48" s="31"/>
      <c r="D48" s="14">
        <v>0</v>
      </c>
      <c r="E48" s="109"/>
      <c r="F48" s="109"/>
      <c r="G48" s="109"/>
      <c r="H48" s="109"/>
    </row>
    <row r="49" spans="1:8" ht="15">
      <c r="A49" s="45" t="s">
        <v>12</v>
      </c>
      <c r="B49" s="30" t="s">
        <v>11</v>
      </c>
      <c r="C49" s="31"/>
      <c r="D49" s="14">
        <v>0</v>
      </c>
      <c r="E49" s="109"/>
      <c r="F49" s="109"/>
      <c r="G49" s="109"/>
      <c r="H49" s="109"/>
    </row>
    <row r="50" spans="1:8" ht="15">
      <c r="A50" s="45" t="s">
        <v>13</v>
      </c>
      <c r="B50" s="30" t="s">
        <v>11</v>
      </c>
      <c r="C50" s="31"/>
      <c r="D50" s="58">
        <v>0</v>
      </c>
      <c r="E50" s="109"/>
      <c r="F50" s="109"/>
      <c r="G50" s="109"/>
      <c r="H50" s="113"/>
    </row>
    <row r="51" spans="1:8" ht="25.5">
      <c r="A51" s="50" t="s">
        <v>52</v>
      </c>
      <c r="B51" s="30" t="s">
        <v>11</v>
      </c>
      <c r="C51" s="51"/>
      <c r="D51" s="52">
        <v>0</v>
      </c>
      <c r="E51" s="109"/>
      <c r="F51" s="109"/>
      <c r="G51" s="109"/>
      <c r="H51" s="109"/>
    </row>
    <row r="52" spans="1:10" ht="17.25" customHeight="1">
      <c r="A52" s="53" t="s">
        <v>12</v>
      </c>
      <c r="B52" s="30" t="s">
        <v>11</v>
      </c>
      <c r="C52" s="31"/>
      <c r="D52" s="14">
        <v>0</v>
      </c>
      <c r="E52" s="109"/>
      <c r="F52" s="109"/>
      <c r="G52" s="109"/>
      <c r="H52" s="109"/>
      <c r="I52" s="49"/>
      <c r="J52" s="49"/>
    </row>
    <row r="53" spans="1:14" ht="15">
      <c r="A53" s="56" t="s">
        <v>13</v>
      </c>
      <c r="B53" s="30" t="s">
        <v>11</v>
      </c>
      <c r="C53" s="57"/>
      <c r="D53" s="58">
        <v>0</v>
      </c>
      <c r="E53" s="109"/>
      <c r="F53" s="109"/>
      <c r="G53" s="109"/>
      <c r="H53" s="109" t="s">
        <v>26</v>
      </c>
      <c r="I53" s="60"/>
      <c r="J53" s="60"/>
      <c r="K53" s="61"/>
      <c r="L53" s="61"/>
      <c r="M53" s="61"/>
      <c r="N53" s="61"/>
    </row>
    <row r="54" spans="1:14" ht="18" customHeight="1">
      <c r="A54" s="571" t="s">
        <v>53</v>
      </c>
      <c r="B54" s="571"/>
      <c r="C54" s="571"/>
      <c r="D54" s="571"/>
      <c r="E54" s="114"/>
      <c r="F54" s="115"/>
      <c r="G54" s="116"/>
      <c r="H54" s="109"/>
      <c r="I54" s="65"/>
      <c r="J54" s="65"/>
      <c r="K54" s="66"/>
      <c r="L54" s="66"/>
      <c r="M54" s="66"/>
      <c r="N54" s="66"/>
    </row>
    <row r="55" spans="1:14" ht="47.25">
      <c r="A55" s="67" t="s">
        <v>54</v>
      </c>
      <c r="B55" s="68" t="s">
        <v>55</v>
      </c>
      <c r="C55" s="69" t="s">
        <v>56</v>
      </c>
      <c r="D55" s="70" t="s">
        <v>57</v>
      </c>
      <c r="E55" s="114"/>
      <c r="F55" s="115"/>
      <c r="G55" s="116"/>
      <c r="H55" s="109"/>
      <c r="I55" s="65"/>
      <c r="J55" s="71"/>
      <c r="K55" s="66"/>
      <c r="L55" s="66"/>
      <c r="M55" s="66"/>
      <c r="N55" s="66"/>
    </row>
    <row r="56" spans="1:14" ht="15">
      <c r="A56" s="72" t="s">
        <v>58</v>
      </c>
      <c r="B56" s="99">
        <v>0</v>
      </c>
      <c r="C56" s="100">
        <f>B56*2.8792</f>
        <v>0</v>
      </c>
      <c r="D56" s="101">
        <f>B56-C56</f>
        <v>0</v>
      </c>
      <c r="E56" s="117"/>
      <c r="F56" s="115"/>
      <c r="G56" s="116"/>
      <c r="H56" s="109"/>
      <c r="I56" s="65"/>
      <c r="J56" s="65"/>
      <c r="K56" s="66"/>
      <c r="L56" s="66"/>
      <c r="M56" s="66"/>
      <c r="N56" s="66"/>
    </row>
    <row r="57" spans="1:14" ht="15">
      <c r="A57" s="72" t="s">
        <v>59</v>
      </c>
      <c r="B57" s="99">
        <v>0</v>
      </c>
      <c r="C57" s="100">
        <f>B57*0.8884</f>
        <v>0</v>
      </c>
      <c r="D57" s="101">
        <f>B57-C57</f>
        <v>0</v>
      </c>
      <c r="E57" s="114"/>
      <c r="F57" s="115"/>
      <c r="G57" s="116"/>
      <c r="H57" s="109"/>
      <c r="I57" s="65"/>
      <c r="J57" s="65"/>
      <c r="K57" s="66"/>
      <c r="L57" s="66"/>
      <c r="M57" s="66"/>
      <c r="N57" s="66"/>
    </row>
    <row r="58" spans="1:14" ht="15">
      <c r="A58" s="72" t="s">
        <v>60</v>
      </c>
      <c r="B58" s="102">
        <v>0</v>
      </c>
      <c r="C58" s="100">
        <f>B58*0.8884</f>
        <v>0</v>
      </c>
      <c r="D58" s="101">
        <f>B58-C58</f>
        <v>0</v>
      </c>
      <c r="E58" s="114">
        <f>(2.07+1.8)*6*2301.2-0.37*2301.2*6</f>
        <v>48325.2</v>
      </c>
      <c r="F58" s="118"/>
      <c r="G58" s="119"/>
      <c r="H58" s="114"/>
      <c r="I58" s="65"/>
      <c r="J58" s="65"/>
      <c r="K58" s="66"/>
      <c r="L58" s="66"/>
      <c r="M58" s="66"/>
      <c r="N58" s="66"/>
    </row>
    <row r="59" spans="1:14" ht="15.75" thickBot="1">
      <c r="A59" s="125" t="s">
        <v>236</v>
      </c>
      <c r="B59" s="126">
        <v>7053.55</v>
      </c>
      <c r="C59" s="127">
        <f>B59*1.0646</f>
        <v>7509.20933</v>
      </c>
      <c r="D59" s="128">
        <f>B59-C59</f>
        <v>-455.6593299999995</v>
      </c>
      <c r="E59" s="114"/>
      <c r="F59" s="118"/>
      <c r="G59" s="119"/>
      <c r="H59" s="109"/>
      <c r="I59" s="65"/>
      <c r="J59" s="65"/>
      <c r="K59" s="66"/>
      <c r="L59" s="66"/>
      <c r="M59" s="66"/>
      <c r="N59" s="66"/>
    </row>
    <row r="60" spans="1:14" ht="63">
      <c r="A60" s="129" t="s">
        <v>62</v>
      </c>
      <c r="B60" s="130" t="s">
        <v>63</v>
      </c>
      <c r="C60" s="131" t="s">
        <v>64</v>
      </c>
      <c r="D60" s="132" t="s">
        <v>65</v>
      </c>
      <c r="E60" s="114"/>
      <c r="F60" s="118"/>
      <c r="G60" s="109"/>
      <c r="H60" s="120"/>
      <c r="I60" s="65"/>
      <c r="J60" s="65"/>
      <c r="K60" s="66"/>
      <c r="L60" s="66"/>
      <c r="M60" s="66"/>
      <c r="N60" s="66"/>
    </row>
    <row r="61" spans="1:14" ht="15">
      <c r="A61" s="133" t="s">
        <v>58</v>
      </c>
      <c r="B61" s="104">
        <f>B56</f>
        <v>0</v>
      </c>
      <c r="C61" s="105">
        <f>C56</f>
        <v>0</v>
      </c>
      <c r="D61" s="134">
        <f>B61-C61</f>
        <v>0</v>
      </c>
      <c r="E61" s="114"/>
      <c r="F61" s="118"/>
      <c r="G61" s="109"/>
      <c r="H61" s="120"/>
      <c r="I61" s="65"/>
      <c r="J61" s="65" t="s">
        <v>26</v>
      </c>
      <c r="K61" s="66"/>
      <c r="L61" s="66"/>
      <c r="M61" s="66"/>
      <c r="N61" s="66"/>
    </row>
    <row r="62" spans="1:14" ht="15">
      <c r="A62" s="133" t="s">
        <v>59</v>
      </c>
      <c r="B62" s="104">
        <v>0</v>
      </c>
      <c r="C62" s="105">
        <v>0</v>
      </c>
      <c r="D62" s="134">
        <f>B62-C62</f>
        <v>0</v>
      </c>
      <c r="E62" s="114"/>
      <c r="F62" s="118"/>
      <c r="G62" s="109"/>
      <c r="H62" s="120"/>
      <c r="I62" s="65"/>
      <c r="J62" s="65"/>
      <c r="K62" s="66"/>
      <c r="L62" s="66"/>
      <c r="M62" s="66"/>
      <c r="N62" s="66"/>
    </row>
    <row r="63" spans="1:14" ht="15">
      <c r="A63" s="133" t="s">
        <v>60</v>
      </c>
      <c r="B63" s="104">
        <v>0</v>
      </c>
      <c r="C63" s="105">
        <v>0</v>
      </c>
      <c r="D63" s="134">
        <f>B63-C63</f>
        <v>0</v>
      </c>
      <c r="E63" s="114"/>
      <c r="F63" s="118"/>
      <c r="G63" s="109"/>
      <c r="H63" s="120"/>
      <c r="I63" s="65"/>
      <c r="J63" s="65"/>
      <c r="K63" s="66"/>
      <c r="L63" s="66"/>
      <c r="M63" s="66"/>
      <c r="N63" s="66"/>
    </row>
    <row r="64" spans="1:14" ht="15.75" thickBot="1">
      <c r="A64" s="135" t="s">
        <v>236</v>
      </c>
      <c r="B64" s="136">
        <v>7053.55</v>
      </c>
      <c r="C64" s="137">
        <f>C59</f>
        <v>7509.20933</v>
      </c>
      <c r="D64" s="138">
        <f>B64-C64</f>
        <v>-455.6593299999995</v>
      </c>
      <c r="E64" s="114"/>
      <c r="F64" s="118"/>
      <c r="G64" s="109"/>
      <c r="H64" s="120" t="s">
        <v>26</v>
      </c>
      <c r="I64" s="65"/>
      <c r="J64" s="65"/>
      <c r="K64" s="66"/>
      <c r="L64" s="66"/>
      <c r="M64" s="66"/>
      <c r="N64" s="66"/>
    </row>
    <row r="65" spans="1:14" ht="15">
      <c r="A65" s="77"/>
      <c r="B65" s="76"/>
      <c r="C65" s="78"/>
      <c r="D65" s="79"/>
      <c r="E65" s="114"/>
      <c r="F65" s="118"/>
      <c r="G65" s="109"/>
      <c r="H65" s="120"/>
      <c r="I65" s="65"/>
      <c r="J65" s="65"/>
      <c r="K65" s="66"/>
      <c r="L65" s="66"/>
      <c r="M65" s="66"/>
      <c r="N65" s="66"/>
    </row>
    <row r="66" spans="1:14" ht="25.5">
      <c r="A66" s="80" t="s">
        <v>66</v>
      </c>
      <c r="B66" s="76" t="s">
        <v>11</v>
      </c>
      <c r="C66" s="81"/>
      <c r="D66" s="82">
        <v>0</v>
      </c>
      <c r="E66" s="62"/>
      <c r="F66" s="73"/>
      <c r="H66" s="65"/>
      <c r="I66" s="65"/>
      <c r="J66" s="65" t="s">
        <v>26</v>
      </c>
      <c r="K66" s="66"/>
      <c r="L66" s="66"/>
      <c r="M66" s="66"/>
      <c r="N66" s="66"/>
    </row>
    <row r="67" spans="1:14" ht="17.25" customHeight="1">
      <c r="A67" s="572" t="s">
        <v>67</v>
      </c>
      <c r="B67" s="572"/>
      <c r="C67" s="572"/>
      <c r="D67" s="572"/>
      <c r="E67" s="83" t="e">
        <f>D67+B19</f>
        <v>#VALUE!</v>
      </c>
      <c r="F67" s="65"/>
      <c r="H67" s="84" t="e">
        <f>E67-B18</f>
        <v>#VALUE!</v>
      </c>
      <c r="I67" s="65"/>
      <c r="J67" s="65"/>
      <c r="K67" s="66"/>
      <c r="L67" s="66"/>
      <c r="M67" s="66"/>
      <c r="N67" s="66"/>
    </row>
    <row r="68" spans="1:5" ht="21" customHeight="1">
      <c r="A68" s="85" t="s">
        <v>45</v>
      </c>
      <c r="B68" s="85" t="s">
        <v>46</v>
      </c>
      <c r="C68" s="86"/>
      <c r="D68" s="177">
        <v>0</v>
      </c>
      <c r="E68" s="88"/>
    </row>
    <row r="69" spans="1:5" ht="21" customHeight="1">
      <c r="A69" s="85" t="s">
        <v>47</v>
      </c>
      <c r="B69" s="85" t="s">
        <v>46</v>
      </c>
      <c r="C69" s="85"/>
      <c r="D69" s="177">
        <v>0</v>
      </c>
      <c r="E69" s="88"/>
    </row>
    <row r="70" spans="1:5" ht="18" customHeight="1">
      <c r="A70" s="85" t="s">
        <v>48</v>
      </c>
      <c r="B70" s="85" t="s">
        <v>46</v>
      </c>
      <c r="C70" s="85"/>
      <c r="D70" s="177">
        <v>0</v>
      </c>
      <c r="E70" s="88"/>
    </row>
    <row r="71" spans="1:5" ht="16.5" customHeight="1">
      <c r="A71" s="85" t="s">
        <v>49</v>
      </c>
      <c r="B71" s="85" t="s">
        <v>11</v>
      </c>
      <c r="C71" s="85"/>
      <c r="D71" s="177">
        <v>0</v>
      </c>
      <c r="E71" s="88"/>
    </row>
    <row r="72" spans="1:5" ht="15.75" customHeight="1">
      <c r="A72" s="566" t="s">
        <v>68</v>
      </c>
      <c r="B72" s="566"/>
      <c r="C72" s="566"/>
      <c r="D72" s="566"/>
      <c r="E72" s="88"/>
    </row>
    <row r="73" spans="1:5" ht="18.75" customHeight="1">
      <c r="A73" s="85" t="s">
        <v>69</v>
      </c>
      <c r="B73" s="85" t="s">
        <v>46</v>
      </c>
      <c r="C73" s="85"/>
      <c r="D73" s="177">
        <v>0</v>
      </c>
      <c r="E73" s="88"/>
    </row>
    <row r="74" spans="1:5" ht="21.75" customHeight="1">
      <c r="A74" s="85" t="s">
        <v>70</v>
      </c>
      <c r="B74" s="53" t="s">
        <v>46</v>
      </c>
      <c r="C74" s="53"/>
      <c r="D74" s="177">
        <v>0</v>
      </c>
      <c r="E74" s="88"/>
    </row>
    <row r="75" spans="1:5" ht="36" customHeight="1">
      <c r="A75" s="89" t="s">
        <v>71</v>
      </c>
      <c r="B75" s="85" t="s">
        <v>11</v>
      </c>
      <c r="C75" s="85"/>
      <c r="D75" s="177">
        <v>0</v>
      </c>
      <c r="E75" s="88"/>
    </row>
    <row r="76" spans="1:4" ht="15">
      <c r="A76" s="66"/>
      <c r="B76" s="66"/>
      <c r="C76" s="66"/>
      <c r="D76" s="90"/>
    </row>
    <row r="77" spans="1:14" s="1" customFormat="1" ht="12.75">
      <c r="A77"/>
      <c r="B77"/>
      <c r="C77"/>
      <c r="D77"/>
      <c r="H77" s="1" t="s">
        <v>26</v>
      </c>
      <c r="K77"/>
      <c r="L77"/>
      <c r="M77"/>
      <c r="N77"/>
    </row>
    <row r="78" spans="1:14" s="1" customFormat="1" ht="12.75">
      <c r="A78" t="s">
        <v>72</v>
      </c>
      <c r="B78"/>
      <c r="C78"/>
      <c r="D78"/>
      <c r="K78"/>
      <c r="L78"/>
      <c r="M78"/>
      <c r="N78"/>
    </row>
    <row r="79" spans="1:14" s="1" customFormat="1" ht="12.75">
      <c r="A79"/>
      <c r="B79"/>
      <c r="C79"/>
      <c r="D79"/>
      <c r="H79" s="1" t="s">
        <v>26</v>
      </c>
      <c r="K79"/>
      <c r="L79"/>
      <c r="M79"/>
      <c r="N79"/>
    </row>
    <row r="80" spans="1:14" s="1" customFormat="1" ht="12.75">
      <c r="A80" t="s">
        <v>73</v>
      </c>
      <c r="B80"/>
      <c r="C80"/>
      <c r="D80"/>
      <c r="K80"/>
      <c r="L80"/>
      <c r="M80"/>
      <c r="N80"/>
    </row>
    <row r="84" spans="1:14" s="1" customFormat="1" ht="12.75">
      <c r="A84"/>
      <c r="B84"/>
      <c r="C84"/>
      <c r="D84"/>
      <c r="E84" s="1" t="s">
        <v>26</v>
      </c>
      <c r="K84"/>
      <c r="L84"/>
      <c r="M84"/>
      <c r="N84"/>
    </row>
  </sheetData>
  <sheetProtection selectLockedCells="1" selectUnlockedCells="1"/>
  <mergeCells count="13">
    <mergeCell ref="A72:D72"/>
    <mergeCell ref="A14:D14"/>
    <mergeCell ref="A29:D29"/>
    <mergeCell ref="A42:D42"/>
    <mergeCell ref="A47:D47"/>
    <mergeCell ref="A54:D54"/>
    <mergeCell ref="A67:D67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zoomScale="80" zoomScaleNormal="80" zoomScalePageLayoutView="0" workbookViewId="0" topLeftCell="A19">
      <selection activeCell="D39" sqref="D39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560" t="s">
        <v>0</v>
      </c>
      <c r="B1" s="560"/>
      <c r="C1" s="560"/>
      <c r="D1" s="560"/>
    </row>
    <row r="2" spans="1:4" ht="15.75">
      <c r="A2" s="561" t="s">
        <v>220</v>
      </c>
      <c r="B2" s="562"/>
      <c r="C2" s="562"/>
      <c r="D2" s="562"/>
    </row>
    <row r="3" spans="1:4" ht="15.75">
      <c r="A3" s="562" t="s">
        <v>1</v>
      </c>
      <c r="B3" s="562"/>
      <c r="C3" s="562"/>
      <c r="D3" s="562"/>
    </row>
    <row r="4" spans="1:4" ht="12.75">
      <c r="A4" s="563" t="s">
        <v>119</v>
      </c>
      <c r="B4" s="563"/>
      <c r="C4" s="563"/>
      <c r="D4" s="563"/>
    </row>
    <row r="5" spans="1:4" ht="12.75">
      <c r="A5" s="564" t="s">
        <v>266</v>
      </c>
      <c r="B5" s="563"/>
      <c r="C5" s="563"/>
      <c r="D5" s="563"/>
    </row>
    <row r="6" ht="9" customHeight="1">
      <c r="A6" s="2"/>
    </row>
    <row r="7" spans="1:4" ht="18" customHeight="1">
      <c r="A7" s="565" t="s">
        <v>2</v>
      </c>
      <c r="B7" s="565"/>
      <c r="C7" s="565"/>
      <c r="D7" s="565"/>
    </row>
    <row r="8" spans="1:3" ht="12.75">
      <c r="A8" s="2" t="s">
        <v>181</v>
      </c>
      <c r="C8" s="3"/>
    </row>
    <row r="9" spans="1:4" ht="12.75">
      <c r="A9" s="4" t="s">
        <v>3</v>
      </c>
      <c r="B9" s="4" t="s">
        <v>4</v>
      </c>
      <c r="C9" s="4" t="s">
        <v>5</v>
      </c>
      <c r="D9" s="5"/>
    </row>
    <row r="10" spans="1:4" ht="12.75">
      <c r="A10" s="6">
        <v>1</v>
      </c>
      <c r="B10" s="6">
        <v>2</v>
      </c>
      <c r="C10" s="6">
        <v>3</v>
      </c>
      <c r="D10" s="7">
        <v>4</v>
      </c>
    </row>
    <row r="11" spans="1:4" ht="12.75">
      <c r="A11" s="8" t="s">
        <v>6</v>
      </c>
      <c r="B11" s="9"/>
      <c r="C11" s="144" t="s">
        <v>262</v>
      </c>
      <c r="D11" s="10"/>
    </row>
    <row r="12" spans="1:4" ht="12.75">
      <c r="A12" s="8" t="s">
        <v>7</v>
      </c>
      <c r="B12" s="9"/>
      <c r="C12" s="144" t="s">
        <v>263</v>
      </c>
      <c r="D12" s="10"/>
    </row>
    <row r="13" spans="1:4" ht="12.75">
      <c r="A13" s="8" t="s">
        <v>8</v>
      </c>
      <c r="B13" s="9"/>
      <c r="C13" s="144" t="s">
        <v>267</v>
      </c>
      <c r="D13" s="10"/>
    </row>
    <row r="14" spans="1:4" ht="31.5" customHeight="1">
      <c r="A14" s="567" t="s">
        <v>9</v>
      </c>
      <c r="B14" s="567"/>
      <c r="C14" s="567"/>
      <c r="D14" s="567"/>
    </row>
    <row r="15" spans="1:8" ht="25.5">
      <c r="A15" s="11" t="s">
        <v>10</v>
      </c>
      <c r="B15" s="12" t="s">
        <v>11</v>
      </c>
      <c r="C15" s="15">
        <v>3901.33</v>
      </c>
      <c r="D15" s="14"/>
      <c r="E15" s="109"/>
      <c r="F15" s="109"/>
      <c r="G15" s="109"/>
      <c r="H15" s="109"/>
    </row>
    <row r="16" spans="1:8" ht="15">
      <c r="A16" s="8" t="s">
        <v>12</v>
      </c>
      <c r="B16" s="12" t="s">
        <v>11</v>
      </c>
      <c r="C16" s="13">
        <v>0</v>
      </c>
      <c r="D16" s="14"/>
      <c r="E16" s="109"/>
      <c r="F16" s="109"/>
      <c r="G16" s="109"/>
      <c r="H16" s="109"/>
    </row>
    <row r="17" spans="1:8" ht="15">
      <c r="A17" s="8" t="s">
        <v>13</v>
      </c>
      <c r="B17" s="12" t="s">
        <v>11</v>
      </c>
      <c r="C17" s="15">
        <v>37981</v>
      </c>
      <c r="D17" s="16"/>
      <c r="E17" s="109"/>
      <c r="F17" s="109"/>
      <c r="G17" s="109"/>
      <c r="H17" s="109"/>
    </row>
    <row r="18" spans="1:8" ht="31.5" customHeight="1">
      <c r="A18" s="17" t="s">
        <v>14</v>
      </c>
      <c r="B18" s="12" t="s">
        <v>11</v>
      </c>
      <c r="C18" s="15">
        <f>12104.1+1701</f>
        <v>13805.1</v>
      </c>
      <c r="D18" s="16"/>
      <c r="E18" s="110">
        <f>C18-C20</f>
        <v>9669.36</v>
      </c>
      <c r="F18" s="109"/>
      <c r="G18" s="109"/>
      <c r="H18" s="109"/>
    </row>
    <row r="19" spans="1:8" ht="15">
      <c r="A19" s="8" t="s">
        <v>15</v>
      </c>
      <c r="B19" s="12" t="s">
        <v>11</v>
      </c>
      <c r="C19" s="15">
        <f>C18-C20-C21</f>
        <v>4369.848</v>
      </c>
      <c r="D19" s="16"/>
      <c r="E19" s="110">
        <f>E18-E38</f>
        <v>0.004000000000814907</v>
      </c>
      <c r="F19" s="109"/>
      <c r="G19" s="109"/>
      <c r="H19" s="109"/>
    </row>
    <row r="20" spans="1:8" ht="15">
      <c r="A20" s="8" t="s">
        <v>16</v>
      </c>
      <c r="B20" s="12" t="s">
        <v>11</v>
      </c>
      <c r="C20" s="15">
        <f>(1.88+1.97)*6*105.4+1701</f>
        <v>4135.74</v>
      </c>
      <c r="D20" s="16"/>
      <c r="E20" s="111"/>
      <c r="F20" s="109"/>
      <c r="G20" s="109"/>
      <c r="H20" s="109"/>
    </row>
    <row r="21" spans="1:8" ht="15">
      <c r="A21" s="8" t="s">
        <v>17</v>
      </c>
      <c r="B21" s="12" t="s">
        <v>11</v>
      </c>
      <c r="C21" s="19">
        <f>105.4*4.19*12</f>
        <v>5299.512000000001</v>
      </c>
      <c r="D21" s="16"/>
      <c r="E21" s="109"/>
      <c r="F21" s="109"/>
      <c r="G21" s="109"/>
      <c r="H21" s="109"/>
    </row>
    <row r="22" spans="1:8" ht="15">
      <c r="A22" s="20" t="s">
        <v>18</v>
      </c>
      <c r="B22" s="12" t="s">
        <v>11</v>
      </c>
      <c r="C22" s="15">
        <f>C23+C24+C25+C26+C27</f>
        <v>7186.93506</v>
      </c>
      <c r="D22" s="16" t="s">
        <v>19</v>
      </c>
      <c r="E22" s="110" t="e">
        <f>B24+B25+B26+B27+B28</f>
        <v>#VALUE!</v>
      </c>
      <c r="F22" s="109"/>
      <c r="G22" s="109"/>
      <c r="H22" s="109"/>
    </row>
    <row r="23" spans="1:8" ht="15">
      <c r="A23" s="8" t="s">
        <v>20</v>
      </c>
      <c r="B23" s="12" t="s">
        <v>11</v>
      </c>
      <c r="C23" s="15">
        <f>C18*0.5206</f>
        <v>7186.93506</v>
      </c>
      <c r="D23" s="16"/>
      <c r="E23" s="109"/>
      <c r="F23" s="109"/>
      <c r="G23" s="109"/>
      <c r="H23" s="109"/>
    </row>
    <row r="24" spans="1:8" ht="15">
      <c r="A24" s="8" t="s">
        <v>21</v>
      </c>
      <c r="B24" s="12" t="s">
        <v>11</v>
      </c>
      <c r="C24" s="15">
        <v>0</v>
      </c>
      <c r="D24" s="21">
        <v>65.21</v>
      </c>
      <c r="E24" s="111" t="e">
        <f>B24/#REF!*1</f>
        <v>#VALUE!</v>
      </c>
      <c r="F24" s="109"/>
      <c r="G24" s="109"/>
      <c r="H24" s="109" t="s">
        <v>22</v>
      </c>
    </row>
    <row r="25" spans="1:8" ht="15">
      <c r="A25" s="8" t="s">
        <v>23</v>
      </c>
      <c r="B25" s="12" t="s">
        <v>11</v>
      </c>
      <c r="C25" s="15">
        <v>0</v>
      </c>
      <c r="D25" s="21">
        <v>119.63</v>
      </c>
      <c r="E25" s="111" t="e">
        <f>B25/#REF!*1</f>
        <v>#VALUE!</v>
      </c>
      <c r="F25" s="109"/>
      <c r="G25" s="109"/>
      <c r="H25" s="109"/>
    </row>
    <row r="26" spans="1:8" ht="15">
      <c r="A26" s="9" t="s">
        <v>24</v>
      </c>
      <c r="B26" s="12" t="s">
        <v>11</v>
      </c>
      <c r="C26" s="15">
        <v>0</v>
      </c>
      <c r="D26" s="21"/>
      <c r="E26" s="111" t="e">
        <f>B26/#REF!*1</f>
        <v>#VALUE!</v>
      </c>
      <c r="F26" s="109"/>
      <c r="G26" s="109"/>
      <c r="H26" s="109"/>
    </row>
    <row r="27" spans="1:8" ht="16.5" customHeight="1">
      <c r="A27" s="98" t="s">
        <v>96</v>
      </c>
      <c r="B27" s="12" t="s">
        <v>11</v>
      </c>
      <c r="C27" s="15">
        <v>0</v>
      </c>
      <c r="D27" s="21">
        <v>139.18</v>
      </c>
      <c r="E27" s="111" t="e">
        <f>B27/#REF!*1</f>
        <v>#VALUE!</v>
      </c>
      <c r="F27" s="109"/>
      <c r="G27" s="109"/>
      <c r="H27" s="109"/>
    </row>
    <row r="28" spans="1:8" ht="15">
      <c r="A28" s="8" t="s">
        <v>25</v>
      </c>
      <c r="B28" s="12" t="s">
        <v>11</v>
      </c>
      <c r="C28" s="15">
        <f>C15+C22</f>
        <v>11088.26506</v>
      </c>
      <c r="D28" s="16" t="s">
        <v>26</v>
      </c>
      <c r="E28" s="111" t="e">
        <f>B28/#REF!*1</f>
        <v>#VALUE!</v>
      </c>
      <c r="F28" s="109"/>
      <c r="G28" s="109"/>
      <c r="H28" s="109"/>
    </row>
    <row r="29" spans="1:8" ht="35.25" customHeight="1">
      <c r="A29" s="568" t="s">
        <v>27</v>
      </c>
      <c r="B29" s="568"/>
      <c r="C29" s="568"/>
      <c r="D29" s="568"/>
      <c r="E29" s="109"/>
      <c r="F29" s="109"/>
      <c r="G29" s="109"/>
      <c r="H29" s="109"/>
    </row>
    <row r="30" spans="1:8" ht="60">
      <c r="A30" s="22" t="s">
        <v>28</v>
      </c>
      <c r="B30" s="23" t="s">
        <v>29</v>
      </c>
      <c r="C30" s="24" t="s">
        <v>30</v>
      </c>
      <c r="D30" s="25" t="s">
        <v>31</v>
      </c>
      <c r="E30" s="109"/>
      <c r="F30" s="109"/>
      <c r="G30" s="109"/>
      <c r="H30" s="109"/>
    </row>
    <row r="31" spans="1:8" ht="15">
      <c r="A31" s="26" t="s">
        <v>32</v>
      </c>
      <c r="B31" s="27" t="s">
        <v>33</v>
      </c>
      <c r="C31" s="28" t="s">
        <v>34</v>
      </c>
      <c r="D31" s="92">
        <f>(0.85+0.95)*6*105.4</f>
        <v>1138.32</v>
      </c>
      <c r="E31" s="109"/>
      <c r="F31" s="109"/>
      <c r="G31" s="109"/>
      <c r="H31" s="109"/>
    </row>
    <row r="32" spans="1:8" ht="15">
      <c r="A32" s="29" t="s">
        <v>36</v>
      </c>
      <c r="B32" s="30" t="s">
        <v>33</v>
      </c>
      <c r="C32" s="31" t="s">
        <v>37</v>
      </c>
      <c r="D32" s="93">
        <f>0.24*12*105.4</f>
        <v>303.552</v>
      </c>
      <c r="E32" s="109"/>
      <c r="F32" s="109"/>
      <c r="G32" s="109"/>
      <c r="H32" s="109"/>
    </row>
    <row r="33" spans="1:8" ht="15">
      <c r="A33" s="153" t="s">
        <v>174</v>
      </c>
      <c r="B33" s="30" t="s">
        <v>33</v>
      </c>
      <c r="C33" s="31" t="s">
        <v>34</v>
      </c>
      <c r="D33" s="93">
        <f>(0.16+0.35)*6*105.4</f>
        <v>322.524</v>
      </c>
      <c r="E33" s="109"/>
      <c r="F33" s="109"/>
      <c r="G33" s="109"/>
      <c r="H33" s="109"/>
    </row>
    <row r="34" spans="1:8" ht="15">
      <c r="A34" s="29" t="s">
        <v>81</v>
      </c>
      <c r="B34" s="91" t="s">
        <v>82</v>
      </c>
      <c r="C34" s="31" t="s">
        <v>34</v>
      </c>
      <c r="D34" s="93">
        <f>1.33*12*105.4</f>
        <v>1682.1840000000002</v>
      </c>
      <c r="E34" s="109"/>
      <c r="F34" s="109"/>
      <c r="G34" s="109"/>
      <c r="H34" s="109"/>
    </row>
    <row r="35" spans="1:8" ht="15">
      <c r="A35" s="29" t="s">
        <v>38</v>
      </c>
      <c r="B35" s="30" t="s">
        <v>35</v>
      </c>
      <c r="C35" s="364" t="s">
        <v>221</v>
      </c>
      <c r="D35" s="93">
        <f>4.19*105.4*12</f>
        <v>5299.512000000001</v>
      </c>
      <c r="E35" s="109"/>
      <c r="F35" s="109"/>
      <c r="G35" s="109"/>
      <c r="H35" s="109"/>
    </row>
    <row r="36" spans="1:8" ht="15">
      <c r="A36" s="29" t="s">
        <v>85</v>
      </c>
      <c r="B36" s="30" t="s">
        <v>222</v>
      </c>
      <c r="C36" s="171" t="s">
        <v>37</v>
      </c>
      <c r="D36" s="93">
        <f>105.4*12*0.73-0.04</f>
        <v>923.2640000000001</v>
      </c>
      <c r="E36" s="109"/>
      <c r="F36" s="109"/>
      <c r="G36" s="109"/>
      <c r="H36" s="109"/>
    </row>
    <row r="37" spans="1:14" s="1" customFormat="1" ht="45">
      <c r="A37" s="33" t="s">
        <v>40</v>
      </c>
      <c r="B37" s="34" t="s">
        <v>41</v>
      </c>
      <c r="C37" s="28"/>
      <c r="D37" s="36">
        <v>0</v>
      </c>
      <c r="E37" s="109"/>
      <c r="F37" s="109"/>
      <c r="G37" s="109"/>
      <c r="H37" s="109"/>
      <c r="K37"/>
      <c r="L37"/>
      <c r="M37"/>
      <c r="N37"/>
    </row>
    <row r="38" spans="1:14" s="1" customFormat="1" ht="15.75">
      <c r="A38" s="37" t="s">
        <v>42</v>
      </c>
      <c r="B38" s="38"/>
      <c r="C38" s="39"/>
      <c r="D38" s="97">
        <f>SUM(D31:D37)</f>
        <v>9669.356</v>
      </c>
      <c r="E38" s="112">
        <f>D38-D37</f>
        <v>9669.356</v>
      </c>
      <c r="F38" s="109"/>
      <c r="G38" s="109"/>
      <c r="H38" s="109"/>
      <c r="K38"/>
      <c r="L38"/>
      <c r="M38"/>
      <c r="N38"/>
    </row>
    <row r="39" spans="1:14" s="1" customFormat="1" ht="15">
      <c r="A39" s="40" t="s">
        <v>43</v>
      </c>
      <c r="B39" s="41" t="s">
        <v>11</v>
      </c>
      <c r="C39" s="42"/>
      <c r="D39" s="43">
        <f>C28-D38</f>
        <v>1418.90906</v>
      </c>
      <c r="E39" s="112"/>
      <c r="F39" s="109"/>
      <c r="G39" s="109"/>
      <c r="H39" s="109"/>
      <c r="K39"/>
      <c r="L39"/>
      <c r="M39"/>
      <c r="N39"/>
    </row>
    <row r="40" spans="1:14" s="1" customFormat="1" ht="15">
      <c r="A40" s="45" t="s">
        <v>12</v>
      </c>
      <c r="B40" s="46" t="s">
        <v>11</v>
      </c>
      <c r="C40" s="31"/>
      <c r="D40" s="14"/>
      <c r="E40" s="109"/>
      <c r="F40" s="109"/>
      <c r="G40" s="109"/>
      <c r="H40" s="109"/>
      <c r="K40"/>
      <c r="L40"/>
      <c r="M40"/>
      <c r="N40"/>
    </row>
    <row r="41" spans="1:14" s="1" customFormat="1" ht="15">
      <c r="A41" s="45" t="s">
        <v>13</v>
      </c>
      <c r="B41" s="46" t="s">
        <v>11</v>
      </c>
      <c r="C41" s="31"/>
      <c r="D41" s="16">
        <f>C17+C18-C23</f>
        <v>44599.16494</v>
      </c>
      <c r="E41" s="109"/>
      <c r="F41" s="109"/>
      <c r="G41" s="109"/>
      <c r="H41" s="109"/>
      <c r="K41"/>
      <c r="L41"/>
      <c r="M41"/>
      <c r="N41"/>
    </row>
    <row r="42" spans="1:14" s="1" customFormat="1" ht="24" customHeight="1">
      <c r="A42" s="569" t="s">
        <v>44</v>
      </c>
      <c r="B42" s="569"/>
      <c r="C42" s="569"/>
      <c r="D42" s="569"/>
      <c r="E42" s="109"/>
      <c r="F42" s="109"/>
      <c r="G42" s="109"/>
      <c r="H42" s="109"/>
      <c r="K42"/>
      <c r="L42"/>
      <c r="M42"/>
      <c r="N42"/>
    </row>
    <row r="43" spans="1:14" s="1" customFormat="1" ht="15">
      <c r="A43" s="45" t="s">
        <v>45</v>
      </c>
      <c r="B43" s="30" t="s">
        <v>46</v>
      </c>
      <c r="C43" s="31">
        <v>0</v>
      </c>
      <c r="D43" s="14">
        <v>0</v>
      </c>
      <c r="E43" s="109"/>
      <c r="F43" s="109"/>
      <c r="G43" s="109"/>
      <c r="H43" s="109"/>
      <c r="K43"/>
      <c r="L43"/>
      <c r="M43"/>
      <c r="N43"/>
    </row>
    <row r="44" spans="1:14" s="1" customFormat="1" ht="15">
      <c r="A44" s="45" t="s">
        <v>47</v>
      </c>
      <c r="B44" s="30" t="s">
        <v>46</v>
      </c>
      <c r="C44" s="31">
        <v>0</v>
      </c>
      <c r="D44" s="14">
        <v>0</v>
      </c>
      <c r="E44" s="109"/>
      <c r="F44" s="109"/>
      <c r="G44" s="109"/>
      <c r="H44" s="109"/>
      <c r="K44"/>
      <c r="L44"/>
      <c r="M44"/>
      <c r="N44"/>
    </row>
    <row r="45" spans="1:14" s="1" customFormat="1" ht="15">
      <c r="A45" s="47" t="s">
        <v>48</v>
      </c>
      <c r="B45" s="30" t="s">
        <v>46</v>
      </c>
      <c r="C45" s="31">
        <v>0</v>
      </c>
      <c r="D45" s="14">
        <v>0</v>
      </c>
      <c r="E45" s="109"/>
      <c r="F45" s="109"/>
      <c r="G45" s="109"/>
      <c r="H45" s="109"/>
      <c r="K45"/>
      <c r="L45"/>
      <c r="M45"/>
      <c r="N45"/>
    </row>
    <row r="46" spans="1:14" s="1" customFormat="1" ht="15">
      <c r="A46" s="45" t="s">
        <v>49</v>
      </c>
      <c r="B46" s="30" t="s">
        <v>11</v>
      </c>
      <c r="C46" s="31">
        <v>0</v>
      </c>
      <c r="D46" s="14">
        <v>0</v>
      </c>
      <c r="E46" s="109"/>
      <c r="F46" s="109"/>
      <c r="G46" s="109"/>
      <c r="H46" s="109"/>
      <c r="K46"/>
      <c r="L46"/>
      <c r="M46"/>
      <c r="N46"/>
    </row>
    <row r="47" spans="1:8" ht="20.25" customHeight="1">
      <c r="A47" s="570" t="s">
        <v>50</v>
      </c>
      <c r="B47" s="570"/>
      <c r="C47" s="570"/>
      <c r="D47" s="570"/>
      <c r="E47" s="109"/>
      <c r="F47" s="109"/>
      <c r="G47" s="109"/>
      <c r="H47" s="109"/>
    </row>
    <row r="48" spans="1:8" ht="25.5">
      <c r="A48" s="47" t="s">
        <v>51</v>
      </c>
      <c r="B48" s="30" t="s">
        <v>11</v>
      </c>
      <c r="C48" s="31"/>
      <c r="D48" s="14">
        <v>0</v>
      </c>
      <c r="E48" s="109"/>
      <c r="F48" s="109"/>
      <c r="G48" s="109"/>
      <c r="H48" s="109"/>
    </row>
    <row r="49" spans="1:8" ht="15">
      <c r="A49" s="45" t="s">
        <v>12</v>
      </c>
      <c r="B49" s="30" t="s">
        <v>11</v>
      </c>
      <c r="C49" s="31"/>
      <c r="D49" s="14">
        <v>0</v>
      </c>
      <c r="E49" s="109"/>
      <c r="F49" s="109"/>
      <c r="G49" s="109"/>
      <c r="H49" s="109"/>
    </row>
    <row r="50" spans="1:8" ht="15">
      <c r="A50" s="45" t="s">
        <v>13</v>
      </c>
      <c r="B50" s="30" t="s">
        <v>11</v>
      </c>
      <c r="C50" s="31"/>
      <c r="D50" s="58">
        <f>D53+D56+D59</f>
        <v>46143.591004</v>
      </c>
      <c r="E50" s="109"/>
      <c r="F50" s="109"/>
      <c r="G50" s="109"/>
      <c r="H50" s="113"/>
    </row>
    <row r="51" spans="1:8" ht="25.5">
      <c r="A51" s="50" t="s">
        <v>52</v>
      </c>
      <c r="B51" s="30" t="s">
        <v>11</v>
      </c>
      <c r="C51" s="51"/>
      <c r="D51" s="52">
        <v>0</v>
      </c>
      <c r="E51" s="109"/>
      <c r="F51" s="109"/>
      <c r="G51" s="109"/>
      <c r="H51" s="109"/>
    </row>
    <row r="52" spans="1:10" ht="17.25" customHeight="1">
      <c r="A52" s="53" t="s">
        <v>12</v>
      </c>
      <c r="B52" s="30" t="s">
        <v>11</v>
      </c>
      <c r="C52" s="31"/>
      <c r="D52" s="14">
        <v>0</v>
      </c>
      <c r="E52" s="109"/>
      <c r="F52" s="109"/>
      <c r="G52" s="109"/>
      <c r="H52" s="109"/>
      <c r="I52" s="49"/>
      <c r="J52" s="49"/>
    </row>
    <row r="53" spans="1:14" ht="15">
      <c r="A53" s="56" t="s">
        <v>13</v>
      </c>
      <c r="B53" s="30" t="s">
        <v>11</v>
      </c>
      <c r="C53" s="57"/>
      <c r="D53" s="58">
        <v>42783.16</v>
      </c>
      <c r="E53" s="109"/>
      <c r="F53" s="109"/>
      <c r="G53" s="109"/>
      <c r="H53" s="109" t="s">
        <v>26</v>
      </c>
      <c r="I53" s="60"/>
      <c r="J53" s="60"/>
      <c r="K53" s="61"/>
      <c r="L53" s="61"/>
      <c r="M53" s="61"/>
      <c r="N53" s="61"/>
    </row>
    <row r="54" spans="1:14" ht="18" customHeight="1">
      <c r="A54" s="571" t="s">
        <v>53</v>
      </c>
      <c r="B54" s="571"/>
      <c r="C54" s="571"/>
      <c r="D54" s="571"/>
      <c r="E54" s="114"/>
      <c r="F54" s="115"/>
      <c r="G54" s="116"/>
      <c r="H54" s="109"/>
      <c r="I54" s="65"/>
      <c r="J54" s="65"/>
      <c r="K54" s="66"/>
      <c r="L54" s="66"/>
      <c r="M54" s="66"/>
      <c r="N54" s="66"/>
    </row>
    <row r="55" spans="1:14" ht="47.25">
      <c r="A55" s="67" t="s">
        <v>54</v>
      </c>
      <c r="B55" s="68" t="s">
        <v>55</v>
      </c>
      <c r="C55" s="69" t="s">
        <v>56</v>
      </c>
      <c r="D55" s="70" t="s">
        <v>57</v>
      </c>
      <c r="E55" s="114"/>
      <c r="F55" s="115"/>
      <c r="G55" s="116"/>
      <c r="H55" s="109"/>
      <c r="I55" s="65"/>
      <c r="J55" s="71"/>
      <c r="K55" s="66"/>
      <c r="L55" s="66"/>
      <c r="M55" s="66"/>
      <c r="N55" s="66"/>
    </row>
    <row r="56" spans="1:14" ht="15">
      <c r="A56" s="72" t="s">
        <v>58</v>
      </c>
      <c r="B56" s="99">
        <v>1105.32</v>
      </c>
      <c r="C56" s="100">
        <f>B56*0.5206</f>
        <v>575.429592</v>
      </c>
      <c r="D56" s="101">
        <f>B56-C56</f>
        <v>529.890408</v>
      </c>
      <c r="E56" s="117"/>
      <c r="F56" s="115"/>
      <c r="G56" s="116"/>
      <c r="H56" s="109"/>
      <c r="I56" s="65"/>
      <c r="J56" s="65"/>
      <c r="K56" s="66"/>
      <c r="L56" s="66"/>
      <c r="M56" s="66"/>
      <c r="N56" s="66"/>
    </row>
    <row r="57" spans="1:14" ht="15">
      <c r="A57" s="72" t="s">
        <v>59</v>
      </c>
      <c r="B57" s="99">
        <v>0</v>
      </c>
      <c r="C57" s="100">
        <f>B57*0.8884</f>
        <v>0</v>
      </c>
      <c r="D57" s="101">
        <f>B57-C57</f>
        <v>0</v>
      </c>
      <c r="E57" s="114"/>
      <c r="F57" s="115"/>
      <c r="G57" s="116"/>
      <c r="H57" s="109"/>
      <c r="I57" s="65"/>
      <c r="J57" s="65"/>
      <c r="K57" s="66"/>
      <c r="L57" s="66"/>
      <c r="M57" s="66"/>
      <c r="N57" s="66"/>
    </row>
    <row r="58" spans="1:14" ht="15">
      <c r="A58" s="72" t="s">
        <v>60</v>
      </c>
      <c r="B58" s="102">
        <v>0</v>
      </c>
      <c r="C58" s="100">
        <f>B58*0.8884</f>
        <v>0</v>
      </c>
      <c r="D58" s="101">
        <f>B58-C58</f>
        <v>0</v>
      </c>
      <c r="E58" s="114">
        <f>(2.07+1.8)*6*2301.2-0.37*2301.2*6</f>
        <v>48325.2</v>
      </c>
      <c r="F58" s="118"/>
      <c r="G58" s="119"/>
      <c r="H58" s="114"/>
      <c r="I58" s="65"/>
      <c r="J58" s="65"/>
      <c r="K58" s="66"/>
      <c r="L58" s="66"/>
      <c r="M58" s="66"/>
      <c r="N58" s="66"/>
    </row>
    <row r="59" spans="1:14" ht="15.75" thickBot="1">
      <c r="A59" s="125" t="s">
        <v>236</v>
      </c>
      <c r="B59" s="126">
        <v>5904.34</v>
      </c>
      <c r="C59" s="100">
        <f>B59*0.5206</f>
        <v>3073.799404</v>
      </c>
      <c r="D59" s="128">
        <f>B59-C59</f>
        <v>2830.5405960000003</v>
      </c>
      <c r="E59" s="114"/>
      <c r="F59" s="118"/>
      <c r="G59" s="119"/>
      <c r="H59" s="109"/>
      <c r="I59" s="65"/>
      <c r="J59" s="65"/>
      <c r="K59" s="66"/>
      <c r="L59" s="66"/>
      <c r="M59" s="66"/>
      <c r="N59" s="66"/>
    </row>
    <row r="60" spans="1:14" ht="63">
      <c r="A60" s="129" t="s">
        <v>62</v>
      </c>
      <c r="B60" s="130" t="s">
        <v>63</v>
      </c>
      <c r="C60" s="131" t="s">
        <v>64</v>
      </c>
      <c r="D60" s="132" t="s">
        <v>65</v>
      </c>
      <c r="E60" s="114"/>
      <c r="F60" s="118"/>
      <c r="G60" s="109"/>
      <c r="H60" s="120"/>
      <c r="I60" s="65"/>
      <c r="J60" s="65"/>
      <c r="K60" s="66"/>
      <c r="L60" s="66"/>
      <c r="M60" s="66"/>
      <c r="N60" s="66"/>
    </row>
    <row r="61" spans="1:14" ht="15">
      <c r="A61" s="133" t="s">
        <v>58</v>
      </c>
      <c r="B61" s="99">
        <v>1105.32</v>
      </c>
      <c r="C61" s="105">
        <f>B61</f>
        <v>1105.32</v>
      </c>
      <c r="D61" s="134">
        <f>B61-C61</f>
        <v>0</v>
      </c>
      <c r="E61" s="114"/>
      <c r="F61" s="118"/>
      <c r="G61" s="109"/>
      <c r="H61" s="120"/>
      <c r="I61" s="65"/>
      <c r="J61" s="65" t="s">
        <v>26</v>
      </c>
      <c r="K61" s="66"/>
      <c r="L61" s="66"/>
      <c r="M61" s="66"/>
      <c r="N61" s="66"/>
    </row>
    <row r="62" spans="1:14" ht="15">
      <c r="A62" s="133" t="s">
        <v>59</v>
      </c>
      <c r="B62" s="99">
        <v>0</v>
      </c>
      <c r="C62" s="105">
        <v>0</v>
      </c>
      <c r="D62" s="134">
        <f>B62-C62</f>
        <v>0</v>
      </c>
      <c r="E62" s="114"/>
      <c r="F62" s="118"/>
      <c r="G62" s="109"/>
      <c r="H62" s="120"/>
      <c r="I62" s="65"/>
      <c r="J62" s="65"/>
      <c r="K62" s="66"/>
      <c r="L62" s="66"/>
      <c r="M62" s="66"/>
      <c r="N62" s="66"/>
    </row>
    <row r="63" spans="1:14" ht="15">
      <c r="A63" s="133" t="s">
        <v>60</v>
      </c>
      <c r="B63" s="102">
        <v>0</v>
      </c>
      <c r="C63" s="105">
        <v>0</v>
      </c>
      <c r="D63" s="134">
        <f>B63-C63</f>
        <v>0</v>
      </c>
      <c r="E63" s="114"/>
      <c r="F63" s="118"/>
      <c r="G63" s="109"/>
      <c r="H63" s="120"/>
      <c r="I63" s="65"/>
      <c r="J63" s="65"/>
      <c r="K63" s="66"/>
      <c r="L63" s="66"/>
      <c r="M63" s="66"/>
      <c r="N63" s="66"/>
    </row>
    <row r="64" spans="1:14" ht="15.75" thickBot="1">
      <c r="A64" s="135" t="s">
        <v>236</v>
      </c>
      <c r="B64" s="126">
        <v>5904.34</v>
      </c>
      <c r="C64" s="137">
        <f>C59</f>
        <v>3073.799404</v>
      </c>
      <c r="D64" s="138">
        <f>B64-C64</f>
        <v>2830.5405960000003</v>
      </c>
      <c r="E64" s="114"/>
      <c r="F64" s="118"/>
      <c r="G64" s="109"/>
      <c r="H64" s="120" t="s">
        <v>26</v>
      </c>
      <c r="I64" s="65"/>
      <c r="J64" s="65"/>
      <c r="K64" s="66"/>
      <c r="L64" s="66"/>
      <c r="M64" s="66"/>
      <c r="N64" s="66"/>
    </row>
    <row r="65" spans="1:14" ht="15">
      <c r="A65" s="77"/>
      <c r="B65" s="76"/>
      <c r="C65" s="78"/>
      <c r="D65" s="79"/>
      <c r="E65" s="114"/>
      <c r="F65" s="118"/>
      <c r="G65" s="109"/>
      <c r="H65" s="120"/>
      <c r="I65" s="65"/>
      <c r="J65" s="65"/>
      <c r="K65" s="66"/>
      <c r="L65" s="66"/>
      <c r="M65" s="66"/>
      <c r="N65" s="66"/>
    </row>
    <row r="66" spans="1:14" ht="25.5">
      <c r="A66" s="80" t="s">
        <v>66</v>
      </c>
      <c r="B66" s="76" t="s">
        <v>11</v>
      </c>
      <c r="C66" s="81"/>
      <c r="D66" s="82">
        <v>0</v>
      </c>
      <c r="E66" s="114"/>
      <c r="F66" s="118"/>
      <c r="G66" s="109"/>
      <c r="H66" s="120"/>
      <c r="I66" s="65"/>
      <c r="J66" s="65" t="s">
        <v>26</v>
      </c>
      <c r="K66" s="66"/>
      <c r="L66" s="66"/>
      <c r="M66" s="66"/>
      <c r="N66" s="66"/>
    </row>
    <row r="67" spans="1:14" ht="17.25" customHeight="1">
      <c r="A67" s="572" t="s">
        <v>67</v>
      </c>
      <c r="B67" s="572"/>
      <c r="C67" s="572"/>
      <c r="D67" s="572"/>
      <c r="E67" s="121" t="e">
        <f>D67+B19</f>
        <v>#VALUE!</v>
      </c>
      <c r="F67" s="120"/>
      <c r="G67" s="109"/>
      <c r="H67" s="122" t="e">
        <f>E67-B18</f>
        <v>#VALUE!</v>
      </c>
      <c r="I67" s="65"/>
      <c r="J67" s="65"/>
      <c r="K67" s="66"/>
      <c r="L67" s="66"/>
      <c r="M67" s="66"/>
      <c r="N67" s="66"/>
    </row>
    <row r="68" spans="1:5" ht="21" customHeight="1">
      <c r="A68" s="85" t="s">
        <v>45</v>
      </c>
      <c r="B68" s="85" t="s">
        <v>46</v>
      </c>
      <c r="C68" s="86"/>
      <c r="D68" s="177">
        <v>0</v>
      </c>
      <c r="E68" s="88"/>
    </row>
    <row r="69" spans="1:5" ht="21" customHeight="1">
      <c r="A69" s="85" t="s">
        <v>47</v>
      </c>
      <c r="B69" s="85" t="s">
        <v>46</v>
      </c>
      <c r="C69" s="85"/>
      <c r="D69" s="177">
        <v>0</v>
      </c>
      <c r="E69" s="88"/>
    </row>
    <row r="70" spans="1:5" ht="18" customHeight="1">
      <c r="A70" s="85" t="s">
        <v>48</v>
      </c>
      <c r="B70" s="85" t="s">
        <v>46</v>
      </c>
      <c r="C70" s="85"/>
      <c r="D70" s="177">
        <v>0</v>
      </c>
      <c r="E70" s="88"/>
    </row>
    <row r="71" spans="1:5" ht="16.5" customHeight="1">
      <c r="A71" s="85" t="s">
        <v>49</v>
      </c>
      <c r="B71" s="85" t="s">
        <v>11</v>
      </c>
      <c r="C71" s="85"/>
      <c r="D71" s="177">
        <v>0</v>
      </c>
      <c r="E71" s="88"/>
    </row>
    <row r="72" spans="1:5" ht="15.75" customHeight="1">
      <c r="A72" s="566" t="s">
        <v>68</v>
      </c>
      <c r="B72" s="566"/>
      <c r="C72" s="566"/>
      <c r="D72" s="566"/>
      <c r="E72" s="88"/>
    </row>
    <row r="73" spans="1:5" ht="18.75" customHeight="1">
      <c r="A73" s="85" t="s">
        <v>69</v>
      </c>
      <c r="B73" s="85" t="s">
        <v>46</v>
      </c>
      <c r="C73" s="85"/>
      <c r="D73" s="177">
        <v>0</v>
      </c>
      <c r="E73" s="88"/>
    </row>
    <row r="74" spans="1:5" ht="21.75" customHeight="1">
      <c r="A74" s="85" t="s">
        <v>70</v>
      </c>
      <c r="B74" s="53" t="s">
        <v>46</v>
      </c>
      <c r="C74" s="53"/>
      <c r="D74" s="177">
        <v>1</v>
      </c>
      <c r="E74" s="88"/>
    </row>
    <row r="75" spans="1:5" ht="36" customHeight="1">
      <c r="A75" s="89" t="s">
        <v>71</v>
      </c>
      <c r="B75" s="85" t="s">
        <v>11</v>
      </c>
      <c r="C75" s="85"/>
      <c r="D75" s="177">
        <v>0</v>
      </c>
      <c r="E75" s="88"/>
    </row>
    <row r="76" spans="1:4" ht="15">
      <c r="A76" s="66"/>
      <c r="B76" s="66"/>
      <c r="C76" s="66"/>
      <c r="D76" s="90"/>
    </row>
    <row r="77" spans="1:14" s="1" customFormat="1" ht="12.75">
      <c r="A77"/>
      <c r="B77"/>
      <c r="C77"/>
      <c r="D77"/>
      <c r="H77" s="1" t="s">
        <v>26</v>
      </c>
      <c r="K77"/>
      <c r="L77"/>
      <c r="M77"/>
      <c r="N77"/>
    </row>
    <row r="78" spans="1:14" s="1" customFormat="1" ht="12.75">
      <c r="A78" t="s">
        <v>72</v>
      </c>
      <c r="B78"/>
      <c r="C78"/>
      <c r="D78"/>
      <c r="K78"/>
      <c r="L78"/>
      <c r="M78"/>
      <c r="N78"/>
    </row>
    <row r="79" spans="1:14" s="1" customFormat="1" ht="12.75">
      <c r="A79"/>
      <c r="B79"/>
      <c r="C79"/>
      <c r="D79"/>
      <c r="H79" s="1" t="s">
        <v>26</v>
      </c>
      <c r="K79"/>
      <c r="L79"/>
      <c r="M79"/>
      <c r="N79"/>
    </row>
    <row r="80" spans="1:14" s="1" customFormat="1" ht="12.75">
      <c r="A80" t="s">
        <v>73</v>
      </c>
      <c r="B80"/>
      <c r="C80"/>
      <c r="D80"/>
      <c r="K80"/>
      <c r="L80"/>
      <c r="M80"/>
      <c r="N80"/>
    </row>
    <row r="84" spans="1:14" s="1" customFormat="1" ht="12.75">
      <c r="A84"/>
      <c r="B84"/>
      <c r="C84"/>
      <c r="D84"/>
      <c r="E84" s="1" t="s">
        <v>26</v>
      </c>
      <c r="K84"/>
      <c r="L84"/>
      <c r="M84"/>
      <c r="N84"/>
    </row>
  </sheetData>
  <sheetProtection selectLockedCells="1" selectUnlockedCells="1"/>
  <mergeCells count="13">
    <mergeCell ref="A72:D72"/>
    <mergeCell ref="A14:D14"/>
    <mergeCell ref="A29:D29"/>
    <mergeCell ref="A42:D42"/>
    <mergeCell ref="A47:D47"/>
    <mergeCell ref="A54:D54"/>
    <mergeCell ref="A67:D67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="80" zoomScaleNormal="80" zoomScalePageLayoutView="0" workbookViewId="0" topLeftCell="A19">
      <selection activeCell="D40" sqref="D40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560" t="s">
        <v>0</v>
      </c>
      <c r="B1" s="560"/>
      <c r="C1" s="560"/>
      <c r="D1" s="560"/>
    </row>
    <row r="2" spans="1:4" ht="15.75">
      <c r="A2" s="561" t="s">
        <v>220</v>
      </c>
      <c r="B2" s="562"/>
      <c r="C2" s="562"/>
      <c r="D2" s="562"/>
    </row>
    <row r="3" spans="1:4" ht="15.75">
      <c r="A3" s="562" t="s">
        <v>1</v>
      </c>
      <c r="B3" s="562"/>
      <c r="C3" s="562"/>
      <c r="D3" s="562"/>
    </row>
    <row r="4" spans="1:4" ht="12.75">
      <c r="A4" s="563" t="s">
        <v>120</v>
      </c>
      <c r="B4" s="563"/>
      <c r="C4" s="563"/>
      <c r="D4" s="563"/>
    </row>
    <row r="5" spans="1:4" ht="12.75">
      <c r="A5" s="564" t="s">
        <v>266</v>
      </c>
      <c r="B5" s="563"/>
      <c r="C5" s="563"/>
      <c r="D5" s="563"/>
    </row>
    <row r="6" ht="9" customHeight="1">
      <c r="A6" s="2"/>
    </row>
    <row r="7" spans="1:4" ht="18" customHeight="1">
      <c r="A7" s="565" t="s">
        <v>2</v>
      </c>
      <c r="B7" s="565"/>
      <c r="C7" s="565"/>
      <c r="D7" s="565"/>
    </row>
    <row r="8" spans="1:3" ht="12.75">
      <c r="A8" s="2" t="s">
        <v>182</v>
      </c>
      <c r="C8" s="3"/>
    </row>
    <row r="9" spans="1:4" ht="12.75">
      <c r="A9" s="4" t="s">
        <v>3</v>
      </c>
      <c r="B9" s="4" t="s">
        <v>4</v>
      </c>
      <c r="C9" s="4" t="s">
        <v>5</v>
      </c>
      <c r="D9" s="5"/>
    </row>
    <row r="10" spans="1:4" ht="12.75">
      <c r="A10" s="6">
        <v>1</v>
      </c>
      <c r="B10" s="6">
        <v>2</v>
      </c>
      <c r="C10" s="6">
        <v>3</v>
      </c>
      <c r="D10" s="7">
        <v>4</v>
      </c>
    </row>
    <row r="11" spans="1:4" ht="12.75">
      <c r="A11" s="8" t="s">
        <v>6</v>
      </c>
      <c r="B11" s="9"/>
      <c r="C11" s="144" t="s">
        <v>262</v>
      </c>
      <c r="D11" s="10"/>
    </row>
    <row r="12" spans="1:4" ht="12.75">
      <c r="A12" s="8" t="s">
        <v>7</v>
      </c>
      <c r="B12" s="9"/>
      <c r="C12" s="144" t="s">
        <v>263</v>
      </c>
      <c r="D12" s="10"/>
    </row>
    <row r="13" spans="1:4" ht="12.75">
      <c r="A13" s="8" t="s">
        <v>8</v>
      </c>
      <c r="B13" s="9"/>
      <c r="C13" s="144" t="s">
        <v>267</v>
      </c>
      <c r="D13" s="10"/>
    </row>
    <row r="14" spans="1:8" ht="31.5" customHeight="1">
      <c r="A14" s="567" t="s">
        <v>9</v>
      </c>
      <c r="B14" s="567"/>
      <c r="C14" s="567"/>
      <c r="D14" s="567"/>
      <c r="E14" s="109"/>
      <c r="F14" s="109"/>
      <c r="G14" s="109"/>
      <c r="H14" s="109"/>
    </row>
    <row r="15" spans="1:8" ht="25.5">
      <c r="A15" s="11" t="s">
        <v>10</v>
      </c>
      <c r="B15" s="12" t="s">
        <v>11</v>
      </c>
      <c r="C15" s="15">
        <v>10302.56</v>
      </c>
      <c r="D15" s="14"/>
      <c r="E15" s="109"/>
      <c r="F15" s="109"/>
      <c r="G15" s="109"/>
      <c r="H15" s="109"/>
    </row>
    <row r="16" spans="1:8" ht="15">
      <c r="A16" s="8" t="s">
        <v>12</v>
      </c>
      <c r="B16" s="12" t="s">
        <v>11</v>
      </c>
      <c r="C16" s="13">
        <v>0</v>
      </c>
      <c r="D16" s="14"/>
      <c r="E16" s="109"/>
      <c r="F16" s="109"/>
      <c r="G16" s="109"/>
      <c r="H16" s="109"/>
    </row>
    <row r="17" spans="1:8" ht="15">
      <c r="A17" s="8" t="s">
        <v>13</v>
      </c>
      <c r="B17" s="12" t="s">
        <v>11</v>
      </c>
      <c r="C17" s="15">
        <v>2262</v>
      </c>
      <c r="D17" s="16"/>
      <c r="E17" s="109"/>
      <c r="F17" s="109"/>
      <c r="G17" s="109"/>
      <c r="H17" s="109"/>
    </row>
    <row r="18" spans="1:8" ht="31.5" customHeight="1">
      <c r="A18" s="17" t="s">
        <v>14</v>
      </c>
      <c r="B18" s="12" t="s">
        <v>11</v>
      </c>
      <c r="C18" s="15">
        <f>16052.7+1639.44</f>
        <v>17692.14</v>
      </c>
      <c r="D18" s="16"/>
      <c r="E18" s="110">
        <f>C18-C20</f>
        <v>11461.848</v>
      </c>
      <c r="F18" s="109"/>
      <c r="G18" s="109"/>
      <c r="H18" s="109"/>
    </row>
    <row r="19" spans="1:8" ht="15">
      <c r="A19" s="8" t="s">
        <v>15</v>
      </c>
      <c r="B19" s="12" t="s">
        <v>11</v>
      </c>
      <c r="C19" s="15">
        <f>C18-C20-C21</f>
        <v>4545.066</v>
      </c>
      <c r="D19" s="16"/>
      <c r="E19" s="110">
        <f>E18-E39</f>
        <v>0</v>
      </c>
      <c r="F19" s="109"/>
      <c r="G19" s="109"/>
      <c r="H19" s="109"/>
    </row>
    <row r="20" spans="1:8" ht="15">
      <c r="A20" s="8" t="s">
        <v>16</v>
      </c>
      <c r="B20" s="12" t="s">
        <v>11</v>
      </c>
      <c r="C20" s="15">
        <f>(2.95+3.07)*6*127.1+1639.44</f>
        <v>6230.2919999999995</v>
      </c>
      <c r="D20" s="16"/>
      <c r="E20" s="111"/>
      <c r="F20" s="109"/>
      <c r="G20" s="109"/>
      <c r="H20" s="109"/>
    </row>
    <row r="21" spans="1:8" ht="15">
      <c r="A21" s="8" t="s">
        <v>17</v>
      </c>
      <c r="B21" s="12" t="s">
        <v>11</v>
      </c>
      <c r="C21" s="19">
        <f>127.1*(4.88+4.19)*6</f>
        <v>6916.782</v>
      </c>
      <c r="D21" s="16"/>
      <c r="E21" s="109"/>
      <c r="F21" s="109"/>
      <c r="G21" s="109"/>
      <c r="H21" s="109"/>
    </row>
    <row r="22" spans="1:8" ht="15">
      <c r="A22" s="20" t="s">
        <v>18</v>
      </c>
      <c r="B22" s="12" t="s">
        <v>11</v>
      </c>
      <c r="C22" s="15">
        <f>C23+C24+C25+C26+C27</f>
        <v>17999.983236</v>
      </c>
      <c r="D22" s="16" t="s">
        <v>19</v>
      </c>
      <c r="E22" s="110" t="e">
        <f>B24+B25+B26+B27+B28</f>
        <v>#VALUE!</v>
      </c>
      <c r="F22" s="109"/>
      <c r="G22" s="109"/>
      <c r="H22" s="109"/>
    </row>
    <row r="23" spans="1:8" ht="15">
      <c r="A23" s="8" t="s">
        <v>20</v>
      </c>
      <c r="B23" s="12" t="s">
        <v>11</v>
      </c>
      <c r="C23" s="15">
        <f>C18*1.0174</f>
        <v>17999.983236</v>
      </c>
      <c r="D23" s="16"/>
      <c r="E23" s="109"/>
      <c r="F23" s="109"/>
      <c r="G23" s="109"/>
      <c r="H23" s="109"/>
    </row>
    <row r="24" spans="1:8" ht="15">
      <c r="A24" s="8" t="s">
        <v>21</v>
      </c>
      <c r="B24" s="12" t="s">
        <v>11</v>
      </c>
      <c r="C24" s="15">
        <v>0</v>
      </c>
      <c r="D24" s="21">
        <v>65.21</v>
      </c>
      <c r="E24" s="111" t="e">
        <f>B24/#REF!*1</f>
        <v>#VALUE!</v>
      </c>
      <c r="F24" s="109"/>
      <c r="G24" s="109"/>
      <c r="H24" s="109" t="s">
        <v>22</v>
      </c>
    </row>
    <row r="25" spans="1:8" ht="15">
      <c r="A25" s="8" t="s">
        <v>23</v>
      </c>
      <c r="B25" s="12" t="s">
        <v>11</v>
      </c>
      <c r="C25" s="15">
        <v>0</v>
      </c>
      <c r="D25" s="21">
        <v>119.63</v>
      </c>
      <c r="E25" s="111" t="e">
        <f>B25/#REF!*1</f>
        <v>#VALUE!</v>
      </c>
      <c r="F25" s="109"/>
      <c r="G25" s="109"/>
      <c r="H25" s="109"/>
    </row>
    <row r="26" spans="1:8" ht="15">
      <c r="A26" s="9" t="s">
        <v>24</v>
      </c>
      <c r="B26" s="12" t="s">
        <v>11</v>
      </c>
      <c r="C26" s="15">
        <v>0</v>
      </c>
      <c r="D26" s="21"/>
      <c r="E26" s="111" t="e">
        <f>B26/#REF!*1</f>
        <v>#VALUE!</v>
      </c>
      <c r="F26" s="109"/>
      <c r="G26" s="109"/>
      <c r="H26" s="109"/>
    </row>
    <row r="27" spans="1:8" ht="16.5" customHeight="1">
      <c r="A27" s="98" t="s">
        <v>96</v>
      </c>
      <c r="B27" s="12" t="s">
        <v>11</v>
      </c>
      <c r="C27" s="15">
        <v>0</v>
      </c>
      <c r="D27" s="21">
        <v>139.18</v>
      </c>
      <c r="E27" s="111" t="e">
        <f>B27/#REF!*1</f>
        <v>#VALUE!</v>
      </c>
      <c r="F27" s="109"/>
      <c r="G27" s="109"/>
      <c r="H27" s="109"/>
    </row>
    <row r="28" spans="1:8" ht="15">
      <c r="A28" s="8" t="s">
        <v>25</v>
      </c>
      <c r="B28" s="12" t="s">
        <v>11</v>
      </c>
      <c r="C28" s="15">
        <f>C15+C22</f>
        <v>28302.543235999998</v>
      </c>
      <c r="D28" s="16" t="s">
        <v>26</v>
      </c>
      <c r="E28" s="111" t="e">
        <f>B28/#REF!*1</f>
        <v>#VALUE!</v>
      </c>
      <c r="F28" s="109"/>
      <c r="G28" s="109"/>
      <c r="H28" s="109"/>
    </row>
    <row r="29" spans="1:8" ht="35.25" customHeight="1">
      <c r="A29" s="568" t="s">
        <v>27</v>
      </c>
      <c r="B29" s="568"/>
      <c r="C29" s="568"/>
      <c r="D29" s="568"/>
      <c r="E29" s="109"/>
      <c r="F29" s="109"/>
      <c r="G29" s="109"/>
      <c r="H29" s="109"/>
    </row>
    <row r="30" spans="1:8" ht="60">
      <c r="A30" s="22" t="s">
        <v>28</v>
      </c>
      <c r="B30" s="23" t="s">
        <v>29</v>
      </c>
      <c r="C30" s="24" t="s">
        <v>30</v>
      </c>
      <c r="D30" s="25" t="s">
        <v>31</v>
      </c>
      <c r="E30" s="109"/>
      <c r="F30" s="109"/>
      <c r="G30" s="109"/>
      <c r="H30" s="109"/>
    </row>
    <row r="31" spans="1:8" ht="15">
      <c r="A31" s="26" t="s">
        <v>32</v>
      </c>
      <c r="B31" s="27" t="s">
        <v>33</v>
      </c>
      <c r="C31" s="28" t="s">
        <v>34</v>
      </c>
      <c r="D31" s="92">
        <f>(0.85+0.95)*6*127.1</f>
        <v>1372.6799999999998</v>
      </c>
      <c r="E31" s="109"/>
      <c r="F31" s="109"/>
      <c r="G31" s="109"/>
      <c r="H31" s="109"/>
    </row>
    <row r="32" spans="1:8" ht="15">
      <c r="A32" s="29" t="s">
        <v>36</v>
      </c>
      <c r="B32" s="30" t="s">
        <v>33</v>
      </c>
      <c r="C32" s="31" t="s">
        <v>37</v>
      </c>
      <c r="D32" s="93">
        <f>0.24*12*127.1</f>
        <v>366.04799999999994</v>
      </c>
      <c r="E32" s="109"/>
      <c r="F32" s="109"/>
      <c r="G32" s="109"/>
      <c r="H32" s="109"/>
    </row>
    <row r="33" spans="1:8" ht="15">
      <c r="A33" s="153" t="s">
        <v>174</v>
      </c>
      <c r="B33" s="30" t="s">
        <v>33</v>
      </c>
      <c r="C33" s="31" t="s">
        <v>34</v>
      </c>
      <c r="D33" s="93">
        <f>(0.16+0.35)*6*127.1</f>
        <v>388.926</v>
      </c>
      <c r="E33" s="109"/>
      <c r="F33" s="109"/>
      <c r="G33" s="109"/>
      <c r="H33" s="109"/>
    </row>
    <row r="34" spans="1:8" ht="15">
      <c r="A34" s="29" t="s">
        <v>81</v>
      </c>
      <c r="B34" s="91" t="s">
        <v>82</v>
      </c>
      <c r="C34" s="31" t="s">
        <v>34</v>
      </c>
      <c r="D34" s="93">
        <f>1.33*12*127.1</f>
        <v>2028.516</v>
      </c>
      <c r="E34" s="109"/>
      <c r="F34" s="109"/>
      <c r="G34" s="109"/>
      <c r="H34" s="109"/>
    </row>
    <row r="35" spans="1:8" ht="15">
      <c r="A35" s="29" t="s">
        <v>38</v>
      </c>
      <c r="B35" s="30" t="s">
        <v>35</v>
      </c>
      <c r="C35" s="364" t="s">
        <v>221</v>
      </c>
      <c r="D35" s="93">
        <f>4.19*127.1*12</f>
        <v>6390.588</v>
      </c>
      <c r="E35" s="109"/>
      <c r="F35" s="109"/>
      <c r="G35" s="109"/>
      <c r="H35" s="109"/>
    </row>
    <row r="36" spans="1:8" ht="15">
      <c r="A36" s="29" t="s">
        <v>85</v>
      </c>
      <c r="B36" s="30" t="s">
        <v>222</v>
      </c>
      <c r="C36" s="171" t="s">
        <v>37</v>
      </c>
      <c r="D36" s="93">
        <f>127.1*12*0.6-0.03</f>
        <v>915.0899999999999</v>
      </c>
      <c r="E36" s="109"/>
      <c r="F36" s="109"/>
      <c r="G36" s="109"/>
      <c r="H36" s="109"/>
    </row>
    <row r="37" spans="1:14" s="1" customFormat="1" ht="45">
      <c r="A37" s="33" t="s">
        <v>40</v>
      </c>
      <c r="B37" s="34" t="s">
        <v>41</v>
      </c>
      <c r="C37" s="28"/>
      <c r="D37" s="36">
        <v>0</v>
      </c>
      <c r="E37" s="109"/>
      <c r="F37" s="109"/>
      <c r="G37" s="109"/>
      <c r="H37" s="109"/>
      <c r="K37"/>
      <c r="L37"/>
      <c r="M37"/>
      <c r="N37"/>
    </row>
    <row r="38" spans="1:14" s="1" customFormat="1" ht="15">
      <c r="A38" s="94" t="s">
        <v>226</v>
      </c>
      <c r="B38" s="95" t="s">
        <v>161</v>
      </c>
      <c r="C38" s="465" t="s">
        <v>227</v>
      </c>
      <c r="D38" s="146">
        <v>7999</v>
      </c>
      <c r="E38" s="109"/>
      <c r="F38" s="109"/>
      <c r="G38" s="109"/>
      <c r="H38" s="109"/>
      <c r="K38"/>
      <c r="L38"/>
      <c r="M38"/>
      <c r="N38"/>
    </row>
    <row r="39" spans="1:14" s="1" customFormat="1" ht="15.75">
      <c r="A39" s="37" t="s">
        <v>42</v>
      </c>
      <c r="B39" s="38"/>
      <c r="C39" s="39"/>
      <c r="D39" s="97">
        <f>SUM(D31:D37)</f>
        <v>11461.848</v>
      </c>
      <c r="E39" s="112">
        <f>D39-D37</f>
        <v>11461.848</v>
      </c>
      <c r="F39" s="109"/>
      <c r="G39" s="109"/>
      <c r="H39" s="109"/>
      <c r="K39"/>
      <c r="L39"/>
      <c r="M39"/>
      <c r="N39"/>
    </row>
    <row r="40" spans="1:14" s="1" customFormat="1" ht="15">
      <c r="A40" s="40" t="s">
        <v>43</v>
      </c>
      <c r="B40" s="41" t="s">
        <v>11</v>
      </c>
      <c r="C40" s="42"/>
      <c r="D40" s="43">
        <f>C28-D39</f>
        <v>16840.695236</v>
      </c>
      <c r="E40" s="112"/>
      <c r="F40" s="109"/>
      <c r="G40" s="109"/>
      <c r="H40" s="109"/>
      <c r="K40"/>
      <c r="L40"/>
      <c r="M40"/>
      <c r="N40"/>
    </row>
    <row r="41" spans="1:14" s="1" customFormat="1" ht="15">
      <c r="A41" s="45" t="s">
        <v>12</v>
      </c>
      <c r="B41" s="46" t="s">
        <v>11</v>
      </c>
      <c r="C41" s="31"/>
      <c r="D41" s="14"/>
      <c r="E41" s="109"/>
      <c r="F41" s="109"/>
      <c r="G41" s="109"/>
      <c r="H41" s="109"/>
      <c r="K41"/>
      <c r="L41"/>
      <c r="M41"/>
      <c r="N41"/>
    </row>
    <row r="42" spans="1:14" s="1" customFormat="1" ht="15">
      <c r="A42" s="45" t="s">
        <v>13</v>
      </c>
      <c r="B42" s="46" t="s">
        <v>11</v>
      </c>
      <c r="C42" s="31"/>
      <c r="D42" s="16">
        <f>C17+C18-C23</f>
        <v>1954.1567639999994</v>
      </c>
      <c r="E42" s="109"/>
      <c r="F42" s="109"/>
      <c r="G42" s="109"/>
      <c r="H42" s="109"/>
      <c r="K42"/>
      <c r="L42"/>
      <c r="M42"/>
      <c r="N42"/>
    </row>
    <row r="43" spans="1:14" s="1" customFormat="1" ht="24" customHeight="1">
      <c r="A43" s="569" t="s">
        <v>44</v>
      </c>
      <c r="B43" s="569"/>
      <c r="C43" s="569"/>
      <c r="D43" s="569"/>
      <c r="E43" s="109"/>
      <c r="F43" s="109"/>
      <c r="G43" s="109"/>
      <c r="H43" s="109"/>
      <c r="K43"/>
      <c r="L43"/>
      <c r="M43"/>
      <c r="N43"/>
    </row>
    <row r="44" spans="1:14" s="1" customFormat="1" ht="15">
      <c r="A44" s="45" t="s">
        <v>45</v>
      </c>
      <c r="B44" s="30" t="s">
        <v>46</v>
      </c>
      <c r="C44" s="31">
        <v>0</v>
      </c>
      <c r="D44" s="14">
        <v>0</v>
      </c>
      <c r="E44" s="109"/>
      <c r="F44" s="109"/>
      <c r="G44" s="109"/>
      <c r="H44" s="109"/>
      <c r="K44"/>
      <c r="L44"/>
      <c r="M44"/>
      <c r="N44"/>
    </row>
    <row r="45" spans="1:14" s="1" customFormat="1" ht="15">
      <c r="A45" s="45" t="s">
        <v>47</v>
      </c>
      <c r="B45" s="30" t="s">
        <v>46</v>
      </c>
      <c r="C45" s="31">
        <v>0</v>
      </c>
      <c r="D45" s="14">
        <v>0</v>
      </c>
      <c r="E45" s="109"/>
      <c r="F45" s="109"/>
      <c r="G45" s="109"/>
      <c r="H45" s="109"/>
      <c r="K45"/>
      <c r="L45"/>
      <c r="M45"/>
      <c r="N45"/>
    </row>
    <row r="46" spans="1:14" s="1" customFormat="1" ht="15">
      <c r="A46" s="47" t="s">
        <v>48</v>
      </c>
      <c r="B46" s="30" t="s">
        <v>46</v>
      </c>
      <c r="C46" s="31">
        <v>0</v>
      </c>
      <c r="D46" s="14">
        <v>0</v>
      </c>
      <c r="E46" s="109"/>
      <c r="F46" s="109"/>
      <c r="G46" s="109"/>
      <c r="H46" s="109"/>
      <c r="K46"/>
      <c r="L46"/>
      <c r="M46"/>
      <c r="N46"/>
    </row>
    <row r="47" spans="1:14" s="1" customFormat="1" ht="15">
      <c r="A47" s="45" t="s">
        <v>49</v>
      </c>
      <c r="B47" s="30" t="s">
        <v>11</v>
      </c>
      <c r="C47" s="31">
        <v>0</v>
      </c>
      <c r="D47" s="14">
        <v>0</v>
      </c>
      <c r="E47" s="109"/>
      <c r="F47" s="109"/>
      <c r="G47" s="109"/>
      <c r="H47" s="109"/>
      <c r="K47"/>
      <c r="L47"/>
      <c r="M47"/>
      <c r="N47"/>
    </row>
    <row r="48" spans="1:8" ht="20.25" customHeight="1">
      <c r="A48" s="570" t="s">
        <v>50</v>
      </c>
      <c r="B48" s="570"/>
      <c r="C48" s="570"/>
      <c r="D48" s="570"/>
      <c r="E48" s="109"/>
      <c r="F48" s="109"/>
      <c r="G48" s="109"/>
      <c r="H48" s="109"/>
    </row>
    <row r="49" spans="1:8" ht="25.5">
      <c r="A49" s="47" t="s">
        <v>51</v>
      </c>
      <c r="B49" s="30" t="s">
        <v>11</v>
      </c>
      <c r="C49" s="31"/>
      <c r="D49" s="14">
        <v>0</v>
      </c>
      <c r="E49" s="109"/>
      <c r="F49" s="109"/>
      <c r="G49" s="109"/>
      <c r="H49" s="109"/>
    </row>
    <row r="50" spans="1:8" ht="15">
      <c r="A50" s="45" t="s">
        <v>12</v>
      </c>
      <c r="B50" s="30" t="s">
        <v>11</v>
      </c>
      <c r="C50" s="31"/>
      <c r="D50" s="14">
        <v>0</v>
      </c>
      <c r="E50" s="109"/>
      <c r="F50" s="109"/>
      <c r="G50" s="109"/>
      <c r="H50" s="109"/>
    </row>
    <row r="51" spans="1:8" ht="15">
      <c r="A51" s="45" t="s">
        <v>13</v>
      </c>
      <c r="B51" s="30" t="s">
        <v>11</v>
      </c>
      <c r="C51" s="31"/>
      <c r="D51" s="58">
        <f>D54-D57-D60</f>
        <v>1249.7913760000004</v>
      </c>
      <c r="E51" s="109"/>
      <c r="F51" s="109"/>
      <c r="G51" s="109"/>
      <c r="H51" s="113"/>
    </row>
    <row r="52" spans="1:8" ht="25.5">
      <c r="A52" s="50" t="s">
        <v>52</v>
      </c>
      <c r="B52" s="30" t="s">
        <v>11</v>
      </c>
      <c r="C52" s="51"/>
      <c r="D52" s="52">
        <v>0</v>
      </c>
      <c r="E52" s="109"/>
      <c r="F52" s="109"/>
      <c r="G52" s="109"/>
      <c r="H52" s="109"/>
    </row>
    <row r="53" spans="1:10" ht="17.25" customHeight="1">
      <c r="A53" s="53" t="s">
        <v>12</v>
      </c>
      <c r="B53" s="30" t="s">
        <v>11</v>
      </c>
      <c r="C53" s="31"/>
      <c r="D53" s="14">
        <v>0</v>
      </c>
      <c r="E53" s="109"/>
      <c r="F53" s="109"/>
      <c r="G53" s="109"/>
      <c r="H53" s="109"/>
      <c r="I53" s="49"/>
      <c r="J53" s="49"/>
    </row>
    <row r="54" spans="1:14" ht="15">
      <c r="A54" s="56" t="s">
        <v>13</v>
      </c>
      <c r="B54" s="30" t="s">
        <v>11</v>
      </c>
      <c r="C54" s="57"/>
      <c r="D54" s="58">
        <v>1119.67</v>
      </c>
      <c r="E54" s="109"/>
      <c r="F54" s="109"/>
      <c r="G54" s="109"/>
      <c r="H54" s="109" t="s">
        <v>26</v>
      </c>
      <c r="I54" s="60"/>
      <c r="J54" s="60"/>
      <c r="K54" s="61"/>
      <c r="L54" s="61"/>
      <c r="M54" s="61"/>
      <c r="N54" s="61"/>
    </row>
    <row r="55" spans="1:14" ht="18" customHeight="1">
      <c r="A55" s="571" t="s">
        <v>53</v>
      </c>
      <c r="B55" s="571"/>
      <c r="C55" s="571"/>
      <c r="D55" s="571"/>
      <c r="E55" s="114"/>
      <c r="F55" s="115"/>
      <c r="G55" s="116"/>
      <c r="H55" s="109"/>
      <c r="I55" s="65"/>
      <c r="J55" s="65"/>
      <c r="K55" s="66"/>
      <c r="L55" s="66"/>
      <c r="M55" s="66"/>
      <c r="N55" s="66"/>
    </row>
    <row r="56" spans="1:14" ht="47.25">
      <c r="A56" s="67" t="s">
        <v>54</v>
      </c>
      <c r="B56" s="68" t="s">
        <v>55</v>
      </c>
      <c r="C56" s="69" t="s">
        <v>56</v>
      </c>
      <c r="D56" s="70" t="s">
        <v>57</v>
      </c>
      <c r="E56" s="114"/>
      <c r="F56" s="115"/>
      <c r="G56" s="116"/>
      <c r="H56" s="109"/>
      <c r="I56" s="65"/>
      <c r="J56" s="71"/>
      <c r="K56" s="66"/>
      <c r="L56" s="66"/>
      <c r="M56" s="66"/>
      <c r="N56" s="66"/>
    </row>
    <row r="57" spans="1:14" ht="15">
      <c r="A57" s="72" t="s">
        <v>58</v>
      </c>
      <c r="B57" s="99">
        <v>1250.86</v>
      </c>
      <c r="C57" s="100">
        <f>B57*1.0174</f>
        <v>1272.624964</v>
      </c>
      <c r="D57" s="101">
        <f>B57-C57</f>
        <v>-21.76496400000019</v>
      </c>
      <c r="E57" s="117"/>
      <c r="F57" s="115"/>
      <c r="G57" s="116"/>
      <c r="H57" s="109"/>
      <c r="I57" s="65"/>
      <c r="J57" s="65"/>
      <c r="K57" s="66"/>
      <c r="L57" s="66"/>
      <c r="M57" s="66"/>
      <c r="N57" s="66"/>
    </row>
    <row r="58" spans="1:14" ht="15">
      <c r="A58" s="72" t="s">
        <v>59</v>
      </c>
      <c r="B58" s="99">
        <v>0</v>
      </c>
      <c r="C58" s="100">
        <f>B58*1.0174</f>
        <v>0</v>
      </c>
      <c r="D58" s="101">
        <f>B58-C58</f>
        <v>0</v>
      </c>
      <c r="E58" s="114"/>
      <c r="F58" s="115"/>
      <c r="G58" s="116"/>
      <c r="H58" s="109"/>
      <c r="I58" s="65"/>
      <c r="J58" s="65"/>
      <c r="K58" s="66"/>
      <c r="L58" s="66"/>
      <c r="M58" s="66"/>
      <c r="N58" s="66"/>
    </row>
    <row r="59" spans="1:14" ht="15">
      <c r="A59" s="72" t="s">
        <v>60</v>
      </c>
      <c r="B59" s="102">
        <v>0</v>
      </c>
      <c r="C59" s="100">
        <f>B59*1.0174</f>
        <v>0</v>
      </c>
      <c r="D59" s="101">
        <f>B59-C59</f>
        <v>0</v>
      </c>
      <c r="E59" s="114">
        <f>(2.07+1.8)*6*2301.2-0.37*2301.2*6</f>
        <v>48325.2</v>
      </c>
      <c r="F59" s="118"/>
      <c r="G59" s="119"/>
      <c r="H59" s="114"/>
      <c r="I59" s="65"/>
      <c r="J59" s="65"/>
      <c r="K59" s="66"/>
      <c r="L59" s="66"/>
      <c r="M59" s="66"/>
      <c r="N59" s="66"/>
    </row>
    <row r="60" spans="1:14" ht="15.75" thickBot="1">
      <c r="A60" s="125" t="s">
        <v>236</v>
      </c>
      <c r="B60" s="126">
        <v>6227.38</v>
      </c>
      <c r="C60" s="100">
        <f>B60*1.0174</f>
        <v>6335.736412</v>
      </c>
      <c r="D60" s="128">
        <f>B60-C60</f>
        <v>-108.35641200000009</v>
      </c>
      <c r="E60" s="114"/>
      <c r="F60" s="118"/>
      <c r="G60" s="119"/>
      <c r="H60" s="109"/>
      <c r="I60" s="65"/>
      <c r="J60" s="65"/>
      <c r="K60" s="66"/>
      <c r="L60" s="66"/>
      <c r="M60" s="66"/>
      <c r="N60" s="66"/>
    </row>
    <row r="61" spans="1:14" ht="63">
      <c r="A61" s="129" t="s">
        <v>62</v>
      </c>
      <c r="B61" s="130" t="s">
        <v>63</v>
      </c>
      <c r="C61" s="131" t="s">
        <v>64</v>
      </c>
      <c r="D61" s="132" t="s">
        <v>65</v>
      </c>
      <c r="E61" s="114"/>
      <c r="F61" s="118"/>
      <c r="G61" s="109"/>
      <c r="H61" s="120"/>
      <c r="I61" s="65"/>
      <c r="J61" s="65"/>
      <c r="K61" s="66"/>
      <c r="L61" s="66"/>
      <c r="M61" s="66"/>
      <c r="N61" s="66"/>
    </row>
    <row r="62" spans="1:14" ht="15">
      <c r="A62" s="133" t="s">
        <v>58</v>
      </c>
      <c r="B62" s="104">
        <v>1250.86</v>
      </c>
      <c r="C62" s="105">
        <f>C57</f>
        <v>1272.624964</v>
      </c>
      <c r="D62" s="134">
        <f>B62-C62</f>
        <v>-21.76496400000019</v>
      </c>
      <c r="E62" s="114"/>
      <c r="F62" s="118"/>
      <c r="G62" s="109"/>
      <c r="H62" s="120"/>
      <c r="I62" s="65"/>
      <c r="J62" s="65" t="s">
        <v>26</v>
      </c>
      <c r="K62" s="66"/>
      <c r="L62" s="66"/>
      <c r="M62" s="66"/>
      <c r="N62" s="66"/>
    </row>
    <row r="63" spans="1:14" ht="15">
      <c r="A63" s="133" t="s">
        <v>59</v>
      </c>
      <c r="B63" s="104">
        <v>0</v>
      </c>
      <c r="C63" s="105">
        <v>0</v>
      </c>
      <c r="D63" s="134">
        <f>B63-C63</f>
        <v>0</v>
      </c>
      <c r="E63" s="114"/>
      <c r="F63" s="118"/>
      <c r="G63" s="109"/>
      <c r="H63" s="120"/>
      <c r="I63" s="65"/>
      <c r="J63" s="65"/>
      <c r="K63" s="66"/>
      <c r="L63" s="66"/>
      <c r="M63" s="66"/>
      <c r="N63" s="66"/>
    </row>
    <row r="64" spans="1:14" ht="15">
      <c r="A64" s="133" t="s">
        <v>60</v>
      </c>
      <c r="B64" s="104">
        <v>0</v>
      </c>
      <c r="C64" s="105">
        <v>0</v>
      </c>
      <c r="D64" s="134">
        <f>B64-C64</f>
        <v>0</v>
      </c>
      <c r="E64" s="114"/>
      <c r="F64" s="118"/>
      <c r="G64" s="109"/>
      <c r="H64" s="120"/>
      <c r="I64" s="65"/>
      <c r="J64" s="65"/>
      <c r="K64" s="66"/>
      <c r="L64" s="66"/>
      <c r="M64" s="66"/>
      <c r="N64" s="66"/>
    </row>
    <row r="65" spans="1:14" ht="15.75" thickBot="1">
      <c r="A65" s="135" t="s">
        <v>236</v>
      </c>
      <c r="B65" s="136">
        <v>6227.38</v>
      </c>
      <c r="C65" s="137">
        <f>C60</f>
        <v>6335.736412</v>
      </c>
      <c r="D65" s="138">
        <f>B65-C65</f>
        <v>-108.35641200000009</v>
      </c>
      <c r="E65" s="114"/>
      <c r="F65" s="118"/>
      <c r="G65" s="109"/>
      <c r="H65" s="120" t="s">
        <v>26</v>
      </c>
      <c r="I65" s="65"/>
      <c r="J65" s="65"/>
      <c r="K65" s="66"/>
      <c r="L65" s="66"/>
      <c r="M65" s="66"/>
      <c r="N65" s="66"/>
    </row>
    <row r="66" spans="1:14" ht="15">
      <c r="A66" s="77"/>
      <c r="B66" s="76"/>
      <c r="C66" s="78"/>
      <c r="D66" s="79"/>
      <c r="E66" s="62"/>
      <c r="F66" s="73"/>
      <c r="H66" s="65"/>
      <c r="I66" s="65"/>
      <c r="J66" s="65"/>
      <c r="K66" s="66"/>
      <c r="L66" s="66"/>
      <c r="M66" s="66"/>
      <c r="N66" s="66"/>
    </row>
    <row r="67" spans="1:14" ht="25.5">
      <c r="A67" s="80" t="s">
        <v>66</v>
      </c>
      <c r="B67" s="76" t="s">
        <v>11</v>
      </c>
      <c r="C67" s="81"/>
      <c r="D67" s="82">
        <v>0</v>
      </c>
      <c r="E67" s="62"/>
      <c r="F67" s="73"/>
      <c r="H67" s="65"/>
      <c r="I67" s="65"/>
      <c r="J67" s="65" t="s">
        <v>26</v>
      </c>
      <c r="K67" s="66"/>
      <c r="L67" s="66"/>
      <c r="M67" s="66"/>
      <c r="N67" s="66"/>
    </row>
    <row r="68" spans="1:14" ht="17.25" customHeight="1">
      <c r="A68" s="572" t="s">
        <v>67</v>
      </c>
      <c r="B68" s="572"/>
      <c r="C68" s="572"/>
      <c r="D68" s="572"/>
      <c r="E68" s="83" t="e">
        <f>D68+B19</f>
        <v>#VALUE!</v>
      </c>
      <c r="F68" s="65"/>
      <c r="H68" s="84" t="e">
        <f>E68-B18</f>
        <v>#VALUE!</v>
      </c>
      <c r="I68" s="65"/>
      <c r="J68" s="65"/>
      <c r="K68" s="66"/>
      <c r="L68" s="66"/>
      <c r="M68" s="66"/>
      <c r="N68" s="66"/>
    </row>
    <row r="69" spans="1:5" ht="21" customHeight="1">
      <c r="A69" s="85" t="s">
        <v>45</v>
      </c>
      <c r="B69" s="85" t="s">
        <v>46</v>
      </c>
      <c r="C69" s="86"/>
      <c r="D69" s="177">
        <v>0</v>
      </c>
      <c r="E69" s="88"/>
    </row>
    <row r="70" spans="1:5" ht="21" customHeight="1">
      <c r="A70" s="85" t="s">
        <v>47</v>
      </c>
      <c r="B70" s="85" t="s">
        <v>46</v>
      </c>
      <c r="C70" s="85"/>
      <c r="D70" s="177">
        <v>0</v>
      </c>
      <c r="E70" s="88"/>
    </row>
    <row r="71" spans="1:5" ht="18" customHeight="1">
      <c r="A71" s="85" t="s">
        <v>48</v>
      </c>
      <c r="B71" s="85" t="s">
        <v>46</v>
      </c>
      <c r="C71" s="85"/>
      <c r="D71" s="177">
        <v>0</v>
      </c>
      <c r="E71" s="88"/>
    </row>
    <row r="72" spans="1:5" ht="16.5" customHeight="1">
      <c r="A72" s="85" t="s">
        <v>49</v>
      </c>
      <c r="B72" s="85" t="s">
        <v>11</v>
      </c>
      <c r="C72" s="85"/>
      <c r="D72" s="177">
        <v>0</v>
      </c>
      <c r="E72" s="88"/>
    </row>
    <row r="73" spans="1:5" ht="15.75" customHeight="1">
      <c r="A73" s="566" t="s">
        <v>68</v>
      </c>
      <c r="B73" s="566"/>
      <c r="C73" s="566"/>
      <c r="D73" s="566"/>
      <c r="E73" s="88"/>
    </row>
    <row r="74" spans="1:5" ht="18.75" customHeight="1">
      <c r="A74" s="85" t="s">
        <v>69</v>
      </c>
      <c r="B74" s="85" t="s">
        <v>46</v>
      </c>
      <c r="C74" s="85"/>
      <c r="D74" s="177">
        <v>0</v>
      </c>
      <c r="E74" s="88"/>
    </row>
    <row r="75" spans="1:5" ht="21.75" customHeight="1">
      <c r="A75" s="85" t="s">
        <v>70</v>
      </c>
      <c r="B75" s="53" t="s">
        <v>46</v>
      </c>
      <c r="C75" s="53"/>
      <c r="D75" s="177">
        <v>0</v>
      </c>
      <c r="E75" s="88"/>
    </row>
    <row r="76" spans="1:5" ht="36" customHeight="1">
      <c r="A76" s="89" t="s">
        <v>71</v>
      </c>
      <c r="B76" s="85" t="s">
        <v>11</v>
      </c>
      <c r="C76" s="85"/>
      <c r="D76" s="177">
        <v>0</v>
      </c>
      <c r="E76" s="88"/>
    </row>
    <row r="77" spans="1:4" ht="15">
      <c r="A77" s="66"/>
      <c r="B77" s="66"/>
      <c r="C77" s="66"/>
      <c r="D77" s="90"/>
    </row>
    <row r="78" spans="1:14" s="1" customFormat="1" ht="12.75">
      <c r="A78"/>
      <c r="B78"/>
      <c r="C78"/>
      <c r="D78"/>
      <c r="H78" s="1" t="s">
        <v>26</v>
      </c>
      <c r="K78"/>
      <c r="L78"/>
      <c r="M78"/>
      <c r="N78"/>
    </row>
    <row r="79" spans="1:14" s="1" customFormat="1" ht="12.75">
      <c r="A79" t="s">
        <v>72</v>
      </c>
      <c r="B79"/>
      <c r="C79"/>
      <c r="D79"/>
      <c r="K79"/>
      <c r="L79"/>
      <c r="M79"/>
      <c r="N79"/>
    </row>
    <row r="80" spans="1:14" s="1" customFormat="1" ht="12.75">
      <c r="A80"/>
      <c r="B80"/>
      <c r="C80"/>
      <c r="D80"/>
      <c r="H80" s="1" t="s">
        <v>26</v>
      </c>
      <c r="K80"/>
      <c r="L80"/>
      <c r="M80"/>
      <c r="N80"/>
    </row>
    <row r="81" spans="1:14" s="1" customFormat="1" ht="12.75">
      <c r="A81" t="s">
        <v>73</v>
      </c>
      <c r="B81"/>
      <c r="C81"/>
      <c r="D81"/>
      <c r="K81"/>
      <c r="L81"/>
      <c r="M81"/>
      <c r="N81"/>
    </row>
    <row r="85" spans="1:14" s="1" customFormat="1" ht="12.75">
      <c r="A85"/>
      <c r="B85"/>
      <c r="C85"/>
      <c r="D85"/>
      <c r="E85" s="1" t="s">
        <v>26</v>
      </c>
      <c r="K85"/>
      <c r="L85"/>
      <c r="M85"/>
      <c r="N85"/>
    </row>
  </sheetData>
  <sheetProtection selectLockedCells="1" selectUnlockedCells="1"/>
  <mergeCells count="13">
    <mergeCell ref="A73:D73"/>
    <mergeCell ref="A14:D14"/>
    <mergeCell ref="A29:D29"/>
    <mergeCell ref="A43:D43"/>
    <mergeCell ref="A48:D48"/>
    <mergeCell ref="A55:D55"/>
    <mergeCell ref="A68:D68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zoomScale="80" zoomScaleNormal="80" zoomScalePageLayoutView="0" workbookViewId="0" topLeftCell="A19">
      <selection activeCell="C18" sqref="C18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560" t="s">
        <v>0</v>
      </c>
      <c r="B1" s="560"/>
      <c r="C1" s="560"/>
      <c r="D1" s="560"/>
    </row>
    <row r="2" spans="1:4" ht="15.75">
      <c r="A2" s="561" t="s">
        <v>220</v>
      </c>
      <c r="B2" s="562"/>
      <c r="C2" s="562"/>
      <c r="D2" s="562"/>
    </row>
    <row r="3" spans="1:4" ht="15.75">
      <c r="A3" s="562" t="s">
        <v>1</v>
      </c>
      <c r="B3" s="562"/>
      <c r="C3" s="562"/>
      <c r="D3" s="562"/>
    </row>
    <row r="4" spans="1:4" ht="12.75">
      <c r="A4" s="563" t="s">
        <v>121</v>
      </c>
      <c r="B4" s="563"/>
      <c r="C4" s="563"/>
      <c r="D4" s="563"/>
    </row>
    <row r="5" spans="1:4" ht="12.75">
      <c r="A5" s="564" t="s">
        <v>266</v>
      </c>
      <c r="B5" s="563"/>
      <c r="C5" s="563"/>
      <c r="D5" s="563"/>
    </row>
    <row r="6" ht="9" customHeight="1">
      <c r="A6" s="2"/>
    </row>
    <row r="7" spans="1:4" ht="18" customHeight="1">
      <c r="A7" s="565" t="s">
        <v>2</v>
      </c>
      <c r="B7" s="565"/>
      <c r="C7" s="565"/>
      <c r="D7" s="565"/>
    </row>
    <row r="8" spans="1:3" ht="12.75">
      <c r="A8" s="2" t="s">
        <v>183</v>
      </c>
      <c r="C8" s="3"/>
    </row>
    <row r="9" spans="1:4" ht="12.75">
      <c r="A9" s="4" t="s">
        <v>3</v>
      </c>
      <c r="B9" s="4" t="s">
        <v>4</v>
      </c>
      <c r="C9" s="4" t="s">
        <v>5</v>
      </c>
      <c r="D9" s="5"/>
    </row>
    <row r="10" spans="1:5" ht="12.75">
      <c r="A10" s="6">
        <v>1</v>
      </c>
      <c r="B10" s="6">
        <v>2</v>
      </c>
      <c r="C10" s="6">
        <v>3</v>
      </c>
      <c r="D10" s="7">
        <v>4</v>
      </c>
      <c r="E10" s="109"/>
    </row>
    <row r="11" spans="1:5" ht="12.75">
      <c r="A11" s="8" t="s">
        <v>6</v>
      </c>
      <c r="B11" s="9"/>
      <c r="C11" s="144" t="s">
        <v>262</v>
      </c>
      <c r="D11" s="10"/>
      <c r="E11" s="109"/>
    </row>
    <row r="12" spans="1:5" ht="12.75">
      <c r="A12" s="8" t="s">
        <v>7</v>
      </c>
      <c r="B12" s="9"/>
      <c r="C12" s="144" t="s">
        <v>263</v>
      </c>
      <c r="D12" s="10"/>
      <c r="E12" s="109"/>
    </row>
    <row r="13" spans="1:5" ht="12.75">
      <c r="A13" s="8" t="s">
        <v>8</v>
      </c>
      <c r="B13" s="9"/>
      <c r="C13" s="144" t="s">
        <v>267</v>
      </c>
      <c r="D13" s="10"/>
      <c r="E13" s="109"/>
    </row>
    <row r="14" spans="1:5" ht="31.5" customHeight="1">
      <c r="A14" s="567" t="s">
        <v>9</v>
      </c>
      <c r="B14" s="567"/>
      <c r="C14" s="567"/>
      <c r="D14" s="567"/>
      <c r="E14" s="109"/>
    </row>
    <row r="15" spans="1:5" ht="25.5">
      <c r="A15" s="11" t="s">
        <v>10</v>
      </c>
      <c r="B15" s="12" t="s">
        <v>11</v>
      </c>
      <c r="C15" s="15">
        <v>25381.02</v>
      </c>
      <c r="D15" s="14"/>
      <c r="E15" s="109"/>
    </row>
    <row r="16" spans="1:5" ht="15">
      <c r="A16" s="8" t="s">
        <v>12</v>
      </c>
      <c r="B16" s="12" t="s">
        <v>11</v>
      </c>
      <c r="C16" s="13">
        <v>0</v>
      </c>
      <c r="D16" s="14"/>
      <c r="E16" s="109"/>
    </row>
    <row r="17" spans="1:5" ht="15">
      <c r="A17" s="8" t="s">
        <v>13</v>
      </c>
      <c r="B17" s="12" t="s">
        <v>11</v>
      </c>
      <c r="C17" s="15">
        <v>767.2</v>
      </c>
      <c r="D17" s="16"/>
      <c r="E17" s="109"/>
    </row>
    <row r="18" spans="1:5" ht="31.5" customHeight="1">
      <c r="A18" s="17" t="s">
        <v>14</v>
      </c>
      <c r="B18" s="12" t="s">
        <v>11</v>
      </c>
      <c r="C18" s="15">
        <f>7668.42+1778.76</f>
        <v>9447.18</v>
      </c>
      <c r="D18" s="16"/>
      <c r="E18" s="110">
        <f>C18-C20</f>
        <v>5020.044000000001</v>
      </c>
    </row>
    <row r="19" spans="1:5" ht="15">
      <c r="A19" s="8" t="s">
        <v>15</v>
      </c>
      <c r="B19" s="12" t="s">
        <v>11</v>
      </c>
      <c r="C19" s="15">
        <f>C18-C20-C21</f>
        <v>2259.6720000000005</v>
      </c>
      <c r="D19" s="16"/>
      <c r="E19" s="110">
        <f>E18-E38</f>
        <v>-0.001999999999497959</v>
      </c>
    </row>
    <row r="20" spans="1:5" ht="15">
      <c r="A20" s="8" t="s">
        <v>16</v>
      </c>
      <c r="B20" s="12" t="s">
        <v>11</v>
      </c>
      <c r="C20" s="15">
        <f>(3.94+4.1)*6*54.9+1778.76</f>
        <v>4427.1359999999995</v>
      </c>
      <c r="D20" s="16"/>
      <c r="E20" s="111"/>
    </row>
    <row r="21" spans="1:5" ht="15">
      <c r="A21" s="8" t="s">
        <v>17</v>
      </c>
      <c r="B21" s="12" t="s">
        <v>11</v>
      </c>
      <c r="C21" s="19">
        <f>54.9*4.19*12</f>
        <v>2760.3720000000003</v>
      </c>
      <c r="D21" s="16"/>
      <c r="E21" s="109"/>
    </row>
    <row r="22" spans="1:5" ht="15">
      <c r="A22" s="20" t="s">
        <v>18</v>
      </c>
      <c r="B22" s="12" t="s">
        <v>11</v>
      </c>
      <c r="C22" s="15">
        <f>C23+C24+C25+C26+C27</f>
        <v>8995.604796000001</v>
      </c>
      <c r="D22" s="16" t="s">
        <v>19</v>
      </c>
      <c r="E22" s="110" t="e">
        <f>B24+B25+B26+B27+B28</f>
        <v>#VALUE!</v>
      </c>
    </row>
    <row r="23" spans="1:5" ht="15">
      <c r="A23" s="8" t="s">
        <v>20</v>
      </c>
      <c r="B23" s="12" t="s">
        <v>11</v>
      </c>
      <c r="C23" s="15">
        <f>C18*0.9522</f>
        <v>8995.604796000001</v>
      </c>
      <c r="D23" s="16"/>
      <c r="E23" s="109"/>
    </row>
    <row r="24" spans="1:8" ht="15">
      <c r="A24" s="8" t="s">
        <v>21</v>
      </c>
      <c r="B24" s="12" t="s">
        <v>11</v>
      </c>
      <c r="C24" s="15">
        <v>0</v>
      </c>
      <c r="D24" s="21">
        <v>65.21</v>
      </c>
      <c r="E24" s="111" t="e">
        <f>B24/#REF!*1</f>
        <v>#VALUE!</v>
      </c>
      <c r="H24" s="1" t="s">
        <v>22</v>
      </c>
    </row>
    <row r="25" spans="1:5" ht="15">
      <c r="A25" s="8" t="s">
        <v>23</v>
      </c>
      <c r="B25" s="12" t="s">
        <v>11</v>
      </c>
      <c r="C25" s="15">
        <v>0</v>
      </c>
      <c r="D25" s="21">
        <v>119.63</v>
      </c>
      <c r="E25" s="111" t="e">
        <f>B25/#REF!*1</f>
        <v>#VALUE!</v>
      </c>
    </row>
    <row r="26" spans="1:5" ht="15">
      <c r="A26" s="9" t="s">
        <v>24</v>
      </c>
      <c r="B26" s="12" t="s">
        <v>11</v>
      </c>
      <c r="C26" s="15">
        <v>0</v>
      </c>
      <c r="D26" s="21"/>
      <c r="E26" s="111" t="e">
        <f>B26/#REF!*1</f>
        <v>#VALUE!</v>
      </c>
    </row>
    <row r="27" spans="1:5" ht="16.5" customHeight="1">
      <c r="A27" s="98" t="s">
        <v>96</v>
      </c>
      <c r="B27" s="12" t="s">
        <v>11</v>
      </c>
      <c r="C27" s="15">
        <v>0</v>
      </c>
      <c r="D27" s="21">
        <v>139.18</v>
      </c>
      <c r="E27" s="111" t="e">
        <f>B27/#REF!*1</f>
        <v>#VALUE!</v>
      </c>
    </row>
    <row r="28" spans="1:5" ht="15">
      <c r="A28" s="8" t="s">
        <v>25</v>
      </c>
      <c r="B28" s="12" t="s">
        <v>11</v>
      </c>
      <c r="C28" s="15">
        <f>C15+C22</f>
        <v>34376.624796000004</v>
      </c>
      <c r="D28" s="16" t="s">
        <v>26</v>
      </c>
      <c r="E28" s="111" t="e">
        <f>B28/#REF!*1</f>
        <v>#VALUE!</v>
      </c>
    </row>
    <row r="29" spans="1:5" ht="35.25" customHeight="1">
      <c r="A29" s="568" t="s">
        <v>27</v>
      </c>
      <c r="B29" s="568"/>
      <c r="C29" s="568"/>
      <c r="D29" s="568"/>
      <c r="E29" s="109"/>
    </row>
    <row r="30" spans="1:5" ht="60">
      <c r="A30" s="22" t="s">
        <v>28</v>
      </c>
      <c r="B30" s="23" t="s">
        <v>29</v>
      </c>
      <c r="C30" s="24" t="s">
        <v>30</v>
      </c>
      <c r="D30" s="25" t="s">
        <v>31</v>
      </c>
      <c r="E30" s="109"/>
    </row>
    <row r="31" spans="1:5" ht="15">
      <c r="A31" s="26" t="s">
        <v>32</v>
      </c>
      <c r="B31" s="27" t="s">
        <v>33</v>
      </c>
      <c r="C31" s="28" t="s">
        <v>34</v>
      </c>
      <c r="D31" s="92">
        <f>(0.85+0.95)*6*54.9</f>
        <v>592.92</v>
      </c>
      <c r="E31" s="109"/>
    </row>
    <row r="32" spans="1:5" ht="15">
      <c r="A32" s="29" t="s">
        <v>36</v>
      </c>
      <c r="B32" s="30" t="s">
        <v>33</v>
      </c>
      <c r="C32" s="31" t="s">
        <v>37</v>
      </c>
      <c r="D32" s="93">
        <f>0.24*12*54.9</f>
        <v>158.112</v>
      </c>
      <c r="E32" s="109"/>
    </row>
    <row r="33" spans="1:5" ht="15">
      <c r="A33" s="153" t="s">
        <v>179</v>
      </c>
      <c r="B33" s="30" t="s">
        <v>33</v>
      </c>
      <c r="C33" s="31" t="s">
        <v>34</v>
      </c>
      <c r="D33" s="93">
        <f>(0.16+0.36)*6*54.9</f>
        <v>171.288</v>
      </c>
      <c r="E33" s="109"/>
    </row>
    <row r="34" spans="1:5" ht="15">
      <c r="A34" s="29" t="s">
        <v>81</v>
      </c>
      <c r="B34" s="91" t="s">
        <v>82</v>
      </c>
      <c r="C34" s="31" t="s">
        <v>34</v>
      </c>
      <c r="D34" s="93">
        <f>1.33*12*54.9</f>
        <v>876.2040000000001</v>
      </c>
      <c r="E34" s="109"/>
    </row>
    <row r="35" spans="1:5" ht="15">
      <c r="A35" s="29" t="s">
        <v>38</v>
      </c>
      <c r="B35" s="30" t="s">
        <v>35</v>
      </c>
      <c r="C35" s="32" t="s">
        <v>39</v>
      </c>
      <c r="D35" s="93">
        <f>4.19*54.9*12</f>
        <v>2760.3720000000003</v>
      </c>
      <c r="E35" s="109"/>
    </row>
    <row r="36" spans="1:5" ht="15">
      <c r="A36" s="29" t="s">
        <v>85</v>
      </c>
      <c r="B36" s="30" t="s">
        <v>222</v>
      </c>
      <c r="C36" s="171" t="s">
        <v>37</v>
      </c>
      <c r="D36" s="93">
        <f>54.9*12*0.7-0.01</f>
        <v>461.1499999999999</v>
      </c>
      <c r="E36" s="109"/>
    </row>
    <row r="37" spans="1:14" s="1" customFormat="1" ht="45">
      <c r="A37" s="33" t="s">
        <v>40</v>
      </c>
      <c r="B37" s="34" t="s">
        <v>41</v>
      </c>
      <c r="C37" s="28"/>
      <c r="D37" s="36">
        <v>0</v>
      </c>
      <c r="E37" s="109"/>
      <c r="K37"/>
      <c r="L37"/>
      <c r="M37"/>
      <c r="N37"/>
    </row>
    <row r="38" spans="1:14" s="1" customFormat="1" ht="15.75">
      <c r="A38" s="37" t="s">
        <v>42</v>
      </c>
      <c r="B38" s="38"/>
      <c r="C38" s="39"/>
      <c r="D38" s="97">
        <f>SUM(D31:D37)</f>
        <v>5020.046</v>
      </c>
      <c r="E38" s="112">
        <f>D38-D37</f>
        <v>5020.046</v>
      </c>
      <c r="K38"/>
      <c r="L38"/>
      <c r="M38"/>
      <c r="N38"/>
    </row>
    <row r="39" spans="1:14" s="1" customFormat="1" ht="15">
      <c r="A39" s="40" t="s">
        <v>43</v>
      </c>
      <c r="B39" s="41" t="s">
        <v>11</v>
      </c>
      <c r="C39" s="42"/>
      <c r="D39" s="43">
        <f>C28-D38</f>
        <v>29356.578796</v>
      </c>
      <c r="E39" s="112"/>
      <c r="K39"/>
      <c r="L39"/>
      <c r="M39"/>
      <c r="N39"/>
    </row>
    <row r="40" spans="1:14" s="1" customFormat="1" ht="15">
      <c r="A40" s="45" t="s">
        <v>12</v>
      </c>
      <c r="B40" s="46" t="s">
        <v>11</v>
      </c>
      <c r="C40" s="31"/>
      <c r="D40" s="14"/>
      <c r="E40" s="109"/>
      <c r="K40"/>
      <c r="L40"/>
      <c r="M40"/>
      <c r="N40"/>
    </row>
    <row r="41" spans="1:14" s="1" customFormat="1" ht="15">
      <c r="A41" s="45" t="s">
        <v>13</v>
      </c>
      <c r="B41" s="46" t="s">
        <v>11</v>
      </c>
      <c r="C41" s="31"/>
      <c r="D41" s="16">
        <f>C17+C18-C23</f>
        <v>1218.7752039999996</v>
      </c>
      <c r="E41" s="109"/>
      <c r="K41"/>
      <c r="L41"/>
      <c r="M41"/>
      <c r="N41"/>
    </row>
    <row r="42" spans="1:14" s="1" customFormat="1" ht="24" customHeight="1">
      <c r="A42" s="569" t="s">
        <v>44</v>
      </c>
      <c r="B42" s="569"/>
      <c r="C42" s="569"/>
      <c r="D42" s="569"/>
      <c r="E42" s="109"/>
      <c r="K42"/>
      <c r="L42"/>
      <c r="M42"/>
      <c r="N42"/>
    </row>
    <row r="43" spans="1:14" s="1" customFormat="1" ht="15">
      <c r="A43" s="45" t="s">
        <v>45</v>
      </c>
      <c r="B43" s="30" t="s">
        <v>46</v>
      </c>
      <c r="C43" s="31">
        <v>0</v>
      </c>
      <c r="D43" s="14">
        <v>0</v>
      </c>
      <c r="E43" s="109"/>
      <c r="K43"/>
      <c r="L43"/>
      <c r="M43"/>
      <c r="N43"/>
    </row>
    <row r="44" spans="1:14" s="1" customFormat="1" ht="15">
      <c r="A44" s="45" t="s">
        <v>47</v>
      </c>
      <c r="B44" s="30" t="s">
        <v>46</v>
      </c>
      <c r="C44" s="31">
        <v>0</v>
      </c>
      <c r="D44" s="14">
        <v>0</v>
      </c>
      <c r="E44" s="109"/>
      <c r="K44"/>
      <c r="L44"/>
      <c r="M44"/>
      <c r="N44"/>
    </row>
    <row r="45" spans="1:14" s="1" customFormat="1" ht="15">
      <c r="A45" s="47" t="s">
        <v>48</v>
      </c>
      <c r="B45" s="30" t="s">
        <v>46</v>
      </c>
      <c r="C45" s="31">
        <v>0</v>
      </c>
      <c r="D45" s="14">
        <v>0</v>
      </c>
      <c r="E45" s="109"/>
      <c r="K45"/>
      <c r="L45"/>
      <c r="M45"/>
      <c r="N45"/>
    </row>
    <row r="46" spans="1:14" s="1" customFormat="1" ht="15">
      <c r="A46" s="45" t="s">
        <v>49</v>
      </c>
      <c r="B46" s="30" t="s">
        <v>11</v>
      </c>
      <c r="C46" s="31">
        <v>0</v>
      </c>
      <c r="D46" s="14">
        <v>0</v>
      </c>
      <c r="E46" s="109"/>
      <c r="K46"/>
      <c r="L46"/>
      <c r="M46"/>
      <c r="N46"/>
    </row>
    <row r="47" spans="1:5" ht="20.25" customHeight="1">
      <c r="A47" s="570" t="s">
        <v>50</v>
      </c>
      <c r="B47" s="570"/>
      <c r="C47" s="570"/>
      <c r="D47" s="570"/>
      <c r="E47" s="109"/>
    </row>
    <row r="48" spans="1:5" ht="25.5">
      <c r="A48" s="47" t="s">
        <v>51</v>
      </c>
      <c r="B48" s="30" t="s">
        <v>11</v>
      </c>
      <c r="C48" s="31"/>
      <c r="D48" s="14">
        <v>0</v>
      </c>
      <c r="E48" s="109"/>
    </row>
    <row r="49" spans="1:5" ht="15">
      <c r="A49" s="45" t="s">
        <v>12</v>
      </c>
      <c r="B49" s="30" t="s">
        <v>11</v>
      </c>
      <c r="C49" s="31"/>
      <c r="D49" s="14">
        <v>0</v>
      </c>
      <c r="E49" s="109"/>
    </row>
    <row r="50" spans="1:8" ht="15">
      <c r="A50" s="45" t="s">
        <v>13</v>
      </c>
      <c r="B50" s="30" t="s">
        <v>11</v>
      </c>
      <c r="C50" s="31"/>
      <c r="D50" s="58">
        <f>D53-D56-D59</f>
        <v>715.9993160000002</v>
      </c>
      <c r="E50" s="109"/>
      <c r="H50" s="49"/>
    </row>
    <row r="51" spans="1:5" ht="25.5">
      <c r="A51" s="50" t="s">
        <v>52</v>
      </c>
      <c r="B51" s="30" t="s">
        <v>11</v>
      </c>
      <c r="C51" s="51"/>
      <c r="D51" s="52">
        <v>0</v>
      </c>
      <c r="E51" s="109"/>
    </row>
    <row r="52" spans="1:10" ht="17.25" customHeight="1">
      <c r="A52" s="53" t="s">
        <v>12</v>
      </c>
      <c r="B52" s="30" t="s">
        <v>11</v>
      </c>
      <c r="C52" s="31"/>
      <c r="D52" s="14">
        <v>0</v>
      </c>
      <c r="E52" s="109"/>
      <c r="I52" s="49"/>
      <c r="J52" s="49"/>
    </row>
    <row r="53" spans="1:14" ht="15">
      <c r="A53" s="56" t="s">
        <v>13</v>
      </c>
      <c r="B53" s="30" t="s">
        <v>11</v>
      </c>
      <c r="C53" s="57"/>
      <c r="D53" s="58">
        <v>893.04</v>
      </c>
      <c r="E53" s="109"/>
      <c r="H53" s="1" t="s">
        <v>26</v>
      </c>
      <c r="I53" s="60"/>
      <c r="J53" s="60"/>
      <c r="K53" s="61"/>
      <c r="L53" s="61"/>
      <c r="M53" s="61"/>
      <c r="N53" s="61"/>
    </row>
    <row r="54" spans="1:14" ht="18" customHeight="1">
      <c r="A54" s="571" t="s">
        <v>53</v>
      </c>
      <c r="B54" s="571"/>
      <c r="C54" s="571"/>
      <c r="D54" s="571"/>
      <c r="E54" s="114"/>
      <c r="F54" s="63"/>
      <c r="G54" s="64"/>
      <c r="I54" s="65"/>
      <c r="J54" s="65"/>
      <c r="K54" s="66"/>
      <c r="L54" s="66"/>
      <c r="M54" s="66"/>
      <c r="N54" s="66"/>
    </row>
    <row r="55" spans="1:14" ht="47.25">
      <c r="A55" s="67" t="s">
        <v>54</v>
      </c>
      <c r="B55" s="68" t="s">
        <v>55</v>
      </c>
      <c r="C55" s="69" t="s">
        <v>56</v>
      </c>
      <c r="D55" s="70" t="s">
        <v>57</v>
      </c>
      <c r="E55" s="114"/>
      <c r="F55" s="63"/>
      <c r="G55" s="64"/>
      <c r="I55" s="65"/>
      <c r="J55" s="71"/>
      <c r="K55" s="66"/>
      <c r="L55" s="66"/>
      <c r="M55" s="66"/>
      <c r="N55" s="66"/>
    </row>
    <row r="56" spans="1:14" ht="15">
      <c r="A56" s="72" t="s">
        <v>58</v>
      </c>
      <c r="B56" s="99">
        <v>628.34</v>
      </c>
      <c r="C56" s="100">
        <f>B56*0.9522</f>
        <v>598.3053480000001</v>
      </c>
      <c r="D56" s="101">
        <f>B56-C56</f>
        <v>30.034651999999937</v>
      </c>
      <c r="E56" s="117"/>
      <c r="F56" s="63"/>
      <c r="G56" s="64"/>
      <c r="I56" s="65"/>
      <c r="J56" s="65"/>
      <c r="K56" s="66"/>
      <c r="L56" s="66"/>
      <c r="M56" s="66"/>
      <c r="N56" s="66"/>
    </row>
    <row r="57" spans="1:14" ht="15">
      <c r="A57" s="72" t="s">
        <v>59</v>
      </c>
      <c r="B57" s="99">
        <v>0</v>
      </c>
      <c r="C57" s="100">
        <f>B57*0.9522</f>
        <v>0</v>
      </c>
      <c r="D57" s="101">
        <f>B57-C57</f>
        <v>0</v>
      </c>
      <c r="E57" s="114"/>
      <c r="F57" s="63"/>
      <c r="G57" s="64"/>
      <c r="I57" s="65"/>
      <c r="J57" s="65"/>
      <c r="K57" s="66"/>
      <c r="L57" s="66"/>
      <c r="M57" s="66"/>
      <c r="N57" s="66"/>
    </row>
    <row r="58" spans="1:14" ht="15">
      <c r="A58" s="72" t="s">
        <v>60</v>
      </c>
      <c r="B58" s="102">
        <v>0</v>
      </c>
      <c r="C58" s="100">
        <f>B58*0.9522</f>
        <v>0</v>
      </c>
      <c r="D58" s="101">
        <f>B58-C58</f>
        <v>0</v>
      </c>
      <c r="E58" s="114">
        <f>(2.07+1.8)*6*2301.2-0.37*2301.2*6</f>
        <v>48325.2</v>
      </c>
      <c r="F58" s="73"/>
      <c r="G58" s="74"/>
      <c r="H58" s="62"/>
      <c r="I58" s="65"/>
      <c r="J58" s="65"/>
      <c r="K58" s="66"/>
      <c r="L58" s="66"/>
      <c r="M58" s="66"/>
      <c r="N58" s="66"/>
    </row>
    <row r="59" spans="1:14" ht="15.75" thickBot="1">
      <c r="A59" s="125" t="s">
        <v>236</v>
      </c>
      <c r="B59" s="126">
        <v>3075.44</v>
      </c>
      <c r="C59" s="100">
        <f>B59*0.9522</f>
        <v>2928.4339680000003</v>
      </c>
      <c r="D59" s="128">
        <f>B59-C59</f>
        <v>147.00603199999978</v>
      </c>
      <c r="E59" s="114"/>
      <c r="F59" s="73"/>
      <c r="G59" s="74"/>
      <c r="I59" s="65"/>
      <c r="J59" s="65"/>
      <c r="K59" s="66"/>
      <c r="L59" s="66"/>
      <c r="M59" s="66"/>
      <c r="N59" s="66"/>
    </row>
    <row r="60" spans="1:14" ht="63">
      <c r="A60" s="129" t="s">
        <v>62</v>
      </c>
      <c r="B60" s="130" t="s">
        <v>63</v>
      </c>
      <c r="C60" s="131" t="s">
        <v>64</v>
      </c>
      <c r="D60" s="132" t="s">
        <v>65</v>
      </c>
      <c r="E60" s="114"/>
      <c r="F60" s="73"/>
      <c r="H60" s="65"/>
      <c r="I60" s="65"/>
      <c r="J60" s="65"/>
      <c r="K60" s="66"/>
      <c r="L60" s="66"/>
      <c r="M60" s="66"/>
      <c r="N60" s="66"/>
    </row>
    <row r="61" spans="1:14" ht="15">
      <c r="A61" s="133" t="s">
        <v>58</v>
      </c>
      <c r="B61" s="104">
        <f>B56</f>
        <v>628.34</v>
      </c>
      <c r="C61" s="105">
        <f>C56</f>
        <v>598.3053480000001</v>
      </c>
      <c r="D61" s="134">
        <f>B61-C61</f>
        <v>30.034651999999937</v>
      </c>
      <c r="E61" s="114"/>
      <c r="F61" s="73"/>
      <c r="H61" s="65"/>
      <c r="I61" s="65"/>
      <c r="J61" s="65" t="s">
        <v>26</v>
      </c>
      <c r="K61" s="66"/>
      <c r="L61" s="66"/>
      <c r="M61" s="66"/>
      <c r="N61" s="66"/>
    </row>
    <row r="62" spans="1:14" ht="15">
      <c r="A62" s="133" t="s">
        <v>59</v>
      </c>
      <c r="B62" s="104">
        <v>0</v>
      </c>
      <c r="C62" s="105">
        <v>0</v>
      </c>
      <c r="D62" s="134">
        <f>B62-C62</f>
        <v>0</v>
      </c>
      <c r="E62" s="114"/>
      <c r="F62" s="73"/>
      <c r="H62" s="65"/>
      <c r="I62" s="65"/>
      <c r="J62" s="65"/>
      <c r="K62" s="66"/>
      <c r="L62" s="66"/>
      <c r="M62" s="66"/>
      <c r="N62" s="66"/>
    </row>
    <row r="63" spans="1:14" ht="15">
      <c r="A63" s="133" t="s">
        <v>60</v>
      </c>
      <c r="B63" s="104">
        <v>0</v>
      </c>
      <c r="C63" s="105">
        <v>0</v>
      </c>
      <c r="D63" s="134">
        <f>B63-C63</f>
        <v>0</v>
      </c>
      <c r="E63" s="114"/>
      <c r="F63" s="73"/>
      <c r="H63" s="65"/>
      <c r="I63" s="65"/>
      <c r="J63" s="65"/>
      <c r="K63" s="66"/>
      <c r="L63" s="66"/>
      <c r="M63" s="66"/>
      <c r="N63" s="66"/>
    </row>
    <row r="64" spans="1:14" ht="15.75" thickBot="1">
      <c r="A64" s="135" t="s">
        <v>236</v>
      </c>
      <c r="B64" s="136">
        <f>B59</f>
        <v>3075.44</v>
      </c>
      <c r="C64" s="137">
        <f>C59</f>
        <v>2928.4339680000003</v>
      </c>
      <c r="D64" s="138">
        <f>B64-C64</f>
        <v>147.00603199999978</v>
      </c>
      <c r="E64" s="114"/>
      <c r="F64" s="73"/>
      <c r="H64" s="65" t="s">
        <v>26</v>
      </c>
      <c r="I64" s="65"/>
      <c r="J64" s="65"/>
      <c r="K64" s="66"/>
      <c r="L64" s="66"/>
      <c r="M64" s="66"/>
      <c r="N64" s="66"/>
    </row>
    <row r="65" spans="1:14" ht="15">
      <c r="A65" s="77"/>
      <c r="B65" s="76"/>
      <c r="C65" s="78"/>
      <c r="D65" s="140"/>
      <c r="E65" s="114"/>
      <c r="F65" s="73"/>
      <c r="H65" s="65"/>
      <c r="I65" s="65"/>
      <c r="J65" s="65"/>
      <c r="K65" s="66"/>
      <c r="L65" s="66"/>
      <c r="M65" s="66"/>
      <c r="N65" s="66"/>
    </row>
    <row r="66" spans="1:14" ht="25.5">
      <c r="A66" s="80" t="s">
        <v>66</v>
      </c>
      <c r="B66" s="76" t="s">
        <v>11</v>
      </c>
      <c r="C66" s="81"/>
      <c r="D66" s="82">
        <v>0</v>
      </c>
      <c r="E66" s="114"/>
      <c r="F66" s="73"/>
      <c r="H66" s="65"/>
      <c r="I66" s="65"/>
      <c r="J66" s="65" t="s">
        <v>26</v>
      </c>
      <c r="K66" s="66"/>
      <c r="L66" s="66"/>
      <c r="M66" s="66"/>
      <c r="N66" s="66"/>
    </row>
    <row r="67" spans="1:14" ht="17.25" customHeight="1">
      <c r="A67" s="572" t="s">
        <v>67</v>
      </c>
      <c r="B67" s="572"/>
      <c r="C67" s="572"/>
      <c r="D67" s="572"/>
      <c r="E67" s="121" t="e">
        <f>D67+B19</f>
        <v>#VALUE!</v>
      </c>
      <c r="F67" s="65"/>
      <c r="H67" s="84" t="e">
        <f>E67-B18</f>
        <v>#VALUE!</v>
      </c>
      <c r="I67" s="65"/>
      <c r="J67" s="65"/>
      <c r="K67" s="66"/>
      <c r="L67" s="66"/>
      <c r="M67" s="66"/>
      <c r="N67" s="66"/>
    </row>
    <row r="68" spans="1:5" ht="21" customHeight="1">
      <c r="A68" s="85" t="s">
        <v>45</v>
      </c>
      <c r="B68" s="85" t="s">
        <v>46</v>
      </c>
      <c r="C68" s="86"/>
      <c r="D68" s="177">
        <v>0</v>
      </c>
      <c r="E68" s="123"/>
    </row>
    <row r="69" spans="1:5" ht="21" customHeight="1">
      <c r="A69" s="85" t="s">
        <v>47</v>
      </c>
      <c r="B69" s="85" t="s">
        <v>46</v>
      </c>
      <c r="C69" s="85"/>
      <c r="D69" s="177">
        <v>0</v>
      </c>
      <c r="E69" s="123"/>
    </row>
    <row r="70" spans="1:5" ht="18" customHeight="1">
      <c r="A70" s="85" t="s">
        <v>48</v>
      </c>
      <c r="B70" s="85" t="s">
        <v>46</v>
      </c>
      <c r="C70" s="85"/>
      <c r="D70" s="177">
        <v>0</v>
      </c>
      <c r="E70" s="123"/>
    </row>
    <row r="71" spans="1:5" ht="16.5" customHeight="1">
      <c r="A71" s="85" t="s">
        <v>49</v>
      </c>
      <c r="B71" s="85" t="s">
        <v>11</v>
      </c>
      <c r="C71" s="85"/>
      <c r="D71" s="177">
        <v>0</v>
      </c>
      <c r="E71" s="123"/>
    </row>
    <row r="72" spans="1:5" ht="15.75" customHeight="1">
      <c r="A72" s="566" t="s">
        <v>68</v>
      </c>
      <c r="B72" s="566"/>
      <c r="C72" s="566"/>
      <c r="D72" s="566"/>
      <c r="E72" s="123"/>
    </row>
    <row r="73" spans="1:5" ht="18.75" customHeight="1">
      <c r="A73" s="85" t="s">
        <v>69</v>
      </c>
      <c r="B73" s="85" t="s">
        <v>46</v>
      </c>
      <c r="C73" s="85"/>
      <c r="D73" s="177">
        <v>0</v>
      </c>
      <c r="E73" s="123"/>
    </row>
    <row r="74" spans="1:5" ht="21.75" customHeight="1">
      <c r="A74" s="85" t="s">
        <v>70</v>
      </c>
      <c r="B74" s="53" t="s">
        <v>46</v>
      </c>
      <c r="C74" s="53"/>
      <c r="D74" s="177">
        <v>0</v>
      </c>
      <c r="E74" s="123"/>
    </row>
    <row r="75" spans="1:5" ht="36" customHeight="1">
      <c r="A75" s="89" t="s">
        <v>71</v>
      </c>
      <c r="B75" s="85" t="s">
        <v>11</v>
      </c>
      <c r="C75" s="85"/>
      <c r="D75" s="177">
        <v>0</v>
      </c>
      <c r="E75" s="123"/>
    </row>
    <row r="76" spans="1:5" ht="15">
      <c r="A76" s="66"/>
      <c r="B76" s="66"/>
      <c r="C76" s="66"/>
      <c r="D76" s="90"/>
      <c r="E76" s="109"/>
    </row>
    <row r="77" spans="1:14" s="1" customFormat="1" ht="12.75">
      <c r="A77"/>
      <c r="B77"/>
      <c r="C77"/>
      <c r="D77"/>
      <c r="H77" s="1" t="s">
        <v>26</v>
      </c>
      <c r="K77"/>
      <c r="L77"/>
      <c r="M77"/>
      <c r="N77"/>
    </row>
    <row r="78" spans="1:14" s="1" customFormat="1" ht="12.75">
      <c r="A78" t="s">
        <v>72</v>
      </c>
      <c r="B78"/>
      <c r="C78"/>
      <c r="D78"/>
      <c r="K78"/>
      <c r="L78"/>
      <c r="M78"/>
      <c r="N78"/>
    </row>
    <row r="79" spans="1:14" s="1" customFormat="1" ht="12.75">
      <c r="A79"/>
      <c r="B79"/>
      <c r="C79"/>
      <c r="D79"/>
      <c r="H79" s="1" t="s">
        <v>26</v>
      </c>
      <c r="K79"/>
      <c r="L79"/>
      <c r="M79"/>
      <c r="N79"/>
    </row>
    <row r="80" spans="1:14" s="1" customFormat="1" ht="12.75">
      <c r="A80" t="s">
        <v>73</v>
      </c>
      <c r="B80"/>
      <c r="C80"/>
      <c r="D80"/>
      <c r="K80"/>
      <c r="L80"/>
      <c r="M80"/>
      <c r="N80"/>
    </row>
    <row r="84" spans="1:14" s="1" customFormat="1" ht="12.75">
      <c r="A84"/>
      <c r="B84"/>
      <c r="C84"/>
      <c r="D84"/>
      <c r="E84" s="1" t="s">
        <v>26</v>
      </c>
      <c r="K84"/>
      <c r="L84"/>
      <c r="M84"/>
      <c r="N84"/>
    </row>
  </sheetData>
  <sheetProtection selectLockedCells="1" selectUnlockedCells="1"/>
  <mergeCells count="13">
    <mergeCell ref="A72:D72"/>
    <mergeCell ref="A14:D14"/>
    <mergeCell ref="A29:D29"/>
    <mergeCell ref="A42:D42"/>
    <mergeCell ref="A47:D47"/>
    <mergeCell ref="A54:D54"/>
    <mergeCell ref="A67:D67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="80" zoomScaleNormal="80" zoomScalePageLayoutView="0" workbookViewId="0" topLeftCell="A28">
      <selection activeCell="D40" sqref="D40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560" t="s">
        <v>0</v>
      </c>
      <c r="B1" s="560"/>
      <c r="C1" s="560"/>
      <c r="D1" s="560"/>
    </row>
    <row r="2" spans="1:4" ht="15.75">
      <c r="A2" s="561" t="s">
        <v>220</v>
      </c>
      <c r="B2" s="562"/>
      <c r="C2" s="562"/>
      <c r="D2" s="562"/>
    </row>
    <row r="3" spans="1:4" ht="15.75">
      <c r="A3" s="562" t="s">
        <v>1</v>
      </c>
      <c r="B3" s="562"/>
      <c r="C3" s="562"/>
      <c r="D3" s="562"/>
    </row>
    <row r="4" spans="1:4" ht="12.75">
      <c r="A4" s="564" t="s">
        <v>259</v>
      </c>
      <c r="B4" s="563"/>
      <c r="C4" s="563"/>
      <c r="D4" s="563"/>
    </row>
    <row r="5" spans="1:4" ht="12.75">
      <c r="A5" s="564" t="s">
        <v>266</v>
      </c>
      <c r="B5" s="563"/>
      <c r="C5" s="563"/>
      <c r="D5" s="563"/>
    </row>
    <row r="6" ht="9" customHeight="1">
      <c r="A6" s="2"/>
    </row>
    <row r="7" spans="1:4" ht="18" customHeight="1">
      <c r="A7" s="565" t="s">
        <v>2</v>
      </c>
      <c r="B7" s="565"/>
      <c r="C7" s="565"/>
      <c r="D7" s="565"/>
    </row>
    <row r="8" spans="1:3" ht="12.75">
      <c r="A8" s="145" t="s">
        <v>260</v>
      </c>
      <c r="C8" s="3"/>
    </row>
    <row r="9" spans="1:4" ht="12.75">
      <c r="A9" s="4" t="s">
        <v>3</v>
      </c>
      <c r="B9" s="4" t="s">
        <v>4</v>
      </c>
      <c r="C9" s="4" t="s">
        <v>5</v>
      </c>
      <c r="D9" s="5"/>
    </row>
    <row r="10" spans="1:5" ht="12.75">
      <c r="A10" s="6">
        <v>1</v>
      </c>
      <c r="B10" s="6">
        <v>2</v>
      </c>
      <c r="C10" s="6">
        <v>3</v>
      </c>
      <c r="D10" s="7">
        <v>4</v>
      </c>
      <c r="E10" s="109"/>
    </row>
    <row r="11" spans="1:5" ht="12.75">
      <c r="A11" s="8" t="s">
        <v>6</v>
      </c>
      <c r="B11" s="9"/>
      <c r="C11" s="144" t="s">
        <v>262</v>
      </c>
      <c r="D11" s="10"/>
      <c r="E11" s="109"/>
    </row>
    <row r="12" spans="1:5" ht="12.75">
      <c r="A12" s="8" t="s">
        <v>7</v>
      </c>
      <c r="B12" s="9"/>
      <c r="C12" s="144" t="s">
        <v>263</v>
      </c>
      <c r="D12" s="10"/>
      <c r="E12" s="109"/>
    </row>
    <row r="13" spans="1:5" ht="12.75">
      <c r="A13" s="8" t="s">
        <v>8</v>
      </c>
      <c r="B13" s="9"/>
      <c r="C13" s="144" t="s">
        <v>267</v>
      </c>
      <c r="D13" s="10"/>
      <c r="E13" s="109"/>
    </row>
    <row r="14" spans="1:5" ht="31.5" customHeight="1">
      <c r="A14" s="567" t="s">
        <v>9</v>
      </c>
      <c r="B14" s="567"/>
      <c r="C14" s="567"/>
      <c r="D14" s="567"/>
      <c r="E14" s="109"/>
    </row>
    <row r="15" spans="1:5" ht="25.5">
      <c r="A15" s="11" t="s">
        <v>10</v>
      </c>
      <c r="B15" s="12" t="s">
        <v>11</v>
      </c>
      <c r="C15" s="15">
        <v>-53.65</v>
      </c>
      <c r="D15" s="14"/>
      <c r="E15" s="109"/>
    </row>
    <row r="16" spans="1:5" ht="15">
      <c r="A16" s="8" t="s">
        <v>12</v>
      </c>
      <c r="B16" s="12" t="s">
        <v>11</v>
      </c>
      <c r="C16" s="13">
        <v>0</v>
      </c>
      <c r="D16" s="14"/>
      <c r="E16" s="109"/>
    </row>
    <row r="17" spans="1:5" ht="15">
      <c r="A17" s="8" t="s">
        <v>13</v>
      </c>
      <c r="B17" s="12" t="s">
        <v>11</v>
      </c>
      <c r="C17" s="15">
        <v>1029.6</v>
      </c>
      <c r="D17" s="16"/>
      <c r="E17" s="109"/>
    </row>
    <row r="18" spans="1:5" ht="31.5" customHeight="1">
      <c r="A18" s="17" t="s">
        <v>14</v>
      </c>
      <c r="B18" s="12" t="s">
        <v>11</v>
      </c>
      <c r="C18" s="15">
        <v>12795.66</v>
      </c>
      <c r="D18" s="16"/>
      <c r="E18" s="110">
        <f>C18-C20</f>
        <v>8948.52</v>
      </c>
    </row>
    <row r="19" spans="1:5" ht="15">
      <c r="A19" s="8" t="s">
        <v>15</v>
      </c>
      <c r="B19" s="12" t="s">
        <v>11</v>
      </c>
      <c r="C19" s="15">
        <f>C18-C20-C21</f>
        <v>6188.148</v>
      </c>
      <c r="D19" s="16"/>
      <c r="E19" s="110">
        <f>E18-E39</f>
        <v>0</v>
      </c>
    </row>
    <row r="20" spans="1:5" ht="15">
      <c r="A20" s="8" t="s">
        <v>16</v>
      </c>
      <c r="B20" s="12" t="s">
        <v>11</v>
      </c>
      <c r="C20" s="15">
        <f>(3.03+3.35)*6*100.5</f>
        <v>3847.1400000000003</v>
      </c>
      <c r="D20" s="16"/>
      <c r="E20" s="111"/>
    </row>
    <row r="21" spans="1:5" ht="15">
      <c r="A21" s="8" t="s">
        <v>17</v>
      </c>
      <c r="B21" s="12" t="s">
        <v>11</v>
      </c>
      <c r="C21" s="19">
        <f>54.9*4.19*12</f>
        <v>2760.3720000000003</v>
      </c>
      <c r="D21" s="16"/>
      <c r="E21" s="109"/>
    </row>
    <row r="22" spans="1:5" ht="15">
      <c r="A22" s="20" t="s">
        <v>18</v>
      </c>
      <c r="B22" s="12" t="s">
        <v>11</v>
      </c>
      <c r="C22" s="15">
        <f>C23+C24+C25+C26+C27</f>
        <v>12258.242279999999</v>
      </c>
      <c r="D22" s="16" t="s">
        <v>19</v>
      </c>
      <c r="E22" s="110" t="e">
        <f>B24+B25+B26+B27+B28</f>
        <v>#VALUE!</v>
      </c>
    </row>
    <row r="23" spans="1:5" ht="15">
      <c r="A23" s="8" t="s">
        <v>20</v>
      </c>
      <c r="B23" s="12" t="s">
        <v>11</v>
      </c>
      <c r="C23" s="15">
        <f>C18*0.958</f>
        <v>12258.242279999999</v>
      </c>
      <c r="D23" s="16"/>
      <c r="E23" s="109"/>
    </row>
    <row r="24" spans="1:8" ht="15">
      <c r="A24" s="8" t="s">
        <v>21</v>
      </c>
      <c r="B24" s="12" t="s">
        <v>11</v>
      </c>
      <c r="C24" s="15">
        <v>0</v>
      </c>
      <c r="D24" s="21">
        <v>65.21</v>
      </c>
      <c r="E24" s="111" t="e">
        <f>B24/#REF!*1</f>
        <v>#VALUE!</v>
      </c>
      <c r="H24" s="1" t="s">
        <v>22</v>
      </c>
    </row>
    <row r="25" spans="1:5" ht="15">
      <c r="A25" s="8" t="s">
        <v>23</v>
      </c>
      <c r="B25" s="12" t="s">
        <v>11</v>
      </c>
      <c r="C25" s="15">
        <v>0</v>
      </c>
      <c r="D25" s="21">
        <v>119.63</v>
      </c>
      <c r="E25" s="111" t="e">
        <f>B25/#REF!*1</f>
        <v>#VALUE!</v>
      </c>
    </row>
    <row r="26" spans="1:5" ht="15">
      <c r="A26" s="9" t="s">
        <v>24</v>
      </c>
      <c r="B26" s="12" t="s">
        <v>11</v>
      </c>
      <c r="C26" s="15">
        <v>0</v>
      </c>
      <c r="D26" s="21"/>
      <c r="E26" s="111" t="e">
        <f>B26/#REF!*1</f>
        <v>#VALUE!</v>
      </c>
    </row>
    <row r="27" spans="1:5" ht="16.5" customHeight="1">
      <c r="A27" s="98" t="s">
        <v>96</v>
      </c>
      <c r="B27" s="12" t="s">
        <v>11</v>
      </c>
      <c r="C27" s="15">
        <v>0</v>
      </c>
      <c r="D27" s="21">
        <v>139.18</v>
      </c>
      <c r="E27" s="111" t="e">
        <f>B27/#REF!*1</f>
        <v>#VALUE!</v>
      </c>
    </row>
    <row r="28" spans="1:5" ht="15">
      <c r="A28" s="8" t="s">
        <v>25</v>
      </c>
      <c r="B28" s="12" t="s">
        <v>11</v>
      </c>
      <c r="C28" s="15">
        <f>C15+C22</f>
        <v>12204.592279999999</v>
      </c>
      <c r="D28" s="16" t="s">
        <v>26</v>
      </c>
      <c r="E28" s="111" t="e">
        <f>B28/#REF!*1</f>
        <v>#VALUE!</v>
      </c>
    </row>
    <row r="29" spans="1:5" ht="35.25" customHeight="1">
      <c r="A29" s="568" t="s">
        <v>27</v>
      </c>
      <c r="B29" s="568"/>
      <c r="C29" s="568"/>
      <c r="D29" s="568"/>
      <c r="E29" s="109"/>
    </row>
    <row r="30" spans="1:5" ht="60">
      <c r="A30" s="22" t="s">
        <v>28</v>
      </c>
      <c r="B30" s="23" t="s">
        <v>29</v>
      </c>
      <c r="C30" s="24" t="s">
        <v>30</v>
      </c>
      <c r="D30" s="25" t="s">
        <v>31</v>
      </c>
      <c r="E30" s="109"/>
    </row>
    <row r="31" spans="1:5" ht="15">
      <c r="A31" s="26" t="s">
        <v>32</v>
      </c>
      <c r="B31" s="27" t="s">
        <v>33</v>
      </c>
      <c r="C31" s="28" t="s">
        <v>34</v>
      </c>
      <c r="D31" s="92">
        <f>(0.85+0.95)*6*100.5</f>
        <v>1085.3999999999999</v>
      </c>
      <c r="E31" s="109"/>
    </row>
    <row r="32" spans="1:5" ht="15">
      <c r="A32" s="29" t="s">
        <v>36</v>
      </c>
      <c r="B32" s="30" t="s">
        <v>33</v>
      </c>
      <c r="C32" s="31" t="s">
        <v>37</v>
      </c>
      <c r="D32" s="93">
        <f>0.24*12*100.5</f>
        <v>289.44</v>
      </c>
      <c r="E32" s="109"/>
    </row>
    <row r="33" spans="1:5" ht="15">
      <c r="A33" s="153" t="s">
        <v>179</v>
      </c>
      <c r="B33" s="30" t="s">
        <v>33</v>
      </c>
      <c r="C33" s="31" t="s">
        <v>34</v>
      </c>
      <c r="D33" s="93">
        <v>0</v>
      </c>
      <c r="E33" s="109"/>
    </row>
    <row r="34" spans="1:5" ht="15">
      <c r="A34" s="29" t="s">
        <v>81</v>
      </c>
      <c r="B34" s="91" t="s">
        <v>82</v>
      </c>
      <c r="C34" s="31" t="s">
        <v>34</v>
      </c>
      <c r="D34" s="93">
        <f>1.33*12*100.5</f>
        <v>1603.98</v>
      </c>
      <c r="E34" s="109"/>
    </row>
    <row r="35" spans="1:5" ht="15">
      <c r="A35" s="29" t="s">
        <v>38</v>
      </c>
      <c r="B35" s="30" t="s">
        <v>35</v>
      </c>
      <c r="C35" s="32" t="s">
        <v>39</v>
      </c>
      <c r="D35" s="93">
        <f>4.19*100.5*12</f>
        <v>5053.14</v>
      </c>
      <c r="E35" s="109"/>
    </row>
    <row r="36" spans="1:5" ht="15">
      <c r="A36" s="29" t="s">
        <v>85</v>
      </c>
      <c r="B36" s="30" t="s">
        <v>222</v>
      </c>
      <c r="C36" s="171" t="s">
        <v>37</v>
      </c>
      <c r="D36" s="93">
        <f>100.5*12*0.76</f>
        <v>916.5600000000001</v>
      </c>
      <c r="E36" s="109"/>
    </row>
    <row r="37" spans="1:14" s="1" customFormat="1" ht="45">
      <c r="A37" s="147" t="s">
        <v>217</v>
      </c>
      <c r="B37" s="34" t="s">
        <v>41</v>
      </c>
      <c r="C37" s="28"/>
      <c r="D37" s="375">
        <f>D38</f>
        <v>4500</v>
      </c>
      <c r="E37" s="109"/>
      <c r="K37"/>
      <c r="L37"/>
      <c r="M37"/>
      <c r="N37"/>
    </row>
    <row r="38" spans="1:14" s="1" customFormat="1" ht="15">
      <c r="A38" s="148" t="s">
        <v>313</v>
      </c>
      <c r="B38" s="95" t="s">
        <v>161</v>
      </c>
      <c r="C38" s="465" t="s">
        <v>37</v>
      </c>
      <c r="D38" s="146">
        <v>4500</v>
      </c>
      <c r="E38" s="109"/>
      <c r="K38"/>
      <c r="L38"/>
      <c r="M38"/>
      <c r="N38"/>
    </row>
    <row r="39" spans="1:14" s="1" customFormat="1" ht="15.75">
      <c r="A39" s="37" t="s">
        <v>42</v>
      </c>
      <c r="B39" s="38"/>
      <c r="C39" s="39"/>
      <c r="D39" s="97">
        <f>SUM(D31:D37)</f>
        <v>13448.52</v>
      </c>
      <c r="E39" s="112">
        <f>D39-D37</f>
        <v>8948.52</v>
      </c>
      <c r="K39"/>
      <c r="L39"/>
      <c r="M39"/>
      <c r="N39"/>
    </row>
    <row r="40" spans="1:14" s="1" customFormat="1" ht="15">
      <c r="A40" s="40" t="s">
        <v>43</v>
      </c>
      <c r="B40" s="41" t="s">
        <v>11</v>
      </c>
      <c r="C40" s="42"/>
      <c r="D40" s="43">
        <f>C28-D39</f>
        <v>-1243.9277200000015</v>
      </c>
      <c r="E40" s="112"/>
      <c r="K40"/>
      <c r="L40"/>
      <c r="M40"/>
      <c r="N40"/>
    </row>
    <row r="41" spans="1:14" s="1" customFormat="1" ht="15">
      <c r="A41" s="45" t="s">
        <v>12</v>
      </c>
      <c r="B41" s="46" t="s">
        <v>11</v>
      </c>
      <c r="C41" s="31"/>
      <c r="D41" s="14"/>
      <c r="E41" s="109"/>
      <c r="K41"/>
      <c r="L41"/>
      <c r="M41"/>
      <c r="N41"/>
    </row>
    <row r="42" spans="1:14" s="1" customFormat="1" ht="15">
      <c r="A42" s="45" t="s">
        <v>13</v>
      </c>
      <c r="B42" s="46" t="s">
        <v>11</v>
      </c>
      <c r="C42" s="31"/>
      <c r="D42" s="16">
        <v>1581.48</v>
      </c>
      <c r="E42" s="109"/>
      <c r="K42"/>
      <c r="L42"/>
      <c r="M42"/>
      <c r="N42"/>
    </row>
    <row r="43" spans="1:14" s="1" customFormat="1" ht="24" customHeight="1">
      <c r="A43" s="569" t="s">
        <v>44</v>
      </c>
      <c r="B43" s="569"/>
      <c r="C43" s="569"/>
      <c r="D43" s="569"/>
      <c r="E43" s="109"/>
      <c r="K43"/>
      <c r="L43"/>
      <c r="M43"/>
      <c r="N43"/>
    </row>
    <row r="44" spans="1:14" s="1" customFormat="1" ht="15">
      <c r="A44" s="45" t="s">
        <v>45</v>
      </c>
      <c r="B44" s="30" t="s">
        <v>46</v>
      </c>
      <c r="C44" s="31">
        <v>0</v>
      </c>
      <c r="D44" s="14">
        <v>0</v>
      </c>
      <c r="E44" s="109"/>
      <c r="K44"/>
      <c r="L44"/>
      <c r="M44"/>
      <c r="N44"/>
    </row>
    <row r="45" spans="1:14" s="1" customFormat="1" ht="15">
      <c r="A45" s="45" t="s">
        <v>47</v>
      </c>
      <c r="B45" s="30" t="s">
        <v>46</v>
      </c>
      <c r="C45" s="31">
        <v>0</v>
      </c>
      <c r="D45" s="14">
        <v>0</v>
      </c>
      <c r="E45" s="109"/>
      <c r="K45"/>
      <c r="L45"/>
      <c r="M45"/>
      <c r="N45"/>
    </row>
    <row r="46" spans="1:14" s="1" customFormat="1" ht="15">
      <c r="A46" s="47" t="s">
        <v>48</v>
      </c>
      <c r="B46" s="30" t="s">
        <v>46</v>
      </c>
      <c r="C46" s="31">
        <v>0</v>
      </c>
      <c r="D46" s="14">
        <v>0</v>
      </c>
      <c r="E46" s="109"/>
      <c r="K46"/>
      <c r="L46"/>
      <c r="M46"/>
      <c r="N46"/>
    </row>
    <row r="47" spans="1:14" s="1" customFormat="1" ht="15">
      <c r="A47" s="45" t="s">
        <v>49</v>
      </c>
      <c r="B47" s="30" t="s">
        <v>11</v>
      </c>
      <c r="C47" s="31">
        <v>0</v>
      </c>
      <c r="D47" s="14">
        <v>0</v>
      </c>
      <c r="E47" s="109"/>
      <c r="K47"/>
      <c r="L47"/>
      <c r="M47"/>
      <c r="N47"/>
    </row>
    <row r="48" spans="1:5" ht="20.25" customHeight="1">
      <c r="A48" s="570" t="s">
        <v>50</v>
      </c>
      <c r="B48" s="570"/>
      <c r="C48" s="570"/>
      <c r="D48" s="570"/>
      <c r="E48" s="109"/>
    </row>
    <row r="49" spans="1:5" ht="25.5">
      <c r="A49" s="47" t="s">
        <v>51</v>
      </c>
      <c r="B49" s="30" t="s">
        <v>11</v>
      </c>
      <c r="C49" s="31"/>
      <c r="D49" s="14">
        <v>0</v>
      </c>
      <c r="E49" s="109"/>
    </row>
    <row r="50" spans="1:5" ht="15">
      <c r="A50" s="45" t="s">
        <v>12</v>
      </c>
      <c r="B50" s="30" t="s">
        <v>11</v>
      </c>
      <c r="C50" s="31"/>
      <c r="D50" s="14">
        <v>0</v>
      </c>
      <c r="E50" s="109"/>
    </row>
    <row r="51" spans="1:8" ht="15">
      <c r="A51" s="45" t="s">
        <v>13</v>
      </c>
      <c r="B51" s="30" t="s">
        <v>11</v>
      </c>
      <c r="C51" s="31"/>
      <c r="D51" s="58">
        <f>D54-D57-D60</f>
        <v>-261.2383200000006</v>
      </c>
      <c r="E51" s="109"/>
      <c r="H51" s="49"/>
    </row>
    <row r="52" spans="1:5" ht="25.5">
      <c r="A52" s="50" t="s">
        <v>52</v>
      </c>
      <c r="B52" s="30" t="s">
        <v>11</v>
      </c>
      <c r="C52" s="51"/>
      <c r="D52" s="52">
        <v>0</v>
      </c>
      <c r="E52" s="109"/>
    </row>
    <row r="53" spans="1:10" ht="17.25" customHeight="1">
      <c r="A53" s="53" t="s">
        <v>12</v>
      </c>
      <c r="B53" s="30" t="s">
        <v>11</v>
      </c>
      <c r="C53" s="31"/>
      <c r="D53" s="14">
        <v>0</v>
      </c>
      <c r="E53" s="109"/>
      <c r="I53" s="49"/>
      <c r="J53" s="49"/>
    </row>
    <row r="54" spans="1:14" ht="15">
      <c r="A54" s="56" t="s">
        <v>13</v>
      </c>
      <c r="B54" s="30" t="s">
        <v>11</v>
      </c>
      <c r="C54" s="57"/>
      <c r="D54" s="58">
        <v>0</v>
      </c>
      <c r="E54" s="109"/>
      <c r="H54" s="1" t="s">
        <v>26</v>
      </c>
      <c r="I54" s="60"/>
      <c r="J54" s="60"/>
      <c r="K54" s="61"/>
      <c r="L54" s="61"/>
      <c r="M54" s="61"/>
      <c r="N54" s="61"/>
    </row>
    <row r="55" spans="1:14" ht="18" customHeight="1" thickBot="1">
      <c r="A55" s="571" t="s">
        <v>53</v>
      </c>
      <c r="B55" s="571"/>
      <c r="C55" s="571"/>
      <c r="D55" s="571"/>
      <c r="E55" s="114"/>
      <c r="F55" s="63"/>
      <c r="G55" s="64"/>
      <c r="I55" s="65"/>
      <c r="J55" s="65"/>
      <c r="K55" s="66"/>
      <c r="L55" s="66"/>
      <c r="M55" s="66"/>
      <c r="N55" s="66"/>
    </row>
    <row r="56" spans="1:14" ht="47.25">
      <c r="A56" s="67" t="s">
        <v>54</v>
      </c>
      <c r="B56" s="68" t="s">
        <v>55</v>
      </c>
      <c r="C56" s="69" t="s">
        <v>56</v>
      </c>
      <c r="D56" s="70" t="s">
        <v>57</v>
      </c>
      <c r="E56" s="114"/>
      <c r="F56" s="63"/>
      <c r="G56" s="64"/>
      <c r="I56" s="65"/>
      <c r="J56" s="71"/>
      <c r="K56" s="66"/>
      <c r="L56" s="66"/>
      <c r="M56" s="66"/>
      <c r="N56" s="66"/>
    </row>
    <row r="57" spans="1:14" ht="15">
      <c r="A57" s="72" t="s">
        <v>58</v>
      </c>
      <c r="B57" s="99">
        <v>590.12</v>
      </c>
      <c r="C57" s="100">
        <f>B57*0.958</f>
        <v>565.33496</v>
      </c>
      <c r="D57" s="101">
        <f>B57-C57</f>
        <v>24.78503999999998</v>
      </c>
      <c r="E57" s="117"/>
      <c r="F57" s="63"/>
      <c r="G57" s="64"/>
      <c r="I57" s="65"/>
      <c r="J57" s="65"/>
      <c r="K57" s="66"/>
      <c r="L57" s="66"/>
      <c r="M57" s="66"/>
      <c r="N57" s="66"/>
    </row>
    <row r="58" spans="1:14" ht="15">
      <c r="A58" s="72" t="s">
        <v>59</v>
      </c>
      <c r="B58" s="99">
        <v>0</v>
      </c>
      <c r="C58" s="100">
        <f>B58*0.958</f>
        <v>0</v>
      </c>
      <c r="D58" s="101">
        <f>B58-C58</f>
        <v>0</v>
      </c>
      <c r="E58" s="114"/>
      <c r="F58" s="63"/>
      <c r="G58" s="64"/>
      <c r="I58" s="65"/>
      <c r="J58" s="65"/>
      <c r="K58" s="66"/>
      <c r="L58" s="66"/>
      <c r="M58" s="66"/>
      <c r="N58" s="66"/>
    </row>
    <row r="59" spans="1:14" ht="15">
      <c r="A59" s="72" t="s">
        <v>60</v>
      </c>
      <c r="B59" s="102">
        <v>0</v>
      </c>
      <c r="C59" s="100">
        <f>B59*0.958</f>
        <v>0</v>
      </c>
      <c r="D59" s="101">
        <f>B59-C59</f>
        <v>0</v>
      </c>
      <c r="E59" s="114">
        <f>(2.07+1.8)*6*2301.2-0.37*2301.2*6</f>
        <v>48325.2</v>
      </c>
      <c r="F59" s="73"/>
      <c r="G59" s="74"/>
      <c r="H59" s="62"/>
      <c r="I59" s="65"/>
      <c r="J59" s="65"/>
      <c r="K59" s="66"/>
      <c r="L59" s="66"/>
      <c r="M59" s="66"/>
      <c r="N59" s="66"/>
    </row>
    <row r="60" spans="1:14" ht="15.75" thickBot="1">
      <c r="A60" s="125" t="s">
        <v>236</v>
      </c>
      <c r="B60" s="126">
        <v>5629.84</v>
      </c>
      <c r="C60" s="100">
        <f>B60*0.958</f>
        <v>5393.3867199999995</v>
      </c>
      <c r="D60" s="128">
        <f>B60-C60</f>
        <v>236.45328000000063</v>
      </c>
      <c r="E60" s="114"/>
      <c r="F60" s="73"/>
      <c r="G60" s="74"/>
      <c r="I60" s="65"/>
      <c r="J60" s="65"/>
      <c r="K60" s="66"/>
      <c r="L60" s="66"/>
      <c r="M60" s="66"/>
      <c r="N60" s="66"/>
    </row>
    <row r="61" spans="1:14" ht="63">
      <c r="A61" s="129" t="s">
        <v>62</v>
      </c>
      <c r="B61" s="130" t="s">
        <v>63</v>
      </c>
      <c r="C61" s="131" t="s">
        <v>64</v>
      </c>
      <c r="D61" s="132" t="s">
        <v>65</v>
      </c>
      <c r="E61" s="114"/>
      <c r="F61" s="73"/>
      <c r="H61" s="65"/>
      <c r="I61" s="65"/>
      <c r="J61" s="65"/>
      <c r="K61" s="66"/>
      <c r="L61" s="66"/>
      <c r="M61" s="66"/>
      <c r="N61" s="66"/>
    </row>
    <row r="62" spans="1:14" ht="15">
      <c r="A62" s="133" t="s">
        <v>58</v>
      </c>
      <c r="B62" s="104">
        <f>B57</f>
        <v>590.12</v>
      </c>
      <c r="C62" s="105">
        <f>B62</f>
        <v>590.12</v>
      </c>
      <c r="D62" s="134">
        <f>B62-C62</f>
        <v>0</v>
      </c>
      <c r="E62" s="114"/>
      <c r="F62" s="73"/>
      <c r="H62" s="65"/>
      <c r="I62" s="65"/>
      <c r="J62" s="65" t="s">
        <v>26</v>
      </c>
      <c r="K62" s="66"/>
      <c r="L62" s="66"/>
      <c r="M62" s="66"/>
      <c r="N62" s="66"/>
    </row>
    <row r="63" spans="1:14" ht="15">
      <c r="A63" s="133" t="s">
        <v>59</v>
      </c>
      <c r="B63" s="104">
        <v>0</v>
      </c>
      <c r="C63" s="105">
        <v>0</v>
      </c>
      <c r="D63" s="134">
        <f>B63-C63</f>
        <v>0</v>
      </c>
      <c r="E63" s="114"/>
      <c r="F63" s="73"/>
      <c r="H63" s="65"/>
      <c r="I63" s="65"/>
      <c r="J63" s="65"/>
      <c r="K63" s="66"/>
      <c r="L63" s="66"/>
      <c r="M63" s="66"/>
      <c r="N63" s="66"/>
    </row>
    <row r="64" spans="1:14" ht="15">
      <c r="A64" s="133" t="s">
        <v>60</v>
      </c>
      <c r="B64" s="104">
        <v>0</v>
      </c>
      <c r="C64" s="105">
        <v>0</v>
      </c>
      <c r="D64" s="134">
        <f>B64-C64</f>
        <v>0</v>
      </c>
      <c r="E64" s="114"/>
      <c r="F64" s="73"/>
      <c r="H64" s="65"/>
      <c r="I64" s="65"/>
      <c r="J64" s="65"/>
      <c r="K64" s="66"/>
      <c r="L64" s="66"/>
      <c r="M64" s="66"/>
      <c r="N64" s="66"/>
    </row>
    <row r="65" spans="1:14" ht="15.75" thickBot="1">
      <c r="A65" s="135" t="s">
        <v>236</v>
      </c>
      <c r="B65" s="136">
        <f>B60</f>
        <v>5629.84</v>
      </c>
      <c r="C65" s="137">
        <f>C60</f>
        <v>5393.3867199999995</v>
      </c>
      <c r="D65" s="138">
        <f>B65-C65</f>
        <v>236.45328000000063</v>
      </c>
      <c r="E65" s="114"/>
      <c r="F65" s="73"/>
      <c r="H65" s="65" t="s">
        <v>26</v>
      </c>
      <c r="I65" s="65"/>
      <c r="J65" s="65"/>
      <c r="K65" s="66"/>
      <c r="L65" s="66"/>
      <c r="M65" s="66"/>
      <c r="N65" s="66"/>
    </row>
    <row r="66" spans="1:14" ht="15">
      <c r="A66" s="77"/>
      <c r="B66" s="76"/>
      <c r="C66" s="78"/>
      <c r="D66" s="140"/>
      <c r="E66" s="114"/>
      <c r="F66" s="73"/>
      <c r="H66" s="65"/>
      <c r="I66" s="65"/>
      <c r="J66" s="65"/>
      <c r="K66" s="66"/>
      <c r="L66" s="66"/>
      <c r="M66" s="66"/>
      <c r="N66" s="66"/>
    </row>
    <row r="67" spans="1:14" ht="25.5">
      <c r="A67" s="80" t="s">
        <v>66</v>
      </c>
      <c r="B67" s="76" t="s">
        <v>11</v>
      </c>
      <c r="C67" s="81"/>
      <c r="D67" s="82">
        <v>0</v>
      </c>
      <c r="E67" s="114"/>
      <c r="F67" s="73"/>
      <c r="H67" s="65"/>
      <c r="I67" s="65"/>
      <c r="J67" s="65" t="s">
        <v>26</v>
      </c>
      <c r="K67" s="66"/>
      <c r="L67" s="66"/>
      <c r="M67" s="66"/>
      <c r="N67" s="66"/>
    </row>
    <row r="68" spans="1:14" ht="17.25" customHeight="1">
      <c r="A68" s="572" t="s">
        <v>67</v>
      </c>
      <c r="B68" s="572"/>
      <c r="C68" s="572"/>
      <c r="D68" s="572"/>
      <c r="E68" s="121" t="e">
        <f>D68+B19</f>
        <v>#VALUE!</v>
      </c>
      <c r="F68" s="65"/>
      <c r="H68" s="84" t="e">
        <f>E68-B18</f>
        <v>#VALUE!</v>
      </c>
      <c r="I68" s="65"/>
      <c r="J68" s="65"/>
      <c r="K68" s="66"/>
      <c r="L68" s="66"/>
      <c r="M68" s="66"/>
      <c r="N68" s="66"/>
    </row>
    <row r="69" spans="1:5" ht="21" customHeight="1">
      <c r="A69" s="85" t="s">
        <v>45</v>
      </c>
      <c r="B69" s="85" t="s">
        <v>46</v>
      </c>
      <c r="C69" s="86"/>
      <c r="D69" s="177">
        <v>0</v>
      </c>
      <c r="E69" s="123"/>
    </row>
    <row r="70" spans="1:5" ht="21" customHeight="1">
      <c r="A70" s="85" t="s">
        <v>47</v>
      </c>
      <c r="B70" s="85" t="s">
        <v>46</v>
      </c>
      <c r="C70" s="85"/>
      <c r="D70" s="177">
        <v>0</v>
      </c>
      <c r="E70" s="123"/>
    </row>
    <row r="71" spans="1:5" ht="18" customHeight="1">
      <c r="A71" s="85" t="s">
        <v>48</v>
      </c>
      <c r="B71" s="85" t="s">
        <v>46</v>
      </c>
      <c r="C71" s="85"/>
      <c r="D71" s="177">
        <v>0</v>
      </c>
      <c r="E71" s="123"/>
    </row>
    <row r="72" spans="1:5" ht="16.5" customHeight="1">
      <c r="A72" s="85" t="s">
        <v>49</v>
      </c>
      <c r="B72" s="85" t="s">
        <v>11</v>
      </c>
      <c r="C72" s="85"/>
      <c r="D72" s="177">
        <v>0</v>
      </c>
      <c r="E72" s="123"/>
    </row>
    <row r="73" spans="1:5" ht="15.75" customHeight="1">
      <c r="A73" s="566" t="s">
        <v>68</v>
      </c>
      <c r="B73" s="566"/>
      <c r="C73" s="566"/>
      <c r="D73" s="566"/>
      <c r="E73" s="123"/>
    </row>
    <row r="74" spans="1:5" ht="18.75" customHeight="1">
      <c r="A74" s="85" t="s">
        <v>69</v>
      </c>
      <c r="B74" s="85" t="s">
        <v>46</v>
      </c>
      <c r="C74" s="85"/>
      <c r="D74" s="177">
        <v>0</v>
      </c>
      <c r="E74" s="123"/>
    </row>
    <row r="75" spans="1:5" ht="21.75" customHeight="1">
      <c r="A75" s="85" t="s">
        <v>70</v>
      </c>
      <c r="B75" s="53" t="s">
        <v>46</v>
      </c>
      <c r="C75" s="53"/>
      <c r="D75" s="177">
        <v>0</v>
      </c>
      <c r="E75" s="123"/>
    </row>
    <row r="76" spans="1:5" ht="36" customHeight="1">
      <c r="A76" s="89" t="s">
        <v>71</v>
      </c>
      <c r="B76" s="85" t="s">
        <v>11</v>
      </c>
      <c r="C76" s="85"/>
      <c r="D76" s="177">
        <v>0</v>
      </c>
      <c r="E76" s="123"/>
    </row>
    <row r="77" spans="1:5" ht="15">
      <c r="A77" s="66"/>
      <c r="B77" s="66"/>
      <c r="C77" s="66"/>
      <c r="D77" s="90"/>
      <c r="E77" s="109"/>
    </row>
    <row r="78" spans="1:14" s="1" customFormat="1" ht="12.75">
      <c r="A78"/>
      <c r="B78"/>
      <c r="C78"/>
      <c r="D78"/>
      <c r="E78" s="109"/>
      <c r="H78" s="1" t="s">
        <v>26</v>
      </c>
      <c r="K78"/>
      <c r="L78"/>
      <c r="M78"/>
      <c r="N78"/>
    </row>
    <row r="79" spans="1:14" s="1" customFormat="1" ht="12.75">
      <c r="A79" t="s">
        <v>72</v>
      </c>
      <c r="B79"/>
      <c r="C79"/>
      <c r="D79"/>
      <c r="E79" s="109"/>
      <c r="K79"/>
      <c r="L79"/>
      <c r="M79"/>
      <c r="N79"/>
    </row>
    <row r="80" spans="1:14" s="1" customFormat="1" ht="12.75">
      <c r="A80"/>
      <c r="B80"/>
      <c r="C80"/>
      <c r="D80"/>
      <c r="E80" s="109"/>
      <c r="H80" s="1" t="s">
        <v>26</v>
      </c>
      <c r="K80"/>
      <c r="L80"/>
      <c r="M80"/>
      <c r="N80"/>
    </row>
    <row r="81" spans="1:14" s="1" customFormat="1" ht="12.75">
      <c r="A81" t="s">
        <v>73</v>
      </c>
      <c r="B81"/>
      <c r="C81"/>
      <c r="D81"/>
      <c r="E81" s="109"/>
      <c r="K81"/>
      <c r="L81"/>
      <c r="M81"/>
      <c r="N81"/>
    </row>
    <row r="82" ht="12.75">
      <c r="E82" s="109"/>
    </row>
    <row r="83" ht="12.75">
      <c r="E83" s="109"/>
    </row>
    <row r="84" ht="12.75">
      <c r="E84" s="109"/>
    </row>
    <row r="85" spans="1:14" s="1" customFormat="1" ht="12.75">
      <c r="A85"/>
      <c r="B85"/>
      <c r="C85"/>
      <c r="D85"/>
      <c r="E85" s="1" t="s">
        <v>26</v>
      </c>
      <c r="K85"/>
      <c r="L85"/>
      <c r="M85"/>
      <c r="N85"/>
    </row>
  </sheetData>
  <sheetProtection selectLockedCells="1" selectUnlockedCells="1"/>
  <mergeCells count="13">
    <mergeCell ref="A1:D1"/>
    <mergeCell ref="A2:D2"/>
    <mergeCell ref="A3:D3"/>
    <mergeCell ref="A4:D4"/>
    <mergeCell ref="A5:D5"/>
    <mergeCell ref="A7:D7"/>
    <mergeCell ref="A73:D73"/>
    <mergeCell ref="A14:D14"/>
    <mergeCell ref="A29:D29"/>
    <mergeCell ref="A43:D43"/>
    <mergeCell ref="A48:D48"/>
    <mergeCell ref="A55:D55"/>
    <mergeCell ref="A68:D68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zoomScale="80" zoomScaleNormal="80" zoomScalePageLayoutView="0" workbookViewId="0" topLeftCell="A31">
      <selection activeCell="D39" sqref="D39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560" t="s">
        <v>0</v>
      </c>
      <c r="B1" s="560"/>
      <c r="C1" s="560"/>
      <c r="D1" s="560"/>
    </row>
    <row r="2" spans="1:4" ht="15.75">
      <c r="A2" s="561" t="s">
        <v>220</v>
      </c>
      <c r="B2" s="562"/>
      <c r="C2" s="562"/>
      <c r="D2" s="562"/>
    </row>
    <row r="3" spans="1:4" ht="15.75">
      <c r="A3" s="562" t="s">
        <v>1</v>
      </c>
      <c r="B3" s="562"/>
      <c r="C3" s="562"/>
      <c r="D3" s="562"/>
    </row>
    <row r="4" spans="1:4" ht="12.75">
      <c r="A4" s="563" t="s">
        <v>124</v>
      </c>
      <c r="B4" s="563"/>
      <c r="C4" s="563"/>
      <c r="D4" s="563"/>
    </row>
    <row r="5" spans="1:4" ht="12.75">
      <c r="A5" s="564" t="s">
        <v>266</v>
      </c>
      <c r="B5" s="563"/>
      <c r="C5" s="563"/>
      <c r="D5" s="563"/>
    </row>
    <row r="6" ht="16.5" customHeight="1">
      <c r="A6" s="2" t="s">
        <v>184</v>
      </c>
    </row>
    <row r="7" spans="1:4" ht="18" customHeight="1">
      <c r="A7" s="565" t="s">
        <v>2</v>
      </c>
      <c r="B7" s="565"/>
      <c r="C7" s="565"/>
      <c r="D7" s="565"/>
    </row>
    <row r="8" spans="1:3" ht="12.75">
      <c r="A8" s="2"/>
      <c r="C8" s="3"/>
    </row>
    <row r="9" spans="1:4" ht="12.75">
      <c r="A9" s="4" t="s">
        <v>3</v>
      </c>
      <c r="B9" s="4" t="s">
        <v>4</v>
      </c>
      <c r="C9" s="4" t="s">
        <v>5</v>
      </c>
      <c r="D9" s="5"/>
    </row>
    <row r="10" spans="1:4" ht="12.75">
      <c r="A10" s="6">
        <v>1</v>
      </c>
      <c r="B10" s="6">
        <v>2</v>
      </c>
      <c r="C10" s="6">
        <v>3</v>
      </c>
      <c r="D10" s="7">
        <v>4</v>
      </c>
    </row>
    <row r="11" spans="1:4" ht="12.75">
      <c r="A11" s="8" t="s">
        <v>6</v>
      </c>
      <c r="B11" s="9"/>
      <c r="C11" s="144" t="s">
        <v>262</v>
      </c>
      <c r="D11" s="10"/>
    </row>
    <row r="12" spans="1:4" ht="12.75">
      <c r="A12" s="8" t="s">
        <v>7</v>
      </c>
      <c r="B12" s="9"/>
      <c r="C12" s="144" t="s">
        <v>263</v>
      </c>
      <c r="D12" s="10"/>
    </row>
    <row r="13" spans="1:4" ht="12.75">
      <c r="A13" s="8" t="s">
        <v>8</v>
      </c>
      <c r="B13" s="9"/>
      <c r="C13" s="144" t="s">
        <v>267</v>
      </c>
      <c r="D13" s="10"/>
    </row>
    <row r="14" spans="1:4" ht="31.5" customHeight="1">
      <c r="A14" s="567" t="s">
        <v>9</v>
      </c>
      <c r="B14" s="567"/>
      <c r="C14" s="567"/>
      <c r="D14" s="567"/>
    </row>
    <row r="15" spans="1:5" ht="25.5">
      <c r="A15" s="11" t="s">
        <v>10</v>
      </c>
      <c r="B15" s="12" t="s">
        <v>11</v>
      </c>
      <c r="C15" s="15">
        <v>22794.9</v>
      </c>
      <c r="D15" s="14"/>
      <c r="E15" s="109"/>
    </row>
    <row r="16" spans="1:5" ht="15">
      <c r="A16" s="8" t="s">
        <v>12</v>
      </c>
      <c r="B16" s="12" t="s">
        <v>11</v>
      </c>
      <c r="C16" s="13">
        <v>0</v>
      </c>
      <c r="D16" s="14"/>
      <c r="E16" s="109"/>
    </row>
    <row r="17" spans="1:8" ht="15">
      <c r="A17" s="8" t="s">
        <v>13</v>
      </c>
      <c r="B17" s="12" t="s">
        <v>11</v>
      </c>
      <c r="C17" s="15">
        <v>1468.8</v>
      </c>
      <c r="D17" s="16"/>
      <c r="E17" s="109"/>
      <c r="F17" s="109"/>
      <c r="G17" s="109"/>
      <c r="H17" s="109"/>
    </row>
    <row r="18" spans="1:8" ht="31.5" customHeight="1">
      <c r="A18" s="17" t="s">
        <v>14</v>
      </c>
      <c r="B18" s="12" t="s">
        <v>11</v>
      </c>
      <c r="C18" s="15">
        <v>11966.94</v>
      </c>
      <c r="D18" s="16"/>
      <c r="E18" s="110">
        <f>C18-C20</f>
        <v>7962.684000000001</v>
      </c>
      <c r="F18" s="109"/>
      <c r="G18" s="109"/>
      <c r="H18" s="109"/>
    </row>
    <row r="19" spans="1:8" ht="15">
      <c r="A19" s="8" t="s">
        <v>15</v>
      </c>
      <c r="B19" s="12" t="s">
        <v>11</v>
      </c>
      <c r="C19" s="15">
        <f>C18-C20-C21</f>
        <v>3698.9400000000005</v>
      </c>
      <c r="D19" s="16"/>
      <c r="E19" s="110">
        <f>E18-E38</f>
        <v>0.004000000000814907</v>
      </c>
      <c r="F19" s="109"/>
      <c r="G19" s="109"/>
      <c r="H19" s="109"/>
    </row>
    <row r="20" spans="1:8" ht="15">
      <c r="A20" s="8" t="s">
        <v>16</v>
      </c>
      <c r="B20" s="373" t="s">
        <v>11</v>
      </c>
      <c r="C20" s="15">
        <f>(3.85+4.02)*6*84.8</f>
        <v>4004.256</v>
      </c>
      <c r="D20" s="16"/>
      <c r="E20" s="111"/>
      <c r="F20" s="109"/>
      <c r="G20" s="109"/>
      <c r="H20" s="109"/>
    </row>
    <row r="21" spans="1:8" ht="15">
      <c r="A21" s="8" t="s">
        <v>17</v>
      </c>
      <c r="B21" s="12" t="s">
        <v>11</v>
      </c>
      <c r="C21" s="19">
        <f>84.8*4.19*12</f>
        <v>4263.744000000001</v>
      </c>
      <c r="D21" s="16"/>
      <c r="E21" s="109"/>
      <c r="F21" s="109"/>
      <c r="G21" s="109"/>
      <c r="H21" s="109"/>
    </row>
    <row r="22" spans="1:8" ht="15">
      <c r="A22" s="20" t="s">
        <v>18</v>
      </c>
      <c r="B22" s="12" t="s">
        <v>11</v>
      </c>
      <c r="C22" s="15">
        <f>C23+C24+C25+C26+C27</f>
        <v>13764.374387999998</v>
      </c>
      <c r="D22" s="16" t="s">
        <v>19</v>
      </c>
      <c r="E22" s="110" t="e">
        <f>B24+B25+B26+B27+B28</f>
        <v>#VALUE!</v>
      </c>
      <c r="F22" s="109"/>
      <c r="G22" s="109"/>
      <c r="H22" s="109"/>
    </row>
    <row r="23" spans="1:8" ht="15">
      <c r="A23" s="8" t="s">
        <v>20</v>
      </c>
      <c r="B23" s="12" t="s">
        <v>11</v>
      </c>
      <c r="C23" s="15">
        <f>C18*1.1502</f>
        <v>13764.374387999998</v>
      </c>
      <c r="D23" s="16"/>
      <c r="E23" s="109"/>
      <c r="F23" s="109"/>
      <c r="G23" s="109"/>
      <c r="H23" s="109"/>
    </row>
    <row r="24" spans="1:8" ht="15">
      <c r="A24" s="8" t="s">
        <v>21</v>
      </c>
      <c r="B24" s="12" t="s">
        <v>11</v>
      </c>
      <c r="C24" s="15">
        <v>0</v>
      </c>
      <c r="D24" s="21">
        <v>65.21</v>
      </c>
      <c r="E24" s="111" t="e">
        <f>B24/#REF!*1</f>
        <v>#VALUE!</v>
      </c>
      <c r="F24" s="109"/>
      <c r="G24" s="109"/>
      <c r="H24" s="109" t="s">
        <v>22</v>
      </c>
    </row>
    <row r="25" spans="1:8" ht="15">
      <c r="A25" s="8" t="s">
        <v>23</v>
      </c>
      <c r="B25" s="12" t="s">
        <v>11</v>
      </c>
      <c r="C25" s="15">
        <v>0</v>
      </c>
      <c r="D25" s="21">
        <v>119.63</v>
      </c>
      <c r="E25" s="111" t="e">
        <f>B25/#REF!*1</f>
        <v>#VALUE!</v>
      </c>
      <c r="F25" s="109"/>
      <c r="G25" s="109"/>
      <c r="H25" s="109"/>
    </row>
    <row r="26" spans="1:8" ht="15">
      <c r="A26" s="9" t="s">
        <v>24</v>
      </c>
      <c r="B26" s="12" t="s">
        <v>11</v>
      </c>
      <c r="C26" s="15">
        <v>0</v>
      </c>
      <c r="D26" s="21"/>
      <c r="E26" s="111" t="e">
        <f>B26/#REF!*1</f>
        <v>#VALUE!</v>
      </c>
      <c r="F26" s="109"/>
      <c r="G26" s="109"/>
      <c r="H26" s="109"/>
    </row>
    <row r="27" spans="1:8" ht="16.5" customHeight="1">
      <c r="A27" s="98" t="s">
        <v>96</v>
      </c>
      <c r="B27" s="12" t="s">
        <v>11</v>
      </c>
      <c r="C27" s="15">
        <v>0</v>
      </c>
      <c r="D27" s="21">
        <v>139.18</v>
      </c>
      <c r="E27" s="111" t="e">
        <f>B27/#REF!*1</f>
        <v>#VALUE!</v>
      </c>
      <c r="F27" s="109"/>
      <c r="G27" s="109"/>
      <c r="H27" s="109"/>
    </row>
    <row r="28" spans="1:8" ht="15">
      <c r="A28" s="8" t="s">
        <v>25</v>
      </c>
      <c r="B28" s="12" t="s">
        <v>11</v>
      </c>
      <c r="C28" s="15">
        <f>C15+C22</f>
        <v>36559.274388</v>
      </c>
      <c r="D28" s="16" t="s">
        <v>26</v>
      </c>
      <c r="E28" s="111" t="e">
        <f>B28/#REF!*1</f>
        <v>#VALUE!</v>
      </c>
      <c r="F28" s="109"/>
      <c r="G28" s="109"/>
      <c r="H28" s="109"/>
    </row>
    <row r="29" spans="1:8" ht="35.25" customHeight="1">
      <c r="A29" s="568" t="s">
        <v>27</v>
      </c>
      <c r="B29" s="568"/>
      <c r="C29" s="568"/>
      <c r="D29" s="568"/>
      <c r="E29" s="109"/>
      <c r="F29" s="109"/>
      <c r="G29" s="109"/>
      <c r="H29" s="109"/>
    </row>
    <row r="30" spans="1:8" ht="60">
      <c r="A30" s="22" t="s">
        <v>28</v>
      </c>
      <c r="B30" s="23" t="s">
        <v>29</v>
      </c>
      <c r="C30" s="24" t="s">
        <v>30</v>
      </c>
      <c r="D30" s="25" t="s">
        <v>31</v>
      </c>
      <c r="E30" s="109"/>
      <c r="F30" s="109"/>
      <c r="G30" s="109"/>
      <c r="H30" s="109"/>
    </row>
    <row r="31" spans="1:8" ht="15">
      <c r="A31" s="26" t="s">
        <v>32</v>
      </c>
      <c r="B31" s="27" t="s">
        <v>33</v>
      </c>
      <c r="C31" s="28" t="s">
        <v>34</v>
      </c>
      <c r="D31" s="92">
        <f>(0.85+0.95)*6*84.8</f>
        <v>915.8399999999999</v>
      </c>
      <c r="E31" s="109"/>
      <c r="F31" s="109"/>
      <c r="G31" s="109"/>
      <c r="H31" s="109"/>
    </row>
    <row r="32" spans="1:8" ht="15">
      <c r="A32" s="29" t="s">
        <v>36</v>
      </c>
      <c r="B32" s="30" t="s">
        <v>33</v>
      </c>
      <c r="C32" s="31" t="s">
        <v>37</v>
      </c>
      <c r="D32" s="93">
        <f>0.24*12*84.8</f>
        <v>244.224</v>
      </c>
      <c r="E32" s="109"/>
      <c r="F32" s="109"/>
      <c r="G32" s="109"/>
      <c r="H32" s="109"/>
    </row>
    <row r="33" spans="1:8" ht="15">
      <c r="A33" s="153" t="s">
        <v>174</v>
      </c>
      <c r="B33" s="30" t="s">
        <v>33</v>
      </c>
      <c r="C33" s="31" t="s">
        <v>34</v>
      </c>
      <c r="D33" s="93">
        <f>(0.35+0.16)*6*84.8</f>
        <v>259.488</v>
      </c>
      <c r="E33" s="109"/>
      <c r="F33" s="109"/>
      <c r="G33" s="109"/>
      <c r="H33" s="109"/>
    </row>
    <row r="34" spans="1:8" ht="15">
      <c r="A34" s="29" t="s">
        <v>81</v>
      </c>
      <c r="B34" s="91" t="s">
        <v>82</v>
      </c>
      <c r="C34" s="31" t="s">
        <v>34</v>
      </c>
      <c r="D34" s="93">
        <f>1.33*12*84.8</f>
        <v>1353.4080000000001</v>
      </c>
      <c r="E34" s="109"/>
      <c r="F34" s="109"/>
      <c r="G34" s="109"/>
      <c r="H34" s="109"/>
    </row>
    <row r="35" spans="1:8" ht="15">
      <c r="A35" s="29" t="s">
        <v>38</v>
      </c>
      <c r="B35" s="30" t="s">
        <v>35</v>
      </c>
      <c r="C35" s="364" t="s">
        <v>221</v>
      </c>
      <c r="D35" s="93">
        <f>4.19*84.8*12</f>
        <v>4263.744000000001</v>
      </c>
      <c r="E35" s="109"/>
      <c r="F35" s="109"/>
      <c r="G35" s="109"/>
      <c r="H35" s="109"/>
    </row>
    <row r="36" spans="1:8" ht="15">
      <c r="A36" s="29" t="s">
        <v>85</v>
      </c>
      <c r="B36" s="30" t="s">
        <v>222</v>
      </c>
      <c r="C36" s="171" t="s">
        <v>37</v>
      </c>
      <c r="D36" s="93">
        <f>84.8*12*0.91-0.04</f>
        <v>925.976</v>
      </c>
      <c r="E36" s="109"/>
      <c r="F36" s="109"/>
      <c r="G36" s="109"/>
      <c r="H36" s="109"/>
    </row>
    <row r="37" spans="1:14" s="1" customFormat="1" ht="45">
      <c r="A37" s="33" t="s">
        <v>40</v>
      </c>
      <c r="B37" s="34" t="s">
        <v>41</v>
      </c>
      <c r="C37" s="28"/>
      <c r="D37" s="155">
        <v>0</v>
      </c>
      <c r="E37" s="109"/>
      <c r="F37" s="109"/>
      <c r="G37" s="109"/>
      <c r="H37" s="109"/>
      <c r="K37"/>
      <c r="L37"/>
      <c r="M37"/>
      <c r="N37"/>
    </row>
    <row r="38" spans="1:14" s="1" customFormat="1" ht="15.75">
      <c r="A38" s="37" t="s">
        <v>42</v>
      </c>
      <c r="B38" s="38"/>
      <c r="C38" s="39"/>
      <c r="D38" s="97">
        <f>SUM(D31:D37)</f>
        <v>7962.68</v>
      </c>
      <c r="E38" s="112">
        <f>D38-D37</f>
        <v>7962.68</v>
      </c>
      <c r="F38" s="109"/>
      <c r="G38" s="109"/>
      <c r="H38" s="109"/>
      <c r="K38"/>
      <c r="L38"/>
      <c r="M38"/>
      <c r="N38"/>
    </row>
    <row r="39" spans="1:14" s="1" customFormat="1" ht="15">
      <c r="A39" s="40" t="s">
        <v>43</v>
      </c>
      <c r="B39" s="41" t="s">
        <v>11</v>
      </c>
      <c r="C39" s="42"/>
      <c r="D39" s="43">
        <f>C28-D38</f>
        <v>28596.594387999998</v>
      </c>
      <c r="E39" s="112"/>
      <c r="F39" s="109"/>
      <c r="G39" s="109"/>
      <c r="H39" s="109"/>
      <c r="K39"/>
      <c r="L39"/>
      <c r="M39"/>
      <c r="N39"/>
    </row>
    <row r="40" spans="1:14" s="1" customFormat="1" ht="15">
      <c r="A40" s="45" t="s">
        <v>12</v>
      </c>
      <c r="B40" s="46" t="s">
        <v>11</v>
      </c>
      <c r="C40" s="31"/>
      <c r="D40" s="14"/>
      <c r="E40" s="109"/>
      <c r="F40" s="109"/>
      <c r="G40" s="109"/>
      <c r="H40" s="109"/>
      <c r="K40"/>
      <c r="L40"/>
      <c r="M40"/>
      <c r="N40"/>
    </row>
    <row r="41" spans="1:14" s="1" customFormat="1" ht="15">
      <c r="A41" s="45" t="s">
        <v>13</v>
      </c>
      <c r="B41" s="46" t="s">
        <v>11</v>
      </c>
      <c r="C41" s="31"/>
      <c r="D41" s="16">
        <v>0</v>
      </c>
      <c r="E41" s="109"/>
      <c r="F41" s="109"/>
      <c r="G41" s="109"/>
      <c r="H41" s="109"/>
      <c r="K41"/>
      <c r="L41"/>
      <c r="M41"/>
      <c r="N41"/>
    </row>
    <row r="42" spans="1:14" s="1" customFormat="1" ht="24" customHeight="1">
      <c r="A42" s="569" t="s">
        <v>44</v>
      </c>
      <c r="B42" s="569"/>
      <c r="C42" s="569"/>
      <c r="D42" s="569"/>
      <c r="E42" s="109"/>
      <c r="F42" s="109"/>
      <c r="G42" s="109"/>
      <c r="H42" s="109"/>
      <c r="K42"/>
      <c r="L42"/>
      <c r="M42"/>
      <c r="N42"/>
    </row>
    <row r="43" spans="1:14" s="1" customFormat="1" ht="15">
      <c r="A43" s="45" t="s">
        <v>45</v>
      </c>
      <c r="B43" s="30" t="s">
        <v>46</v>
      </c>
      <c r="C43" s="31">
        <v>0</v>
      </c>
      <c r="D43" s="14">
        <v>0</v>
      </c>
      <c r="E43" s="109"/>
      <c r="F43" s="109"/>
      <c r="G43" s="109"/>
      <c r="H43" s="109"/>
      <c r="K43"/>
      <c r="L43"/>
      <c r="M43"/>
      <c r="N43"/>
    </row>
    <row r="44" spans="1:14" s="1" customFormat="1" ht="15">
      <c r="A44" s="45" t="s">
        <v>47</v>
      </c>
      <c r="B44" s="30" t="s">
        <v>46</v>
      </c>
      <c r="C44" s="31">
        <v>0</v>
      </c>
      <c r="D44" s="14">
        <v>0</v>
      </c>
      <c r="E44" s="109"/>
      <c r="F44" s="109"/>
      <c r="G44" s="109"/>
      <c r="H44" s="109"/>
      <c r="K44"/>
      <c r="L44"/>
      <c r="M44"/>
      <c r="N44"/>
    </row>
    <row r="45" spans="1:14" s="1" customFormat="1" ht="15">
      <c r="A45" s="47" t="s">
        <v>48</v>
      </c>
      <c r="B45" s="30" t="s">
        <v>46</v>
      </c>
      <c r="C45" s="31">
        <v>0</v>
      </c>
      <c r="D45" s="14">
        <v>0</v>
      </c>
      <c r="E45" s="109"/>
      <c r="F45" s="109"/>
      <c r="G45" s="109"/>
      <c r="H45" s="109"/>
      <c r="K45"/>
      <c r="L45"/>
      <c r="M45"/>
      <c r="N45"/>
    </row>
    <row r="46" spans="1:14" s="1" customFormat="1" ht="15">
      <c r="A46" s="45" t="s">
        <v>49</v>
      </c>
      <c r="B46" s="30" t="s">
        <v>11</v>
      </c>
      <c r="C46" s="31">
        <v>0</v>
      </c>
      <c r="D46" s="14">
        <v>0</v>
      </c>
      <c r="E46" s="109"/>
      <c r="F46" s="109"/>
      <c r="G46" s="109"/>
      <c r="H46" s="109"/>
      <c r="K46"/>
      <c r="L46"/>
      <c r="M46"/>
      <c r="N46"/>
    </row>
    <row r="47" spans="1:5" ht="20.25" customHeight="1">
      <c r="A47" s="570" t="s">
        <v>50</v>
      </c>
      <c r="B47" s="570"/>
      <c r="C47" s="570"/>
      <c r="D47" s="570"/>
      <c r="E47" s="109"/>
    </row>
    <row r="48" spans="1:5" ht="25.5">
      <c r="A48" s="47" t="s">
        <v>51</v>
      </c>
      <c r="B48" s="30" t="s">
        <v>11</v>
      </c>
      <c r="C48" s="31"/>
      <c r="D48" s="14">
        <v>0</v>
      </c>
      <c r="E48" s="109"/>
    </row>
    <row r="49" spans="1:5" ht="15">
      <c r="A49" s="45" t="s">
        <v>12</v>
      </c>
      <c r="B49" s="30" t="s">
        <v>11</v>
      </c>
      <c r="C49" s="31"/>
      <c r="D49" s="14">
        <v>0</v>
      </c>
      <c r="E49" s="109"/>
    </row>
    <row r="50" spans="1:8" ht="15">
      <c r="A50" s="45" t="s">
        <v>13</v>
      </c>
      <c r="B50" s="30" t="s">
        <v>11</v>
      </c>
      <c r="C50" s="31"/>
      <c r="D50" s="58">
        <f>D53-D56-D59</f>
        <v>1793.3681539999989</v>
      </c>
      <c r="E50" s="109"/>
      <c r="H50" s="49"/>
    </row>
    <row r="51" spans="1:5" ht="25.5">
      <c r="A51" s="50" t="s">
        <v>52</v>
      </c>
      <c r="B51" s="30" t="s">
        <v>11</v>
      </c>
      <c r="C51" s="51"/>
      <c r="D51" s="52">
        <v>0</v>
      </c>
      <c r="E51" s="109"/>
    </row>
    <row r="52" spans="1:10" ht="17.25" customHeight="1">
      <c r="A52" s="53" t="s">
        <v>12</v>
      </c>
      <c r="B52" s="30" t="s">
        <v>11</v>
      </c>
      <c r="C52" s="31"/>
      <c r="D52" s="14">
        <v>0</v>
      </c>
      <c r="E52" s="109"/>
      <c r="I52" s="49"/>
      <c r="J52" s="49"/>
    </row>
    <row r="53" spans="1:14" ht="15">
      <c r="A53" s="56" t="s">
        <v>13</v>
      </c>
      <c r="B53" s="30" t="s">
        <v>11</v>
      </c>
      <c r="C53" s="57"/>
      <c r="D53" s="58">
        <v>713.69</v>
      </c>
      <c r="E53" s="109"/>
      <c r="H53" s="1" t="s">
        <v>26</v>
      </c>
      <c r="I53" s="60"/>
      <c r="J53" s="60"/>
      <c r="K53" s="61"/>
      <c r="L53" s="61"/>
      <c r="M53" s="61"/>
      <c r="N53" s="61"/>
    </row>
    <row r="54" spans="1:14" ht="18" customHeight="1">
      <c r="A54" s="571" t="s">
        <v>53</v>
      </c>
      <c r="B54" s="571"/>
      <c r="C54" s="571"/>
      <c r="D54" s="571"/>
      <c r="E54" s="114"/>
      <c r="F54" s="63"/>
      <c r="G54" s="64"/>
      <c r="I54" s="65"/>
      <c r="J54" s="65"/>
      <c r="K54" s="66"/>
      <c r="L54" s="66"/>
      <c r="M54" s="66"/>
      <c r="N54" s="66"/>
    </row>
    <row r="55" spans="1:14" ht="47.25">
      <c r="A55" s="67" t="s">
        <v>54</v>
      </c>
      <c r="B55" s="68" t="s">
        <v>55</v>
      </c>
      <c r="C55" s="69" t="s">
        <v>56</v>
      </c>
      <c r="D55" s="70" t="s">
        <v>57</v>
      </c>
      <c r="E55" s="114"/>
      <c r="F55" s="63"/>
      <c r="G55" s="64"/>
      <c r="I55" s="65"/>
      <c r="J55" s="71"/>
      <c r="K55" s="66"/>
      <c r="L55" s="66"/>
      <c r="M55" s="66"/>
      <c r="N55" s="66"/>
    </row>
    <row r="56" spans="1:14" ht="15">
      <c r="A56" s="72" t="s">
        <v>58</v>
      </c>
      <c r="B56" s="99">
        <v>2731.98</v>
      </c>
      <c r="C56" s="100">
        <f>B56*1.1502</f>
        <v>3142.323396</v>
      </c>
      <c r="D56" s="101">
        <f>B56-C56</f>
        <v>-410.34339599999976</v>
      </c>
      <c r="E56" s="117"/>
      <c r="F56" s="63"/>
      <c r="G56" s="64"/>
      <c r="I56" s="65"/>
      <c r="J56" s="65"/>
      <c r="K56" s="66"/>
      <c r="L56" s="66"/>
      <c r="M56" s="66"/>
      <c r="N56" s="66"/>
    </row>
    <row r="57" spans="1:14" ht="15">
      <c r="A57" s="72" t="s">
        <v>59</v>
      </c>
      <c r="B57" s="99">
        <v>0</v>
      </c>
      <c r="C57" s="100">
        <f>B57*1.1502</f>
        <v>0</v>
      </c>
      <c r="D57" s="101">
        <f>B57-C57</f>
        <v>0</v>
      </c>
      <c r="E57" s="114"/>
      <c r="F57" s="63"/>
      <c r="G57" s="64"/>
      <c r="I57" s="65"/>
      <c r="J57" s="65"/>
      <c r="K57" s="66"/>
      <c r="L57" s="66"/>
      <c r="M57" s="66"/>
      <c r="N57" s="66"/>
    </row>
    <row r="58" spans="1:14" ht="15">
      <c r="A58" s="72" t="s">
        <v>60</v>
      </c>
      <c r="B58" s="102">
        <v>0</v>
      </c>
      <c r="C58" s="100">
        <f>B58*1.1502</f>
        <v>0</v>
      </c>
      <c r="D58" s="101">
        <f>B58-C58</f>
        <v>0</v>
      </c>
      <c r="E58" s="114">
        <f>(2.07+1.8)*6*2301.2-0.37*2301.2*6</f>
        <v>48325.2</v>
      </c>
      <c r="F58" s="73"/>
      <c r="G58" s="74"/>
      <c r="H58" s="62"/>
      <c r="I58" s="65"/>
      <c r="J58" s="65"/>
      <c r="K58" s="66"/>
      <c r="L58" s="66"/>
      <c r="M58" s="66"/>
      <c r="N58" s="66"/>
    </row>
    <row r="59" spans="1:14" ht="15.75" thickBot="1">
      <c r="A59" s="125" t="s">
        <v>236</v>
      </c>
      <c r="B59" s="126">
        <v>4456.29</v>
      </c>
      <c r="C59" s="100">
        <f>B59*1.1502</f>
        <v>5125.624757999999</v>
      </c>
      <c r="D59" s="128">
        <f>B59-C59</f>
        <v>-669.334757999999</v>
      </c>
      <c r="E59" s="114"/>
      <c r="F59" s="73"/>
      <c r="G59" s="74"/>
      <c r="I59" s="65"/>
      <c r="J59" s="65"/>
      <c r="K59" s="66"/>
      <c r="L59" s="66"/>
      <c r="M59" s="66"/>
      <c r="N59" s="66"/>
    </row>
    <row r="60" spans="1:14" ht="63">
      <c r="A60" s="129" t="s">
        <v>62</v>
      </c>
      <c r="B60" s="130" t="s">
        <v>63</v>
      </c>
      <c r="C60" s="131" t="s">
        <v>64</v>
      </c>
      <c r="D60" s="132" t="s">
        <v>65</v>
      </c>
      <c r="E60" s="114"/>
      <c r="F60" s="73"/>
      <c r="H60" s="65"/>
      <c r="I60" s="65"/>
      <c r="J60" s="65"/>
      <c r="K60" s="66"/>
      <c r="L60" s="66"/>
      <c r="M60" s="66"/>
      <c r="N60" s="66"/>
    </row>
    <row r="61" spans="1:14" ht="15">
      <c r="A61" s="133" t="s">
        <v>58</v>
      </c>
      <c r="B61" s="104">
        <f>B56</f>
        <v>2731.98</v>
      </c>
      <c r="C61" s="105">
        <f>C56</f>
        <v>3142.323396</v>
      </c>
      <c r="D61" s="134">
        <f>B61-C61</f>
        <v>-410.34339599999976</v>
      </c>
      <c r="E61" s="114"/>
      <c r="F61" s="73"/>
      <c r="H61" s="65"/>
      <c r="I61" s="65"/>
      <c r="J61" s="65" t="s">
        <v>26</v>
      </c>
      <c r="K61" s="66"/>
      <c r="L61" s="66"/>
      <c r="M61" s="66"/>
      <c r="N61" s="66"/>
    </row>
    <row r="62" spans="1:14" ht="15">
      <c r="A62" s="133" t="s">
        <v>59</v>
      </c>
      <c r="B62" s="104">
        <v>0</v>
      </c>
      <c r="C62" s="105">
        <v>0</v>
      </c>
      <c r="D62" s="134">
        <f>B62-C62</f>
        <v>0</v>
      </c>
      <c r="E62" s="114"/>
      <c r="F62" s="73"/>
      <c r="H62" s="65"/>
      <c r="I62" s="65"/>
      <c r="J62" s="65"/>
      <c r="K62" s="66"/>
      <c r="L62" s="66"/>
      <c r="M62" s="66"/>
      <c r="N62" s="66"/>
    </row>
    <row r="63" spans="1:14" ht="15">
      <c r="A63" s="133" t="s">
        <v>60</v>
      </c>
      <c r="B63" s="104">
        <v>0</v>
      </c>
      <c r="C63" s="105">
        <v>0</v>
      </c>
      <c r="D63" s="134">
        <f>B63-C63</f>
        <v>0</v>
      </c>
      <c r="E63" s="114"/>
      <c r="F63" s="73"/>
      <c r="H63" s="65"/>
      <c r="I63" s="65"/>
      <c r="J63" s="65"/>
      <c r="K63" s="66"/>
      <c r="L63" s="66"/>
      <c r="M63" s="66"/>
      <c r="N63" s="66"/>
    </row>
    <row r="64" spans="1:14" ht="15.75" thickBot="1">
      <c r="A64" s="135" t="s">
        <v>236</v>
      </c>
      <c r="B64" s="136">
        <f>B59</f>
        <v>4456.29</v>
      </c>
      <c r="C64" s="137">
        <f>C59</f>
        <v>5125.624757999999</v>
      </c>
      <c r="D64" s="138">
        <f>B64-C64</f>
        <v>-669.334757999999</v>
      </c>
      <c r="E64" s="114"/>
      <c r="F64" s="73"/>
      <c r="H64" s="65" t="s">
        <v>26</v>
      </c>
      <c r="I64" s="65"/>
      <c r="J64" s="65"/>
      <c r="K64" s="66"/>
      <c r="L64" s="66"/>
      <c r="M64" s="66"/>
      <c r="N64" s="66"/>
    </row>
    <row r="65" spans="1:14" ht="15">
      <c r="A65" s="77"/>
      <c r="B65" s="76"/>
      <c r="C65" s="78"/>
      <c r="D65" s="79"/>
      <c r="E65" s="114"/>
      <c r="F65" s="73"/>
      <c r="H65" s="65"/>
      <c r="I65" s="65"/>
      <c r="J65" s="65"/>
      <c r="K65" s="66"/>
      <c r="L65" s="66"/>
      <c r="M65" s="66"/>
      <c r="N65" s="66"/>
    </row>
    <row r="66" spans="1:14" ht="25.5">
      <c r="A66" s="80" t="s">
        <v>66</v>
      </c>
      <c r="B66" s="76" t="s">
        <v>11</v>
      </c>
      <c r="C66" s="81"/>
      <c r="D66" s="82">
        <v>0</v>
      </c>
      <c r="E66" s="114"/>
      <c r="F66" s="73"/>
      <c r="H66" s="65"/>
      <c r="I66" s="65"/>
      <c r="J66" s="65" t="s">
        <v>26</v>
      </c>
      <c r="K66" s="66"/>
      <c r="L66" s="66"/>
      <c r="M66" s="66"/>
      <c r="N66" s="66"/>
    </row>
    <row r="67" spans="1:14" ht="17.25" customHeight="1">
      <c r="A67" s="572" t="s">
        <v>67</v>
      </c>
      <c r="B67" s="572"/>
      <c r="C67" s="572"/>
      <c r="D67" s="572"/>
      <c r="E67" s="121" t="e">
        <f>D67+B19</f>
        <v>#VALUE!</v>
      </c>
      <c r="F67" s="65"/>
      <c r="H67" s="84" t="e">
        <f>E67-B18</f>
        <v>#VALUE!</v>
      </c>
      <c r="I67" s="65"/>
      <c r="J67" s="65"/>
      <c r="K67" s="66"/>
      <c r="L67" s="66"/>
      <c r="M67" s="66"/>
      <c r="N67" s="66"/>
    </row>
    <row r="68" spans="1:5" ht="21" customHeight="1">
      <c r="A68" s="85" t="s">
        <v>45</v>
      </c>
      <c r="B68" s="85" t="s">
        <v>46</v>
      </c>
      <c r="C68" s="86"/>
      <c r="D68" s="177">
        <v>0</v>
      </c>
      <c r="E68" s="123"/>
    </row>
    <row r="69" spans="1:5" ht="21" customHeight="1">
      <c r="A69" s="85" t="s">
        <v>47</v>
      </c>
      <c r="B69" s="85" t="s">
        <v>46</v>
      </c>
      <c r="C69" s="85"/>
      <c r="D69" s="177">
        <v>0</v>
      </c>
      <c r="E69" s="123"/>
    </row>
    <row r="70" spans="1:5" ht="18" customHeight="1">
      <c r="A70" s="85" t="s">
        <v>48</v>
      </c>
      <c r="B70" s="85" t="s">
        <v>46</v>
      </c>
      <c r="C70" s="85"/>
      <c r="D70" s="177">
        <v>0</v>
      </c>
      <c r="E70" s="123"/>
    </row>
    <row r="71" spans="1:5" ht="16.5" customHeight="1">
      <c r="A71" s="85" t="s">
        <v>49</v>
      </c>
      <c r="B71" s="85" t="s">
        <v>11</v>
      </c>
      <c r="C71" s="85"/>
      <c r="D71" s="177">
        <v>0</v>
      </c>
      <c r="E71" s="123"/>
    </row>
    <row r="72" spans="1:5" ht="15.75" customHeight="1">
      <c r="A72" s="566" t="s">
        <v>68</v>
      </c>
      <c r="B72" s="566"/>
      <c r="C72" s="566"/>
      <c r="D72" s="566"/>
      <c r="E72" s="123"/>
    </row>
    <row r="73" spans="1:5" ht="18.75" customHeight="1">
      <c r="A73" s="85" t="s">
        <v>69</v>
      </c>
      <c r="B73" s="85" t="s">
        <v>46</v>
      </c>
      <c r="C73" s="85"/>
      <c r="D73" s="177">
        <v>0</v>
      </c>
      <c r="E73" s="123"/>
    </row>
    <row r="74" spans="1:5" ht="21.75" customHeight="1">
      <c r="A74" s="85" t="s">
        <v>70</v>
      </c>
      <c r="B74" s="53" t="s">
        <v>46</v>
      </c>
      <c r="C74" s="53"/>
      <c r="D74" s="177">
        <v>0</v>
      </c>
      <c r="E74" s="123"/>
    </row>
    <row r="75" spans="1:5" ht="36" customHeight="1">
      <c r="A75" s="89" t="s">
        <v>71</v>
      </c>
      <c r="B75" s="85" t="s">
        <v>11</v>
      </c>
      <c r="C75" s="85"/>
      <c r="D75" s="177">
        <v>0</v>
      </c>
      <c r="E75" s="123"/>
    </row>
    <row r="76" spans="1:5" ht="15">
      <c r="A76" s="66"/>
      <c r="B76" s="66"/>
      <c r="C76" s="66"/>
      <c r="D76" s="90"/>
      <c r="E76" s="109"/>
    </row>
    <row r="77" spans="1:14" s="1" customFormat="1" ht="12.75">
      <c r="A77"/>
      <c r="B77"/>
      <c r="C77"/>
      <c r="D77"/>
      <c r="E77" s="109"/>
      <c r="H77" s="1" t="s">
        <v>26</v>
      </c>
      <c r="K77"/>
      <c r="L77"/>
      <c r="M77"/>
      <c r="N77"/>
    </row>
    <row r="78" spans="1:14" s="1" customFormat="1" ht="12.75">
      <c r="A78" t="s">
        <v>72</v>
      </c>
      <c r="B78"/>
      <c r="C78"/>
      <c r="D78"/>
      <c r="E78" s="109"/>
      <c r="K78"/>
      <c r="L78"/>
      <c r="M78"/>
      <c r="N78"/>
    </row>
    <row r="79" spans="1:14" s="1" customFormat="1" ht="12.75">
      <c r="A79"/>
      <c r="B79"/>
      <c r="C79"/>
      <c r="D79"/>
      <c r="E79" s="109"/>
      <c r="H79" s="1" t="s">
        <v>26</v>
      </c>
      <c r="K79"/>
      <c r="L79"/>
      <c r="M79"/>
      <c r="N79"/>
    </row>
    <row r="80" spans="1:14" s="1" customFormat="1" ht="12.75">
      <c r="A80" t="s">
        <v>73</v>
      </c>
      <c r="B80"/>
      <c r="C80"/>
      <c r="D80"/>
      <c r="E80" s="109"/>
      <c r="K80"/>
      <c r="L80"/>
      <c r="M80"/>
      <c r="N80"/>
    </row>
    <row r="81" ht="12.75">
      <c r="E81" s="109"/>
    </row>
    <row r="82" ht="12.75">
      <c r="E82" s="109"/>
    </row>
    <row r="83" ht="12.75">
      <c r="E83" s="109"/>
    </row>
    <row r="84" spans="1:14" s="1" customFormat="1" ht="12.75">
      <c r="A84"/>
      <c r="B84"/>
      <c r="C84"/>
      <c r="D84"/>
      <c r="E84" s="109" t="s">
        <v>26</v>
      </c>
      <c r="K84"/>
      <c r="L84"/>
      <c r="M84"/>
      <c r="N84"/>
    </row>
    <row r="85" ht="12.75">
      <c r="E85" s="109"/>
    </row>
    <row r="86" ht="12.75">
      <c r="E86" s="109"/>
    </row>
  </sheetData>
  <sheetProtection selectLockedCells="1" selectUnlockedCells="1"/>
  <mergeCells count="13">
    <mergeCell ref="A72:D72"/>
    <mergeCell ref="A14:D14"/>
    <mergeCell ref="A29:D29"/>
    <mergeCell ref="A42:D42"/>
    <mergeCell ref="A47:D47"/>
    <mergeCell ref="A54:D54"/>
    <mergeCell ref="A67:D67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zoomScale="80" zoomScaleNormal="80" zoomScalePageLayoutView="0" workbookViewId="0" topLeftCell="A22">
      <selection activeCell="D39" sqref="D39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560" t="s">
        <v>0</v>
      </c>
      <c r="B1" s="560"/>
      <c r="C1" s="560"/>
      <c r="D1" s="560"/>
    </row>
    <row r="2" spans="1:4" ht="15.75">
      <c r="A2" s="561" t="s">
        <v>220</v>
      </c>
      <c r="B2" s="562"/>
      <c r="C2" s="562"/>
      <c r="D2" s="562"/>
    </row>
    <row r="3" spans="1:4" ht="15.75">
      <c r="A3" s="562" t="s">
        <v>1</v>
      </c>
      <c r="B3" s="562"/>
      <c r="C3" s="562"/>
      <c r="D3" s="562"/>
    </row>
    <row r="4" spans="1:4" ht="12.75">
      <c r="A4" s="563" t="s">
        <v>125</v>
      </c>
      <c r="B4" s="563"/>
      <c r="C4" s="563"/>
      <c r="D4" s="563"/>
    </row>
    <row r="5" spans="1:4" ht="12.75">
      <c r="A5" s="564" t="s">
        <v>266</v>
      </c>
      <c r="B5" s="563"/>
      <c r="C5" s="563"/>
      <c r="D5" s="563"/>
    </row>
    <row r="6" ht="23.25" customHeight="1">
      <c r="A6" s="2"/>
    </row>
    <row r="7" spans="1:4" ht="18" customHeight="1">
      <c r="A7" s="565" t="s">
        <v>2</v>
      </c>
      <c r="B7" s="565"/>
      <c r="C7" s="565"/>
      <c r="D7" s="565"/>
    </row>
    <row r="8" spans="1:3" ht="12.75">
      <c r="A8" s="145" t="s">
        <v>223</v>
      </c>
      <c r="C8" s="3"/>
    </row>
    <row r="9" spans="1:4" ht="12.75">
      <c r="A9" s="4" t="s">
        <v>3</v>
      </c>
      <c r="B9" s="4" t="s">
        <v>4</v>
      </c>
      <c r="C9" s="4" t="s">
        <v>5</v>
      </c>
      <c r="D9" s="5"/>
    </row>
    <row r="10" spans="1:4" ht="12.75">
      <c r="A10" s="6">
        <v>1</v>
      </c>
      <c r="B10" s="6">
        <v>2</v>
      </c>
      <c r="C10" s="6">
        <v>3</v>
      </c>
      <c r="D10" s="7">
        <v>4</v>
      </c>
    </row>
    <row r="11" spans="1:5" ht="12.75">
      <c r="A11" s="8" t="s">
        <v>6</v>
      </c>
      <c r="B11" s="9"/>
      <c r="C11" s="144" t="s">
        <v>262</v>
      </c>
      <c r="D11" s="10"/>
      <c r="E11" s="109"/>
    </row>
    <row r="12" spans="1:5" ht="12.75">
      <c r="A12" s="8" t="s">
        <v>7</v>
      </c>
      <c r="B12" s="9"/>
      <c r="C12" s="144" t="s">
        <v>263</v>
      </c>
      <c r="D12" s="10"/>
      <c r="E12" s="109"/>
    </row>
    <row r="13" spans="1:5" ht="12.75">
      <c r="A13" s="8" t="s">
        <v>8</v>
      </c>
      <c r="B13" s="9"/>
      <c r="C13" s="144" t="s">
        <v>267</v>
      </c>
      <c r="D13" s="10"/>
      <c r="E13" s="109"/>
    </row>
    <row r="14" spans="1:5" ht="31.5" customHeight="1">
      <c r="A14" s="567" t="s">
        <v>9</v>
      </c>
      <c r="B14" s="567"/>
      <c r="C14" s="567"/>
      <c r="D14" s="567"/>
      <c r="E14" s="109"/>
    </row>
    <row r="15" spans="1:5" ht="25.5">
      <c r="A15" s="11" t="s">
        <v>10</v>
      </c>
      <c r="B15" s="12" t="s">
        <v>11</v>
      </c>
      <c r="C15" s="13">
        <v>14097.94</v>
      </c>
      <c r="D15" s="14"/>
      <c r="E15" s="109"/>
    </row>
    <row r="16" spans="1:5" ht="15">
      <c r="A16" s="8" t="s">
        <v>12</v>
      </c>
      <c r="B16" s="12" t="s">
        <v>11</v>
      </c>
      <c r="C16" s="13">
        <v>0</v>
      </c>
      <c r="D16" s="14"/>
      <c r="E16" s="109"/>
    </row>
    <row r="17" spans="1:5" ht="15">
      <c r="A17" s="8" t="s">
        <v>13</v>
      </c>
      <c r="B17" s="12" t="s">
        <v>11</v>
      </c>
      <c r="C17" s="15">
        <v>1712.3</v>
      </c>
      <c r="D17" s="16"/>
      <c r="E17" s="109"/>
    </row>
    <row r="18" spans="1:5" ht="31.5" customHeight="1">
      <c r="A18" s="17" t="s">
        <v>14</v>
      </c>
      <c r="B18" s="12" t="s">
        <v>11</v>
      </c>
      <c r="C18" s="15">
        <f>17454.9+3414.96</f>
        <v>20869.86</v>
      </c>
      <c r="D18" s="16"/>
      <c r="E18" s="110">
        <f>C18-C20</f>
        <v>13013.364000000001</v>
      </c>
    </row>
    <row r="19" spans="1:5" ht="15">
      <c r="A19" s="8" t="s">
        <v>15</v>
      </c>
      <c r="B19" s="12" t="s">
        <v>11</v>
      </c>
      <c r="C19" s="15">
        <f>C18-C20-C21</f>
        <v>5964.108000000002</v>
      </c>
      <c r="D19" s="16"/>
      <c r="E19" s="110">
        <f>E18-E38</f>
        <v>0</v>
      </c>
    </row>
    <row r="20" spans="1:5" ht="15">
      <c r="A20" s="8" t="s">
        <v>16</v>
      </c>
      <c r="B20" s="12" t="s">
        <v>11</v>
      </c>
      <c r="C20" s="15">
        <f>(2.58+2.7)*6*140.2+3414.96</f>
        <v>7856.495999999999</v>
      </c>
      <c r="D20" s="16"/>
      <c r="E20" s="111"/>
    </row>
    <row r="21" spans="1:5" ht="15">
      <c r="A21" s="8" t="s">
        <v>17</v>
      </c>
      <c r="B21" s="12" t="s">
        <v>11</v>
      </c>
      <c r="C21" s="19">
        <f>140.2*4.19*12</f>
        <v>7049.255999999999</v>
      </c>
      <c r="D21" s="16"/>
      <c r="E21" s="109"/>
    </row>
    <row r="22" spans="1:5" ht="15">
      <c r="A22" s="20" t="s">
        <v>18</v>
      </c>
      <c r="B22" s="12" t="s">
        <v>11</v>
      </c>
      <c r="C22" s="15">
        <f>C23+C24+C25+C26+C27</f>
        <v>20869.86</v>
      </c>
      <c r="D22" s="16" t="s">
        <v>19</v>
      </c>
      <c r="E22" s="110" t="e">
        <f>B24+B25+B26+B27+B28</f>
        <v>#VALUE!</v>
      </c>
    </row>
    <row r="23" spans="1:5" ht="15">
      <c r="A23" s="8" t="s">
        <v>20</v>
      </c>
      <c r="B23" s="12" t="s">
        <v>11</v>
      </c>
      <c r="C23" s="15">
        <f>C18*1</f>
        <v>20869.86</v>
      </c>
      <c r="D23" s="16"/>
      <c r="E23" s="109"/>
    </row>
    <row r="24" spans="1:8" ht="15">
      <c r="A24" s="8" t="s">
        <v>21</v>
      </c>
      <c r="B24" s="12" t="s">
        <v>11</v>
      </c>
      <c r="C24" s="15">
        <v>0</v>
      </c>
      <c r="D24" s="21">
        <v>65.21</v>
      </c>
      <c r="E24" s="111" t="e">
        <f>B24/#REF!*1</f>
        <v>#VALUE!</v>
      </c>
      <c r="H24" s="1" t="s">
        <v>22</v>
      </c>
    </row>
    <row r="25" spans="1:5" ht="15">
      <c r="A25" s="8" t="s">
        <v>23</v>
      </c>
      <c r="B25" s="12" t="s">
        <v>11</v>
      </c>
      <c r="C25" s="15">
        <v>0</v>
      </c>
      <c r="D25" s="21">
        <v>119.63</v>
      </c>
      <c r="E25" s="111" t="e">
        <f>B25/#REF!*1</f>
        <v>#VALUE!</v>
      </c>
    </row>
    <row r="26" spans="1:5" ht="15">
      <c r="A26" s="9" t="s">
        <v>24</v>
      </c>
      <c r="B26" s="12" t="s">
        <v>11</v>
      </c>
      <c r="C26" s="15">
        <v>0</v>
      </c>
      <c r="D26" s="21"/>
      <c r="E26" s="111" t="e">
        <f>B26/#REF!*1</f>
        <v>#VALUE!</v>
      </c>
    </row>
    <row r="27" spans="1:5" ht="16.5" customHeight="1">
      <c r="A27" s="98" t="s">
        <v>96</v>
      </c>
      <c r="B27" s="12" t="s">
        <v>11</v>
      </c>
      <c r="C27" s="15">
        <v>0</v>
      </c>
      <c r="D27" s="21">
        <v>139.18</v>
      </c>
      <c r="E27" s="111" t="e">
        <f>B27/#REF!*1</f>
        <v>#VALUE!</v>
      </c>
    </row>
    <row r="28" spans="1:5" ht="15">
      <c r="A28" s="8" t="s">
        <v>25</v>
      </c>
      <c r="B28" s="12" t="s">
        <v>11</v>
      </c>
      <c r="C28" s="15">
        <f>C15+C22</f>
        <v>34967.8</v>
      </c>
      <c r="D28" s="16" t="s">
        <v>26</v>
      </c>
      <c r="E28" s="111" t="e">
        <f>B28/#REF!*1</f>
        <v>#VALUE!</v>
      </c>
    </row>
    <row r="29" spans="1:5" ht="35.25" customHeight="1">
      <c r="A29" s="568" t="s">
        <v>27</v>
      </c>
      <c r="B29" s="568"/>
      <c r="C29" s="568"/>
      <c r="D29" s="568"/>
      <c r="E29" s="109"/>
    </row>
    <row r="30" spans="1:5" ht="60">
      <c r="A30" s="22" t="s">
        <v>28</v>
      </c>
      <c r="B30" s="23" t="s">
        <v>29</v>
      </c>
      <c r="C30" s="24" t="s">
        <v>30</v>
      </c>
      <c r="D30" s="25" t="s">
        <v>31</v>
      </c>
      <c r="E30" s="109"/>
    </row>
    <row r="31" spans="1:5" ht="15">
      <c r="A31" s="26" t="s">
        <v>32</v>
      </c>
      <c r="B31" s="27" t="s">
        <v>33</v>
      </c>
      <c r="C31" s="28" t="s">
        <v>34</v>
      </c>
      <c r="D31" s="92">
        <f>(0.85+0.95)*6*140.2</f>
        <v>1514.1599999999996</v>
      </c>
      <c r="E31" s="109"/>
    </row>
    <row r="32" spans="1:5" ht="15">
      <c r="A32" s="29" t="s">
        <v>36</v>
      </c>
      <c r="B32" s="30" t="s">
        <v>33</v>
      </c>
      <c r="C32" s="31" t="s">
        <v>37</v>
      </c>
      <c r="D32" s="93">
        <f>0.24*12*140.2</f>
        <v>403.77599999999995</v>
      </c>
      <c r="E32" s="109"/>
    </row>
    <row r="33" spans="1:5" ht="15">
      <c r="A33" s="153" t="s">
        <v>177</v>
      </c>
      <c r="B33" s="30" t="s">
        <v>33</v>
      </c>
      <c r="C33" s="31" t="s">
        <v>34</v>
      </c>
      <c r="D33" s="93">
        <f>(0.35+0.16)*140.2*6</f>
        <v>429.01199999999994</v>
      </c>
      <c r="E33" s="109"/>
    </row>
    <row r="34" spans="1:5" ht="15">
      <c r="A34" s="29" t="s">
        <v>81</v>
      </c>
      <c r="B34" s="91" t="s">
        <v>82</v>
      </c>
      <c r="C34" s="31" t="s">
        <v>34</v>
      </c>
      <c r="D34" s="93">
        <f>1.33*12*140.2</f>
        <v>2237.592</v>
      </c>
      <c r="E34" s="109"/>
    </row>
    <row r="35" spans="1:5" ht="15">
      <c r="A35" s="29" t="s">
        <v>38</v>
      </c>
      <c r="B35" s="30" t="s">
        <v>35</v>
      </c>
      <c r="C35" s="364" t="s">
        <v>221</v>
      </c>
      <c r="D35" s="93">
        <f>4.19*140.2*12</f>
        <v>7049.255999999999</v>
      </c>
      <c r="E35" s="109"/>
    </row>
    <row r="36" spans="1:5" ht="15">
      <c r="A36" s="29" t="s">
        <v>85</v>
      </c>
      <c r="B36" s="30" t="s">
        <v>222</v>
      </c>
      <c r="C36" s="171" t="s">
        <v>37</v>
      </c>
      <c r="D36" s="93">
        <f>140.2*0.82*12</f>
        <v>1379.5679999999998</v>
      </c>
      <c r="E36" s="109"/>
    </row>
    <row r="37" spans="1:14" s="1" customFormat="1" ht="45">
      <c r="A37" s="33" t="s">
        <v>40</v>
      </c>
      <c r="B37" s="34" t="s">
        <v>41</v>
      </c>
      <c r="C37" s="28"/>
      <c r="D37" s="36">
        <v>0</v>
      </c>
      <c r="E37" s="109"/>
      <c r="F37" s="109"/>
      <c r="G37" s="109"/>
      <c r="H37" s="109"/>
      <c r="K37"/>
      <c r="L37"/>
      <c r="M37"/>
      <c r="N37"/>
    </row>
    <row r="38" spans="1:14" s="1" customFormat="1" ht="15.75">
      <c r="A38" s="37" t="s">
        <v>42</v>
      </c>
      <c r="B38" s="38"/>
      <c r="C38" s="39"/>
      <c r="D38" s="97">
        <f>D31+D32+D33+D34+D35+D36+D37</f>
        <v>13013.363999999998</v>
      </c>
      <c r="E38" s="112">
        <f>D38-D37</f>
        <v>13013.363999999998</v>
      </c>
      <c r="F38" s="109"/>
      <c r="G38" s="109"/>
      <c r="H38" s="109"/>
      <c r="K38"/>
      <c r="L38"/>
      <c r="M38"/>
      <c r="N38"/>
    </row>
    <row r="39" spans="1:14" s="1" customFormat="1" ht="15">
      <c r="A39" s="40" t="s">
        <v>43</v>
      </c>
      <c r="B39" s="41" t="s">
        <v>11</v>
      </c>
      <c r="C39" s="42"/>
      <c r="D39" s="43">
        <f>C28-D38</f>
        <v>21954.436000000005</v>
      </c>
      <c r="E39" s="112"/>
      <c r="F39" s="109"/>
      <c r="G39" s="109"/>
      <c r="H39" s="109"/>
      <c r="K39"/>
      <c r="L39"/>
      <c r="M39"/>
      <c r="N39"/>
    </row>
    <row r="40" spans="1:14" s="1" customFormat="1" ht="15">
      <c r="A40" s="45" t="s">
        <v>12</v>
      </c>
      <c r="B40" s="46" t="s">
        <v>11</v>
      </c>
      <c r="C40" s="31"/>
      <c r="D40" s="14"/>
      <c r="E40" s="109"/>
      <c r="F40" s="109"/>
      <c r="G40" s="109"/>
      <c r="H40" s="109"/>
      <c r="K40"/>
      <c r="L40"/>
      <c r="M40"/>
      <c r="N40"/>
    </row>
    <row r="41" spans="1:14" s="1" customFormat="1" ht="15">
      <c r="A41" s="45" t="s">
        <v>13</v>
      </c>
      <c r="B41" s="46" t="s">
        <v>11</v>
      </c>
      <c r="C41" s="31"/>
      <c r="D41" s="16">
        <f>C17+C18-C23</f>
        <v>1712.2999999999993</v>
      </c>
      <c r="E41" s="109"/>
      <c r="F41" s="109"/>
      <c r="G41" s="109"/>
      <c r="H41" s="109"/>
      <c r="K41"/>
      <c r="L41"/>
      <c r="M41"/>
      <c r="N41"/>
    </row>
    <row r="42" spans="1:14" s="1" customFormat="1" ht="24" customHeight="1">
      <c r="A42" s="569" t="s">
        <v>44</v>
      </c>
      <c r="B42" s="569"/>
      <c r="C42" s="569"/>
      <c r="D42" s="569"/>
      <c r="E42" s="109"/>
      <c r="F42" s="109"/>
      <c r="G42" s="109"/>
      <c r="H42" s="109"/>
      <c r="K42"/>
      <c r="L42"/>
      <c r="M42"/>
      <c r="N42"/>
    </row>
    <row r="43" spans="1:14" s="1" customFormat="1" ht="15">
      <c r="A43" s="45" t="s">
        <v>45</v>
      </c>
      <c r="B43" s="30" t="s">
        <v>46</v>
      </c>
      <c r="C43" s="31">
        <v>0</v>
      </c>
      <c r="D43" s="14">
        <v>0</v>
      </c>
      <c r="E43" s="109"/>
      <c r="F43" s="109"/>
      <c r="G43" s="109"/>
      <c r="H43" s="109"/>
      <c r="K43"/>
      <c r="L43"/>
      <c r="M43"/>
      <c r="N43"/>
    </row>
    <row r="44" spans="1:14" s="1" customFormat="1" ht="15">
      <c r="A44" s="45" t="s">
        <v>47</v>
      </c>
      <c r="B44" s="30" t="s">
        <v>46</v>
      </c>
      <c r="C44" s="31">
        <v>0</v>
      </c>
      <c r="D44" s="14">
        <v>0</v>
      </c>
      <c r="E44" s="109"/>
      <c r="F44" s="109"/>
      <c r="G44" s="109"/>
      <c r="H44" s="109"/>
      <c r="K44"/>
      <c r="L44"/>
      <c r="M44"/>
      <c r="N44"/>
    </row>
    <row r="45" spans="1:14" s="1" customFormat="1" ht="15">
      <c r="A45" s="47" t="s">
        <v>48</v>
      </c>
      <c r="B45" s="30" t="s">
        <v>46</v>
      </c>
      <c r="C45" s="31">
        <v>0</v>
      </c>
      <c r="D45" s="14">
        <v>0</v>
      </c>
      <c r="E45" s="109"/>
      <c r="F45" s="109"/>
      <c r="G45" s="109"/>
      <c r="H45" s="109"/>
      <c r="K45"/>
      <c r="L45"/>
      <c r="M45"/>
      <c r="N45"/>
    </row>
    <row r="46" spans="1:14" s="1" customFormat="1" ht="15">
      <c r="A46" s="45" t="s">
        <v>49</v>
      </c>
      <c r="B46" s="30" t="s">
        <v>11</v>
      </c>
      <c r="C46" s="31">
        <v>0</v>
      </c>
      <c r="D46" s="14">
        <v>0</v>
      </c>
      <c r="E46" s="109"/>
      <c r="F46" s="109"/>
      <c r="G46" s="109"/>
      <c r="H46" s="109"/>
      <c r="K46"/>
      <c r="L46"/>
      <c r="M46"/>
      <c r="N46"/>
    </row>
    <row r="47" spans="1:8" ht="20.25" customHeight="1">
      <c r="A47" s="570" t="s">
        <v>50</v>
      </c>
      <c r="B47" s="570"/>
      <c r="C47" s="570"/>
      <c r="D47" s="570"/>
      <c r="E47" s="109"/>
      <c r="F47" s="109"/>
      <c r="G47" s="109"/>
      <c r="H47" s="109"/>
    </row>
    <row r="48" spans="1:8" ht="25.5">
      <c r="A48" s="47" t="s">
        <v>51</v>
      </c>
      <c r="B48" s="30" t="s">
        <v>11</v>
      </c>
      <c r="C48" s="31"/>
      <c r="D48" s="14">
        <v>0</v>
      </c>
      <c r="E48" s="109"/>
      <c r="F48" s="109"/>
      <c r="G48" s="109"/>
      <c r="H48" s="109"/>
    </row>
    <row r="49" spans="1:8" ht="15">
      <c r="A49" s="45" t="s">
        <v>12</v>
      </c>
      <c r="B49" s="30" t="s">
        <v>11</v>
      </c>
      <c r="C49" s="31"/>
      <c r="D49" s="14">
        <v>0</v>
      </c>
      <c r="E49" s="109"/>
      <c r="F49" s="109"/>
      <c r="G49" s="109"/>
      <c r="H49" s="109"/>
    </row>
    <row r="50" spans="1:8" ht="15">
      <c r="A50" s="45" t="s">
        <v>13</v>
      </c>
      <c r="B50" s="30" t="s">
        <v>11</v>
      </c>
      <c r="C50" s="31"/>
      <c r="D50" s="48">
        <f>D53-D56-D59</f>
        <v>808.74</v>
      </c>
      <c r="E50" s="109"/>
      <c r="F50" s="109"/>
      <c r="G50" s="109"/>
      <c r="H50" s="113"/>
    </row>
    <row r="51" spans="1:8" ht="25.5">
      <c r="A51" s="50" t="s">
        <v>52</v>
      </c>
      <c r="B51" s="30" t="s">
        <v>11</v>
      </c>
      <c r="C51" s="51"/>
      <c r="D51" s="52">
        <v>0</v>
      </c>
      <c r="E51" s="109"/>
      <c r="F51" s="109"/>
      <c r="G51" s="109"/>
      <c r="H51" s="109"/>
    </row>
    <row r="52" spans="1:10" ht="17.25" customHeight="1">
      <c r="A52" s="53" t="s">
        <v>12</v>
      </c>
      <c r="B52" s="30" t="s">
        <v>11</v>
      </c>
      <c r="C52" s="31"/>
      <c r="D52" s="14">
        <v>0</v>
      </c>
      <c r="E52" s="109"/>
      <c r="F52" s="109"/>
      <c r="G52" s="109"/>
      <c r="H52" s="109"/>
      <c r="I52" s="49"/>
      <c r="J52" s="49"/>
    </row>
    <row r="53" spans="1:14" ht="15">
      <c r="A53" s="56" t="s">
        <v>13</v>
      </c>
      <c r="B53" s="30" t="s">
        <v>11</v>
      </c>
      <c r="C53" s="57"/>
      <c r="D53" s="58">
        <v>808.74</v>
      </c>
      <c r="E53" s="109"/>
      <c r="F53" s="109"/>
      <c r="G53" s="109"/>
      <c r="H53" s="109" t="s">
        <v>26</v>
      </c>
      <c r="I53" s="60"/>
      <c r="J53" s="60"/>
      <c r="K53" s="61"/>
      <c r="L53" s="61"/>
      <c r="M53" s="61"/>
      <c r="N53" s="61"/>
    </row>
    <row r="54" spans="1:14" ht="18" customHeight="1">
      <c r="A54" s="571" t="s">
        <v>53</v>
      </c>
      <c r="B54" s="571"/>
      <c r="C54" s="571"/>
      <c r="D54" s="571"/>
      <c r="E54" s="114"/>
      <c r="F54" s="115"/>
      <c r="G54" s="116"/>
      <c r="H54" s="109"/>
      <c r="I54" s="65"/>
      <c r="J54" s="65"/>
      <c r="K54" s="66"/>
      <c r="L54" s="66"/>
      <c r="M54" s="66"/>
      <c r="N54" s="66"/>
    </row>
    <row r="55" spans="1:14" ht="47.25">
      <c r="A55" s="67" t="s">
        <v>54</v>
      </c>
      <c r="B55" s="68" t="s">
        <v>55</v>
      </c>
      <c r="C55" s="69" t="s">
        <v>56</v>
      </c>
      <c r="D55" s="70" t="s">
        <v>57</v>
      </c>
      <c r="E55" s="114"/>
      <c r="F55" s="115"/>
      <c r="G55" s="116"/>
      <c r="H55" s="109"/>
      <c r="I55" s="65"/>
      <c r="J55" s="71"/>
      <c r="K55" s="66"/>
      <c r="L55" s="66"/>
      <c r="M55" s="66"/>
      <c r="N55" s="66"/>
    </row>
    <row r="56" spans="1:14" ht="15">
      <c r="A56" s="72" t="s">
        <v>58</v>
      </c>
      <c r="B56" s="99">
        <v>2267.22</v>
      </c>
      <c r="C56" s="100">
        <f>B56*1</f>
        <v>2267.22</v>
      </c>
      <c r="D56" s="101">
        <f>B56-C56</f>
        <v>0</v>
      </c>
      <c r="E56" s="117"/>
      <c r="F56" s="115"/>
      <c r="G56" s="116"/>
      <c r="H56" s="109"/>
      <c r="I56" s="65"/>
      <c r="J56" s="65"/>
      <c r="K56" s="66"/>
      <c r="L56" s="66"/>
      <c r="M56" s="66"/>
      <c r="N56" s="66"/>
    </row>
    <row r="57" spans="1:14" ht="15">
      <c r="A57" s="72" t="s">
        <v>59</v>
      </c>
      <c r="B57" s="99">
        <v>0</v>
      </c>
      <c r="C57" s="100">
        <f>B57*0.9934</f>
        <v>0</v>
      </c>
      <c r="D57" s="101">
        <f>B57-C57</f>
        <v>0</v>
      </c>
      <c r="E57" s="114"/>
      <c r="F57" s="115"/>
      <c r="G57" s="116"/>
      <c r="H57" s="109"/>
      <c r="I57" s="65"/>
      <c r="J57" s="65"/>
      <c r="K57" s="66"/>
      <c r="L57" s="66"/>
      <c r="M57" s="66"/>
      <c r="N57" s="66"/>
    </row>
    <row r="58" spans="1:14" ht="15">
      <c r="A58" s="72" t="s">
        <v>60</v>
      </c>
      <c r="B58" s="102">
        <v>0</v>
      </c>
      <c r="C58" s="100">
        <f>B58*0.9934</f>
        <v>0</v>
      </c>
      <c r="D58" s="101">
        <f>B58-C58</f>
        <v>0</v>
      </c>
      <c r="E58" s="114">
        <f>(2.07+1.8)*6*2301.2-0.37*2301.2*6</f>
        <v>48325.2</v>
      </c>
      <c r="F58" s="118"/>
      <c r="G58" s="119"/>
      <c r="H58" s="114"/>
      <c r="I58" s="65"/>
      <c r="J58" s="65"/>
      <c r="K58" s="66"/>
      <c r="L58" s="66"/>
      <c r="M58" s="66"/>
      <c r="N58" s="66"/>
    </row>
    <row r="59" spans="1:14" ht="15.75" thickBot="1">
      <c r="A59" s="125" t="s">
        <v>236</v>
      </c>
      <c r="B59" s="126">
        <v>7853.81</v>
      </c>
      <c r="C59" s="100">
        <f>B59*1</f>
        <v>7853.81</v>
      </c>
      <c r="D59" s="128">
        <f>B59-C59</f>
        <v>0</v>
      </c>
      <c r="E59" s="114"/>
      <c r="F59" s="118"/>
      <c r="G59" s="119"/>
      <c r="H59" s="109"/>
      <c r="I59" s="65"/>
      <c r="J59" s="65"/>
      <c r="K59" s="66"/>
      <c r="L59" s="66"/>
      <c r="M59" s="66"/>
      <c r="N59" s="66"/>
    </row>
    <row r="60" spans="1:14" ht="63">
      <c r="A60" s="129" t="s">
        <v>62</v>
      </c>
      <c r="B60" s="130" t="s">
        <v>63</v>
      </c>
      <c r="C60" s="131" t="s">
        <v>64</v>
      </c>
      <c r="D60" s="132" t="s">
        <v>65</v>
      </c>
      <c r="E60" s="114"/>
      <c r="F60" s="118"/>
      <c r="G60" s="109"/>
      <c r="H60" s="120"/>
      <c r="I60" s="65"/>
      <c r="J60" s="65"/>
      <c r="K60" s="66"/>
      <c r="L60" s="66"/>
      <c r="M60" s="66"/>
      <c r="N60" s="66"/>
    </row>
    <row r="61" spans="1:14" ht="15">
      <c r="A61" s="133" t="s">
        <v>58</v>
      </c>
      <c r="B61" s="104">
        <v>2267.22</v>
      </c>
      <c r="C61" s="105">
        <v>2267.22</v>
      </c>
      <c r="D61" s="134">
        <f>B61-C61</f>
        <v>0</v>
      </c>
      <c r="E61" s="114"/>
      <c r="F61" s="118"/>
      <c r="G61" s="109"/>
      <c r="H61" s="120"/>
      <c r="I61" s="65"/>
      <c r="J61" s="65" t="s">
        <v>26</v>
      </c>
      <c r="K61" s="66"/>
      <c r="L61" s="66"/>
      <c r="M61" s="66"/>
      <c r="N61" s="66"/>
    </row>
    <row r="62" spans="1:14" ht="15">
      <c r="A62" s="133" t="s">
        <v>59</v>
      </c>
      <c r="B62" s="104">
        <v>0</v>
      </c>
      <c r="C62" s="105">
        <v>0</v>
      </c>
      <c r="D62" s="134">
        <f>B62-C62</f>
        <v>0</v>
      </c>
      <c r="E62" s="114"/>
      <c r="F62" s="118"/>
      <c r="G62" s="109"/>
      <c r="H62" s="120"/>
      <c r="I62" s="65"/>
      <c r="J62" s="65"/>
      <c r="K62" s="66"/>
      <c r="L62" s="66"/>
      <c r="M62" s="66"/>
      <c r="N62" s="66"/>
    </row>
    <row r="63" spans="1:14" ht="15">
      <c r="A63" s="133" t="s">
        <v>60</v>
      </c>
      <c r="B63" s="104">
        <v>0</v>
      </c>
      <c r="C63" s="105">
        <v>0</v>
      </c>
      <c r="D63" s="134">
        <f>B63-C63</f>
        <v>0</v>
      </c>
      <c r="E63" s="114"/>
      <c r="F63" s="73"/>
      <c r="H63" s="65"/>
      <c r="I63" s="65"/>
      <c r="J63" s="65"/>
      <c r="K63" s="66"/>
      <c r="L63" s="66"/>
      <c r="M63" s="66"/>
      <c r="N63" s="66"/>
    </row>
    <row r="64" spans="1:14" ht="15.75" thickBot="1">
      <c r="A64" s="135" t="s">
        <v>236</v>
      </c>
      <c r="B64" s="136">
        <v>7853.81</v>
      </c>
      <c r="C64" s="137">
        <v>7853.81</v>
      </c>
      <c r="D64" s="138">
        <f>B64-C64</f>
        <v>0</v>
      </c>
      <c r="E64" s="114"/>
      <c r="F64" s="73"/>
      <c r="H64" s="65" t="s">
        <v>26</v>
      </c>
      <c r="I64" s="65"/>
      <c r="J64" s="65"/>
      <c r="K64" s="66"/>
      <c r="L64" s="66"/>
      <c r="M64" s="66"/>
      <c r="N64" s="66"/>
    </row>
    <row r="65" spans="1:14" ht="15">
      <c r="A65" s="77"/>
      <c r="B65" s="76"/>
      <c r="C65" s="78"/>
      <c r="D65" s="79"/>
      <c r="E65" s="114"/>
      <c r="F65" s="73"/>
      <c r="H65" s="65"/>
      <c r="I65" s="65"/>
      <c r="J65" s="65"/>
      <c r="K65" s="66"/>
      <c r="L65" s="66"/>
      <c r="M65" s="66"/>
      <c r="N65" s="66"/>
    </row>
    <row r="66" spans="1:14" ht="25.5">
      <c r="A66" s="80" t="s">
        <v>66</v>
      </c>
      <c r="B66" s="76" t="s">
        <v>11</v>
      </c>
      <c r="C66" s="81"/>
      <c r="D66" s="82">
        <v>0</v>
      </c>
      <c r="E66" s="114"/>
      <c r="F66" s="73"/>
      <c r="H66" s="65"/>
      <c r="I66" s="65"/>
      <c r="J66" s="65" t="s">
        <v>26</v>
      </c>
      <c r="K66" s="66"/>
      <c r="L66" s="66"/>
      <c r="M66" s="66"/>
      <c r="N66" s="66"/>
    </row>
    <row r="67" spans="1:14" ht="17.25" customHeight="1">
      <c r="A67" s="572" t="s">
        <v>67</v>
      </c>
      <c r="B67" s="572"/>
      <c r="C67" s="572"/>
      <c r="D67" s="572"/>
      <c r="E67" s="121" t="e">
        <f>D67+B19</f>
        <v>#VALUE!</v>
      </c>
      <c r="F67" s="65"/>
      <c r="H67" s="84" t="e">
        <f>E67-B18</f>
        <v>#VALUE!</v>
      </c>
      <c r="I67" s="65"/>
      <c r="J67" s="65"/>
      <c r="K67" s="66"/>
      <c r="L67" s="66"/>
      <c r="M67" s="66"/>
      <c r="N67" s="66"/>
    </row>
    <row r="68" spans="1:5" ht="21" customHeight="1">
      <c r="A68" s="85" t="s">
        <v>45</v>
      </c>
      <c r="B68" s="85" t="s">
        <v>46</v>
      </c>
      <c r="C68" s="86"/>
      <c r="D68" s="177">
        <v>0</v>
      </c>
      <c r="E68" s="123"/>
    </row>
    <row r="69" spans="1:5" ht="21" customHeight="1">
      <c r="A69" s="85" t="s">
        <v>47</v>
      </c>
      <c r="B69" s="85" t="s">
        <v>46</v>
      </c>
      <c r="C69" s="85"/>
      <c r="D69" s="177">
        <v>0</v>
      </c>
      <c r="E69" s="123"/>
    </row>
    <row r="70" spans="1:5" ht="18" customHeight="1">
      <c r="A70" s="85" t="s">
        <v>48</v>
      </c>
      <c r="B70" s="85" t="s">
        <v>46</v>
      </c>
      <c r="C70" s="85"/>
      <c r="D70" s="177">
        <v>0</v>
      </c>
      <c r="E70" s="123"/>
    </row>
    <row r="71" spans="1:5" ht="16.5" customHeight="1">
      <c r="A71" s="85" t="s">
        <v>49</v>
      </c>
      <c r="B71" s="85" t="s">
        <v>11</v>
      </c>
      <c r="C71" s="85"/>
      <c r="D71" s="177">
        <v>0</v>
      </c>
      <c r="E71" s="123"/>
    </row>
    <row r="72" spans="1:5" ht="15.75" customHeight="1">
      <c r="A72" s="566" t="s">
        <v>68</v>
      </c>
      <c r="B72" s="566"/>
      <c r="C72" s="566"/>
      <c r="D72" s="566"/>
      <c r="E72" s="123"/>
    </row>
    <row r="73" spans="1:5" ht="18.75" customHeight="1">
      <c r="A73" s="85" t="s">
        <v>69</v>
      </c>
      <c r="B73" s="85" t="s">
        <v>46</v>
      </c>
      <c r="C73" s="85"/>
      <c r="D73" s="177">
        <v>0</v>
      </c>
      <c r="E73" s="123"/>
    </row>
    <row r="74" spans="1:5" ht="21.75" customHeight="1">
      <c r="A74" s="85" t="s">
        <v>70</v>
      </c>
      <c r="B74" s="53" t="s">
        <v>46</v>
      </c>
      <c r="C74" s="53"/>
      <c r="D74" s="177">
        <v>0</v>
      </c>
      <c r="E74" s="123"/>
    </row>
    <row r="75" spans="1:5" ht="36" customHeight="1">
      <c r="A75" s="89" t="s">
        <v>71</v>
      </c>
      <c r="B75" s="85" t="s">
        <v>11</v>
      </c>
      <c r="C75" s="85"/>
      <c r="D75" s="177">
        <v>20000</v>
      </c>
      <c r="E75" s="123"/>
    </row>
    <row r="76" spans="1:5" ht="15">
      <c r="A76" s="66"/>
      <c r="B76" s="66"/>
      <c r="C76" s="66"/>
      <c r="D76" s="90"/>
      <c r="E76" s="109"/>
    </row>
    <row r="77" spans="1:14" s="1" customFormat="1" ht="12.75">
      <c r="A77"/>
      <c r="B77"/>
      <c r="C77"/>
      <c r="D77"/>
      <c r="E77" s="109"/>
      <c r="H77" s="1" t="s">
        <v>26</v>
      </c>
      <c r="K77"/>
      <c r="L77"/>
      <c r="M77"/>
      <c r="N77"/>
    </row>
    <row r="78" spans="1:14" s="1" customFormat="1" ht="12.75">
      <c r="A78" t="s">
        <v>72</v>
      </c>
      <c r="B78"/>
      <c r="C78"/>
      <c r="D78"/>
      <c r="E78" s="109"/>
      <c r="K78"/>
      <c r="L78"/>
      <c r="M78"/>
      <c r="N78"/>
    </row>
    <row r="79" spans="1:14" s="1" customFormat="1" ht="12.75">
      <c r="A79"/>
      <c r="B79"/>
      <c r="C79"/>
      <c r="D79"/>
      <c r="E79" s="109"/>
      <c r="H79" s="1" t="s">
        <v>26</v>
      </c>
      <c r="K79"/>
      <c r="L79"/>
      <c r="M79"/>
      <c r="N79"/>
    </row>
    <row r="80" spans="1:14" s="1" customFormat="1" ht="12.75">
      <c r="A80" t="s">
        <v>73</v>
      </c>
      <c r="B80"/>
      <c r="C80"/>
      <c r="D80"/>
      <c r="E80" s="109"/>
      <c r="K80"/>
      <c r="L80"/>
      <c r="M80"/>
      <c r="N80"/>
    </row>
    <row r="81" ht="12.75">
      <c r="E81" s="109"/>
    </row>
    <row r="82" ht="12.75">
      <c r="E82" s="109"/>
    </row>
    <row r="84" spans="1:14" s="1" customFormat="1" ht="12.75">
      <c r="A84"/>
      <c r="B84"/>
      <c r="C84"/>
      <c r="D84"/>
      <c r="E84" s="1" t="s">
        <v>26</v>
      </c>
      <c r="K84"/>
      <c r="L84"/>
      <c r="M84"/>
      <c r="N84"/>
    </row>
  </sheetData>
  <sheetProtection selectLockedCells="1" selectUnlockedCells="1"/>
  <mergeCells count="13">
    <mergeCell ref="A72:D72"/>
    <mergeCell ref="A14:D14"/>
    <mergeCell ref="A29:D29"/>
    <mergeCell ref="A42:D42"/>
    <mergeCell ref="A47:D47"/>
    <mergeCell ref="A54:D54"/>
    <mergeCell ref="A67:D67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0"/>
  <sheetViews>
    <sheetView zoomScale="112" zoomScaleNormal="112" zoomScalePageLayoutView="0" workbookViewId="0" topLeftCell="A37">
      <selection activeCell="D45" sqref="D45"/>
    </sheetView>
  </sheetViews>
  <sheetFormatPr defaultColWidth="11.57421875" defaultRowHeight="12.75"/>
  <cols>
    <col min="1" max="1" width="56.00390625" style="0" customWidth="1"/>
    <col min="2" max="2" width="17.00390625" style="0" customWidth="1"/>
    <col min="3" max="3" width="23.8515625" style="0" customWidth="1"/>
    <col min="4" max="4" width="16.14062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560" t="s">
        <v>0</v>
      </c>
      <c r="B1" s="560"/>
      <c r="C1" s="560"/>
      <c r="D1" s="560"/>
    </row>
    <row r="2" spans="1:4" ht="15.75">
      <c r="A2" s="561" t="s">
        <v>220</v>
      </c>
      <c r="B2" s="562"/>
      <c r="C2" s="562"/>
      <c r="D2" s="562"/>
    </row>
    <row r="3" spans="1:4" ht="15.75">
      <c r="A3" s="562" t="s">
        <v>1</v>
      </c>
      <c r="B3" s="562"/>
      <c r="C3" s="562"/>
      <c r="D3" s="562"/>
    </row>
    <row r="4" spans="1:4" ht="12.75">
      <c r="A4" s="563" t="s">
        <v>84</v>
      </c>
      <c r="B4" s="563"/>
      <c r="C4" s="563"/>
      <c r="D4" s="563"/>
    </row>
    <row r="5" spans="1:4" ht="12.75">
      <c r="A5" s="564" t="s">
        <v>266</v>
      </c>
      <c r="B5" s="563"/>
      <c r="C5" s="563"/>
      <c r="D5" s="563"/>
    </row>
    <row r="6" ht="11.25" customHeight="1">
      <c r="A6" s="2"/>
    </row>
    <row r="7" spans="1:4" ht="17.25" customHeight="1">
      <c r="A7" s="565" t="s">
        <v>2</v>
      </c>
      <c r="B7" s="565"/>
      <c r="C7" s="565"/>
      <c r="D7" s="565"/>
    </row>
    <row r="8" spans="1:4" ht="17.25" customHeight="1">
      <c r="A8" s="182" t="s">
        <v>239</v>
      </c>
      <c r="B8" s="178"/>
      <c r="C8" s="183"/>
      <c r="D8" s="178"/>
    </row>
    <row r="9" spans="1:5" ht="12.75">
      <c r="A9" s="184" t="s">
        <v>3</v>
      </c>
      <c r="B9" s="184" t="s">
        <v>4</v>
      </c>
      <c r="C9" s="184" t="s">
        <v>5</v>
      </c>
      <c r="D9" s="185"/>
      <c r="E9" s="109"/>
    </row>
    <row r="10" spans="1:8" ht="12.75">
      <c r="A10" s="186">
        <v>1</v>
      </c>
      <c r="B10" s="186">
        <v>2</v>
      </c>
      <c r="C10" s="186">
        <v>3</v>
      </c>
      <c r="D10" s="187">
        <v>4</v>
      </c>
      <c r="E10" s="109"/>
      <c r="F10" s="109"/>
      <c r="G10" s="109"/>
      <c r="H10" s="109"/>
    </row>
    <row r="11" spans="1:9" ht="12.75">
      <c r="A11" s="20" t="s">
        <v>6</v>
      </c>
      <c r="B11" s="188"/>
      <c r="C11" s="189" t="s">
        <v>262</v>
      </c>
      <c r="D11" s="190"/>
      <c r="E11" s="109"/>
      <c r="F11" s="109"/>
      <c r="G11" s="109"/>
      <c r="H11" s="109"/>
      <c r="I11" s="109"/>
    </row>
    <row r="12" spans="1:9" ht="12.75">
      <c r="A12" s="20" t="s">
        <v>7</v>
      </c>
      <c r="B12" s="188"/>
      <c r="C12" s="189" t="s">
        <v>263</v>
      </c>
      <c r="D12" s="190"/>
      <c r="E12" s="109"/>
      <c r="F12" s="109"/>
      <c r="G12" s="109"/>
      <c r="H12" s="109"/>
      <c r="I12" s="109"/>
    </row>
    <row r="13" spans="1:9" ht="12.75">
      <c r="A13" s="20" t="s">
        <v>8</v>
      </c>
      <c r="B13" s="188"/>
      <c r="C13" s="189" t="s">
        <v>267</v>
      </c>
      <c r="D13" s="190"/>
      <c r="E13" s="109"/>
      <c r="F13" s="109"/>
      <c r="G13" s="109"/>
      <c r="H13" s="109"/>
      <c r="I13" s="109"/>
    </row>
    <row r="14" spans="1:9" ht="31.5" customHeight="1">
      <c r="A14" s="567" t="s">
        <v>9</v>
      </c>
      <c r="B14" s="567"/>
      <c r="C14" s="567"/>
      <c r="D14" s="567"/>
      <c r="E14" s="109"/>
      <c r="F14" s="109"/>
      <c r="G14" s="109"/>
      <c r="H14" s="109"/>
      <c r="I14" s="109"/>
    </row>
    <row r="15" spans="1:9" ht="26.25">
      <c r="A15" s="17" t="s">
        <v>10</v>
      </c>
      <c r="B15" s="191" t="s">
        <v>11</v>
      </c>
      <c r="C15" s="194">
        <v>6717.8</v>
      </c>
      <c r="D15" s="193"/>
      <c r="E15" s="109"/>
      <c r="F15" s="109"/>
      <c r="G15" s="109"/>
      <c r="H15" s="109"/>
      <c r="I15" s="109"/>
    </row>
    <row r="16" spans="1:9" ht="15.75">
      <c r="A16" s="20" t="s">
        <v>12</v>
      </c>
      <c r="B16" s="191" t="s">
        <v>11</v>
      </c>
      <c r="C16" s="192">
        <v>0</v>
      </c>
      <c r="D16" s="193"/>
      <c r="E16" s="109"/>
      <c r="F16" s="109"/>
      <c r="G16" s="109"/>
      <c r="H16" s="109"/>
      <c r="I16" s="109"/>
    </row>
    <row r="17" spans="1:9" ht="15.75">
      <c r="A17" s="20" t="s">
        <v>13</v>
      </c>
      <c r="B17" s="191" t="s">
        <v>11</v>
      </c>
      <c r="C17" s="194">
        <v>580.63</v>
      </c>
      <c r="D17" s="195"/>
      <c r="E17" s="109"/>
      <c r="F17" s="109"/>
      <c r="G17" s="109"/>
      <c r="H17" s="109"/>
      <c r="I17" s="109"/>
    </row>
    <row r="18" spans="1:9" ht="31.5" customHeight="1">
      <c r="A18" s="17" t="s">
        <v>14</v>
      </c>
      <c r="B18" s="191" t="s">
        <v>11</v>
      </c>
      <c r="C18" s="194">
        <f>72109.8+6226.5</f>
        <v>78336.3</v>
      </c>
      <c r="D18" s="195"/>
      <c r="E18" s="110">
        <f>C18-C20-6226.5</f>
        <v>62291.152799999996</v>
      </c>
      <c r="F18" s="109"/>
      <c r="G18" s="109"/>
      <c r="H18" s="109"/>
      <c r="I18" s="109"/>
    </row>
    <row r="19" spans="1:9" ht="15.75">
      <c r="A19" s="20" t="s">
        <v>15</v>
      </c>
      <c r="B19" s="191" t="s">
        <v>11</v>
      </c>
      <c r="C19" s="194">
        <f>C18-C20-C21</f>
        <v>46219.47839999999</v>
      </c>
      <c r="D19" s="195"/>
      <c r="E19" s="110">
        <f>E18-E44</f>
        <v>0.001999999978579581</v>
      </c>
      <c r="F19" s="109"/>
      <c r="G19" s="109"/>
      <c r="H19" s="109"/>
      <c r="I19" s="109"/>
    </row>
    <row r="20" spans="1:9" ht="15.75">
      <c r="A20" s="20" t="s">
        <v>16</v>
      </c>
      <c r="B20" s="191" t="s">
        <v>11</v>
      </c>
      <c r="C20" s="194">
        <f>(1.82+1.87)*6*443.48</f>
        <v>9818.647200000001</v>
      </c>
      <c r="D20" s="195"/>
      <c r="E20" s="111"/>
      <c r="F20" s="109"/>
      <c r="G20" s="109"/>
      <c r="H20" s="109"/>
      <c r="I20" s="109"/>
    </row>
    <row r="21" spans="1:9" ht="15.75">
      <c r="A21" s="20" t="s">
        <v>17</v>
      </c>
      <c r="B21" s="191" t="s">
        <v>11</v>
      </c>
      <c r="C21" s="196">
        <f>443.48*4.19*12</f>
        <v>22298.174400000004</v>
      </c>
      <c r="D21" s="195"/>
      <c r="E21" s="109"/>
      <c r="F21" s="109"/>
      <c r="G21" s="109"/>
      <c r="H21" s="109"/>
      <c r="I21" s="109"/>
    </row>
    <row r="22" spans="1:9" ht="15.75">
      <c r="A22" s="20" t="s">
        <v>18</v>
      </c>
      <c r="B22" s="191" t="s">
        <v>11</v>
      </c>
      <c r="C22" s="194">
        <f>C23+C24+C25+C26</f>
        <v>78273.63096</v>
      </c>
      <c r="D22" s="195" t="s">
        <v>19</v>
      </c>
      <c r="E22" s="110"/>
      <c r="F22" s="109"/>
      <c r="G22" s="109"/>
      <c r="H22" s="109"/>
      <c r="I22" s="109"/>
    </row>
    <row r="23" spans="1:9" ht="15.75">
      <c r="A23" s="20" t="s">
        <v>20</v>
      </c>
      <c r="B23" s="191" t="s">
        <v>11</v>
      </c>
      <c r="C23" s="194">
        <f>C18*0.9992</f>
        <v>78273.63096</v>
      </c>
      <c r="D23" s="195"/>
      <c r="E23" s="109"/>
      <c r="F23" s="109"/>
      <c r="G23" s="109"/>
      <c r="H23" s="109"/>
      <c r="I23" s="109"/>
    </row>
    <row r="24" spans="1:9" ht="15.75">
      <c r="A24" s="20" t="s">
        <v>21</v>
      </c>
      <c r="B24" s="191" t="s">
        <v>11</v>
      </c>
      <c r="C24" s="194">
        <v>0</v>
      </c>
      <c r="D24" s="197">
        <v>65.21</v>
      </c>
      <c r="E24" s="111"/>
      <c r="F24" s="109"/>
      <c r="G24" s="109"/>
      <c r="H24" s="109" t="s">
        <v>22</v>
      </c>
      <c r="I24" s="109"/>
    </row>
    <row r="25" spans="1:9" ht="15.75">
      <c r="A25" s="20" t="s">
        <v>23</v>
      </c>
      <c r="B25" s="191" t="s">
        <v>11</v>
      </c>
      <c r="C25" s="194">
        <v>0</v>
      </c>
      <c r="D25" s="197">
        <v>119.63</v>
      </c>
      <c r="E25" s="111"/>
      <c r="F25" s="109"/>
      <c r="G25" s="109"/>
      <c r="H25" s="109"/>
      <c r="I25" s="109"/>
    </row>
    <row r="26" spans="1:9" ht="15.75">
      <c r="A26" s="188" t="s">
        <v>24</v>
      </c>
      <c r="B26" s="191" t="s">
        <v>11</v>
      </c>
      <c r="C26" s="194">
        <v>0</v>
      </c>
      <c r="D26" s="197"/>
      <c r="E26" s="111"/>
      <c r="F26" s="109"/>
      <c r="G26" s="109"/>
      <c r="H26" s="109"/>
      <c r="I26" s="109"/>
    </row>
    <row r="27" spans="1:9" ht="15.75">
      <c r="A27" s="20" t="s">
        <v>25</v>
      </c>
      <c r="B27" s="191" t="s">
        <v>11</v>
      </c>
      <c r="C27" s="194">
        <f>C15+C22</f>
        <v>84991.43096</v>
      </c>
      <c r="D27" s="195" t="s">
        <v>26</v>
      </c>
      <c r="E27" s="111"/>
      <c r="F27" s="109"/>
      <c r="G27" s="109"/>
      <c r="H27" s="109"/>
      <c r="I27" s="109"/>
    </row>
    <row r="28" spans="1:9" ht="35.25" customHeight="1">
      <c r="A28" s="568" t="s">
        <v>27</v>
      </c>
      <c r="B28" s="568"/>
      <c r="C28" s="568"/>
      <c r="D28" s="568"/>
      <c r="E28" s="109"/>
      <c r="F28" s="109"/>
      <c r="G28" s="109"/>
      <c r="H28" s="109"/>
      <c r="I28" s="109"/>
    </row>
    <row r="29" spans="1:9" ht="51">
      <c r="A29" s="199" t="s">
        <v>28</v>
      </c>
      <c r="B29" s="200" t="s">
        <v>29</v>
      </c>
      <c r="C29" s="201" t="s">
        <v>30</v>
      </c>
      <c r="D29" s="202" t="s">
        <v>31</v>
      </c>
      <c r="E29" s="109"/>
      <c r="F29" s="109"/>
      <c r="G29" s="109"/>
      <c r="H29" s="109"/>
      <c r="I29" s="109"/>
    </row>
    <row r="30" spans="1:9" ht="23.25" customHeight="1">
      <c r="A30" s="203" t="s">
        <v>32</v>
      </c>
      <c r="B30" s="204" t="s">
        <v>33</v>
      </c>
      <c r="C30" s="205" t="s">
        <v>34</v>
      </c>
      <c r="D30" s="206">
        <f>(0.6+0.7)*6*443.48</f>
        <v>3459.144</v>
      </c>
      <c r="E30" s="109"/>
      <c r="F30" s="109"/>
      <c r="G30" s="109"/>
      <c r="H30" s="109"/>
      <c r="I30" s="109"/>
    </row>
    <row r="31" spans="1:9" ht="15.75">
      <c r="A31" s="207" t="s">
        <v>75</v>
      </c>
      <c r="B31" s="208" t="s">
        <v>76</v>
      </c>
      <c r="C31" s="209" t="s">
        <v>34</v>
      </c>
      <c r="D31" s="210">
        <f>2.4*12*443.48</f>
        <v>12772.224</v>
      </c>
      <c r="E31" s="109"/>
      <c r="F31" s="109"/>
      <c r="G31" s="109"/>
      <c r="H31" s="109"/>
      <c r="I31" s="109"/>
    </row>
    <row r="32" spans="1:9" ht="15.75">
      <c r="A32" s="207" t="s">
        <v>36</v>
      </c>
      <c r="B32" s="208" t="s">
        <v>33</v>
      </c>
      <c r="C32" s="209" t="s">
        <v>37</v>
      </c>
      <c r="D32" s="210">
        <f>0.24*12*443.48</f>
        <v>1277.2224</v>
      </c>
      <c r="E32" s="172"/>
      <c r="F32" s="109"/>
      <c r="G32" s="109"/>
      <c r="H32" s="109"/>
      <c r="I32" s="109"/>
    </row>
    <row r="33" spans="1:9" ht="15.75">
      <c r="A33" s="207" t="s">
        <v>79</v>
      </c>
      <c r="B33" s="363" t="s">
        <v>33</v>
      </c>
      <c r="C33" s="209" t="s">
        <v>34</v>
      </c>
      <c r="D33" s="210">
        <f>(0.73+0.8)*6*443.48</f>
        <v>4071.1464</v>
      </c>
      <c r="E33" s="172"/>
      <c r="F33" s="109"/>
      <c r="G33" s="109"/>
      <c r="H33" s="109"/>
      <c r="I33" s="109"/>
    </row>
    <row r="34" spans="1:9" ht="15.75">
      <c r="A34" s="207" t="s">
        <v>80</v>
      </c>
      <c r="B34" s="208" t="s">
        <v>33</v>
      </c>
      <c r="C34" s="209" t="s">
        <v>34</v>
      </c>
      <c r="D34" s="210">
        <f>(1.79+1.67)*443.48*6</f>
        <v>9206.6448</v>
      </c>
      <c r="E34" s="109"/>
      <c r="F34" s="109"/>
      <c r="G34" s="109"/>
      <c r="H34" s="109"/>
      <c r="I34" s="109"/>
    </row>
    <row r="35" spans="1:9" ht="31.5">
      <c r="A35" s="207" t="s">
        <v>81</v>
      </c>
      <c r="B35" s="213" t="s">
        <v>82</v>
      </c>
      <c r="C35" s="209" t="s">
        <v>34</v>
      </c>
      <c r="D35" s="210">
        <f>1.33*12*443.48</f>
        <v>7077.9408</v>
      </c>
      <c r="E35" s="109"/>
      <c r="F35" s="109"/>
      <c r="G35" s="109"/>
      <c r="H35" s="109"/>
      <c r="I35" s="109"/>
    </row>
    <row r="36" spans="1:9" ht="15.75">
      <c r="A36" s="207" t="s">
        <v>38</v>
      </c>
      <c r="B36" s="208" t="s">
        <v>35</v>
      </c>
      <c r="C36" s="362" t="s">
        <v>221</v>
      </c>
      <c r="D36" s="210">
        <f>4.19*443.48*12</f>
        <v>22298.174400000004</v>
      </c>
      <c r="E36" s="109"/>
      <c r="F36" s="109"/>
      <c r="G36" s="109"/>
      <c r="H36" s="109"/>
      <c r="I36" s="109"/>
    </row>
    <row r="37" spans="1:9" ht="21" customHeight="1">
      <c r="A37" s="207" t="s">
        <v>233</v>
      </c>
      <c r="B37" s="208" t="s">
        <v>222</v>
      </c>
      <c r="C37" s="275" t="s">
        <v>37</v>
      </c>
      <c r="D37" s="210">
        <f>0.4*12*443.48-0.05</f>
        <v>2128.654</v>
      </c>
      <c r="E37" s="109"/>
      <c r="F37" s="109"/>
      <c r="G37" s="109"/>
      <c r="H37" s="109"/>
      <c r="I37" s="109"/>
    </row>
    <row r="38" spans="1:9" ht="21" customHeight="1">
      <c r="A38" s="207" t="s">
        <v>209</v>
      </c>
      <c r="B38" s="208"/>
      <c r="C38" s="275"/>
      <c r="D38" s="284"/>
      <c r="E38" s="109"/>
      <c r="F38" s="109"/>
      <c r="G38" s="109"/>
      <c r="H38" s="109"/>
      <c r="I38" s="109"/>
    </row>
    <row r="39" spans="1:9" ht="16.5" customHeight="1">
      <c r="A39" s="207" t="s">
        <v>213</v>
      </c>
      <c r="B39" s="208" t="s">
        <v>35</v>
      </c>
      <c r="C39" s="275" t="s">
        <v>210</v>
      </c>
      <c r="D39" s="284">
        <v>399.79</v>
      </c>
      <c r="E39" s="109"/>
      <c r="F39" s="109"/>
      <c r="G39" s="109"/>
      <c r="H39" s="109"/>
      <c r="I39" s="109"/>
    </row>
    <row r="40" spans="1:9" ht="15.75" customHeight="1">
      <c r="A40" s="207" t="s">
        <v>211</v>
      </c>
      <c r="B40" s="208" t="s">
        <v>35</v>
      </c>
      <c r="C40" s="275" t="s">
        <v>212</v>
      </c>
      <c r="D40" s="284">
        <v>5827.38</v>
      </c>
      <c r="E40" s="109"/>
      <c r="F40" s="109"/>
      <c r="G40" s="109"/>
      <c r="H40" s="109"/>
      <c r="I40" s="109"/>
    </row>
    <row r="41" spans="1:14" s="1" customFormat="1" ht="78.75">
      <c r="A41" s="260" t="s">
        <v>202</v>
      </c>
      <c r="B41" s="215" t="s">
        <v>41</v>
      </c>
      <c r="C41" s="221"/>
      <c r="D41" s="381">
        <f>D42+D43</f>
        <v>1626.51</v>
      </c>
      <c r="E41" s="109"/>
      <c r="F41" s="109"/>
      <c r="G41" s="109"/>
      <c r="H41" s="109"/>
      <c r="I41" s="109"/>
      <c r="K41"/>
      <c r="L41"/>
      <c r="M41"/>
      <c r="N41"/>
    </row>
    <row r="42" spans="1:14" s="1" customFormat="1" ht="18.75" customHeight="1">
      <c r="A42" s="220" t="s">
        <v>271</v>
      </c>
      <c r="B42" s="217" t="s">
        <v>159</v>
      </c>
      <c r="C42" s="209" t="s">
        <v>34</v>
      </c>
      <c r="D42" s="176">
        <v>352</v>
      </c>
      <c r="E42" s="109"/>
      <c r="F42" s="109"/>
      <c r="G42" s="109"/>
      <c r="H42" s="109"/>
      <c r="I42" s="109"/>
      <c r="K42"/>
      <c r="L42"/>
      <c r="M42"/>
      <c r="N42"/>
    </row>
    <row r="43" spans="1:14" s="1" customFormat="1" ht="18" customHeight="1">
      <c r="A43" s="219" t="s">
        <v>277</v>
      </c>
      <c r="B43" s="217" t="s">
        <v>159</v>
      </c>
      <c r="C43" s="209" t="s">
        <v>34</v>
      </c>
      <c r="D43" s="176">
        <v>1274.51</v>
      </c>
      <c r="E43" s="109"/>
      <c r="F43" s="109"/>
      <c r="G43" s="109"/>
      <c r="H43" s="109"/>
      <c r="I43" s="109"/>
      <c r="K43"/>
      <c r="L43"/>
      <c r="M43"/>
      <c r="N43"/>
    </row>
    <row r="44" spans="1:14" s="1" customFormat="1" ht="15.75">
      <c r="A44" s="37" t="s">
        <v>42</v>
      </c>
      <c r="B44" s="222"/>
      <c r="C44" s="223"/>
      <c r="D44" s="97">
        <f>D30+D31+D32+D33+D34+D35+D36+D37+D39+D40+D41</f>
        <v>70144.83080000001</v>
      </c>
      <c r="E44" s="112">
        <f>D44-D39-D40-D41</f>
        <v>62291.15080000002</v>
      </c>
      <c r="F44" s="109"/>
      <c r="G44" s="109"/>
      <c r="H44" s="109"/>
      <c r="I44" s="109"/>
      <c r="K44"/>
      <c r="L44"/>
      <c r="M44"/>
      <c r="N44"/>
    </row>
    <row r="45" spans="1:14" s="1" customFormat="1" ht="15.75">
      <c r="A45" s="40" t="s">
        <v>43</v>
      </c>
      <c r="B45" s="224" t="s">
        <v>11</v>
      </c>
      <c r="C45" s="225"/>
      <c r="D45" s="226">
        <f>C27-D44</f>
        <v>14846.600159999987</v>
      </c>
      <c r="E45" s="112"/>
      <c r="F45" s="109"/>
      <c r="G45" s="109"/>
      <c r="H45" s="109"/>
      <c r="I45" s="109"/>
      <c r="K45"/>
      <c r="L45"/>
      <c r="M45"/>
      <c r="N45"/>
    </row>
    <row r="46" spans="1:14" s="1" customFormat="1" ht="15.75">
      <c r="A46" s="227" t="s">
        <v>12</v>
      </c>
      <c r="B46" s="228" t="s">
        <v>11</v>
      </c>
      <c r="C46" s="209"/>
      <c r="D46" s="193">
        <v>0</v>
      </c>
      <c r="E46" s="109"/>
      <c r="F46" s="109"/>
      <c r="G46" s="109"/>
      <c r="H46" s="109"/>
      <c r="I46" s="109"/>
      <c r="K46"/>
      <c r="L46"/>
      <c r="M46"/>
      <c r="N46"/>
    </row>
    <row r="47" spans="1:14" s="1" customFormat="1" ht="15.75">
      <c r="A47" s="227" t="s">
        <v>13</v>
      </c>
      <c r="B47" s="228" t="s">
        <v>11</v>
      </c>
      <c r="C47" s="209"/>
      <c r="D47" s="195">
        <f>C17+C18-C23</f>
        <v>643.2990400000126</v>
      </c>
      <c r="E47" s="109"/>
      <c r="F47" s="109"/>
      <c r="G47" s="109"/>
      <c r="H47" s="109"/>
      <c r="I47" s="109"/>
      <c r="K47"/>
      <c r="L47"/>
      <c r="M47"/>
      <c r="N47"/>
    </row>
    <row r="48" spans="1:14" s="1" customFormat="1" ht="24" customHeight="1">
      <c r="A48" s="569" t="s">
        <v>44</v>
      </c>
      <c r="B48" s="569"/>
      <c r="C48" s="569"/>
      <c r="D48" s="569"/>
      <c r="E48" s="109"/>
      <c r="F48" s="109"/>
      <c r="G48" s="109"/>
      <c r="H48" s="109"/>
      <c r="I48" s="109"/>
      <c r="K48"/>
      <c r="L48"/>
      <c r="M48"/>
      <c r="N48"/>
    </row>
    <row r="49" spans="1:14" s="1" customFormat="1" ht="15.75">
      <c r="A49" s="227" t="s">
        <v>45</v>
      </c>
      <c r="B49" s="208" t="s">
        <v>46</v>
      </c>
      <c r="C49" s="209"/>
      <c r="D49" s="193">
        <v>0</v>
      </c>
      <c r="E49" s="109"/>
      <c r="F49" s="109"/>
      <c r="G49" s="109"/>
      <c r="H49" s="109"/>
      <c r="I49" s="109"/>
      <c r="K49"/>
      <c r="L49"/>
      <c r="M49"/>
      <c r="N49"/>
    </row>
    <row r="50" spans="1:14" s="1" customFormat="1" ht="15.75">
      <c r="A50" s="227" t="s">
        <v>47</v>
      </c>
      <c r="B50" s="208" t="s">
        <v>46</v>
      </c>
      <c r="C50" s="209"/>
      <c r="D50" s="193">
        <v>0</v>
      </c>
      <c r="E50" s="109"/>
      <c r="F50" s="109"/>
      <c r="G50" s="109"/>
      <c r="H50" s="109"/>
      <c r="I50" s="109"/>
      <c r="K50"/>
      <c r="L50"/>
      <c r="M50"/>
      <c r="N50"/>
    </row>
    <row r="51" spans="1:14" s="1" customFormat="1" ht="26.25">
      <c r="A51" s="229" t="s">
        <v>48</v>
      </c>
      <c r="B51" s="208" t="s">
        <v>46</v>
      </c>
      <c r="C51" s="209"/>
      <c r="D51" s="193">
        <v>0</v>
      </c>
      <c r="E51" s="109"/>
      <c r="F51" s="109"/>
      <c r="G51" s="109"/>
      <c r="H51" s="109"/>
      <c r="I51" s="109"/>
      <c r="K51"/>
      <c r="L51"/>
      <c r="M51"/>
      <c r="N51"/>
    </row>
    <row r="52" spans="1:14" s="1" customFormat="1" ht="15.75">
      <c r="A52" s="227" t="s">
        <v>49</v>
      </c>
      <c r="B52" s="208" t="s">
        <v>11</v>
      </c>
      <c r="C52" s="209"/>
      <c r="D52" s="193">
        <v>0</v>
      </c>
      <c r="E52" s="109"/>
      <c r="F52" s="109"/>
      <c r="G52" s="109"/>
      <c r="H52" s="109"/>
      <c r="I52" s="109"/>
      <c r="K52"/>
      <c r="L52"/>
      <c r="M52"/>
      <c r="N52"/>
    </row>
    <row r="53" spans="1:9" ht="20.25" customHeight="1">
      <c r="A53" s="570" t="s">
        <v>50</v>
      </c>
      <c r="B53" s="570"/>
      <c r="C53" s="570"/>
      <c r="D53" s="570"/>
      <c r="E53" s="109"/>
      <c r="F53" s="109"/>
      <c r="G53" s="109"/>
      <c r="H53" s="109"/>
      <c r="I53" s="109"/>
    </row>
    <row r="54" spans="1:9" ht="26.25">
      <c r="A54" s="229" t="s">
        <v>51</v>
      </c>
      <c r="B54" s="208" t="s">
        <v>11</v>
      </c>
      <c r="C54" s="209"/>
      <c r="D54" s="193">
        <v>0</v>
      </c>
      <c r="E54" s="109"/>
      <c r="F54" s="109"/>
      <c r="G54" s="109"/>
      <c r="H54" s="109"/>
      <c r="I54" s="109"/>
    </row>
    <row r="55" spans="1:9" ht="15.75">
      <c r="A55" s="227" t="s">
        <v>12</v>
      </c>
      <c r="B55" s="208" t="s">
        <v>11</v>
      </c>
      <c r="C55" s="209"/>
      <c r="D55" s="193">
        <v>0</v>
      </c>
      <c r="E55" s="109"/>
      <c r="F55" s="109"/>
      <c r="G55" s="109"/>
      <c r="H55" s="109"/>
      <c r="I55" s="109"/>
    </row>
    <row r="56" spans="1:9" ht="15.75">
      <c r="A56" s="227" t="s">
        <v>13</v>
      </c>
      <c r="B56" s="208" t="s">
        <v>11</v>
      </c>
      <c r="C56" s="209"/>
      <c r="D56" s="230">
        <f>D59+D62+D63+D64</f>
        <v>8038.187712000002</v>
      </c>
      <c r="E56" s="109"/>
      <c r="F56" s="109"/>
      <c r="G56" s="109"/>
      <c r="H56" s="113"/>
      <c r="I56" s="109"/>
    </row>
    <row r="57" spans="1:9" ht="26.25">
      <c r="A57" s="231" t="s">
        <v>52</v>
      </c>
      <c r="B57" s="208" t="s">
        <v>11</v>
      </c>
      <c r="C57" s="232"/>
      <c r="D57" s="233">
        <v>0</v>
      </c>
      <c r="E57" s="109"/>
      <c r="F57" s="109"/>
      <c r="G57" s="109"/>
      <c r="H57" s="109"/>
      <c r="I57" s="109"/>
    </row>
    <row r="58" spans="1:10" ht="17.25" customHeight="1">
      <c r="A58" s="254" t="s">
        <v>12</v>
      </c>
      <c r="B58" s="208" t="s">
        <v>11</v>
      </c>
      <c r="C58" s="276"/>
      <c r="D58" s="55">
        <v>0</v>
      </c>
      <c r="E58" s="109"/>
      <c r="F58" s="109"/>
      <c r="G58" s="109"/>
      <c r="H58" s="109"/>
      <c r="I58" s="113"/>
      <c r="J58" s="49"/>
    </row>
    <row r="59" spans="1:14" ht="15.75">
      <c r="A59" s="235" t="s">
        <v>13</v>
      </c>
      <c r="B59" s="208" t="s">
        <v>11</v>
      </c>
      <c r="C59" s="236"/>
      <c r="D59" s="237">
        <v>8002.71</v>
      </c>
      <c r="E59" s="109"/>
      <c r="F59" s="109"/>
      <c r="G59" s="109"/>
      <c r="H59" s="109" t="s">
        <v>26</v>
      </c>
      <c r="I59" s="124"/>
      <c r="J59" s="60"/>
      <c r="K59" s="61"/>
      <c r="L59" s="61"/>
      <c r="M59" s="61"/>
      <c r="N59" s="61"/>
    </row>
    <row r="60" spans="1:14" ht="18" customHeight="1">
      <c r="A60" s="571" t="s">
        <v>53</v>
      </c>
      <c r="B60" s="571"/>
      <c r="C60" s="571"/>
      <c r="D60" s="571"/>
      <c r="E60" s="114"/>
      <c r="F60" s="115"/>
      <c r="G60" s="116"/>
      <c r="H60" s="109"/>
      <c r="I60" s="120"/>
      <c r="J60" s="65"/>
      <c r="K60" s="66"/>
      <c r="L60" s="66"/>
      <c r="M60" s="66"/>
      <c r="N60" s="66"/>
    </row>
    <row r="61" spans="1:14" ht="38.25">
      <c r="A61" s="67" t="s">
        <v>54</v>
      </c>
      <c r="B61" s="68" t="s">
        <v>55</v>
      </c>
      <c r="C61" s="157" t="s">
        <v>56</v>
      </c>
      <c r="D61" s="158" t="s">
        <v>57</v>
      </c>
      <c r="E61" s="114"/>
      <c r="F61" s="115"/>
      <c r="G61" s="116"/>
      <c r="H61" s="109"/>
      <c r="I61" s="120"/>
      <c r="J61" s="71"/>
      <c r="K61" s="66"/>
      <c r="L61" s="66"/>
      <c r="M61" s="66"/>
      <c r="N61" s="66"/>
    </row>
    <row r="62" spans="1:14" ht="15.75">
      <c r="A62" s="238" t="s">
        <v>58</v>
      </c>
      <c r="B62" s="277">
        <v>4337.33</v>
      </c>
      <c r="C62" s="278">
        <f>B62*0.9992</f>
        <v>4333.860136</v>
      </c>
      <c r="D62" s="279">
        <f>B62-C62</f>
        <v>3.4698639999996885</v>
      </c>
      <c r="E62" s="117"/>
      <c r="F62" s="115"/>
      <c r="G62" s="116"/>
      <c r="H62" s="109"/>
      <c r="I62" s="120"/>
      <c r="J62" s="65"/>
      <c r="K62" s="66"/>
      <c r="L62" s="66"/>
      <c r="M62" s="66"/>
      <c r="N62" s="66"/>
    </row>
    <row r="63" spans="1:14" ht="15.75">
      <c r="A63" s="238" t="s">
        <v>59</v>
      </c>
      <c r="B63" s="277">
        <v>4963.73</v>
      </c>
      <c r="C63" s="278">
        <f>B63*0.9992</f>
        <v>4959.759015999999</v>
      </c>
      <c r="D63" s="279">
        <f>B63-C63</f>
        <v>3.970984000000499</v>
      </c>
      <c r="E63" s="114"/>
      <c r="F63" s="115"/>
      <c r="G63" s="116"/>
      <c r="H63" s="109"/>
      <c r="I63" s="120"/>
      <c r="J63" s="65"/>
      <c r="K63" s="66"/>
      <c r="L63" s="66"/>
      <c r="M63" s="66"/>
      <c r="N63" s="66"/>
    </row>
    <row r="64" spans="1:14" ht="15.75">
      <c r="A64" s="238" t="s">
        <v>60</v>
      </c>
      <c r="B64" s="280">
        <v>35046.08</v>
      </c>
      <c r="C64" s="278">
        <f>B64*0.9992</f>
        <v>35018.043136</v>
      </c>
      <c r="D64" s="279">
        <f>B64-C64</f>
        <v>28.036864000001515</v>
      </c>
      <c r="E64" s="114"/>
      <c r="F64" s="118"/>
      <c r="G64" s="119"/>
      <c r="H64" s="114"/>
      <c r="I64" s="120"/>
      <c r="J64" s="65"/>
      <c r="K64" s="66"/>
      <c r="L64" s="66"/>
      <c r="M64" s="66"/>
      <c r="N64" s="66"/>
    </row>
    <row r="65" spans="1:14" ht="16.5" thickBot="1">
      <c r="A65" s="261" t="s">
        <v>236</v>
      </c>
      <c r="B65" s="288">
        <v>24843.13</v>
      </c>
      <c r="C65" s="278">
        <f>B65*0.9992</f>
        <v>24823.255496</v>
      </c>
      <c r="D65" s="289">
        <f>B65-C65</f>
        <v>19.874503999999433</v>
      </c>
      <c r="E65" s="114"/>
      <c r="F65" s="118"/>
      <c r="G65" s="119"/>
      <c r="H65" s="109"/>
      <c r="I65" s="120"/>
      <c r="J65" s="65"/>
      <c r="K65" s="66"/>
      <c r="L65" s="66"/>
      <c r="M65" s="66"/>
      <c r="N65" s="66"/>
    </row>
    <row r="66" spans="1:14" ht="63.75">
      <c r="A66" s="129" t="s">
        <v>62</v>
      </c>
      <c r="B66" s="141" t="s">
        <v>63</v>
      </c>
      <c r="C66" s="161" t="s">
        <v>64</v>
      </c>
      <c r="D66" s="162" t="s">
        <v>65</v>
      </c>
      <c r="E66" s="114"/>
      <c r="F66" s="118"/>
      <c r="G66" s="109"/>
      <c r="H66" s="120"/>
      <c r="I66" s="120"/>
      <c r="J66" s="65"/>
      <c r="K66" s="66"/>
      <c r="L66" s="66"/>
      <c r="M66" s="66"/>
      <c r="N66" s="66"/>
    </row>
    <row r="67" spans="1:14" ht="15.75">
      <c r="A67" s="265" t="s">
        <v>58</v>
      </c>
      <c r="B67" s="277">
        <v>4337.33</v>
      </c>
      <c r="C67" s="283">
        <f>B67</f>
        <v>4337.33</v>
      </c>
      <c r="D67" s="290">
        <f>B67-C67</f>
        <v>0</v>
      </c>
      <c r="E67" s="114"/>
      <c r="F67" s="118"/>
      <c r="G67" s="109"/>
      <c r="H67" s="120"/>
      <c r="I67" s="120"/>
      <c r="J67" s="65" t="s">
        <v>26</v>
      </c>
      <c r="K67" s="66"/>
      <c r="L67" s="66"/>
      <c r="M67" s="66"/>
      <c r="N67" s="66"/>
    </row>
    <row r="68" spans="1:14" ht="15.75">
      <c r="A68" s="265" t="s">
        <v>59</v>
      </c>
      <c r="B68" s="277">
        <v>4963.73</v>
      </c>
      <c r="C68" s="283">
        <f>B68</f>
        <v>4963.73</v>
      </c>
      <c r="D68" s="290">
        <f>B68-C68</f>
        <v>0</v>
      </c>
      <c r="E68" s="114"/>
      <c r="F68" s="118"/>
      <c r="G68" s="109"/>
      <c r="H68" s="120"/>
      <c r="I68" s="120"/>
      <c r="J68" s="65"/>
      <c r="K68" s="66"/>
      <c r="L68" s="66"/>
      <c r="M68" s="66"/>
      <c r="N68" s="66"/>
    </row>
    <row r="69" spans="1:14" ht="15.75">
      <c r="A69" s="265" t="s">
        <v>60</v>
      </c>
      <c r="B69" s="280">
        <v>35046.08</v>
      </c>
      <c r="C69" s="283">
        <f>B69</f>
        <v>35046.08</v>
      </c>
      <c r="D69" s="290">
        <f>B69-C69</f>
        <v>0</v>
      </c>
      <c r="E69" s="114"/>
      <c r="F69" s="118"/>
      <c r="G69" s="109"/>
      <c r="H69" s="120"/>
      <c r="I69" s="120"/>
      <c r="J69" s="65"/>
      <c r="K69" s="66"/>
      <c r="L69" s="66"/>
      <c r="M69" s="66"/>
      <c r="N69" s="66"/>
    </row>
    <row r="70" spans="1:14" ht="16.5" thickBot="1">
      <c r="A70" s="267" t="s">
        <v>236</v>
      </c>
      <c r="B70" s="288">
        <v>24843.13</v>
      </c>
      <c r="C70" s="435">
        <f>C65</f>
        <v>24823.255496</v>
      </c>
      <c r="D70" s="291">
        <f>B70-C70</f>
        <v>19.874503999999433</v>
      </c>
      <c r="E70" s="114"/>
      <c r="F70" s="118"/>
      <c r="G70" s="109"/>
      <c r="H70" s="120" t="s">
        <v>26</v>
      </c>
      <c r="I70" s="120"/>
      <c r="J70" s="65"/>
      <c r="K70" s="66"/>
      <c r="L70" s="66"/>
      <c r="M70" s="66"/>
      <c r="N70" s="66"/>
    </row>
    <row r="71" spans="1:14" ht="15.75">
      <c r="A71" s="247"/>
      <c r="B71" s="248"/>
      <c r="C71" s="249"/>
      <c r="D71" s="250"/>
      <c r="E71" s="114"/>
      <c r="F71" s="73"/>
      <c r="H71" s="65"/>
      <c r="I71" s="65"/>
      <c r="J71" s="65"/>
      <c r="K71" s="66"/>
      <c r="L71" s="66"/>
      <c r="M71" s="66"/>
      <c r="N71" s="66"/>
    </row>
    <row r="72" spans="1:14" ht="26.25">
      <c r="A72" s="251" t="s">
        <v>66</v>
      </c>
      <c r="B72" s="248" t="s">
        <v>11</v>
      </c>
      <c r="C72" s="252"/>
      <c r="D72" s="253">
        <v>0</v>
      </c>
      <c r="E72" s="114"/>
      <c r="F72" s="73"/>
      <c r="H72" s="65"/>
      <c r="I72" s="65"/>
      <c r="J72" s="65" t="s">
        <v>26</v>
      </c>
      <c r="K72" s="66"/>
      <c r="L72" s="66"/>
      <c r="M72" s="66"/>
      <c r="N72" s="66"/>
    </row>
    <row r="73" spans="1:14" ht="17.25" customHeight="1">
      <c r="A73" s="572" t="s">
        <v>67</v>
      </c>
      <c r="B73" s="572"/>
      <c r="C73" s="572"/>
      <c r="D73" s="572"/>
      <c r="E73" s="121"/>
      <c r="F73" s="65"/>
      <c r="H73" s="84" t="e">
        <f>E73-B18</f>
        <v>#VALUE!</v>
      </c>
      <c r="I73" s="65"/>
      <c r="J73" s="65"/>
      <c r="K73" s="66"/>
      <c r="L73" s="66"/>
      <c r="M73" s="66"/>
      <c r="N73" s="66"/>
    </row>
    <row r="74" spans="1:5" ht="21" customHeight="1">
      <c r="A74" s="86" t="s">
        <v>45</v>
      </c>
      <c r="B74" s="86" t="s">
        <v>46</v>
      </c>
      <c r="C74" s="86"/>
      <c r="D74" s="177">
        <v>0</v>
      </c>
      <c r="E74" s="123"/>
    </row>
    <row r="75" spans="1:5" ht="21" customHeight="1">
      <c r="A75" s="86" t="s">
        <v>47</v>
      </c>
      <c r="B75" s="86" t="s">
        <v>46</v>
      </c>
      <c r="C75" s="86"/>
      <c r="D75" s="177">
        <v>0</v>
      </c>
      <c r="E75" s="123"/>
    </row>
    <row r="76" spans="1:5" ht="18" customHeight="1">
      <c r="A76" s="86" t="s">
        <v>48</v>
      </c>
      <c r="B76" s="86" t="s">
        <v>46</v>
      </c>
      <c r="C76" s="86"/>
      <c r="D76" s="177">
        <v>0</v>
      </c>
      <c r="E76" s="123"/>
    </row>
    <row r="77" spans="1:5" ht="16.5" customHeight="1">
      <c r="A77" s="86" t="s">
        <v>49</v>
      </c>
      <c r="B77" s="86" t="s">
        <v>11</v>
      </c>
      <c r="C77" s="86"/>
      <c r="D77" s="177">
        <v>0</v>
      </c>
      <c r="E77" s="123"/>
    </row>
    <row r="78" spans="1:5" ht="15.75" customHeight="1">
      <c r="A78" s="566" t="s">
        <v>68</v>
      </c>
      <c r="B78" s="566"/>
      <c r="C78" s="566"/>
      <c r="D78" s="566"/>
      <c r="E78" s="123"/>
    </row>
    <row r="79" spans="1:5" ht="18.75" customHeight="1">
      <c r="A79" s="86" t="s">
        <v>69</v>
      </c>
      <c r="B79" s="86" t="s">
        <v>46</v>
      </c>
      <c r="C79" s="86"/>
      <c r="D79" s="177">
        <v>0</v>
      </c>
      <c r="E79" s="123"/>
    </row>
    <row r="80" spans="1:5" ht="21.75" customHeight="1">
      <c r="A80" s="86" t="s">
        <v>70</v>
      </c>
      <c r="B80" s="254" t="s">
        <v>46</v>
      </c>
      <c r="C80" s="254"/>
      <c r="D80" s="177">
        <v>0</v>
      </c>
      <c r="E80" s="123"/>
    </row>
    <row r="81" spans="1:5" ht="36" customHeight="1">
      <c r="A81" s="255" t="s">
        <v>71</v>
      </c>
      <c r="B81" s="86" t="s">
        <v>11</v>
      </c>
      <c r="C81" s="86"/>
      <c r="D81" s="177">
        <v>0</v>
      </c>
      <c r="E81" s="123"/>
    </row>
    <row r="82" spans="1:5" ht="15.75">
      <c r="A82" s="256"/>
      <c r="B82" s="256"/>
      <c r="C82" s="256"/>
      <c r="D82" s="257"/>
      <c r="E82" s="109"/>
    </row>
    <row r="83" spans="1:14" s="1" customFormat="1" ht="12.75">
      <c r="A83" s="178"/>
      <c r="B83" s="178"/>
      <c r="C83" s="178"/>
      <c r="D83" s="178"/>
      <c r="E83" s="109"/>
      <c r="H83" s="1" t="s">
        <v>26</v>
      </c>
      <c r="K83"/>
      <c r="L83"/>
      <c r="M83"/>
      <c r="N83"/>
    </row>
    <row r="84" spans="1:14" s="1" customFormat="1" ht="12.75">
      <c r="A84" s="178" t="s">
        <v>72</v>
      </c>
      <c r="B84" s="178"/>
      <c r="C84" s="178" t="s">
        <v>141</v>
      </c>
      <c r="D84" s="178"/>
      <c r="E84" s="109"/>
      <c r="K84"/>
      <c r="L84"/>
      <c r="M84"/>
      <c r="N84"/>
    </row>
    <row r="85" spans="1:14" s="1" customFormat="1" ht="12.75">
      <c r="A85" s="178"/>
      <c r="B85" s="178"/>
      <c r="C85" s="178"/>
      <c r="D85" s="178"/>
      <c r="E85" s="109"/>
      <c r="H85" s="1" t="s">
        <v>26</v>
      </c>
      <c r="K85"/>
      <c r="L85"/>
      <c r="M85"/>
      <c r="N85"/>
    </row>
    <row r="86" spans="1:14" s="1" customFormat="1" ht="12.75">
      <c r="A86" s="178" t="s">
        <v>73</v>
      </c>
      <c r="B86" s="178"/>
      <c r="C86" s="178"/>
      <c r="D86" s="178"/>
      <c r="E86" s="109"/>
      <c r="K86"/>
      <c r="L86"/>
      <c r="M86"/>
      <c r="N86"/>
    </row>
    <row r="87" spans="1:5" ht="12.75">
      <c r="A87" s="178"/>
      <c r="B87" s="178"/>
      <c r="C87" s="178"/>
      <c r="D87" s="178"/>
      <c r="E87" s="109"/>
    </row>
    <row r="88" ht="12.75">
      <c r="E88" s="109"/>
    </row>
    <row r="90" spans="1:14" s="1" customFormat="1" ht="12.75">
      <c r="A90"/>
      <c r="B90"/>
      <c r="C90"/>
      <c r="D90"/>
      <c r="E90" s="1" t="s">
        <v>26</v>
      </c>
      <c r="K90"/>
      <c r="L90"/>
      <c r="M90"/>
      <c r="N90"/>
    </row>
  </sheetData>
  <sheetProtection selectLockedCells="1" selectUnlockedCells="1"/>
  <mergeCells count="13">
    <mergeCell ref="A78:D78"/>
    <mergeCell ref="A14:D14"/>
    <mergeCell ref="A28:D28"/>
    <mergeCell ref="A48:D48"/>
    <mergeCell ref="A53:D53"/>
    <mergeCell ref="A60:D60"/>
    <mergeCell ref="A73:D73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600" verticalDpi="600" orientation="portrait" paperSize="12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zoomScale="80" zoomScaleNormal="80" zoomScalePageLayoutView="0" workbookViewId="0" topLeftCell="A24">
      <selection activeCell="D39" sqref="D39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560" t="s">
        <v>0</v>
      </c>
      <c r="B1" s="560"/>
      <c r="C1" s="560"/>
      <c r="D1" s="560"/>
    </row>
    <row r="2" spans="1:4" ht="15.75">
      <c r="A2" s="561" t="s">
        <v>220</v>
      </c>
      <c r="B2" s="562"/>
      <c r="C2" s="562"/>
      <c r="D2" s="562"/>
    </row>
    <row r="3" spans="1:4" ht="15.75">
      <c r="A3" s="562" t="s">
        <v>1</v>
      </c>
      <c r="B3" s="562"/>
      <c r="C3" s="562"/>
      <c r="D3" s="562"/>
    </row>
    <row r="4" spans="1:4" ht="12.75">
      <c r="A4" s="563" t="s">
        <v>126</v>
      </c>
      <c r="B4" s="563"/>
      <c r="C4" s="563"/>
      <c r="D4" s="563"/>
    </row>
    <row r="5" spans="1:4" ht="12.75">
      <c r="A5" s="564" t="s">
        <v>266</v>
      </c>
      <c r="B5" s="563"/>
      <c r="C5" s="563"/>
      <c r="D5" s="563"/>
    </row>
    <row r="6" ht="9" customHeight="1">
      <c r="A6" s="2"/>
    </row>
    <row r="7" spans="1:4" ht="18" customHeight="1">
      <c r="A7" s="565" t="s">
        <v>2</v>
      </c>
      <c r="B7" s="565"/>
      <c r="C7" s="565"/>
      <c r="D7" s="565"/>
    </row>
    <row r="8" spans="1:8" ht="12.75">
      <c r="A8" s="145" t="s">
        <v>254</v>
      </c>
      <c r="C8" s="3"/>
      <c r="E8" s="109"/>
      <c r="F8" s="109"/>
      <c r="G8" s="109"/>
      <c r="H8" s="109"/>
    </row>
    <row r="9" spans="1:8" ht="12.75">
      <c r="A9" s="4" t="s">
        <v>3</v>
      </c>
      <c r="B9" s="4" t="s">
        <v>4</v>
      </c>
      <c r="C9" s="4" t="s">
        <v>5</v>
      </c>
      <c r="D9" s="5"/>
      <c r="E9" s="109"/>
      <c r="F9" s="109"/>
      <c r="G9" s="109"/>
      <c r="H9" s="109"/>
    </row>
    <row r="10" spans="1:8" ht="12.75">
      <c r="A10" s="6">
        <v>1</v>
      </c>
      <c r="B10" s="6">
        <v>2</v>
      </c>
      <c r="C10" s="6">
        <v>3</v>
      </c>
      <c r="D10" s="7">
        <v>4</v>
      </c>
      <c r="E10" s="109"/>
      <c r="F10" s="109"/>
      <c r="G10" s="109"/>
      <c r="H10" s="109"/>
    </row>
    <row r="11" spans="1:8" ht="12.75">
      <c r="A11" s="8" t="s">
        <v>6</v>
      </c>
      <c r="B11" s="9"/>
      <c r="C11" s="144" t="s">
        <v>262</v>
      </c>
      <c r="D11" s="10"/>
      <c r="E11" s="109"/>
      <c r="F11" s="109"/>
      <c r="G11" s="109"/>
      <c r="H11" s="109"/>
    </row>
    <row r="12" spans="1:8" ht="12.75">
      <c r="A12" s="8" t="s">
        <v>7</v>
      </c>
      <c r="B12" s="9"/>
      <c r="C12" s="144" t="s">
        <v>263</v>
      </c>
      <c r="D12" s="10"/>
      <c r="E12" s="109"/>
      <c r="F12" s="109"/>
      <c r="G12" s="109"/>
      <c r="H12" s="109"/>
    </row>
    <row r="13" spans="1:8" ht="12.75">
      <c r="A13" s="8" t="s">
        <v>8</v>
      </c>
      <c r="B13" s="9"/>
      <c r="C13" s="144" t="s">
        <v>267</v>
      </c>
      <c r="D13" s="10"/>
      <c r="E13" s="109"/>
      <c r="F13" s="109"/>
      <c r="G13" s="109"/>
      <c r="H13" s="109"/>
    </row>
    <row r="14" spans="1:8" ht="31.5" customHeight="1">
      <c r="A14" s="567" t="s">
        <v>9</v>
      </c>
      <c r="B14" s="567"/>
      <c r="C14" s="567"/>
      <c r="D14" s="567"/>
      <c r="E14" s="109"/>
      <c r="F14" s="109"/>
      <c r="G14" s="109"/>
      <c r="H14" s="109"/>
    </row>
    <row r="15" spans="1:8" ht="25.5">
      <c r="A15" s="11" t="s">
        <v>10</v>
      </c>
      <c r="B15" s="12" t="s">
        <v>11</v>
      </c>
      <c r="C15" s="15">
        <v>3909.49</v>
      </c>
      <c r="D15" s="14"/>
      <c r="E15" s="109"/>
      <c r="F15" s="109"/>
      <c r="G15" s="109"/>
      <c r="H15" s="109"/>
    </row>
    <row r="16" spans="1:8" ht="15">
      <c r="A16" s="8" t="s">
        <v>12</v>
      </c>
      <c r="B16" s="12" t="s">
        <v>11</v>
      </c>
      <c r="C16" s="13">
        <v>0</v>
      </c>
      <c r="D16" s="14"/>
      <c r="E16" s="154"/>
      <c r="F16" s="109"/>
      <c r="G16" s="109"/>
      <c r="H16" s="109"/>
    </row>
    <row r="17" spans="1:8" ht="15">
      <c r="A17" s="8" t="s">
        <v>13</v>
      </c>
      <c r="B17" s="12" t="s">
        <v>11</v>
      </c>
      <c r="C17" s="15">
        <v>8912.9</v>
      </c>
      <c r="D17" s="16"/>
      <c r="E17" s="109"/>
      <c r="F17" s="109"/>
      <c r="G17" s="109"/>
      <c r="H17" s="109"/>
    </row>
    <row r="18" spans="1:8" ht="31.5" customHeight="1">
      <c r="A18" s="17" t="s">
        <v>14</v>
      </c>
      <c r="B18" s="12" t="s">
        <v>11</v>
      </c>
      <c r="C18" s="15">
        <f>13106.82+3052.08</f>
        <v>16158.9</v>
      </c>
      <c r="D18" s="16"/>
      <c r="E18" s="18">
        <f>C18-C20</f>
        <v>12698.13</v>
      </c>
      <c r="F18" s="109"/>
      <c r="G18" s="109"/>
      <c r="H18" s="109"/>
    </row>
    <row r="19" spans="1:8" ht="15">
      <c r="A19" s="8" t="s">
        <v>15</v>
      </c>
      <c r="B19" s="12" t="s">
        <v>11</v>
      </c>
      <c r="C19" s="15">
        <f>C18-C20-C21</f>
        <v>6689.669999999998</v>
      </c>
      <c r="D19" s="16"/>
      <c r="E19" s="18">
        <f>E18-E38</f>
        <v>0</v>
      </c>
      <c r="F19" s="109"/>
      <c r="G19" s="109"/>
      <c r="H19" s="109"/>
    </row>
    <row r="20" spans="1:8" ht="15">
      <c r="A20" s="8" t="s">
        <v>16</v>
      </c>
      <c r="B20" s="12" t="s">
        <v>11</v>
      </c>
      <c r="C20" s="15">
        <f>(0.34+0.23)*6*119.5+3052.08</f>
        <v>3460.77</v>
      </c>
      <c r="D20" s="16"/>
      <c r="E20" s="149"/>
      <c r="F20" s="109"/>
      <c r="G20" s="109"/>
      <c r="H20" s="109"/>
    </row>
    <row r="21" spans="1:8" ht="15">
      <c r="A21" s="8" t="s">
        <v>17</v>
      </c>
      <c r="B21" s="12" t="s">
        <v>11</v>
      </c>
      <c r="C21" s="19">
        <f>119.5*4.19*12</f>
        <v>6008.460000000001</v>
      </c>
      <c r="D21" s="16"/>
      <c r="E21" s="59"/>
      <c r="F21" s="109"/>
      <c r="G21" s="109"/>
      <c r="H21" s="109"/>
    </row>
    <row r="22" spans="1:8" ht="15">
      <c r="A22" s="20" t="s">
        <v>18</v>
      </c>
      <c r="B22" s="12" t="s">
        <v>11</v>
      </c>
      <c r="C22" s="15">
        <f>C23+C24+C25+C26+C27</f>
        <v>14777.314049999999</v>
      </c>
      <c r="D22" s="16" t="s">
        <v>19</v>
      </c>
      <c r="E22" s="110"/>
      <c r="F22" s="109"/>
      <c r="G22" s="109"/>
      <c r="H22" s="109"/>
    </row>
    <row r="23" spans="1:8" ht="15">
      <c r="A23" s="8" t="s">
        <v>20</v>
      </c>
      <c r="B23" s="12" t="s">
        <v>11</v>
      </c>
      <c r="C23" s="15">
        <f>C18*0.9145</f>
        <v>14777.314049999999</v>
      </c>
      <c r="D23" s="16"/>
      <c r="E23" s="109"/>
      <c r="F23" s="109"/>
      <c r="G23" s="109"/>
      <c r="H23" s="109"/>
    </row>
    <row r="24" spans="1:8" ht="15">
      <c r="A24" s="8" t="s">
        <v>21</v>
      </c>
      <c r="B24" s="12" t="s">
        <v>11</v>
      </c>
      <c r="C24" s="15">
        <v>0</v>
      </c>
      <c r="D24" s="21">
        <v>65.21</v>
      </c>
      <c r="E24" s="111"/>
      <c r="F24" s="109"/>
      <c r="G24" s="109"/>
      <c r="H24" s="109" t="s">
        <v>22</v>
      </c>
    </row>
    <row r="25" spans="1:8" ht="15">
      <c r="A25" s="8" t="s">
        <v>23</v>
      </c>
      <c r="B25" s="12" t="s">
        <v>11</v>
      </c>
      <c r="C25" s="15">
        <v>0</v>
      </c>
      <c r="D25" s="21">
        <v>119.63</v>
      </c>
      <c r="E25" s="111"/>
      <c r="F25" s="109"/>
      <c r="G25" s="109"/>
      <c r="H25" s="109"/>
    </row>
    <row r="26" spans="1:8" ht="15">
      <c r="A26" s="9" t="s">
        <v>24</v>
      </c>
      <c r="B26" s="12" t="s">
        <v>11</v>
      </c>
      <c r="C26" s="15">
        <v>0</v>
      </c>
      <c r="D26" s="21"/>
      <c r="E26" s="111"/>
      <c r="F26" s="109"/>
      <c r="G26" s="109"/>
      <c r="H26" s="109"/>
    </row>
    <row r="27" spans="1:8" ht="16.5" customHeight="1">
      <c r="A27" s="98" t="s">
        <v>96</v>
      </c>
      <c r="B27" s="12" t="s">
        <v>11</v>
      </c>
      <c r="C27" s="15">
        <v>0</v>
      </c>
      <c r="D27" s="21">
        <v>139.18</v>
      </c>
      <c r="E27" s="111" t="e">
        <f>B27/#REF!*1</f>
        <v>#VALUE!</v>
      </c>
      <c r="F27" s="109"/>
      <c r="G27" s="109"/>
      <c r="H27" s="109"/>
    </row>
    <row r="28" spans="1:8" ht="15">
      <c r="A28" s="8" t="s">
        <v>25</v>
      </c>
      <c r="B28" s="12" t="s">
        <v>11</v>
      </c>
      <c r="C28" s="15">
        <f>C15+C22</f>
        <v>18686.80405</v>
      </c>
      <c r="D28" s="16" t="s">
        <v>26</v>
      </c>
      <c r="E28" s="111" t="e">
        <f>B28/#REF!*1</f>
        <v>#VALUE!</v>
      </c>
      <c r="F28" s="109"/>
      <c r="G28" s="109"/>
      <c r="H28" s="109"/>
    </row>
    <row r="29" spans="1:8" ht="35.25" customHeight="1">
      <c r="A29" s="568" t="s">
        <v>27</v>
      </c>
      <c r="B29" s="568"/>
      <c r="C29" s="568"/>
      <c r="D29" s="568"/>
      <c r="E29" s="109"/>
      <c r="F29" s="109"/>
      <c r="G29" s="109"/>
      <c r="H29" s="109"/>
    </row>
    <row r="30" spans="1:8" ht="60">
      <c r="A30" s="22" t="s">
        <v>28</v>
      </c>
      <c r="B30" s="23" t="s">
        <v>29</v>
      </c>
      <c r="C30" s="24" t="s">
        <v>30</v>
      </c>
      <c r="D30" s="25" t="s">
        <v>31</v>
      </c>
      <c r="E30" s="109"/>
      <c r="F30" s="109"/>
      <c r="G30" s="109"/>
      <c r="H30" s="109"/>
    </row>
    <row r="31" spans="1:8" ht="15">
      <c r="A31" s="26" t="s">
        <v>32</v>
      </c>
      <c r="B31" s="27" t="s">
        <v>33</v>
      </c>
      <c r="C31" s="28" t="s">
        <v>34</v>
      </c>
      <c r="D31" s="92">
        <f>(0.85+0.9)*6*119.5</f>
        <v>1254.75</v>
      </c>
      <c r="E31" s="109"/>
      <c r="F31" s="109"/>
      <c r="G31" s="109"/>
      <c r="H31" s="109"/>
    </row>
    <row r="32" spans="1:8" ht="15">
      <c r="A32" s="29" t="s">
        <v>36</v>
      </c>
      <c r="B32" s="30" t="s">
        <v>33</v>
      </c>
      <c r="C32" s="31" t="s">
        <v>37</v>
      </c>
      <c r="D32" s="93">
        <f>0.24*12*119.5</f>
        <v>344.15999999999997</v>
      </c>
      <c r="E32" s="109"/>
      <c r="F32" s="109"/>
      <c r="G32" s="109"/>
      <c r="H32" s="109"/>
    </row>
    <row r="33" spans="1:8" ht="15">
      <c r="A33" s="153" t="s">
        <v>250</v>
      </c>
      <c r="B33" s="30" t="s">
        <v>33</v>
      </c>
      <c r="C33" s="31" t="s">
        <v>34</v>
      </c>
      <c r="D33" s="93">
        <f>(1.2+1)*6*119.5</f>
        <v>1577.4</v>
      </c>
      <c r="E33" s="109"/>
      <c r="F33" s="109"/>
      <c r="G33" s="109"/>
      <c r="H33" s="109"/>
    </row>
    <row r="34" spans="1:8" ht="15">
      <c r="A34" s="29" t="s">
        <v>81</v>
      </c>
      <c r="B34" s="91" t="s">
        <v>82</v>
      </c>
      <c r="C34" s="31" t="s">
        <v>34</v>
      </c>
      <c r="D34" s="93">
        <f>1.33*12*119.5</f>
        <v>1907.22</v>
      </c>
      <c r="E34" s="109"/>
      <c r="F34" s="109"/>
      <c r="G34" s="109"/>
      <c r="H34" s="109"/>
    </row>
    <row r="35" spans="1:8" ht="15">
      <c r="A35" s="29" t="s">
        <v>38</v>
      </c>
      <c r="B35" s="30" t="s">
        <v>35</v>
      </c>
      <c r="C35" s="364" t="s">
        <v>221</v>
      </c>
      <c r="D35" s="93">
        <f>4.19*119.5*12</f>
        <v>6008.460000000001</v>
      </c>
      <c r="E35" s="109"/>
      <c r="F35" s="109"/>
      <c r="G35" s="109"/>
      <c r="H35" s="109"/>
    </row>
    <row r="36" spans="1:8" ht="15">
      <c r="A36" s="29" t="s">
        <v>85</v>
      </c>
      <c r="B36" s="30" t="s">
        <v>222</v>
      </c>
      <c r="C36" s="32" t="s">
        <v>37</v>
      </c>
      <c r="D36" s="93">
        <f>119.5*12*1.12+0.06</f>
        <v>1606.14</v>
      </c>
      <c r="E36" s="109"/>
      <c r="F36" s="109"/>
      <c r="G36" s="109"/>
      <c r="H36" s="109"/>
    </row>
    <row r="37" spans="1:14" s="1" customFormat="1" ht="45">
      <c r="A37" s="147" t="s">
        <v>217</v>
      </c>
      <c r="B37" s="34" t="s">
        <v>41</v>
      </c>
      <c r="C37" s="31" t="s">
        <v>34</v>
      </c>
      <c r="D37" s="36">
        <v>0</v>
      </c>
      <c r="E37" s="109"/>
      <c r="F37" s="109"/>
      <c r="G37" s="109"/>
      <c r="H37" s="109"/>
      <c r="K37"/>
      <c r="L37"/>
      <c r="M37"/>
      <c r="N37"/>
    </row>
    <row r="38" spans="1:14" s="1" customFormat="1" ht="15.75">
      <c r="A38" s="37" t="s">
        <v>42</v>
      </c>
      <c r="B38" s="38"/>
      <c r="C38" s="39"/>
      <c r="D38" s="97">
        <f>SUM(D31:D37)</f>
        <v>12698.130000000001</v>
      </c>
      <c r="E38" s="112">
        <f>D38-D37</f>
        <v>12698.130000000001</v>
      </c>
      <c r="F38" s="109"/>
      <c r="G38" s="109"/>
      <c r="H38" s="109"/>
      <c r="K38"/>
      <c r="L38"/>
      <c r="M38"/>
      <c r="N38"/>
    </row>
    <row r="39" spans="1:14" s="1" customFormat="1" ht="15">
      <c r="A39" s="40" t="s">
        <v>43</v>
      </c>
      <c r="B39" s="41" t="s">
        <v>11</v>
      </c>
      <c r="C39" s="42"/>
      <c r="D39" s="43">
        <f>C28-D38</f>
        <v>5988.674049999998</v>
      </c>
      <c r="E39" s="112"/>
      <c r="F39" s="109"/>
      <c r="G39" s="109"/>
      <c r="H39" s="109"/>
      <c r="K39"/>
      <c r="L39"/>
      <c r="M39"/>
      <c r="N39"/>
    </row>
    <row r="40" spans="1:14" s="1" customFormat="1" ht="15">
      <c r="A40" s="45" t="s">
        <v>12</v>
      </c>
      <c r="B40" s="46" t="s">
        <v>11</v>
      </c>
      <c r="C40" s="31"/>
      <c r="D40" s="14"/>
      <c r="E40" s="109"/>
      <c r="F40" s="109"/>
      <c r="G40" s="109"/>
      <c r="H40" s="109"/>
      <c r="K40"/>
      <c r="L40"/>
      <c r="M40"/>
      <c r="N40"/>
    </row>
    <row r="41" spans="1:14" s="1" customFormat="1" ht="15">
      <c r="A41" s="45" t="s">
        <v>13</v>
      </c>
      <c r="B41" s="46" t="s">
        <v>11</v>
      </c>
      <c r="C41" s="31"/>
      <c r="D41" s="16">
        <f>C17+C18-C23</f>
        <v>10294.48595</v>
      </c>
      <c r="E41" s="109"/>
      <c r="F41" s="109"/>
      <c r="G41" s="109"/>
      <c r="H41" s="109"/>
      <c r="K41"/>
      <c r="L41"/>
      <c r="M41"/>
      <c r="N41"/>
    </row>
    <row r="42" spans="1:14" s="1" customFormat="1" ht="24" customHeight="1">
      <c r="A42" s="569" t="s">
        <v>44</v>
      </c>
      <c r="B42" s="569"/>
      <c r="C42" s="569"/>
      <c r="D42" s="569"/>
      <c r="E42" s="109"/>
      <c r="F42" s="109"/>
      <c r="G42" s="109"/>
      <c r="H42" s="109"/>
      <c r="K42"/>
      <c r="L42"/>
      <c r="M42"/>
      <c r="N42"/>
    </row>
    <row r="43" spans="1:14" s="1" customFormat="1" ht="15">
      <c r="A43" s="45" t="s">
        <v>45</v>
      </c>
      <c r="B43" s="30" t="s">
        <v>46</v>
      </c>
      <c r="C43" s="31">
        <v>0</v>
      </c>
      <c r="D43" s="14">
        <v>0</v>
      </c>
      <c r="E43" s="109"/>
      <c r="F43" s="109"/>
      <c r="G43" s="109"/>
      <c r="H43" s="109"/>
      <c r="K43"/>
      <c r="L43"/>
      <c r="M43"/>
      <c r="N43"/>
    </row>
    <row r="44" spans="1:14" s="1" customFormat="1" ht="15">
      <c r="A44" s="45" t="s">
        <v>47</v>
      </c>
      <c r="B44" s="30" t="s">
        <v>46</v>
      </c>
      <c r="C44" s="31">
        <v>0</v>
      </c>
      <c r="D44" s="14">
        <v>0</v>
      </c>
      <c r="E44" s="109"/>
      <c r="F44" s="109"/>
      <c r="G44" s="109"/>
      <c r="H44" s="109"/>
      <c r="K44"/>
      <c r="L44"/>
      <c r="M44"/>
      <c r="N44"/>
    </row>
    <row r="45" spans="1:14" s="1" customFormat="1" ht="15">
      <c r="A45" s="47" t="s">
        <v>48</v>
      </c>
      <c r="B45" s="30" t="s">
        <v>46</v>
      </c>
      <c r="C45" s="31">
        <v>0</v>
      </c>
      <c r="D45" s="14">
        <v>0</v>
      </c>
      <c r="E45" s="109"/>
      <c r="F45" s="109"/>
      <c r="G45" s="109"/>
      <c r="H45" s="109"/>
      <c r="K45"/>
      <c r="L45"/>
      <c r="M45"/>
      <c r="N45"/>
    </row>
    <row r="46" spans="1:14" s="1" customFormat="1" ht="15">
      <c r="A46" s="45" t="s">
        <v>49</v>
      </c>
      <c r="B46" s="30" t="s">
        <v>11</v>
      </c>
      <c r="C46" s="31">
        <v>0</v>
      </c>
      <c r="D46" s="14">
        <v>0</v>
      </c>
      <c r="E46" s="109"/>
      <c r="F46" s="109"/>
      <c r="G46" s="109"/>
      <c r="H46" s="109"/>
      <c r="K46"/>
      <c r="L46"/>
      <c r="M46"/>
      <c r="N46"/>
    </row>
    <row r="47" spans="1:8" ht="20.25" customHeight="1">
      <c r="A47" s="570" t="s">
        <v>50</v>
      </c>
      <c r="B47" s="570"/>
      <c r="C47" s="570"/>
      <c r="D47" s="570"/>
      <c r="E47" s="109"/>
      <c r="F47" s="109"/>
      <c r="G47" s="109"/>
      <c r="H47" s="109"/>
    </row>
    <row r="48" spans="1:8" ht="25.5">
      <c r="A48" s="47" t="s">
        <v>51</v>
      </c>
      <c r="B48" s="30" t="s">
        <v>11</v>
      </c>
      <c r="C48" s="31"/>
      <c r="D48" s="14">
        <v>0</v>
      </c>
      <c r="E48" s="109"/>
      <c r="F48" s="109"/>
      <c r="G48" s="109"/>
      <c r="H48" s="109"/>
    </row>
    <row r="49" spans="1:8" ht="15">
      <c r="A49" s="45" t="s">
        <v>12</v>
      </c>
      <c r="B49" s="30" t="s">
        <v>11</v>
      </c>
      <c r="C49" s="31"/>
      <c r="D49" s="14">
        <v>0</v>
      </c>
      <c r="E49" s="109"/>
      <c r="F49" s="109"/>
      <c r="G49" s="109"/>
      <c r="H49" s="109"/>
    </row>
    <row r="50" spans="1:8" ht="15">
      <c r="A50" s="45" t="s">
        <v>13</v>
      </c>
      <c r="B50" s="30" t="s">
        <v>11</v>
      </c>
      <c r="C50" s="31"/>
      <c r="D50" s="58">
        <f>D53-D56-D57-D58-D59</f>
        <v>39283.920885</v>
      </c>
      <c r="E50" s="109"/>
      <c r="F50" s="109"/>
      <c r="G50" s="109"/>
      <c r="H50" s="113"/>
    </row>
    <row r="51" spans="1:8" ht="25.5">
      <c r="A51" s="50" t="s">
        <v>52</v>
      </c>
      <c r="B51" s="30" t="s">
        <v>11</v>
      </c>
      <c r="C51" s="51"/>
      <c r="D51" s="52">
        <v>0</v>
      </c>
      <c r="E51" s="109"/>
      <c r="F51" s="109"/>
      <c r="G51" s="109"/>
      <c r="H51" s="109"/>
    </row>
    <row r="52" spans="1:10" ht="17.25" customHeight="1">
      <c r="A52" s="53" t="s">
        <v>12</v>
      </c>
      <c r="B52" s="30" t="s">
        <v>11</v>
      </c>
      <c r="C52" s="31"/>
      <c r="D52" s="179"/>
      <c r="E52" s="109"/>
      <c r="F52" s="109"/>
      <c r="G52" s="109"/>
      <c r="H52" s="109"/>
      <c r="I52" s="49"/>
      <c r="J52" s="49"/>
    </row>
    <row r="53" spans="1:14" ht="15">
      <c r="A53" s="56" t="s">
        <v>13</v>
      </c>
      <c r="B53" s="30" t="s">
        <v>11</v>
      </c>
      <c r="C53" s="57"/>
      <c r="D53" s="58">
        <v>40803.78</v>
      </c>
      <c r="E53" s="109"/>
      <c r="F53" s="109"/>
      <c r="G53" s="109"/>
      <c r="H53" s="109" t="s">
        <v>26</v>
      </c>
      <c r="I53" s="60"/>
      <c r="J53" s="60"/>
      <c r="K53" s="61"/>
      <c r="L53" s="61"/>
      <c r="M53" s="61"/>
      <c r="N53" s="61"/>
    </row>
    <row r="54" spans="1:14" ht="18" customHeight="1">
      <c r="A54" s="571" t="s">
        <v>53</v>
      </c>
      <c r="B54" s="571"/>
      <c r="C54" s="571"/>
      <c r="D54" s="571"/>
      <c r="E54" s="114"/>
      <c r="F54" s="115"/>
      <c r="G54" s="116"/>
      <c r="H54" s="109"/>
      <c r="I54" s="65"/>
      <c r="J54" s="65"/>
      <c r="K54" s="66"/>
      <c r="L54" s="66"/>
      <c r="M54" s="66"/>
      <c r="N54" s="66"/>
    </row>
    <row r="55" spans="1:14" ht="47.25">
      <c r="A55" s="67" t="s">
        <v>54</v>
      </c>
      <c r="B55" s="68" t="s">
        <v>55</v>
      </c>
      <c r="C55" s="69" t="s">
        <v>56</v>
      </c>
      <c r="D55" s="70" t="s">
        <v>57</v>
      </c>
      <c r="E55" s="114"/>
      <c r="F55" s="115"/>
      <c r="G55" s="116"/>
      <c r="H55" s="109"/>
      <c r="I55" s="65"/>
      <c r="J55" s="71"/>
      <c r="K55" s="66"/>
      <c r="L55" s="66"/>
      <c r="M55" s="66"/>
      <c r="N55" s="66"/>
    </row>
    <row r="56" spans="1:14" ht="15">
      <c r="A56" s="72" t="s">
        <v>58</v>
      </c>
      <c r="B56" s="99">
        <v>801.39</v>
      </c>
      <c r="C56" s="100">
        <f>B56*0.9145</f>
        <v>732.8711549999999</v>
      </c>
      <c r="D56" s="101">
        <f>B56-C56</f>
        <v>68.51884500000006</v>
      </c>
      <c r="E56" s="117"/>
      <c r="F56" s="115"/>
      <c r="G56" s="116"/>
      <c r="H56" s="109"/>
      <c r="I56" s="65"/>
      <c r="J56" s="65"/>
      <c r="K56" s="66"/>
      <c r="L56" s="66"/>
      <c r="M56" s="66"/>
      <c r="N56" s="66"/>
    </row>
    <row r="57" spans="1:14" ht="15">
      <c r="A57" s="72" t="s">
        <v>59</v>
      </c>
      <c r="B57" s="99">
        <v>836.97</v>
      </c>
      <c r="C57" s="100">
        <f>B57*0.9145</f>
        <v>765.409065</v>
      </c>
      <c r="D57" s="101">
        <f>B57-C57</f>
        <v>71.56093499999997</v>
      </c>
      <c r="E57" s="114"/>
      <c r="F57" s="115"/>
      <c r="G57" s="116"/>
      <c r="H57" s="109"/>
      <c r="I57" s="65"/>
      <c r="J57" s="65"/>
      <c r="K57" s="66"/>
      <c r="L57" s="66"/>
      <c r="M57" s="66"/>
      <c r="N57" s="66"/>
    </row>
    <row r="58" spans="1:14" ht="15">
      <c r="A58" s="72" t="s">
        <v>60</v>
      </c>
      <c r="B58" s="102">
        <v>9443.52</v>
      </c>
      <c r="C58" s="100">
        <f>B58*0.9145</f>
        <v>8636.099040000001</v>
      </c>
      <c r="D58" s="101">
        <f>B58-C58</f>
        <v>807.4209599999995</v>
      </c>
      <c r="E58" s="114">
        <f>(2.07+1.8)*6*2301.2-0.37*2301.2*6</f>
        <v>48325.2</v>
      </c>
      <c r="F58" s="118"/>
      <c r="G58" s="119"/>
      <c r="H58" s="114"/>
      <c r="I58" s="65"/>
      <c r="J58" s="65"/>
      <c r="K58" s="66"/>
      <c r="L58" s="66"/>
      <c r="M58" s="66"/>
      <c r="N58" s="66"/>
    </row>
    <row r="59" spans="1:14" ht="15.75" thickBot="1">
      <c r="A59" s="125" t="s">
        <v>236</v>
      </c>
      <c r="B59" s="126">
        <v>6694.25</v>
      </c>
      <c r="C59" s="100">
        <f>B59*0.9145</f>
        <v>6121.891625</v>
      </c>
      <c r="D59" s="128">
        <f>B59-C59</f>
        <v>572.3583749999998</v>
      </c>
      <c r="E59" s="114"/>
      <c r="F59" s="118"/>
      <c r="G59" s="119"/>
      <c r="H59" s="109"/>
      <c r="I59" s="65"/>
      <c r="J59" s="65"/>
      <c r="K59" s="66"/>
      <c r="L59" s="66"/>
      <c r="M59" s="66"/>
      <c r="N59" s="66"/>
    </row>
    <row r="60" spans="1:14" ht="63">
      <c r="A60" s="129" t="s">
        <v>62</v>
      </c>
      <c r="B60" s="130" t="s">
        <v>63</v>
      </c>
      <c r="C60" s="131" t="s">
        <v>64</v>
      </c>
      <c r="D60" s="132" t="s">
        <v>65</v>
      </c>
      <c r="E60" s="114"/>
      <c r="F60" s="118"/>
      <c r="G60" s="109"/>
      <c r="H60" s="120"/>
      <c r="I60" s="65"/>
      <c r="J60" s="65"/>
      <c r="K60" s="66"/>
      <c r="L60" s="66"/>
      <c r="M60" s="66"/>
      <c r="N60" s="66"/>
    </row>
    <row r="61" spans="1:14" ht="15">
      <c r="A61" s="133" t="s">
        <v>58</v>
      </c>
      <c r="B61" s="104">
        <f>B56</f>
        <v>801.39</v>
      </c>
      <c r="C61" s="105">
        <f>B61</f>
        <v>801.39</v>
      </c>
      <c r="D61" s="134">
        <f>B61-C61</f>
        <v>0</v>
      </c>
      <c r="E61" s="114"/>
      <c r="F61" s="118"/>
      <c r="G61" s="109"/>
      <c r="H61" s="120"/>
      <c r="I61" s="65"/>
      <c r="J61" s="65" t="s">
        <v>26</v>
      </c>
      <c r="K61" s="66"/>
      <c r="L61" s="66"/>
      <c r="M61" s="66"/>
      <c r="N61" s="66"/>
    </row>
    <row r="62" spans="1:14" ht="15">
      <c r="A62" s="133" t="s">
        <v>59</v>
      </c>
      <c r="B62" s="104">
        <f>B57</f>
        <v>836.97</v>
      </c>
      <c r="C62" s="105">
        <f>B62</f>
        <v>836.97</v>
      </c>
      <c r="D62" s="134">
        <f>B62-C62</f>
        <v>0</v>
      </c>
      <c r="E62" s="114"/>
      <c r="F62" s="118"/>
      <c r="G62" s="109"/>
      <c r="H62" s="120"/>
      <c r="I62" s="65"/>
      <c r="J62" s="65"/>
      <c r="K62" s="66"/>
      <c r="L62" s="66"/>
      <c r="M62" s="66"/>
      <c r="N62" s="66"/>
    </row>
    <row r="63" spans="1:14" ht="15">
      <c r="A63" s="133" t="s">
        <v>60</v>
      </c>
      <c r="B63" s="104">
        <f>B58</f>
        <v>9443.52</v>
      </c>
      <c r="C63" s="105">
        <f>B63</f>
        <v>9443.52</v>
      </c>
      <c r="D63" s="134">
        <f>B63-C63</f>
        <v>0</v>
      </c>
      <c r="E63" s="114"/>
      <c r="F63" s="118"/>
      <c r="G63" s="109"/>
      <c r="H63" s="120"/>
      <c r="I63" s="65"/>
      <c r="J63" s="65"/>
      <c r="K63" s="66"/>
      <c r="L63" s="66"/>
      <c r="M63" s="66"/>
      <c r="N63" s="66"/>
    </row>
    <row r="64" spans="1:14" ht="15">
      <c r="A64" s="125" t="s">
        <v>236</v>
      </c>
      <c r="B64" s="126">
        <f>B59</f>
        <v>6694.25</v>
      </c>
      <c r="C64" s="100">
        <f>C59</f>
        <v>6121.891625</v>
      </c>
      <c r="D64" s="128">
        <f>B64-C64</f>
        <v>572.3583749999998</v>
      </c>
      <c r="E64" s="114"/>
      <c r="F64" s="118"/>
      <c r="G64" s="109"/>
      <c r="H64" s="120"/>
      <c r="I64" s="65"/>
      <c r="J64" s="65"/>
      <c r="K64" s="66"/>
      <c r="L64" s="66"/>
      <c r="M64" s="66"/>
      <c r="N64" s="66"/>
    </row>
    <row r="65" spans="1:14" ht="15">
      <c r="A65" s="78"/>
      <c r="B65" s="78"/>
      <c r="C65" s="78"/>
      <c r="D65" s="79"/>
      <c r="E65" s="62"/>
      <c r="F65" s="73"/>
      <c r="H65" s="65"/>
      <c r="I65" s="65"/>
      <c r="J65" s="65"/>
      <c r="K65" s="66"/>
      <c r="L65" s="66"/>
      <c r="M65" s="66"/>
      <c r="N65" s="66"/>
    </row>
    <row r="66" spans="1:14" ht="25.5">
      <c r="A66" s="80" t="s">
        <v>66</v>
      </c>
      <c r="B66" s="76" t="s">
        <v>11</v>
      </c>
      <c r="C66" s="81"/>
      <c r="D66" s="82">
        <v>0</v>
      </c>
      <c r="E66" s="62"/>
      <c r="F66" s="73"/>
      <c r="H66" s="65"/>
      <c r="I66" s="65"/>
      <c r="J66" s="65" t="s">
        <v>26</v>
      </c>
      <c r="K66" s="66"/>
      <c r="L66" s="66"/>
      <c r="M66" s="66"/>
      <c r="N66" s="66"/>
    </row>
    <row r="67" spans="1:14" ht="17.25" customHeight="1">
      <c r="A67" s="572" t="s">
        <v>67</v>
      </c>
      <c r="B67" s="572"/>
      <c r="C67" s="572"/>
      <c r="D67" s="572"/>
      <c r="E67" s="83" t="e">
        <f>D67+B19</f>
        <v>#VALUE!</v>
      </c>
      <c r="F67" s="65"/>
      <c r="H67" s="84" t="e">
        <f>E67-B18</f>
        <v>#VALUE!</v>
      </c>
      <c r="I67" s="65"/>
      <c r="J67" s="65"/>
      <c r="K67" s="66"/>
      <c r="L67" s="66"/>
      <c r="M67" s="66"/>
      <c r="N67" s="66"/>
    </row>
    <row r="68" spans="1:5" ht="21" customHeight="1">
      <c r="A68" s="85" t="s">
        <v>45</v>
      </c>
      <c r="B68" s="85" t="s">
        <v>46</v>
      </c>
      <c r="C68" s="86"/>
      <c r="D68" s="177">
        <v>0</v>
      </c>
      <c r="E68" s="88"/>
    </row>
    <row r="69" spans="1:5" ht="21" customHeight="1">
      <c r="A69" s="85" t="s">
        <v>47</v>
      </c>
      <c r="B69" s="85" t="s">
        <v>46</v>
      </c>
      <c r="C69" s="85"/>
      <c r="D69" s="177">
        <v>0</v>
      </c>
      <c r="E69" s="88"/>
    </row>
    <row r="70" spans="1:5" ht="18" customHeight="1">
      <c r="A70" s="85" t="s">
        <v>48</v>
      </c>
      <c r="B70" s="85" t="s">
        <v>46</v>
      </c>
      <c r="C70" s="85"/>
      <c r="D70" s="177">
        <v>0</v>
      </c>
      <c r="E70" s="88"/>
    </row>
    <row r="71" spans="1:5" ht="16.5" customHeight="1">
      <c r="A71" s="85" t="s">
        <v>49</v>
      </c>
      <c r="B71" s="85" t="s">
        <v>11</v>
      </c>
      <c r="C71" s="85"/>
      <c r="D71" s="177">
        <v>0</v>
      </c>
      <c r="E71" s="88"/>
    </row>
    <row r="72" spans="1:5" ht="15.75" customHeight="1">
      <c r="A72" s="566" t="s">
        <v>68</v>
      </c>
      <c r="B72" s="566"/>
      <c r="C72" s="566"/>
      <c r="D72" s="566"/>
      <c r="E72" s="88"/>
    </row>
    <row r="73" spans="1:5" ht="18.75" customHeight="1">
      <c r="A73" s="85" t="s">
        <v>69</v>
      </c>
      <c r="B73" s="85" t="s">
        <v>46</v>
      </c>
      <c r="C73" s="85"/>
      <c r="D73" s="177">
        <v>2</v>
      </c>
      <c r="E73" s="88"/>
    </row>
    <row r="74" spans="1:5" ht="21.75" customHeight="1">
      <c r="A74" s="85" t="s">
        <v>70</v>
      </c>
      <c r="B74" s="53" t="s">
        <v>46</v>
      </c>
      <c r="C74" s="53"/>
      <c r="D74" s="177">
        <v>2</v>
      </c>
      <c r="E74" s="88"/>
    </row>
    <row r="75" spans="1:5" ht="36" customHeight="1">
      <c r="A75" s="89" t="s">
        <v>71</v>
      </c>
      <c r="B75" s="85" t="s">
        <v>11</v>
      </c>
      <c r="C75" s="85"/>
      <c r="D75" s="177">
        <v>2000</v>
      </c>
      <c r="E75" s="88"/>
    </row>
    <row r="76" spans="1:4" ht="15">
      <c r="A76" s="66"/>
      <c r="B76" s="66"/>
      <c r="C76" s="66"/>
      <c r="D76" s="90"/>
    </row>
    <row r="77" spans="1:14" s="1" customFormat="1" ht="12.75">
      <c r="A77"/>
      <c r="B77"/>
      <c r="C77"/>
      <c r="D77"/>
      <c r="H77" s="1" t="s">
        <v>26</v>
      </c>
      <c r="K77"/>
      <c r="L77"/>
      <c r="M77"/>
      <c r="N77"/>
    </row>
    <row r="78" spans="1:14" s="1" customFormat="1" ht="12.75">
      <c r="A78" t="s">
        <v>72</v>
      </c>
      <c r="B78"/>
      <c r="C78"/>
      <c r="D78"/>
      <c r="K78"/>
      <c r="L78"/>
      <c r="M78"/>
      <c r="N78"/>
    </row>
    <row r="79" spans="1:14" s="1" customFormat="1" ht="12.75">
      <c r="A79"/>
      <c r="B79"/>
      <c r="C79"/>
      <c r="D79"/>
      <c r="H79" s="1" t="s">
        <v>26</v>
      </c>
      <c r="K79"/>
      <c r="L79"/>
      <c r="M79"/>
      <c r="N79"/>
    </row>
    <row r="80" spans="1:14" s="1" customFormat="1" ht="12.75">
      <c r="A80" t="s">
        <v>73</v>
      </c>
      <c r="B80"/>
      <c r="C80"/>
      <c r="D80"/>
      <c r="K80"/>
      <c r="L80"/>
      <c r="M80"/>
      <c r="N80"/>
    </row>
    <row r="84" spans="1:14" s="1" customFormat="1" ht="12.75">
      <c r="A84"/>
      <c r="B84"/>
      <c r="C84"/>
      <c r="D84"/>
      <c r="E84" s="1" t="s">
        <v>26</v>
      </c>
      <c r="K84"/>
      <c r="L84"/>
      <c r="M84"/>
      <c r="N84"/>
    </row>
  </sheetData>
  <sheetProtection selectLockedCells="1" selectUnlockedCells="1"/>
  <mergeCells count="13">
    <mergeCell ref="A72:D72"/>
    <mergeCell ref="A14:D14"/>
    <mergeCell ref="A29:D29"/>
    <mergeCell ref="A42:D42"/>
    <mergeCell ref="A47:D47"/>
    <mergeCell ref="A54:D54"/>
    <mergeCell ref="A67:D67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zoomScale="80" zoomScaleNormal="80" zoomScalePageLayoutView="0" workbookViewId="0" topLeftCell="A22">
      <selection activeCell="D39" sqref="D39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560" t="s">
        <v>0</v>
      </c>
      <c r="B1" s="560"/>
      <c r="C1" s="560"/>
      <c r="D1" s="560"/>
    </row>
    <row r="2" spans="1:4" ht="15.75">
      <c r="A2" s="561" t="s">
        <v>220</v>
      </c>
      <c r="B2" s="562"/>
      <c r="C2" s="562"/>
      <c r="D2" s="562"/>
    </row>
    <row r="3" spans="1:4" ht="15.75">
      <c r="A3" s="562" t="s">
        <v>1</v>
      </c>
      <c r="B3" s="562"/>
      <c r="C3" s="562"/>
      <c r="D3" s="562"/>
    </row>
    <row r="4" spans="1:4" ht="12.75">
      <c r="A4" s="563" t="s">
        <v>127</v>
      </c>
      <c r="B4" s="563"/>
      <c r="C4" s="563"/>
      <c r="D4" s="563"/>
    </row>
    <row r="5" spans="1:4" ht="12.75">
      <c r="A5" s="564" t="s">
        <v>266</v>
      </c>
      <c r="B5" s="563"/>
      <c r="C5" s="563"/>
      <c r="D5" s="563"/>
    </row>
    <row r="6" ht="9" customHeight="1">
      <c r="A6" s="2"/>
    </row>
    <row r="7" spans="1:4" ht="18" customHeight="1">
      <c r="A7" s="565" t="s">
        <v>2</v>
      </c>
      <c r="B7" s="565"/>
      <c r="C7" s="565"/>
      <c r="D7" s="565"/>
    </row>
    <row r="8" spans="1:3" ht="12.75">
      <c r="A8" s="2" t="s">
        <v>185</v>
      </c>
      <c r="C8" s="3"/>
    </row>
    <row r="9" spans="1:4" ht="12.75">
      <c r="A9" s="4" t="s">
        <v>3</v>
      </c>
      <c r="B9" s="4" t="s">
        <v>4</v>
      </c>
      <c r="C9" s="4" t="s">
        <v>5</v>
      </c>
      <c r="D9" s="5"/>
    </row>
    <row r="10" spans="1:4" ht="12.75">
      <c r="A10" s="6">
        <v>1</v>
      </c>
      <c r="B10" s="6">
        <v>2</v>
      </c>
      <c r="C10" s="6">
        <v>3</v>
      </c>
      <c r="D10" s="7">
        <v>4</v>
      </c>
    </row>
    <row r="11" spans="1:4" ht="12.75">
      <c r="A11" s="8" t="s">
        <v>6</v>
      </c>
      <c r="B11" s="9"/>
      <c r="C11" s="144" t="s">
        <v>262</v>
      </c>
      <c r="D11" s="10"/>
    </row>
    <row r="12" spans="1:4" ht="12.75">
      <c r="A12" s="8" t="s">
        <v>7</v>
      </c>
      <c r="B12" s="9"/>
      <c r="C12" s="144" t="s">
        <v>263</v>
      </c>
      <c r="D12" s="10"/>
    </row>
    <row r="13" spans="1:4" ht="12.75">
      <c r="A13" s="8" t="s">
        <v>8</v>
      </c>
      <c r="B13" s="9"/>
      <c r="C13" s="144" t="s">
        <v>267</v>
      </c>
      <c r="D13" s="10"/>
    </row>
    <row r="14" spans="1:4" ht="31.5" customHeight="1">
      <c r="A14" s="567" t="s">
        <v>9</v>
      </c>
      <c r="B14" s="567"/>
      <c r="C14" s="567"/>
      <c r="D14" s="567"/>
    </row>
    <row r="15" spans="1:5" ht="25.5">
      <c r="A15" s="11" t="s">
        <v>10</v>
      </c>
      <c r="B15" s="12" t="s">
        <v>11</v>
      </c>
      <c r="C15" s="13">
        <v>25075.39</v>
      </c>
      <c r="D15" s="14"/>
      <c r="E15" s="109"/>
    </row>
    <row r="16" spans="1:8" ht="15">
      <c r="A16" s="8" t="s">
        <v>12</v>
      </c>
      <c r="B16" s="12" t="s">
        <v>11</v>
      </c>
      <c r="C16" s="13">
        <v>0</v>
      </c>
      <c r="D16" s="14"/>
      <c r="E16" s="109"/>
      <c r="F16" s="109"/>
      <c r="G16" s="109"/>
      <c r="H16" s="109"/>
    </row>
    <row r="17" spans="1:8" ht="15">
      <c r="A17" s="8" t="s">
        <v>13</v>
      </c>
      <c r="B17" s="12" t="s">
        <v>11</v>
      </c>
      <c r="C17" s="15">
        <v>892</v>
      </c>
      <c r="D17" s="16"/>
      <c r="E17" s="109"/>
      <c r="F17" s="109"/>
      <c r="G17" s="109"/>
      <c r="H17" s="109"/>
    </row>
    <row r="18" spans="1:8" ht="31.5" customHeight="1">
      <c r="A18" s="17" t="s">
        <v>14</v>
      </c>
      <c r="B18" s="12" t="s">
        <v>11</v>
      </c>
      <c r="C18" s="15">
        <f>11110.8+1276.56</f>
        <v>12387.359999999999</v>
      </c>
      <c r="D18" s="16"/>
      <c r="E18" s="18"/>
      <c r="F18" s="109"/>
      <c r="G18" s="109"/>
      <c r="H18" s="109"/>
    </row>
    <row r="19" spans="1:8" ht="15">
      <c r="A19" s="8" t="s">
        <v>15</v>
      </c>
      <c r="B19" s="12" t="s">
        <v>11</v>
      </c>
      <c r="C19" s="15">
        <f>C18-C20-C21</f>
        <v>4155.911999999998</v>
      </c>
      <c r="D19" s="16"/>
      <c r="E19" s="18"/>
      <c r="F19" s="109"/>
      <c r="G19" s="109"/>
      <c r="H19" s="109"/>
    </row>
    <row r="20" spans="1:8" ht="15">
      <c r="A20" s="8" t="s">
        <v>16</v>
      </c>
      <c r="B20" s="12" t="s">
        <v>11</v>
      </c>
      <c r="C20" s="15">
        <f>(3.1+3.23)*6*78.8+1276.56</f>
        <v>4269.384</v>
      </c>
      <c r="D20" s="16"/>
      <c r="E20" s="149"/>
      <c r="F20" s="109"/>
      <c r="G20" s="109"/>
      <c r="H20" s="109"/>
    </row>
    <row r="21" spans="1:8" ht="15">
      <c r="A21" s="8" t="s">
        <v>17</v>
      </c>
      <c r="B21" s="12" t="s">
        <v>11</v>
      </c>
      <c r="C21" s="19">
        <f>78.8*4.19*12</f>
        <v>3962.0640000000003</v>
      </c>
      <c r="D21" s="16"/>
      <c r="E21" s="109"/>
      <c r="F21" s="109"/>
      <c r="G21" s="109"/>
      <c r="H21" s="109"/>
    </row>
    <row r="22" spans="1:8" ht="15">
      <c r="A22" s="20" t="s">
        <v>18</v>
      </c>
      <c r="B22" s="12" t="s">
        <v>11</v>
      </c>
      <c r="C22" s="15">
        <f>C23+C24+C25+C26+C27</f>
        <v>10056.058847999999</v>
      </c>
      <c r="D22" s="16" t="s">
        <v>19</v>
      </c>
      <c r="E22" s="110"/>
      <c r="F22" s="109"/>
      <c r="G22" s="109"/>
      <c r="H22" s="109"/>
    </row>
    <row r="23" spans="1:8" ht="15">
      <c r="A23" s="8" t="s">
        <v>20</v>
      </c>
      <c r="B23" s="12" t="s">
        <v>11</v>
      </c>
      <c r="C23" s="15">
        <f>C18*0.8118</f>
        <v>10056.058847999999</v>
      </c>
      <c r="D23" s="16"/>
      <c r="E23" s="109"/>
      <c r="F23" s="109"/>
      <c r="G23" s="109"/>
      <c r="H23" s="109"/>
    </row>
    <row r="24" spans="1:8" ht="15">
      <c r="A24" s="8" t="s">
        <v>21</v>
      </c>
      <c r="B24" s="12" t="s">
        <v>11</v>
      </c>
      <c r="C24" s="15">
        <v>0</v>
      </c>
      <c r="D24" s="21">
        <v>65.21</v>
      </c>
      <c r="E24" s="111"/>
      <c r="F24" s="109"/>
      <c r="G24" s="109"/>
      <c r="H24" s="109" t="s">
        <v>22</v>
      </c>
    </row>
    <row r="25" spans="1:8" ht="15">
      <c r="A25" s="8" t="s">
        <v>23</v>
      </c>
      <c r="B25" s="12" t="s">
        <v>11</v>
      </c>
      <c r="C25" s="15">
        <v>0</v>
      </c>
      <c r="D25" s="21">
        <v>119.63</v>
      </c>
      <c r="E25" s="111"/>
      <c r="F25" s="109"/>
      <c r="G25" s="109"/>
      <c r="H25" s="109"/>
    </row>
    <row r="26" spans="1:8" ht="15">
      <c r="A26" s="9" t="s">
        <v>24</v>
      </c>
      <c r="B26" s="12" t="s">
        <v>11</v>
      </c>
      <c r="C26" s="15">
        <v>0</v>
      </c>
      <c r="D26" s="21"/>
      <c r="E26" s="111"/>
      <c r="F26" s="109"/>
      <c r="G26" s="109"/>
      <c r="H26" s="109"/>
    </row>
    <row r="27" spans="1:8" ht="16.5" customHeight="1">
      <c r="A27" s="98" t="s">
        <v>96</v>
      </c>
      <c r="B27" s="12" t="s">
        <v>11</v>
      </c>
      <c r="C27" s="15">
        <v>0</v>
      </c>
      <c r="D27" s="21">
        <v>139.18</v>
      </c>
      <c r="E27" s="111"/>
      <c r="F27" s="109"/>
      <c r="G27" s="109"/>
      <c r="H27" s="109"/>
    </row>
    <row r="28" spans="1:8" ht="15">
      <c r="A28" s="8" t="s">
        <v>25</v>
      </c>
      <c r="B28" s="12" t="s">
        <v>11</v>
      </c>
      <c r="C28" s="15">
        <f>C15+C22</f>
        <v>35131.448848</v>
      </c>
      <c r="D28" s="16" t="s">
        <v>26</v>
      </c>
      <c r="E28" s="111"/>
      <c r="F28" s="109"/>
      <c r="G28" s="109"/>
      <c r="H28" s="109"/>
    </row>
    <row r="29" spans="1:8" ht="35.25" customHeight="1">
      <c r="A29" s="568" t="s">
        <v>27</v>
      </c>
      <c r="B29" s="568"/>
      <c r="C29" s="568"/>
      <c r="D29" s="568"/>
      <c r="E29" s="109"/>
      <c r="F29" s="109"/>
      <c r="G29" s="109"/>
      <c r="H29" s="109"/>
    </row>
    <row r="30" spans="1:8" ht="60">
      <c r="A30" s="22" t="s">
        <v>28</v>
      </c>
      <c r="B30" s="23" t="s">
        <v>29</v>
      </c>
      <c r="C30" s="24" t="s">
        <v>30</v>
      </c>
      <c r="D30" s="25" t="s">
        <v>31</v>
      </c>
      <c r="E30" s="109"/>
      <c r="F30" s="109"/>
      <c r="G30" s="109"/>
      <c r="H30" s="109"/>
    </row>
    <row r="31" spans="1:8" ht="15">
      <c r="A31" s="26" t="s">
        <v>32</v>
      </c>
      <c r="B31" s="27" t="s">
        <v>33</v>
      </c>
      <c r="C31" s="28" t="s">
        <v>34</v>
      </c>
      <c r="D31" s="92">
        <f>(0.85+0.93)*6*78.8</f>
        <v>841.584</v>
      </c>
      <c r="E31" s="109"/>
      <c r="F31" s="109"/>
      <c r="G31" s="109"/>
      <c r="H31" s="109"/>
    </row>
    <row r="32" spans="1:8" ht="15">
      <c r="A32" s="29" t="s">
        <v>36</v>
      </c>
      <c r="B32" s="30" t="s">
        <v>33</v>
      </c>
      <c r="C32" s="31" t="s">
        <v>37</v>
      </c>
      <c r="D32" s="93">
        <f>0.24*12*78.8</f>
        <v>226.944</v>
      </c>
      <c r="E32" s="109"/>
      <c r="F32" s="109"/>
      <c r="G32" s="109"/>
      <c r="H32" s="109"/>
    </row>
    <row r="33" spans="1:8" ht="15">
      <c r="A33" s="153" t="s">
        <v>174</v>
      </c>
      <c r="B33" s="30" t="s">
        <v>33</v>
      </c>
      <c r="C33" s="31" t="s">
        <v>34</v>
      </c>
      <c r="D33" s="93">
        <f>78.8*(1.25+1)*6</f>
        <v>1063.8</v>
      </c>
      <c r="E33" s="109"/>
      <c r="F33" s="109"/>
      <c r="G33" s="109"/>
      <c r="H33" s="109"/>
    </row>
    <row r="34" spans="1:8" ht="15">
      <c r="A34" s="29" t="s">
        <v>81</v>
      </c>
      <c r="B34" s="91" t="s">
        <v>82</v>
      </c>
      <c r="C34" s="31" t="s">
        <v>34</v>
      </c>
      <c r="D34" s="93">
        <f>1.33*12*78.8</f>
        <v>1257.648</v>
      </c>
      <c r="E34" s="109"/>
      <c r="F34" s="109"/>
      <c r="G34" s="109"/>
      <c r="H34" s="109"/>
    </row>
    <row r="35" spans="1:8" ht="15">
      <c r="A35" s="29" t="s">
        <v>38</v>
      </c>
      <c r="B35" s="30" t="s">
        <v>35</v>
      </c>
      <c r="C35" s="364" t="s">
        <v>221</v>
      </c>
      <c r="D35" s="93">
        <f>4.19*78.8*12</f>
        <v>3962.0640000000003</v>
      </c>
      <c r="E35" s="109"/>
      <c r="F35" s="109"/>
      <c r="G35" s="109"/>
      <c r="H35" s="109"/>
    </row>
    <row r="36" spans="1:8" ht="15">
      <c r="A36" s="29" t="s">
        <v>85</v>
      </c>
      <c r="B36" s="30" t="s">
        <v>222</v>
      </c>
      <c r="C36" s="171" t="s">
        <v>37</v>
      </c>
      <c r="D36" s="93">
        <f>78.8*12*0.81</f>
        <v>765.9359999999999</v>
      </c>
      <c r="E36" s="109"/>
      <c r="F36" s="109"/>
      <c r="G36" s="109"/>
      <c r="H36" s="109"/>
    </row>
    <row r="37" spans="1:14" s="1" customFormat="1" ht="45">
      <c r="A37" s="33" t="s">
        <v>40</v>
      </c>
      <c r="B37" s="34" t="s">
        <v>41</v>
      </c>
      <c r="C37" s="108" t="s">
        <v>77</v>
      </c>
      <c r="D37" s="375">
        <v>0</v>
      </c>
      <c r="E37" s="109"/>
      <c r="F37" s="109"/>
      <c r="G37" s="109"/>
      <c r="H37" s="109"/>
      <c r="K37"/>
      <c r="L37"/>
      <c r="M37"/>
      <c r="N37"/>
    </row>
    <row r="38" spans="1:14" s="1" customFormat="1" ht="15.75">
      <c r="A38" s="37" t="s">
        <v>42</v>
      </c>
      <c r="B38" s="38"/>
      <c r="C38" s="39"/>
      <c r="D38" s="97">
        <f>D31+D32+D33+D34+D35+D36+D37</f>
        <v>8117.976</v>
      </c>
      <c r="E38" s="112"/>
      <c r="F38" s="109"/>
      <c r="G38" s="109"/>
      <c r="H38" s="109"/>
      <c r="K38"/>
      <c r="L38"/>
      <c r="M38"/>
      <c r="N38"/>
    </row>
    <row r="39" spans="1:14" s="1" customFormat="1" ht="15">
      <c r="A39" s="40" t="s">
        <v>43</v>
      </c>
      <c r="B39" s="41" t="s">
        <v>11</v>
      </c>
      <c r="C39" s="42"/>
      <c r="D39" s="43">
        <f>C28-D38</f>
        <v>27013.472848</v>
      </c>
      <c r="E39" s="112"/>
      <c r="F39" s="109"/>
      <c r="G39" s="109"/>
      <c r="H39" s="109"/>
      <c r="K39"/>
      <c r="L39"/>
      <c r="M39"/>
      <c r="N39"/>
    </row>
    <row r="40" spans="1:14" s="1" customFormat="1" ht="15">
      <c r="A40" s="45" t="s">
        <v>12</v>
      </c>
      <c r="B40" s="46" t="s">
        <v>11</v>
      </c>
      <c r="C40" s="31"/>
      <c r="D40" s="14"/>
      <c r="E40" s="109"/>
      <c r="F40" s="109"/>
      <c r="G40" s="109"/>
      <c r="H40" s="109"/>
      <c r="K40"/>
      <c r="L40"/>
      <c r="M40"/>
      <c r="N40"/>
    </row>
    <row r="41" spans="1:14" s="1" customFormat="1" ht="15">
      <c r="A41" s="45" t="s">
        <v>13</v>
      </c>
      <c r="B41" s="46" t="s">
        <v>11</v>
      </c>
      <c r="C41" s="31"/>
      <c r="D41" s="16">
        <f>C17+C18-C23</f>
        <v>3223.301152</v>
      </c>
      <c r="E41" s="109"/>
      <c r="F41" s="109"/>
      <c r="G41" s="109"/>
      <c r="H41" s="109"/>
      <c r="K41"/>
      <c r="L41"/>
      <c r="M41"/>
      <c r="N41"/>
    </row>
    <row r="42" spans="1:14" s="1" customFormat="1" ht="24" customHeight="1">
      <c r="A42" s="569" t="s">
        <v>44</v>
      </c>
      <c r="B42" s="569"/>
      <c r="C42" s="569"/>
      <c r="D42" s="569"/>
      <c r="E42" s="109"/>
      <c r="F42" s="109"/>
      <c r="G42" s="109"/>
      <c r="H42" s="109"/>
      <c r="K42"/>
      <c r="L42"/>
      <c r="M42"/>
      <c r="N42"/>
    </row>
    <row r="43" spans="1:14" s="1" customFormat="1" ht="15">
      <c r="A43" s="45" t="s">
        <v>45</v>
      </c>
      <c r="B43" s="30" t="s">
        <v>46</v>
      </c>
      <c r="C43" s="31">
        <v>0</v>
      </c>
      <c r="D43" s="14">
        <v>0</v>
      </c>
      <c r="E43" s="109"/>
      <c r="F43" s="109"/>
      <c r="G43" s="109"/>
      <c r="H43" s="109"/>
      <c r="K43"/>
      <c r="L43"/>
      <c r="M43"/>
      <c r="N43"/>
    </row>
    <row r="44" spans="1:14" s="1" customFormat="1" ht="15">
      <c r="A44" s="45" t="s">
        <v>47</v>
      </c>
      <c r="B44" s="30" t="s">
        <v>46</v>
      </c>
      <c r="C44" s="31">
        <v>0</v>
      </c>
      <c r="D44" s="14">
        <v>0</v>
      </c>
      <c r="E44" s="109"/>
      <c r="F44" s="109"/>
      <c r="G44" s="109"/>
      <c r="H44" s="109"/>
      <c r="K44"/>
      <c r="L44"/>
      <c r="M44"/>
      <c r="N44"/>
    </row>
    <row r="45" spans="1:14" s="1" customFormat="1" ht="15">
      <c r="A45" s="47" t="s">
        <v>48</v>
      </c>
      <c r="B45" s="30" t="s">
        <v>46</v>
      </c>
      <c r="C45" s="31">
        <v>0</v>
      </c>
      <c r="D45" s="14">
        <v>0</v>
      </c>
      <c r="E45" s="109"/>
      <c r="F45" s="109"/>
      <c r="G45" s="109"/>
      <c r="H45" s="109"/>
      <c r="K45"/>
      <c r="L45"/>
      <c r="M45"/>
      <c r="N45"/>
    </row>
    <row r="46" spans="1:14" s="1" customFormat="1" ht="15">
      <c r="A46" s="45" t="s">
        <v>49</v>
      </c>
      <c r="B46" s="30" t="s">
        <v>11</v>
      </c>
      <c r="C46" s="31">
        <v>0</v>
      </c>
      <c r="D46" s="14">
        <v>0</v>
      </c>
      <c r="E46" s="109"/>
      <c r="F46" s="109"/>
      <c r="G46" s="109"/>
      <c r="H46" s="109"/>
      <c r="K46"/>
      <c r="L46"/>
      <c r="M46"/>
      <c r="N46"/>
    </row>
    <row r="47" spans="1:8" ht="20.25" customHeight="1">
      <c r="A47" s="570" t="s">
        <v>50</v>
      </c>
      <c r="B47" s="570"/>
      <c r="C47" s="570"/>
      <c r="D47" s="570"/>
      <c r="E47" s="109"/>
      <c r="F47" s="109"/>
      <c r="G47" s="109"/>
      <c r="H47" s="109"/>
    </row>
    <row r="48" spans="1:8" ht="25.5">
      <c r="A48" s="47" t="s">
        <v>51</v>
      </c>
      <c r="B48" s="30" t="s">
        <v>11</v>
      </c>
      <c r="C48" s="31"/>
      <c r="D48" s="14">
        <v>0</v>
      </c>
      <c r="E48" s="109"/>
      <c r="F48" s="109"/>
      <c r="G48" s="109"/>
      <c r="H48" s="109"/>
    </row>
    <row r="49" spans="1:8" ht="15">
      <c r="A49" s="45" t="s">
        <v>12</v>
      </c>
      <c r="B49" s="30" t="s">
        <v>11</v>
      </c>
      <c r="C49" s="31"/>
      <c r="D49" s="14">
        <v>0</v>
      </c>
      <c r="E49" s="109"/>
      <c r="F49" s="109"/>
      <c r="G49" s="109"/>
      <c r="H49" s="109"/>
    </row>
    <row r="50" spans="1:8" ht="15">
      <c r="A50" s="45" t="s">
        <v>13</v>
      </c>
      <c r="B50" s="30" t="s">
        <v>11</v>
      </c>
      <c r="C50" s="31"/>
      <c r="D50" s="58">
        <v>0</v>
      </c>
      <c r="E50" s="109"/>
      <c r="F50" s="109"/>
      <c r="G50" s="109"/>
      <c r="H50" s="113"/>
    </row>
    <row r="51" spans="1:8" ht="25.5">
      <c r="A51" s="50" t="s">
        <v>52</v>
      </c>
      <c r="B51" s="30" t="s">
        <v>11</v>
      </c>
      <c r="C51" s="51"/>
      <c r="D51" s="52">
        <v>0</v>
      </c>
      <c r="E51" s="109"/>
      <c r="F51" s="109"/>
      <c r="G51" s="109"/>
      <c r="H51" s="109"/>
    </row>
    <row r="52" spans="1:10" ht="17.25" customHeight="1">
      <c r="A52" s="53" t="s">
        <v>12</v>
      </c>
      <c r="B52" s="30" t="s">
        <v>11</v>
      </c>
      <c r="C52" s="31"/>
      <c r="D52" s="48"/>
      <c r="E52" s="109"/>
      <c r="F52" s="109"/>
      <c r="G52" s="109"/>
      <c r="H52" s="109"/>
      <c r="I52" s="49"/>
      <c r="J52" s="49"/>
    </row>
    <row r="53" spans="1:14" ht="15">
      <c r="A53" s="56" t="s">
        <v>13</v>
      </c>
      <c r="B53" s="30" t="s">
        <v>11</v>
      </c>
      <c r="C53" s="57"/>
      <c r="D53" s="58">
        <v>763.31</v>
      </c>
      <c r="E53" s="109"/>
      <c r="H53" s="1" t="s">
        <v>26</v>
      </c>
      <c r="I53" s="60"/>
      <c r="J53" s="60"/>
      <c r="K53" s="61"/>
      <c r="L53" s="61"/>
      <c r="M53" s="61"/>
      <c r="N53" s="61"/>
    </row>
    <row r="54" spans="1:14" ht="18" customHeight="1">
      <c r="A54" s="571" t="s">
        <v>53</v>
      </c>
      <c r="B54" s="571"/>
      <c r="C54" s="571"/>
      <c r="D54" s="571"/>
      <c r="E54" s="114"/>
      <c r="F54" s="63"/>
      <c r="G54" s="64"/>
      <c r="I54" s="65"/>
      <c r="J54" s="65"/>
      <c r="K54" s="66"/>
      <c r="L54" s="66"/>
      <c r="M54" s="66"/>
      <c r="N54" s="66"/>
    </row>
    <row r="55" spans="1:14" ht="47.25">
      <c r="A55" s="67" t="s">
        <v>54</v>
      </c>
      <c r="B55" s="68" t="s">
        <v>55</v>
      </c>
      <c r="C55" s="69" t="s">
        <v>56</v>
      </c>
      <c r="D55" s="70" t="s">
        <v>57</v>
      </c>
      <c r="E55" s="114"/>
      <c r="F55" s="63"/>
      <c r="G55" s="64"/>
      <c r="I55" s="65"/>
      <c r="J55" s="71"/>
      <c r="K55" s="66"/>
      <c r="L55" s="66"/>
      <c r="M55" s="66"/>
      <c r="N55" s="66"/>
    </row>
    <row r="56" spans="1:14" ht="15">
      <c r="A56" s="72" t="s">
        <v>58</v>
      </c>
      <c r="B56" s="99">
        <v>1018.17</v>
      </c>
      <c r="C56" s="100">
        <f>B56*0.8118</f>
        <v>826.550406</v>
      </c>
      <c r="D56" s="101">
        <f>B56-C56</f>
        <v>191.619594</v>
      </c>
      <c r="E56" s="117"/>
      <c r="F56" s="63"/>
      <c r="G56" s="64"/>
      <c r="I56" s="65"/>
      <c r="J56" s="65"/>
      <c r="K56" s="66"/>
      <c r="L56" s="66"/>
      <c r="M56" s="66"/>
      <c r="N56" s="66"/>
    </row>
    <row r="57" spans="1:14" ht="15">
      <c r="A57" s="72" t="s">
        <v>59</v>
      </c>
      <c r="B57" s="99">
        <v>0</v>
      </c>
      <c r="C57" s="100">
        <f>B57*0.8118</f>
        <v>0</v>
      </c>
      <c r="D57" s="101">
        <f>B57-C57</f>
        <v>0</v>
      </c>
      <c r="E57" s="114"/>
      <c r="F57" s="63"/>
      <c r="G57" s="64"/>
      <c r="I57" s="65"/>
      <c r="J57" s="65"/>
      <c r="K57" s="66"/>
      <c r="L57" s="66"/>
      <c r="M57" s="66"/>
      <c r="N57" s="66"/>
    </row>
    <row r="58" spans="1:14" ht="15">
      <c r="A58" s="72" t="s">
        <v>60</v>
      </c>
      <c r="B58" s="102">
        <v>6227.2</v>
      </c>
      <c r="C58" s="100">
        <f>B58*0.8118</f>
        <v>5055.24096</v>
      </c>
      <c r="D58" s="101">
        <f>B58-C58</f>
        <v>1171.9590399999997</v>
      </c>
      <c r="E58" s="114"/>
      <c r="F58" s="73"/>
      <c r="G58" s="74"/>
      <c r="H58" s="62"/>
      <c r="I58" s="65"/>
      <c r="J58" s="65"/>
      <c r="K58" s="66"/>
      <c r="L58" s="66"/>
      <c r="M58" s="66"/>
      <c r="N58" s="66"/>
    </row>
    <row r="59" spans="1:14" ht="15.75" thickBot="1">
      <c r="A59" s="125" t="s">
        <v>236</v>
      </c>
      <c r="B59" s="126">
        <v>4414.36</v>
      </c>
      <c r="C59" s="100">
        <f>B59*0.8118</f>
        <v>3583.5774479999995</v>
      </c>
      <c r="D59" s="128">
        <f>B59-C59</f>
        <v>830.7825520000001</v>
      </c>
      <c r="E59" s="114"/>
      <c r="F59" s="73"/>
      <c r="G59" s="74"/>
      <c r="I59" s="65"/>
      <c r="J59" s="65"/>
      <c r="K59" s="66"/>
      <c r="L59" s="66"/>
      <c r="M59" s="66"/>
      <c r="N59" s="66"/>
    </row>
    <row r="60" spans="1:14" ht="63">
      <c r="A60" s="129" t="s">
        <v>62</v>
      </c>
      <c r="B60" s="130" t="s">
        <v>63</v>
      </c>
      <c r="C60" s="131" t="s">
        <v>64</v>
      </c>
      <c r="D60" s="132" t="s">
        <v>65</v>
      </c>
      <c r="E60" s="114"/>
      <c r="F60" s="73"/>
      <c r="H60" s="65"/>
      <c r="I60" s="65"/>
      <c r="J60" s="65"/>
      <c r="K60" s="66"/>
      <c r="L60" s="66"/>
      <c r="M60" s="66"/>
      <c r="N60" s="66"/>
    </row>
    <row r="61" spans="1:14" ht="15">
      <c r="A61" s="133" t="s">
        <v>58</v>
      </c>
      <c r="B61" s="104">
        <f>B56</f>
        <v>1018.17</v>
      </c>
      <c r="C61" s="105">
        <f>B61</f>
        <v>1018.17</v>
      </c>
      <c r="D61" s="134">
        <f>B61-C61</f>
        <v>0</v>
      </c>
      <c r="E61" s="114"/>
      <c r="F61" s="73"/>
      <c r="H61" s="65"/>
      <c r="I61" s="65"/>
      <c r="J61" s="65" t="s">
        <v>26</v>
      </c>
      <c r="K61" s="66"/>
      <c r="L61" s="66"/>
      <c r="M61" s="66"/>
      <c r="N61" s="66"/>
    </row>
    <row r="62" spans="1:14" ht="15">
      <c r="A62" s="133" t="s">
        <v>59</v>
      </c>
      <c r="B62" s="104">
        <f>B57</f>
        <v>0</v>
      </c>
      <c r="C62" s="105">
        <f>C57*1.0063</f>
        <v>0</v>
      </c>
      <c r="D62" s="134">
        <f>B62-C62</f>
        <v>0</v>
      </c>
      <c r="E62" s="114"/>
      <c r="F62" s="73"/>
      <c r="H62" s="65"/>
      <c r="I62" s="65"/>
      <c r="J62" s="65"/>
      <c r="K62" s="66"/>
      <c r="L62" s="66"/>
      <c r="M62" s="66"/>
      <c r="N62" s="66"/>
    </row>
    <row r="63" spans="1:14" ht="15">
      <c r="A63" s="133" t="s">
        <v>60</v>
      </c>
      <c r="B63" s="104">
        <f>B58</f>
        <v>6227.2</v>
      </c>
      <c r="C63" s="105">
        <f>B63</f>
        <v>6227.2</v>
      </c>
      <c r="D63" s="134">
        <f>B63-C63</f>
        <v>0</v>
      </c>
      <c r="E63" s="114"/>
      <c r="F63" s="73"/>
      <c r="H63" s="65"/>
      <c r="I63" s="65"/>
      <c r="J63" s="65"/>
      <c r="K63" s="66"/>
      <c r="L63" s="66"/>
      <c r="M63" s="66"/>
      <c r="N63" s="66"/>
    </row>
    <row r="64" spans="1:14" ht="15.75" thickBot="1">
      <c r="A64" s="135" t="s">
        <v>236</v>
      </c>
      <c r="B64" s="136">
        <f>B59</f>
        <v>4414.36</v>
      </c>
      <c r="C64" s="137">
        <f>C59</f>
        <v>3583.5774479999995</v>
      </c>
      <c r="D64" s="138">
        <f>B64-C64</f>
        <v>830.7825520000001</v>
      </c>
      <c r="E64" s="62"/>
      <c r="F64" s="73"/>
      <c r="H64" s="65" t="s">
        <v>26</v>
      </c>
      <c r="I64" s="65"/>
      <c r="J64" s="65"/>
      <c r="K64" s="66"/>
      <c r="L64" s="66"/>
      <c r="M64" s="66"/>
      <c r="N64" s="66"/>
    </row>
    <row r="65" spans="1:14" ht="15">
      <c r="A65" s="77"/>
      <c r="B65" s="76"/>
      <c r="C65" s="78"/>
      <c r="D65" s="79"/>
      <c r="E65" s="62"/>
      <c r="F65" s="73"/>
      <c r="H65" s="65"/>
      <c r="I65" s="65"/>
      <c r="J65" s="65"/>
      <c r="K65" s="66"/>
      <c r="L65" s="66"/>
      <c r="M65" s="66"/>
      <c r="N65" s="66"/>
    </row>
    <row r="66" spans="1:14" ht="25.5">
      <c r="A66" s="80" t="s">
        <v>66</v>
      </c>
      <c r="B66" s="76" t="s">
        <v>11</v>
      </c>
      <c r="C66" s="81"/>
      <c r="D66" s="82">
        <v>0</v>
      </c>
      <c r="E66" s="62"/>
      <c r="F66" s="73"/>
      <c r="H66" s="65"/>
      <c r="I66" s="65"/>
      <c r="J66" s="65" t="s">
        <v>26</v>
      </c>
      <c r="K66" s="66"/>
      <c r="L66" s="66"/>
      <c r="M66" s="66"/>
      <c r="N66" s="66"/>
    </row>
    <row r="67" spans="1:14" ht="17.25" customHeight="1">
      <c r="A67" s="572" t="s">
        <v>67</v>
      </c>
      <c r="B67" s="572"/>
      <c r="C67" s="572"/>
      <c r="D67" s="572"/>
      <c r="E67" s="83"/>
      <c r="F67" s="65"/>
      <c r="H67" s="84" t="e">
        <f>E67-B18</f>
        <v>#VALUE!</v>
      </c>
      <c r="I67" s="65"/>
      <c r="J67" s="65"/>
      <c r="K67" s="66"/>
      <c r="L67" s="66"/>
      <c r="M67" s="66"/>
      <c r="N67" s="66"/>
    </row>
    <row r="68" spans="1:5" ht="21" customHeight="1">
      <c r="A68" s="85" t="s">
        <v>45</v>
      </c>
      <c r="B68" s="85" t="s">
        <v>46</v>
      </c>
      <c r="C68" s="86"/>
      <c r="D68" s="177">
        <v>0</v>
      </c>
      <c r="E68" s="88"/>
    </row>
    <row r="69" spans="1:5" ht="21" customHeight="1">
      <c r="A69" s="85" t="s">
        <v>47</v>
      </c>
      <c r="B69" s="85" t="s">
        <v>46</v>
      </c>
      <c r="C69" s="85"/>
      <c r="D69" s="177">
        <v>0</v>
      </c>
      <c r="E69" s="88"/>
    </row>
    <row r="70" spans="1:5" ht="18" customHeight="1">
      <c r="A70" s="85" t="s">
        <v>48</v>
      </c>
      <c r="B70" s="85" t="s">
        <v>46</v>
      </c>
      <c r="C70" s="85"/>
      <c r="D70" s="177">
        <v>0</v>
      </c>
      <c r="E70" s="88"/>
    </row>
    <row r="71" spans="1:5" ht="16.5" customHeight="1">
      <c r="A71" s="85" t="s">
        <v>49</v>
      </c>
      <c r="B71" s="85" t="s">
        <v>11</v>
      </c>
      <c r="C71" s="85"/>
      <c r="D71" s="177">
        <v>0</v>
      </c>
      <c r="E71" s="88"/>
    </row>
    <row r="72" spans="1:5" ht="15.75" customHeight="1">
      <c r="A72" s="566" t="s">
        <v>68</v>
      </c>
      <c r="B72" s="566"/>
      <c r="C72" s="566"/>
      <c r="D72" s="566"/>
      <c r="E72" s="88"/>
    </row>
    <row r="73" spans="1:5" ht="18.75" customHeight="1">
      <c r="A73" s="85" t="s">
        <v>69</v>
      </c>
      <c r="B73" s="85" t="s">
        <v>46</v>
      </c>
      <c r="C73" s="85"/>
      <c r="D73" s="177">
        <v>0</v>
      </c>
      <c r="E73" s="88"/>
    </row>
    <row r="74" spans="1:5" ht="21.75" customHeight="1">
      <c r="A74" s="85" t="s">
        <v>70</v>
      </c>
      <c r="B74" s="53" t="s">
        <v>46</v>
      </c>
      <c r="C74" s="53"/>
      <c r="D74" s="177">
        <v>0</v>
      </c>
      <c r="E74" s="88"/>
    </row>
    <row r="75" spans="1:5" ht="36" customHeight="1">
      <c r="A75" s="89" t="s">
        <v>71</v>
      </c>
      <c r="B75" s="85" t="s">
        <v>11</v>
      </c>
      <c r="C75" s="85"/>
      <c r="D75" s="177">
        <v>0</v>
      </c>
      <c r="E75" s="88"/>
    </row>
    <row r="76" spans="1:4" ht="15">
      <c r="A76" s="66"/>
      <c r="B76" s="66"/>
      <c r="C76" s="66"/>
      <c r="D76" s="90"/>
    </row>
    <row r="77" spans="1:14" s="1" customFormat="1" ht="12.75">
      <c r="A77"/>
      <c r="B77"/>
      <c r="C77"/>
      <c r="D77"/>
      <c r="H77" s="1" t="s">
        <v>26</v>
      </c>
      <c r="K77"/>
      <c r="L77"/>
      <c r="M77"/>
      <c r="N77"/>
    </row>
    <row r="78" spans="1:14" s="1" customFormat="1" ht="12.75">
      <c r="A78" t="s">
        <v>72</v>
      </c>
      <c r="B78"/>
      <c r="C78"/>
      <c r="D78"/>
      <c r="K78"/>
      <c r="L78"/>
      <c r="M78"/>
      <c r="N78"/>
    </row>
    <row r="79" spans="1:14" s="1" customFormat="1" ht="12.75">
      <c r="A79"/>
      <c r="B79"/>
      <c r="C79"/>
      <c r="D79"/>
      <c r="H79" s="1" t="s">
        <v>26</v>
      </c>
      <c r="K79"/>
      <c r="L79"/>
      <c r="M79"/>
      <c r="N79"/>
    </row>
    <row r="80" spans="1:14" s="1" customFormat="1" ht="12.75">
      <c r="A80" t="s">
        <v>73</v>
      </c>
      <c r="B80"/>
      <c r="C80"/>
      <c r="D80"/>
      <c r="K80"/>
      <c r="L80"/>
      <c r="M80"/>
      <c r="N80"/>
    </row>
    <row r="84" spans="1:14" s="1" customFormat="1" ht="12.75">
      <c r="A84"/>
      <c r="B84"/>
      <c r="C84"/>
      <c r="D84"/>
      <c r="E84" s="1" t="s">
        <v>26</v>
      </c>
      <c r="K84"/>
      <c r="L84"/>
      <c r="M84"/>
      <c r="N84"/>
    </row>
  </sheetData>
  <sheetProtection selectLockedCells="1" selectUnlockedCells="1"/>
  <mergeCells count="13">
    <mergeCell ref="A72:D72"/>
    <mergeCell ref="A14:D14"/>
    <mergeCell ref="A29:D29"/>
    <mergeCell ref="A42:D42"/>
    <mergeCell ref="A47:D47"/>
    <mergeCell ref="A54:D54"/>
    <mergeCell ref="A67:D67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="80" zoomScaleNormal="80" zoomScalePageLayoutView="0" workbookViewId="0" topLeftCell="A28">
      <selection activeCell="D40" sqref="D40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560" t="s">
        <v>0</v>
      </c>
      <c r="B1" s="560"/>
      <c r="C1" s="560"/>
      <c r="D1" s="560"/>
    </row>
    <row r="2" spans="1:4" ht="15.75">
      <c r="A2" s="561" t="s">
        <v>220</v>
      </c>
      <c r="B2" s="562"/>
      <c r="C2" s="562"/>
      <c r="D2" s="562"/>
    </row>
    <row r="3" spans="1:4" ht="15.75">
      <c r="A3" s="562" t="s">
        <v>1</v>
      </c>
      <c r="B3" s="562"/>
      <c r="C3" s="562"/>
      <c r="D3" s="562"/>
    </row>
    <row r="4" spans="1:4" ht="12.75">
      <c r="A4" s="563" t="s">
        <v>128</v>
      </c>
      <c r="B4" s="563"/>
      <c r="C4" s="563"/>
      <c r="D4" s="563"/>
    </row>
    <row r="5" spans="1:4" ht="12.75">
      <c r="A5" s="564" t="s">
        <v>266</v>
      </c>
      <c r="B5" s="563"/>
      <c r="C5" s="563"/>
      <c r="D5" s="563"/>
    </row>
    <row r="6" ht="9" customHeight="1">
      <c r="A6" s="2"/>
    </row>
    <row r="7" spans="1:4" ht="18" customHeight="1">
      <c r="A7" s="565" t="s">
        <v>2</v>
      </c>
      <c r="B7" s="565"/>
      <c r="C7" s="565"/>
      <c r="D7" s="565"/>
    </row>
    <row r="8" spans="1:3" ht="12.75">
      <c r="A8" s="145" t="s">
        <v>255</v>
      </c>
      <c r="C8" s="3"/>
    </row>
    <row r="9" spans="1:4" ht="12.75">
      <c r="A9" s="4" t="s">
        <v>3</v>
      </c>
      <c r="B9" s="4" t="s">
        <v>4</v>
      </c>
      <c r="C9" s="4" t="s">
        <v>5</v>
      </c>
      <c r="D9" s="5"/>
    </row>
    <row r="10" spans="1:5" ht="12.75">
      <c r="A10" s="6">
        <v>1</v>
      </c>
      <c r="B10" s="6">
        <v>2</v>
      </c>
      <c r="C10" s="6">
        <v>3</v>
      </c>
      <c r="D10" s="7">
        <v>4</v>
      </c>
      <c r="E10" s="109"/>
    </row>
    <row r="11" spans="1:5" ht="12.75">
      <c r="A11" s="8" t="s">
        <v>6</v>
      </c>
      <c r="B11" s="9"/>
      <c r="C11" s="144" t="s">
        <v>262</v>
      </c>
      <c r="D11" s="10"/>
      <c r="E11" s="109"/>
    </row>
    <row r="12" spans="1:5" ht="12.75">
      <c r="A12" s="8" t="s">
        <v>7</v>
      </c>
      <c r="B12" s="9"/>
      <c r="C12" s="144" t="s">
        <v>263</v>
      </c>
      <c r="D12" s="10"/>
      <c r="E12" s="109"/>
    </row>
    <row r="13" spans="1:5" ht="12.75">
      <c r="A13" s="8" t="s">
        <v>8</v>
      </c>
      <c r="B13" s="9"/>
      <c r="C13" s="144" t="s">
        <v>267</v>
      </c>
      <c r="D13" s="10"/>
      <c r="E13" s="109"/>
    </row>
    <row r="14" spans="1:5" ht="31.5" customHeight="1">
      <c r="A14" s="567" t="s">
        <v>9</v>
      </c>
      <c r="B14" s="567"/>
      <c r="C14" s="567"/>
      <c r="D14" s="567"/>
      <c r="E14" s="109"/>
    </row>
    <row r="15" spans="1:5" ht="25.5">
      <c r="A15" s="11" t="s">
        <v>10</v>
      </c>
      <c r="B15" s="12" t="s">
        <v>11</v>
      </c>
      <c r="C15" s="15">
        <v>-4916.29</v>
      </c>
      <c r="D15" s="14"/>
      <c r="E15" s="59"/>
    </row>
    <row r="16" spans="1:5" ht="15">
      <c r="A16" s="8" t="s">
        <v>12</v>
      </c>
      <c r="B16" s="12" t="s">
        <v>11</v>
      </c>
      <c r="C16" s="13">
        <v>0</v>
      </c>
      <c r="D16" s="14"/>
      <c r="E16" s="109"/>
    </row>
    <row r="17" spans="1:10" ht="15">
      <c r="A17" s="8" t="s">
        <v>13</v>
      </c>
      <c r="B17" s="12" t="s">
        <v>11</v>
      </c>
      <c r="C17" s="15">
        <v>0</v>
      </c>
      <c r="D17" s="16"/>
      <c r="E17" s="109"/>
      <c r="F17" s="109"/>
      <c r="G17" s="109"/>
      <c r="H17" s="109"/>
      <c r="I17" s="109"/>
      <c r="J17" s="109"/>
    </row>
    <row r="18" spans="1:10" ht="31.5" customHeight="1">
      <c r="A18" s="17" t="s">
        <v>14</v>
      </c>
      <c r="B18" s="12" t="s">
        <v>11</v>
      </c>
      <c r="C18" s="15">
        <f>11616.18+2883.6</f>
        <v>14499.78</v>
      </c>
      <c r="D18" s="16"/>
      <c r="E18" s="110">
        <f>C18-C20</f>
        <v>10853.436000000002</v>
      </c>
      <c r="F18" s="109"/>
      <c r="G18" s="109"/>
      <c r="H18" s="109"/>
      <c r="I18" s="109"/>
      <c r="J18" s="109"/>
    </row>
    <row r="19" spans="1:10" ht="15">
      <c r="A19" s="8" t="s">
        <v>15</v>
      </c>
      <c r="B19" s="12" t="s">
        <v>11</v>
      </c>
      <c r="C19" s="15">
        <f>C18-C20-C21</f>
        <v>5614.26</v>
      </c>
      <c r="D19" s="16"/>
      <c r="E19" s="110">
        <f>E18-E39</f>
        <v>0.004000000000814907</v>
      </c>
      <c r="F19" s="109"/>
      <c r="G19" s="109"/>
      <c r="H19" s="109" t="s">
        <v>256</v>
      </c>
      <c r="I19" s="109"/>
      <c r="J19" s="109"/>
    </row>
    <row r="20" spans="1:10" ht="15">
      <c r="A20" s="8" t="s">
        <v>16</v>
      </c>
      <c r="B20" s="12" t="s">
        <v>11</v>
      </c>
      <c r="C20" s="15">
        <f>(0.58+0.64)*6*104.2+2883.6</f>
        <v>3646.344</v>
      </c>
      <c r="D20" s="16"/>
      <c r="E20" s="111"/>
      <c r="F20" s="109"/>
      <c r="G20" s="109"/>
      <c r="H20" s="109"/>
      <c r="I20" s="109"/>
      <c r="J20" s="109"/>
    </row>
    <row r="21" spans="1:10" ht="15">
      <c r="A21" s="8" t="s">
        <v>17</v>
      </c>
      <c r="B21" s="12" t="s">
        <v>11</v>
      </c>
      <c r="C21" s="19">
        <f>104.2*4.19*12</f>
        <v>5239.176000000001</v>
      </c>
      <c r="D21" s="16"/>
      <c r="E21" s="109"/>
      <c r="F21" s="109"/>
      <c r="G21" s="109"/>
      <c r="H21" s="109"/>
      <c r="I21" s="109"/>
      <c r="J21" s="109"/>
    </row>
    <row r="22" spans="1:10" ht="15">
      <c r="A22" s="20" t="s">
        <v>18</v>
      </c>
      <c r="B22" s="12" t="s">
        <v>11</v>
      </c>
      <c r="C22" s="15">
        <f>C23+C24+C25+C26+C27</f>
        <v>8640.418902</v>
      </c>
      <c r="D22" s="16" t="s">
        <v>19</v>
      </c>
      <c r="E22" s="110"/>
      <c r="F22" s="109"/>
      <c r="G22" s="109"/>
      <c r="H22" s="109"/>
      <c r="I22" s="109"/>
      <c r="J22" s="109"/>
    </row>
    <row r="23" spans="1:10" ht="15">
      <c r="A23" s="8" t="s">
        <v>20</v>
      </c>
      <c r="B23" s="12" t="s">
        <v>11</v>
      </c>
      <c r="C23" s="15">
        <f>C18*0.5959</f>
        <v>8640.418902</v>
      </c>
      <c r="D23" s="16"/>
      <c r="E23" s="109"/>
      <c r="F23" s="109"/>
      <c r="G23" s="109"/>
      <c r="H23" s="109"/>
      <c r="I23" s="109"/>
      <c r="J23" s="109"/>
    </row>
    <row r="24" spans="1:10" ht="15">
      <c r="A24" s="8" t="s">
        <v>21</v>
      </c>
      <c r="B24" s="12" t="s">
        <v>11</v>
      </c>
      <c r="C24" s="15">
        <v>0</v>
      </c>
      <c r="D24" s="21">
        <v>65.21</v>
      </c>
      <c r="E24" s="111" t="e">
        <f>B24/#REF!*1</f>
        <v>#VALUE!</v>
      </c>
      <c r="F24" s="109"/>
      <c r="G24" s="109"/>
      <c r="H24" s="109" t="s">
        <v>22</v>
      </c>
      <c r="I24" s="109"/>
      <c r="J24" s="109"/>
    </row>
    <row r="25" spans="1:10" ht="15">
      <c r="A25" s="8" t="s">
        <v>23</v>
      </c>
      <c r="B25" s="12" t="s">
        <v>11</v>
      </c>
      <c r="C25" s="15">
        <v>0</v>
      </c>
      <c r="D25" s="21">
        <v>119.63</v>
      </c>
      <c r="E25" s="111" t="e">
        <f>B25/#REF!*1</f>
        <v>#VALUE!</v>
      </c>
      <c r="F25" s="109"/>
      <c r="G25" s="109"/>
      <c r="H25" s="109"/>
      <c r="I25" s="109"/>
      <c r="J25" s="109"/>
    </row>
    <row r="26" spans="1:10" ht="15">
      <c r="A26" s="9" t="s">
        <v>24</v>
      </c>
      <c r="B26" s="12" t="s">
        <v>11</v>
      </c>
      <c r="C26" s="15">
        <v>0</v>
      </c>
      <c r="D26" s="21"/>
      <c r="E26" s="111" t="e">
        <f>B26/#REF!*1</f>
        <v>#VALUE!</v>
      </c>
      <c r="F26" s="109"/>
      <c r="G26" s="109"/>
      <c r="H26" s="109"/>
      <c r="I26" s="109"/>
      <c r="J26" s="109"/>
    </row>
    <row r="27" spans="1:10" ht="16.5" customHeight="1">
      <c r="A27" s="98" t="s">
        <v>96</v>
      </c>
      <c r="B27" s="12" t="s">
        <v>11</v>
      </c>
      <c r="C27" s="15">
        <v>0</v>
      </c>
      <c r="D27" s="21">
        <v>139.18</v>
      </c>
      <c r="E27" s="111" t="e">
        <f>B27/#REF!*1</f>
        <v>#VALUE!</v>
      </c>
      <c r="F27" s="109"/>
      <c r="G27" s="109"/>
      <c r="H27" s="109"/>
      <c r="I27" s="109"/>
      <c r="J27" s="109"/>
    </row>
    <row r="28" spans="1:10" ht="15">
      <c r="A28" s="8" t="s">
        <v>25</v>
      </c>
      <c r="B28" s="12" t="s">
        <v>11</v>
      </c>
      <c r="C28" s="15">
        <f>C15+C22</f>
        <v>3724.1289019999995</v>
      </c>
      <c r="D28" s="16" t="s">
        <v>26</v>
      </c>
      <c r="E28" s="111" t="e">
        <f>B28/#REF!*1</f>
        <v>#VALUE!</v>
      </c>
      <c r="F28" s="109"/>
      <c r="G28" s="109"/>
      <c r="H28" s="109"/>
      <c r="I28" s="109"/>
      <c r="J28" s="109"/>
    </row>
    <row r="29" spans="1:10" ht="35.25" customHeight="1">
      <c r="A29" s="568" t="s">
        <v>27</v>
      </c>
      <c r="B29" s="568"/>
      <c r="C29" s="568"/>
      <c r="D29" s="568"/>
      <c r="E29" s="109"/>
      <c r="F29" s="109"/>
      <c r="G29" s="109"/>
      <c r="H29" s="109"/>
      <c r="I29" s="109"/>
      <c r="J29" s="109"/>
    </row>
    <row r="30" spans="1:10" ht="60">
      <c r="A30" s="22" t="s">
        <v>28</v>
      </c>
      <c r="B30" s="23" t="s">
        <v>29</v>
      </c>
      <c r="C30" s="24" t="s">
        <v>30</v>
      </c>
      <c r="D30" s="25" t="s">
        <v>31</v>
      </c>
      <c r="E30" s="109"/>
      <c r="F30" s="109"/>
      <c r="G30" s="109"/>
      <c r="H30" s="109"/>
      <c r="I30" s="109"/>
      <c r="J30" s="109"/>
    </row>
    <row r="31" spans="1:10" ht="15">
      <c r="A31" s="26" t="s">
        <v>32</v>
      </c>
      <c r="B31" s="27" t="s">
        <v>33</v>
      </c>
      <c r="C31" s="28" t="s">
        <v>34</v>
      </c>
      <c r="D31" s="92">
        <f>(0.85+0.9)*6*104.2</f>
        <v>1094.1000000000001</v>
      </c>
      <c r="E31" s="109"/>
      <c r="F31" s="109"/>
      <c r="G31" s="109"/>
      <c r="H31" s="109"/>
      <c r="I31" s="109"/>
      <c r="J31" s="109"/>
    </row>
    <row r="32" spans="1:10" ht="15">
      <c r="A32" s="29" t="s">
        <v>36</v>
      </c>
      <c r="B32" s="30" t="s">
        <v>33</v>
      </c>
      <c r="C32" s="31" t="s">
        <v>37</v>
      </c>
      <c r="D32" s="93">
        <f>0.24*12*104.2</f>
        <v>300.096</v>
      </c>
      <c r="E32" s="109"/>
      <c r="F32" s="109"/>
      <c r="G32" s="109"/>
      <c r="H32" s="109"/>
      <c r="I32" s="109"/>
      <c r="J32" s="109"/>
    </row>
    <row r="33" spans="1:10" ht="15">
      <c r="A33" s="153" t="s">
        <v>174</v>
      </c>
      <c r="B33" s="30" t="s">
        <v>33</v>
      </c>
      <c r="C33" s="31" t="s">
        <v>34</v>
      </c>
      <c r="D33" s="93">
        <f>(1.25+1)*6*104.2</f>
        <v>1406.7</v>
      </c>
      <c r="E33" s="109"/>
      <c r="F33" s="109"/>
      <c r="G33" s="109"/>
      <c r="H33" s="109"/>
      <c r="I33" s="109"/>
      <c r="J33" s="109"/>
    </row>
    <row r="34" spans="1:10" ht="15">
      <c r="A34" s="29" t="s">
        <v>81</v>
      </c>
      <c r="B34" s="91" t="s">
        <v>82</v>
      </c>
      <c r="C34" s="31" t="s">
        <v>34</v>
      </c>
      <c r="D34" s="93">
        <f>1.33*12*104.2</f>
        <v>1663.0320000000002</v>
      </c>
      <c r="E34" s="109"/>
      <c r="F34" s="109"/>
      <c r="G34" s="109"/>
      <c r="H34" s="109"/>
      <c r="I34" s="109"/>
      <c r="J34" s="109"/>
    </row>
    <row r="35" spans="1:10" ht="15">
      <c r="A35" s="29" t="s">
        <v>38</v>
      </c>
      <c r="B35" s="30" t="s">
        <v>35</v>
      </c>
      <c r="C35" s="364" t="s">
        <v>221</v>
      </c>
      <c r="D35" s="93">
        <f>4.19*104.2*12</f>
        <v>5239.176000000001</v>
      </c>
      <c r="E35" s="109"/>
      <c r="F35" s="109"/>
      <c r="G35" s="109"/>
      <c r="H35" s="109"/>
      <c r="I35" s="109"/>
      <c r="J35" s="109"/>
    </row>
    <row r="36" spans="1:10" ht="15">
      <c r="A36" s="29" t="s">
        <v>85</v>
      </c>
      <c r="B36" s="30" t="s">
        <v>222</v>
      </c>
      <c r="C36" s="171" t="s">
        <v>37</v>
      </c>
      <c r="D36" s="93">
        <f>104.2*12*0.92-0.04</f>
        <v>1150.3280000000002</v>
      </c>
      <c r="E36" s="109"/>
      <c r="F36" s="109"/>
      <c r="G36" s="109"/>
      <c r="H36" s="109"/>
      <c r="I36" s="109"/>
      <c r="J36" s="109"/>
    </row>
    <row r="37" spans="1:14" s="1" customFormat="1" ht="45">
      <c r="A37" s="33" t="s">
        <v>40</v>
      </c>
      <c r="B37" s="34" t="s">
        <v>41</v>
      </c>
      <c r="C37" s="108" t="s">
        <v>77</v>
      </c>
      <c r="D37" s="375">
        <f>D38</f>
        <v>1582</v>
      </c>
      <c r="E37" s="109"/>
      <c r="F37" s="109"/>
      <c r="G37" s="109"/>
      <c r="H37" s="109"/>
      <c r="I37" s="109"/>
      <c r="J37" s="109"/>
      <c r="K37"/>
      <c r="L37"/>
      <c r="M37"/>
      <c r="N37"/>
    </row>
    <row r="38" spans="1:14" s="1" customFormat="1" ht="15">
      <c r="A38" s="94" t="s">
        <v>314</v>
      </c>
      <c r="B38" s="95" t="s">
        <v>149</v>
      </c>
      <c r="C38" s="386" t="s">
        <v>34</v>
      </c>
      <c r="D38" s="146">
        <v>1582</v>
      </c>
      <c r="E38" s="109"/>
      <c r="F38" s="109"/>
      <c r="G38" s="109"/>
      <c r="H38" s="109"/>
      <c r="I38" s="109"/>
      <c r="J38" s="109"/>
      <c r="K38"/>
      <c r="L38"/>
      <c r="M38"/>
      <c r="N38"/>
    </row>
    <row r="39" spans="1:14" s="1" customFormat="1" ht="15.75">
      <c r="A39" s="37" t="s">
        <v>42</v>
      </c>
      <c r="B39" s="38"/>
      <c r="C39" s="39"/>
      <c r="D39" s="97">
        <f>SUM(D31:D37)</f>
        <v>12435.432</v>
      </c>
      <c r="E39" s="112">
        <f>D39-D37</f>
        <v>10853.432</v>
      </c>
      <c r="F39" s="109"/>
      <c r="G39" s="109"/>
      <c r="H39" s="109"/>
      <c r="I39" s="109"/>
      <c r="J39" s="109"/>
      <c r="K39"/>
      <c r="L39"/>
      <c r="M39"/>
      <c r="N39"/>
    </row>
    <row r="40" spans="1:14" s="1" customFormat="1" ht="15">
      <c r="A40" s="40" t="s">
        <v>43</v>
      </c>
      <c r="B40" s="41" t="s">
        <v>11</v>
      </c>
      <c r="C40" s="42"/>
      <c r="D40" s="43">
        <f>C28-D39</f>
        <v>-8711.303098</v>
      </c>
      <c r="E40" s="112"/>
      <c r="F40" s="109"/>
      <c r="G40" s="109"/>
      <c r="H40" s="109"/>
      <c r="I40" s="109"/>
      <c r="J40" s="109"/>
      <c r="K40"/>
      <c r="L40"/>
      <c r="M40"/>
      <c r="N40"/>
    </row>
    <row r="41" spans="1:14" s="1" customFormat="1" ht="15">
      <c r="A41" s="45" t="s">
        <v>12</v>
      </c>
      <c r="B41" s="46" t="s">
        <v>11</v>
      </c>
      <c r="C41" s="31"/>
      <c r="D41" s="14"/>
      <c r="E41" s="109"/>
      <c r="F41" s="109"/>
      <c r="G41" s="109"/>
      <c r="H41" s="109"/>
      <c r="I41" s="109"/>
      <c r="J41" s="109"/>
      <c r="K41"/>
      <c r="L41"/>
      <c r="M41"/>
      <c r="N41"/>
    </row>
    <row r="42" spans="1:14" s="1" customFormat="1" ht="15">
      <c r="A42" s="45" t="s">
        <v>13</v>
      </c>
      <c r="B42" s="46" t="s">
        <v>11</v>
      </c>
      <c r="C42" s="31"/>
      <c r="D42" s="16">
        <f>C17+C18-C23</f>
        <v>5859.361098000001</v>
      </c>
      <c r="E42" s="109"/>
      <c r="F42" s="109"/>
      <c r="G42" s="109"/>
      <c r="H42" s="109"/>
      <c r="I42" s="109"/>
      <c r="J42" s="109"/>
      <c r="K42"/>
      <c r="L42"/>
      <c r="M42"/>
      <c r="N42"/>
    </row>
    <row r="43" spans="1:14" s="1" customFormat="1" ht="24" customHeight="1">
      <c r="A43" s="569" t="s">
        <v>44</v>
      </c>
      <c r="B43" s="569"/>
      <c r="C43" s="569"/>
      <c r="D43" s="569"/>
      <c r="E43" s="109"/>
      <c r="F43" s="109"/>
      <c r="G43" s="109"/>
      <c r="H43" s="109"/>
      <c r="I43" s="109"/>
      <c r="J43" s="109"/>
      <c r="K43"/>
      <c r="L43"/>
      <c r="M43"/>
      <c r="N43"/>
    </row>
    <row r="44" spans="1:14" s="1" customFormat="1" ht="15">
      <c r="A44" s="45" t="s">
        <v>45</v>
      </c>
      <c r="B44" s="30" t="s">
        <v>46</v>
      </c>
      <c r="C44" s="31">
        <v>0</v>
      </c>
      <c r="D44" s="14">
        <v>0</v>
      </c>
      <c r="E44" s="109"/>
      <c r="F44" s="109"/>
      <c r="G44" s="109"/>
      <c r="H44" s="109"/>
      <c r="I44" s="109"/>
      <c r="J44" s="109"/>
      <c r="K44"/>
      <c r="L44"/>
      <c r="M44"/>
      <c r="N44"/>
    </row>
    <row r="45" spans="1:14" s="1" customFormat="1" ht="15">
      <c r="A45" s="45" t="s">
        <v>47</v>
      </c>
      <c r="B45" s="30" t="s">
        <v>46</v>
      </c>
      <c r="C45" s="31">
        <v>0</v>
      </c>
      <c r="D45" s="14">
        <v>0</v>
      </c>
      <c r="E45" s="109"/>
      <c r="F45" s="109"/>
      <c r="G45" s="109"/>
      <c r="H45" s="109"/>
      <c r="I45" s="109"/>
      <c r="J45" s="109"/>
      <c r="K45"/>
      <c r="L45"/>
      <c r="M45"/>
      <c r="N45"/>
    </row>
    <row r="46" spans="1:14" s="1" customFormat="1" ht="15">
      <c r="A46" s="47" t="s">
        <v>48</v>
      </c>
      <c r="B46" s="30" t="s">
        <v>46</v>
      </c>
      <c r="C46" s="31">
        <v>0</v>
      </c>
      <c r="D46" s="14">
        <v>0</v>
      </c>
      <c r="E46" s="109"/>
      <c r="F46" s="109"/>
      <c r="G46" s="109"/>
      <c r="H46" s="109"/>
      <c r="I46" s="109"/>
      <c r="J46" s="109"/>
      <c r="K46"/>
      <c r="L46"/>
      <c r="M46"/>
      <c r="N46"/>
    </row>
    <row r="47" spans="1:14" s="1" customFormat="1" ht="15">
      <c r="A47" s="45" t="s">
        <v>49</v>
      </c>
      <c r="B47" s="30" t="s">
        <v>11</v>
      </c>
      <c r="C47" s="31">
        <v>0</v>
      </c>
      <c r="D47" s="14">
        <v>0</v>
      </c>
      <c r="E47" s="109"/>
      <c r="F47" s="109"/>
      <c r="G47" s="109"/>
      <c r="H47" s="109"/>
      <c r="I47" s="109"/>
      <c r="J47" s="109"/>
      <c r="K47"/>
      <c r="L47"/>
      <c r="M47"/>
      <c r="N47"/>
    </row>
    <row r="48" spans="1:10" ht="20.25" customHeight="1">
      <c r="A48" s="570" t="s">
        <v>50</v>
      </c>
      <c r="B48" s="570"/>
      <c r="C48" s="570"/>
      <c r="D48" s="570"/>
      <c r="E48" s="109"/>
      <c r="F48" s="109"/>
      <c r="G48" s="109"/>
      <c r="H48" s="109"/>
      <c r="I48" s="109"/>
      <c r="J48" s="109"/>
    </row>
    <row r="49" spans="1:10" ht="25.5">
      <c r="A49" s="47" t="s">
        <v>51</v>
      </c>
      <c r="B49" s="30" t="s">
        <v>11</v>
      </c>
      <c r="C49" s="31"/>
      <c r="D49" s="14">
        <v>0</v>
      </c>
      <c r="E49" s="109"/>
      <c r="F49" s="109"/>
      <c r="G49" s="109"/>
      <c r="H49" s="109"/>
      <c r="I49" s="109"/>
      <c r="J49" s="109"/>
    </row>
    <row r="50" spans="1:10" ht="15">
      <c r="A50" s="45" t="s">
        <v>12</v>
      </c>
      <c r="B50" s="30" t="s">
        <v>11</v>
      </c>
      <c r="C50" s="31"/>
      <c r="D50" s="14">
        <v>0</v>
      </c>
      <c r="E50" s="109"/>
      <c r="F50" s="109"/>
      <c r="G50" s="109"/>
      <c r="H50" s="109"/>
      <c r="I50" s="109"/>
      <c r="J50" s="109"/>
    </row>
    <row r="51" spans="1:10" ht="15">
      <c r="A51" s="45" t="s">
        <v>13</v>
      </c>
      <c r="B51" s="30" t="s">
        <v>11</v>
      </c>
      <c r="C51" s="31"/>
      <c r="D51" s="58">
        <f>D53-D57-D59-D60</f>
        <v>14753.268595</v>
      </c>
      <c r="E51" s="109"/>
      <c r="F51" s="109"/>
      <c r="G51" s="109"/>
      <c r="H51" s="113"/>
      <c r="I51" s="109"/>
      <c r="J51" s="109"/>
    </row>
    <row r="52" spans="1:10" ht="25.5">
      <c r="A52" s="50" t="s">
        <v>52</v>
      </c>
      <c r="B52" s="30" t="s">
        <v>11</v>
      </c>
      <c r="C52" s="51"/>
      <c r="D52" s="52">
        <v>0</v>
      </c>
      <c r="E52" s="109"/>
      <c r="F52" s="109"/>
      <c r="G52" s="109"/>
      <c r="H52" s="109"/>
      <c r="I52" s="109"/>
      <c r="J52" s="109"/>
    </row>
    <row r="53" spans="1:10" ht="17.25" customHeight="1">
      <c r="A53" s="53" t="s">
        <v>12</v>
      </c>
      <c r="B53" s="30" t="s">
        <v>11</v>
      </c>
      <c r="C53" s="31"/>
      <c r="D53" s="48">
        <v>21393.46</v>
      </c>
      <c r="E53" s="109"/>
      <c r="I53" s="49"/>
      <c r="J53" s="49"/>
    </row>
    <row r="54" spans="1:14" ht="15">
      <c r="A54" s="56" t="s">
        <v>13</v>
      </c>
      <c r="B54" s="30" t="s">
        <v>11</v>
      </c>
      <c r="C54" s="57"/>
      <c r="D54" s="58"/>
      <c r="E54" s="109"/>
      <c r="H54" s="1" t="s">
        <v>26</v>
      </c>
      <c r="I54" s="60"/>
      <c r="J54" s="60"/>
      <c r="K54" s="61"/>
      <c r="L54" s="61"/>
      <c r="M54" s="61"/>
      <c r="N54" s="61"/>
    </row>
    <row r="55" spans="1:14" ht="18" customHeight="1">
      <c r="A55" s="571" t="s">
        <v>53</v>
      </c>
      <c r="B55" s="571"/>
      <c r="C55" s="571"/>
      <c r="D55" s="571"/>
      <c r="E55" s="114"/>
      <c r="F55" s="63"/>
      <c r="G55" s="64"/>
      <c r="I55" s="65"/>
      <c r="J55" s="65"/>
      <c r="K55" s="66"/>
      <c r="L55" s="66"/>
      <c r="M55" s="66"/>
      <c r="N55" s="66"/>
    </row>
    <row r="56" spans="1:14" ht="47.25">
      <c r="A56" s="67" t="s">
        <v>54</v>
      </c>
      <c r="B56" s="68" t="s">
        <v>55</v>
      </c>
      <c r="C56" s="69" t="s">
        <v>56</v>
      </c>
      <c r="D56" s="70" t="s">
        <v>57</v>
      </c>
      <c r="E56" s="114"/>
      <c r="F56" s="63"/>
      <c r="G56" s="64"/>
      <c r="I56" s="65"/>
      <c r="J56" s="71"/>
      <c r="K56" s="66"/>
      <c r="L56" s="66"/>
      <c r="M56" s="66"/>
      <c r="N56" s="66"/>
    </row>
    <row r="57" spans="1:14" ht="15">
      <c r="A57" s="72" t="s">
        <v>58</v>
      </c>
      <c r="B57" s="99">
        <v>2360.48</v>
      </c>
      <c r="C57" s="100">
        <f>B57*0.5959</f>
        <v>1406.610032</v>
      </c>
      <c r="D57" s="101">
        <f>B57-C57</f>
        <v>953.869968</v>
      </c>
      <c r="E57" s="117"/>
      <c r="F57" s="63"/>
      <c r="G57" s="64"/>
      <c r="I57" s="65"/>
      <c r="J57" s="65"/>
      <c r="K57" s="66"/>
      <c r="L57" s="66"/>
      <c r="M57" s="66"/>
      <c r="N57" s="66"/>
    </row>
    <row r="58" spans="1:14" ht="15">
      <c r="A58" s="72" t="s">
        <v>59</v>
      </c>
      <c r="B58" s="99">
        <v>0</v>
      </c>
      <c r="C58" s="100">
        <f>B58*0.5959</f>
        <v>0</v>
      </c>
      <c r="D58" s="101">
        <f>B58-C58</f>
        <v>0</v>
      </c>
      <c r="E58" s="114"/>
      <c r="F58" s="63"/>
      <c r="G58" s="64"/>
      <c r="I58" s="65"/>
      <c r="J58" s="65"/>
      <c r="K58" s="66"/>
      <c r="L58" s="66"/>
      <c r="M58" s="66"/>
      <c r="N58" s="66"/>
    </row>
    <row r="59" spans="1:14" ht="15">
      <c r="A59" s="72" t="s">
        <v>60</v>
      </c>
      <c r="B59" s="102">
        <v>8234.42</v>
      </c>
      <c r="C59" s="100">
        <f>B59*0.5959</f>
        <v>4906.890878</v>
      </c>
      <c r="D59" s="101">
        <f>B59-C59</f>
        <v>3327.529122</v>
      </c>
      <c r="E59" s="114">
        <f>(2.07+1.8)*6*2301.2-0.37*2301.2*6</f>
        <v>48325.2</v>
      </c>
      <c r="F59" s="73"/>
      <c r="G59" s="74"/>
      <c r="H59" s="62"/>
      <c r="I59" s="65"/>
      <c r="J59" s="65"/>
      <c r="K59" s="66"/>
      <c r="L59" s="66"/>
      <c r="M59" s="66"/>
      <c r="N59" s="66"/>
    </row>
    <row r="60" spans="1:14" ht="15.75" thickBot="1">
      <c r="A60" s="125" t="s">
        <v>236</v>
      </c>
      <c r="B60" s="126">
        <v>5837.15</v>
      </c>
      <c r="C60" s="100">
        <f>B60*0.5959</f>
        <v>3478.3576849999995</v>
      </c>
      <c r="D60" s="128">
        <f>B60-C60</f>
        <v>2358.792315</v>
      </c>
      <c r="E60" s="114"/>
      <c r="F60" s="73"/>
      <c r="G60" s="74"/>
      <c r="I60" s="65"/>
      <c r="J60" s="65"/>
      <c r="K60" s="66"/>
      <c r="L60" s="66"/>
      <c r="M60" s="66"/>
      <c r="N60" s="66"/>
    </row>
    <row r="61" spans="1:14" ht="63">
      <c r="A61" s="129" t="s">
        <v>62</v>
      </c>
      <c r="B61" s="130" t="s">
        <v>63</v>
      </c>
      <c r="C61" s="131" t="s">
        <v>64</v>
      </c>
      <c r="D61" s="132" t="s">
        <v>65</v>
      </c>
      <c r="E61" s="114"/>
      <c r="F61" s="73"/>
      <c r="H61" s="65"/>
      <c r="I61" s="65"/>
      <c r="J61" s="65"/>
      <c r="K61" s="66"/>
      <c r="L61" s="66"/>
      <c r="M61" s="66"/>
      <c r="N61" s="66"/>
    </row>
    <row r="62" spans="1:14" ht="15">
      <c r="A62" s="133" t="s">
        <v>58</v>
      </c>
      <c r="B62" s="99">
        <v>2360.48</v>
      </c>
      <c r="C62" s="105">
        <f>B62</f>
        <v>2360.48</v>
      </c>
      <c r="D62" s="134">
        <f>B62-C62</f>
        <v>0</v>
      </c>
      <c r="E62" s="114"/>
      <c r="F62" s="73"/>
      <c r="H62" s="65"/>
      <c r="I62" s="65"/>
      <c r="J62" s="65" t="s">
        <v>26</v>
      </c>
      <c r="K62" s="66"/>
      <c r="L62" s="66"/>
      <c r="M62" s="66"/>
      <c r="N62" s="66"/>
    </row>
    <row r="63" spans="1:14" ht="15">
      <c r="A63" s="133" t="s">
        <v>59</v>
      </c>
      <c r="B63" s="99">
        <v>0</v>
      </c>
      <c r="C63" s="105">
        <f>C58*1.0063</f>
        <v>0</v>
      </c>
      <c r="D63" s="134">
        <f>B63-C63</f>
        <v>0</v>
      </c>
      <c r="E63" s="114"/>
      <c r="F63" s="73"/>
      <c r="H63" s="65"/>
      <c r="I63" s="65"/>
      <c r="J63" s="65"/>
      <c r="K63" s="66"/>
      <c r="L63" s="66"/>
      <c r="M63" s="66"/>
      <c r="N63" s="66"/>
    </row>
    <row r="64" spans="1:14" ht="15">
      <c r="A64" s="133" t="s">
        <v>60</v>
      </c>
      <c r="B64" s="102">
        <v>8234.42</v>
      </c>
      <c r="C64" s="105">
        <f>B64</f>
        <v>8234.42</v>
      </c>
      <c r="D64" s="134">
        <f>B64-C64</f>
        <v>0</v>
      </c>
      <c r="E64" s="114"/>
      <c r="F64" s="73"/>
      <c r="H64" s="65"/>
      <c r="I64" s="65"/>
      <c r="J64" s="65"/>
      <c r="K64" s="66"/>
      <c r="L64" s="66"/>
      <c r="M64" s="66"/>
      <c r="N64" s="66"/>
    </row>
    <row r="65" spans="1:14" ht="15.75" thickBot="1">
      <c r="A65" s="135" t="s">
        <v>236</v>
      </c>
      <c r="B65" s="126">
        <v>5837.15</v>
      </c>
      <c r="C65" s="139">
        <f>C60</f>
        <v>3478.3576849999995</v>
      </c>
      <c r="D65" s="138">
        <f>B65-C65</f>
        <v>2358.792315</v>
      </c>
      <c r="E65" s="114"/>
      <c r="F65" s="73"/>
      <c r="H65" s="65" t="s">
        <v>26</v>
      </c>
      <c r="I65" s="65"/>
      <c r="J65" s="65"/>
      <c r="K65" s="66"/>
      <c r="L65" s="66"/>
      <c r="M65" s="66"/>
      <c r="N65" s="66"/>
    </row>
    <row r="66" spans="1:14" ht="15">
      <c r="A66" s="77"/>
      <c r="B66" s="76"/>
      <c r="C66" s="78"/>
      <c r="D66" s="79"/>
      <c r="E66" s="114"/>
      <c r="F66" s="73"/>
      <c r="H66" s="65"/>
      <c r="I66" s="65"/>
      <c r="J66" s="65"/>
      <c r="K66" s="66"/>
      <c r="L66" s="66"/>
      <c r="M66" s="66"/>
      <c r="N66" s="66"/>
    </row>
    <row r="67" spans="1:14" ht="25.5">
      <c r="A67" s="80" t="s">
        <v>66</v>
      </c>
      <c r="B67" s="76" t="s">
        <v>11</v>
      </c>
      <c r="C67" s="81"/>
      <c r="D67" s="82">
        <v>0</v>
      </c>
      <c r="E67" s="114"/>
      <c r="F67" s="73"/>
      <c r="H67" s="65"/>
      <c r="I67" s="65"/>
      <c r="J67" s="65" t="s">
        <v>26</v>
      </c>
      <c r="K67" s="66"/>
      <c r="L67" s="66"/>
      <c r="M67" s="66"/>
      <c r="N67" s="66"/>
    </row>
    <row r="68" spans="1:14" ht="17.25" customHeight="1">
      <c r="A68" s="572" t="s">
        <v>67</v>
      </c>
      <c r="B68" s="572"/>
      <c r="C68" s="572"/>
      <c r="D68" s="572"/>
      <c r="E68" s="121" t="e">
        <f>D68+B19</f>
        <v>#VALUE!</v>
      </c>
      <c r="F68" s="65"/>
      <c r="H68" s="84" t="e">
        <f>E68-B18</f>
        <v>#VALUE!</v>
      </c>
      <c r="I68" s="65"/>
      <c r="J68" s="65"/>
      <c r="K68" s="66"/>
      <c r="L68" s="66"/>
      <c r="M68" s="66"/>
      <c r="N68" s="66"/>
    </row>
    <row r="69" spans="1:5" ht="21" customHeight="1">
      <c r="A69" s="85" t="s">
        <v>45</v>
      </c>
      <c r="B69" s="85" t="s">
        <v>46</v>
      </c>
      <c r="C69" s="86"/>
      <c r="D69" s="177">
        <v>0</v>
      </c>
      <c r="E69" s="123"/>
    </row>
    <row r="70" spans="1:5" ht="21" customHeight="1">
      <c r="A70" s="85" t="s">
        <v>47</v>
      </c>
      <c r="B70" s="85" t="s">
        <v>46</v>
      </c>
      <c r="C70" s="85"/>
      <c r="D70" s="177">
        <v>0</v>
      </c>
      <c r="E70" s="123"/>
    </row>
    <row r="71" spans="1:5" ht="18" customHeight="1">
      <c r="A71" s="85" t="s">
        <v>48</v>
      </c>
      <c r="B71" s="85" t="s">
        <v>46</v>
      </c>
      <c r="C71" s="85"/>
      <c r="D71" s="177">
        <v>0</v>
      </c>
      <c r="E71" s="123"/>
    </row>
    <row r="72" spans="1:5" ht="16.5" customHeight="1">
      <c r="A72" s="85" t="s">
        <v>49</v>
      </c>
      <c r="B72" s="85" t="s">
        <v>11</v>
      </c>
      <c r="C72" s="85"/>
      <c r="D72" s="177">
        <v>0</v>
      </c>
      <c r="E72" s="123"/>
    </row>
    <row r="73" spans="1:5" ht="15.75" customHeight="1">
      <c r="A73" s="566" t="s">
        <v>68</v>
      </c>
      <c r="B73" s="566"/>
      <c r="C73" s="566"/>
      <c r="D73" s="566"/>
      <c r="E73" s="123"/>
    </row>
    <row r="74" spans="1:5" ht="18.75" customHeight="1">
      <c r="A74" s="85" t="s">
        <v>69</v>
      </c>
      <c r="B74" s="85" t="s">
        <v>46</v>
      </c>
      <c r="C74" s="85"/>
      <c r="D74" s="177">
        <v>0</v>
      </c>
      <c r="E74" s="123"/>
    </row>
    <row r="75" spans="1:5" ht="21.75" customHeight="1">
      <c r="A75" s="85" t="s">
        <v>70</v>
      </c>
      <c r="B75" s="53" t="s">
        <v>46</v>
      </c>
      <c r="C75" s="53"/>
      <c r="D75" s="177">
        <v>0</v>
      </c>
      <c r="E75" s="123"/>
    </row>
    <row r="76" spans="1:5" ht="36" customHeight="1">
      <c r="A76" s="89" t="s">
        <v>71</v>
      </c>
      <c r="B76" s="85" t="s">
        <v>11</v>
      </c>
      <c r="C76" s="85"/>
      <c r="D76" s="177">
        <v>0</v>
      </c>
      <c r="E76" s="123"/>
    </row>
    <row r="77" spans="1:5" ht="15">
      <c r="A77" s="66"/>
      <c r="B77" s="66"/>
      <c r="C77" s="66"/>
      <c r="D77" s="90"/>
      <c r="E77" s="109"/>
    </row>
    <row r="78" spans="1:14" s="1" customFormat="1" ht="12.75">
      <c r="A78"/>
      <c r="B78"/>
      <c r="C78"/>
      <c r="D78"/>
      <c r="E78" s="109"/>
      <c r="H78" s="1" t="s">
        <v>26</v>
      </c>
      <c r="K78"/>
      <c r="L78"/>
      <c r="M78"/>
      <c r="N78"/>
    </row>
    <row r="79" spans="1:14" s="1" customFormat="1" ht="12.75">
      <c r="A79" t="s">
        <v>72</v>
      </c>
      <c r="B79"/>
      <c r="C79"/>
      <c r="D79"/>
      <c r="E79" s="109"/>
      <c r="K79"/>
      <c r="L79"/>
      <c r="M79"/>
      <c r="N79"/>
    </row>
    <row r="80" spans="1:14" s="1" customFormat="1" ht="12.75">
      <c r="A80"/>
      <c r="B80"/>
      <c r="C80"/>
      <c r="D80"/>
      <c r="E80" s="109"/>
      <c r="H80" s="1" t="s">
        <v>26</v>
      </c>
      <c r="K80"/>
      <c r="L80"/>
      <c r="M80"/>
      <c r="N80"/>
    </row>
    <row r="81" spans="1:14" s="1" customFormat="1" ht="12.75">
      <c r="A81" t="s">
        <v>73</v>
      </c>
      <c r="B81"/>
      <c r="C81"/>
      <c r="D81"/>
      <c r="E81" s="109"/>
      <c r="K81"/>
      <c r="L81"/>
      <c r="M81"/>
      <c r="N81"/>
    </row>
    <row r="82" ht="12.75">
      <c r="E82" s="109"/>
    </row>
    <row r="83" ht="12.75">
      <c r="E83" s="109"/>
    </row>
    <row r="84" ht="12.75">
      <c r="E84" s="109"/>
    </row>
    <row r="85" spans="1:14" s="1" customFormat="1" ht="12.75">
      <c r="A85"/>
      <c r="B85"/>
      <c r="C85"/>
      <c r="D85"/>
      <c r="E85" s="109" t="s">
        <v>26</v>
      </c>
      <c r="K85"/>
      <c r="L85"/>
      <c r="M85"/>
      <c r="N85"/>
    </row>
  </sheetData>
  <sheetProtection selectLockedCells="1" selectUnlockedCells="1"/>
  <mergeCells count="13">
    <mergeCell ref="A73:D73"/>
    <mergeCell ref="A14:D14"/>
    <mergeCell ref="A29:D29"/>
    <mergeCell ref="A43:D43"/>
    <mergeCell ref="A48:D48"/>
    <mergeCell ref="A55:D55"/>
    <mergeCell ref="A68:D68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zoomScale="80" zoomScaleNormal="80" zoomScalePageLayoutView="0" workbookViewId="0" topLeftCell="A25">
      <selection activeCell="D39" sqref="D39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560" t="s">
        <v>0</v>
      </c>
      <c r="B1" s="560"/>
      <c r="C1" s="560"/>
      <c r="D1" s="560"/>
    </row>
    <row r="2" spans="1:4" ht="15.75">
      <c r="A2" s="561" t="s">
        <v>220</v>
      </c>
      <c r="B2" s="562"/>
      <c r="C2" s="562"/>
      <c r="D2" s="562"/>
    </row>
    <row r="3" spans="1:4" ht="15.75">
      <c r="A3" s="562" t="s">
        <v>1</v>
      </c>
      <c r="B3" s="562"/>
      <c r="C3" s="562"/>
      <c r="D3" s="562"/>
    </row>
    <row r="4" spans="1:4" ht="12.75">
      <c r="A4" s="563" t="s">
        <v>129</v>
      </c>
      <c r="B4" s="563"/>
      <c r="C4" s="563"/>
      <c r="D4" s="563"/>
    </row>
    <row r="5" spans="1:4" ht="12.75">
      <c r="A5" s="564" t="s">
        <v>266</v>
      </c>
      <c r="B5" s="563"/>
      <c r="C5" s="563"/>
      <c r="D5" s="563"/>
    </row>
    <row r="6" ht="15.75" customHeight="1">
      <c r="A6" s="2" t="s">
        <v>186</v>
      </c>
    </row>
    <row r="7" spans="1:4" ht="18" customHeight="1">
      <c r="A7" s="565" t="s">
        <v>2</v>
      </c>
      <c r="B7" s="565"/>
      <c r="C7" s="565"/>
      <c r="D7" s="565"/>
    </row>
    <row r="8" spans="1:3" ht="12.75">
      <c r="A8" s="2"/>
      <c r="C8" s="3"/>
    </row>
    <row r="9" spans="1:4" ht="12.75">
      <c r="A9" s="4" t="s">
        <v>3</v>
      </c>
      <c r="B9" s="4" t="s">
        <v>4</v>
      </c>
      <c r="C9" s="4" t="s">
        <v>5</v>
      </c>
      <c r="D9" s="5"/>
    </row>
    <row r="10" spans="1:4" ht="12.75">
      <c r="A10" s="6">
        <v>1</v>
      </c>
      <c r="B10" s="6">
        <v>2</v>
      </c>
      <c r="C10" s="6">
        <v>3</v>
      </c>
      <c r="D10" s="7">
        <v>4</v>
      </c>
    </row>
    <row r="11" spans="1:4" ht="12.75">
      <c r="A11" s="8" t="s">
        <v>6</v>
      </c>
      <c r="B11" s="9"/>
      <c r="C11" s="144" t="s">
        <v>262</v>
      </c>
      <c r="D11" s="10"/>
    </row>
    <row r="12" spans="1:4" ht="12.75">
      <c r="A12" s="8" t="s">
        <v>7</v>
      </c>
      <c r="B12" s="9"/>
      <c r="C12" s="144" t="s">
        <v>263</v>
      </c>
      <c r="D12" s="10"/>
    </row>
    <row r="13" spans="1:4" ht="12.75">
      <c r="A13" s="8" t="s">
        <v>8</v>
      </c>
      <c r="B13" s="9"/>
      <c r="C13" s="144" t="s">
        <v>267</v>
      </c>
      <c r="D13" s="10"/>
    </row>
    <row r="14" spans="1:5" ht="31.5" customHeight="1">
      <c r="A14" s="567" t="s">
        <v>9</v>
      </c>
      <c r="B14" s="567"/>
      <c r="C14" s="567"/>
      <c r="D14" s="567"/>
      <c r="E14" s="109"/>
    </row>
    <row r="15" spans="1:5" ht="25.5">
      <c r="A15" s="11" t="s">
        <v>10</v>
      </c>
      <c r="B15" s="12" t="s">
        <v>11</v>
      </c>
      <c r="C15" s="15">
        <v>-25686.72</v>
      </c>
      <c r="D15" s="14"/>
      <c r="E15" s="109"/>
    </row>
    <row r="16" spans="1:5" ht="15">
      <c r="A16" s="8" t="s">
        <v>12</v>
      </c>
      <c r="B16" s="12" t="s">
        <v>11</v>
      </c>
      <c r="C16" s="13">
        <v>0</v>
      </c>
      <c r="D16" s="14"/>
      <c r="E16" s="109"/>
    </row>
    <row r="17" spans="1:8" ht="15">
      <c r="A17" s="8" t="s">
        <v>13</v>
      </c>
      <c r="B17" s="12" t="s">
        <v>11</v>
      </c>
      <c r="C17" s="15">
        <v>8330.8</v>
      </c>
      <c r="D17" s="16"/>
      <c r="E17" s="109"/>
      <c r="F17" s="109"/>
      <c r="G17" s="109"/>
      <c r="H17" s="109"/>
    </row>
    <row r="18" spans="1:8" ht="31.5" customHeight="1">
      <c r="A18" s="17" t="s">
        <v>14</v>
      </c>
      <c r="B18" s="12" t="s">
        <v>11</v>
      </c>
      <c r="C18" s="15">
        <f>14206.08+1872.72</f>
        <v>16078.8</v>
      </c>
      <c r="D18" s="16"/>
      <c r="E18" s="110">
        <f>C18-C20</f>
        <v>12017.184</v>
      </c>
      <c r="F18" s="109"/>
      <c r="G18" s="109"/>
      <c r="H18" s="109"/>
    </row>
    <row r="19" spans="1:8" ht="15">
      <c r="A19" s="8" t="s">
        <v>15</v>
      </c>
      <c r="B19" s="12" t="s">
        <v>11</v>
      </c>
      <c r="C19" s="15">
        <f>C18-C20-C21</f>
        <v>5943.359999999999</v>
      </c>
      <c r="D19" s="16"/>
      <c r="E19" s="110">
        <f>E18-E38</f>
        <v>0</v>
      </c>
      <c r="F19" s="109"/>
      <c r="G19" s="109"/>
      <c r="H19" s="109"/>
    </row>
    <row r="20" spans="1:8" ht="15">
      <c r="A20" s="8" t="s">
        <v>16</v>
      </c>
      <c r="B20" s="12" t="s">
        <v>11</v>
      </c>
      <c r="C20" s="15">
        <f>(1.55+1.47)*6*120.8+1872.72</f>
        <v>4061.616</v>
      </c>
      <c r="D20" s="16"/>
      <c r="E20" s="111"/>
      <c r="F20" s="109"/>
      <c r="G20" s="109"/>
      <c r="H20" s="109"/>
    </row>
    <row r="21" spans="1:8" ht="15">
      <c r="A21" s="8" t="s">
        <v>17</v>
      </c>
      <c r="B21" s="12" t="s">
        <v>11</v>
      </c>
      <c r="C21" s="19">
        <f>120.8*4.19*12</f>
        <v>6073.8240000000005</v>
      </c>
      <c r="D21" s="16"/>
      <c r="E21" s="109"/>
      <c r="F21" s="109"/>
      <c r="G21" s="109"/>
      <c r="H21" s="109"/>
    </row>
    <row r="22" spans="1:8" ht="15">
      <c r="A22" s="20" t="s">
        <v>18</v>
      </c>
      <c r="B22" s="12" t="s">
        <v>11</v>
      </c>
      <c r="C22" s="15">
        <f>C23+C24+C25+C26+C27</f>
        <v>36683.782199999994</v>
      </c>
      <c r="D22" s="16" t="s">
        <v>19</v>
      </c>
      <c r="E22" s="110" t="e">
        <f>B24+B25+B26+B27+B28</f>
        <v>#VALUE!</v>
      </c>
      <c r="F22" s="109"/>
      <c r="G22" s="109"/>
      <c r="H22" s="109"/>
    </row>
    <row r="23" spans="1:8" ht="15">
      <c r="A23" s="8" t="s">
        <v>20</v>
      </c>
      <c r="B23" s="12" t="s">
        <v>11</v>
      </c>
      <c r="C23" s="15">
        <f>C18*2.2815</f>
        <v>36683.782199999994</v>
      </c>
      <c r="D23" s="16"/>
      <c r="E23" s="109"/>
      <c r="F23" s="109"/>
      <c r="G23" s="109"/>
      <c r="H23" s="109"/>
    </row>
    <row r="24" spans="1:8" ht="15">
      <c r="A24" s="8" t="s">
        <v>21</v>
      </c>
      <c r="B24" s="12" t="s">
        <v>11</v>
      </c>
      <c r="C24" s="15">
        <v>0</v>
      </c>
      <c r="D24" s="21">
        <v>65.21</v>
      </c>
      <c r="E24" s="111" t="e">
        <f>B24/#REF!*1</f>
        <v>#VALUE!</v>
      </c>
      <c r="F24" s="109"/>
      <c r="G24" s="109"/>
      <c r="H24" s="109" t="s">
        <v>22</v>
      </c>
    </row>
    <row r="25" spans="1:8" ht="15">
      <c r="A25" s="8" t="s">
        <v>23</v>
      </c>
      <c r="B25" s="12" t="s">
        <v>11</v>
      </c>
      <c r="C25" s="15">
        <v>0</v>
      </c>
      <c r="D25" s="21">
        <v>119.63</v>
      </c>
      <c r="E25" s="111" t="e">
        <f>B25/#REF!*1</f>
        <v>#VALUE!</v>
      </c>
      <c r="F25" s="109"/>
      <c r="G25" s="109"/>
      <c r="H25" s="109"/>
    </row>
    <row r="26" spans="1:8" ht="15">
      <c r="A26" s="9" t="s">
        <v>24</v>
      </c>
      <c r="B26" s="12" t="s">
        <v>11</v>
      </c>
      <c r="C26" s="15">
        <v>0</v>
      </c>
      <c r="D26" s="21"/>
      <c r="E26" s="111" t="e">
        <f>B26/#REF!*1</f>
        <v>#VALUE!</v>
      </c>
      <c r="F26" s="109"/>
      <c r="G26" s="109"/>
      <c r="H26" s="109"/>
    </row>
    <row r="27" spans="1:8" ht="16.5" customHeight="1">
      <c r="A27" s="98" t="s">
        <v>96</v>
      </c>
      <c r="B27" s="12" t="s">
        <v>11</v>
      </c>
      <c r="C27" s="15">
        <v>0</v>
      </c>
      <c r="D27" s="21">
        <v>139.18</v>
      </c>
      <c r="E27" s="111" t="e">
        <f>B27/#REF!*1</f>
        <v>#VALUE!</v>
      </c>
      <c r="F27" s="109"/>
      <c r="G27" s="109"/>
      <c r="H27" s="109"/>
    </row>
    <row r="28" spans="1:8" ht="15">
      <c r="A28" s="8" t="s">
        <v>25</v>
      </c>
      <c r="B28" s="12" t="s">
        <v>11</v>
      </c>
      <c r="C28" s="15">
        <f>C15+C22</f>
        <v>10997.062199999993</v>
      </c>
      <c r="D28" s="16" t="s">
        <v>26</v>
      </c>
      <c r="E28" s="111" t="e">
        <f>B28/#REF!*1</f>
        <v>#VALUE!</v>
      </c>
      <c r="F28" s="109"/>
      <c r="G28" s="109"/>
      <c r="H28" s="109"/>
    </row>
    <row r="29" spans="1:8" ht="35.25" customHeight="1">
      <c r="A29" s="568" t="s">
        <v>27</v>
      </c>
      <c r="B29" s="568"/>
      <c r="C29" s="568"/>
      <c r="D29" s="568"/>
      <c r="E29" s="109"/>
      <c r="F29" s="109"/>
      <c r="G29" s="109"/>
      <c r="H29" s="109"/>
    </row>
    <row r="30" spans="1:8" ht="60">
      <c r="A30" s="22" t="s">
        <v>28</v>
      </c>
      <c r="B30" s="23" t="s">
        <v>29</v>
      </c>
      <c r="C30" s="24" t="s">
        <v>30</v>
      </c>
      <c r="D30" s="25" t="s">
        <v>31</v>
      </c>
      <c r="E30" s="109"/>
      <c r="F30" s="109"/>
      <c r="G30" s="109"/>
      <c r="H30" s="109"/>
    </row>
    <row r="31" spans="1:8" ht="15">
      <c r="A31" s="26" t="s">
        <v>32</v>
      </c>
      <c r="B31" s="27" t="s">
        <v>33</v>
      </c>
      <c r="C31" s="28" t="s">
        <v>34</v>
      </c>
      <c r="D31" s="92">
        <f>(0.85+0.9)*6*120.8</f>
        <v>1268.3999999999999</v>
      </c>
      <c r="E31" s="109"/>
      <c r="F31" s="109"/>
      <c r="G31" s="109"/>
      <c r="H31" s="109"/>
    </row>
    <row r="32" spans="1:8" ht="15">
      <c r="A32" s="29" t="s">
        <v>36</v>
      </c>
      <c r="B32" s="30" t="s">
        <v>33</v>
      </c>
      <c r="C32" s="31" t="s">
        <v>37</v>
      </c>
      <c r="D32" s="93">
        <f>0.24*12*120.8</f>
        <v>347.904</v>
      </c>
      <c r="E32" s="109"/>
      <c r="F32" s="109"/>
      <c r="G32" s="109"/>
      <c r="H32" s="109"/>
    </row>
    <row r="33" spans="1:8" ht="15">
      <c r="A33" s="29" t="s">
        <v>106</v>
      </c>
      <c r="B33" s="30" t="s">
        <v>33</v>
      </c>
      <c r="C33" s="31" t="s">
        <v>34</v>
      </c>
      <c r="D33" s="93">
        <f>(1.25+1)*6*120.8</f>
        <v>1630.8</v>
      </c>
      <c r="E33" s="109"/>
      <c r="F33" s="109"/>
      <c r="G33" s="109"/>
      <c r="H33" s="109"/>
    </row>
    <row r="34" spans="1:8" ht="15">
      <c r="A34" s="29" t="s">
        <v>81</v>
      </c>
      <c r="B34" s="91" t="s">
        <v>82</v>
      </c>
      <c r="C34" s="31" t="s">
        <v>34</v>
      </c>
      <c r="D34" s="93">
        <f>1.33*12*120.8</f>
        <v>1927.968</v>
      </c>
      <c r="E34" s="109"/>
      <c r="F34" s="109"/>
      <c r="G34" s="109"/>
      <c r="H34" s="109"/>
    </row>
    <row r="35" spans="1:8" ht="15">
      <c r="A35" s="29" t="s">
        <v>38</v>
      </c>
      <c r="B35" s="30" t="s">
        <v>35</v>
      </c>
      <c r="C35" s="364" t="s">
        <v>221</v>
      </c>
      <c r="D35" s="93">
        <f>4.19*120.8*12</f>
        <v>6073.8240000000005</v>
      </c>
      <c r="E35" s="109"/>
      <c r="F35" s="109"/>
      <c r="G35" s="109"/>
      <c r="H35" s="109"/>
    </row>
    <row r="36" spans="1:8" ht="15">
      <c r="A36" s="29" t="s">
        <v>85</v>
      </c>
      <c r="B36" s="30" t="s">
        <v>222</v>
      </c>
      <c r="C36" s="171" t="s">
        <v>37</v>
      </c>
      <c r="D36" s="93">
        <f>120.8*12*0.53</f>
        <v>768.288</v>
      </c>
      <c r="E36" s="109"/>
      <c r="F36" s="109"/>
      <c r="G36" s="109"/>
      <c r="H36" s="109"/>
    </row>
    <row r="37" spans="1:14" s="1" customFormat="1" ht="45">
      <c r="A37" s="33" t="s">
        <v>40</v>
      </c>
      <c r="B37" s="34" t="s">
        <v>41</v>
      </c>
      <c r="C37" s="108"/>
      <c r="D37" s="155">
        <v>0</v>
      </c>
      <c r="E37" s="109"/>
      <c r="F37" s="109"/>
      <c r="G37" s="109"/>
      <c r="H37" s="109"/>
      <c r="K37"/>
      <c r="L37"/>
      <c r="M37"/>
      <c r="N37"/>
    </row>
    <row r="38" spans="1:14" s="1" customFormat="1" ht="15.75">
      <c r="A38" s="37" t="s">
        <v>42</v>
      </c>
      <c r="B38" s="38"/>
      <c r="C38" s="39"/>
      <c r="D38" s="97">
        <f>D31+D32+D33+D34+D35+D36+D37</f>
        <v>12017.184000000001</v>
      </c>
      <c r="E38" s="112">
        <f>D38-D37</f>
        <v>12017.184000000001</v>
      </c>
      <c r="F38" s="109"/>
      <c r="G38" s="109"/>
      <c r="H38" s="109"/>
      <c r="K38"/>
      <c r="L38"/>
      <c r="M38"/>
      <c r="N38"/>
    </row>
    <row r="39" spans="1:14" s="1" customFormat="1" ht="15">
      <c r="A39" s="40" t="s">
        <v>43</v>
      </c>
      <c r="B39" s="41" t="s">
        <v>11</v>
      </c>
      <c r="C39" s="42"/>
      <c r="D39" s="43">
        <f>C28-D38</f>
        <v>-1020.1218000000081</v>
      </c>
      <c r="E39" s="112"/>
      <c r="F39" s="109"/>
      <c r="G39" s="109"/>
      <c r="H39" s="109"/>
      <c r="K39"/>
      <c r="L39"/>
      <c r="M39"/>
      <c r="N39"/>
    </row>
    <row r="40" spans="1:14" s="1" customFormat="1" ht="15">
      <c r="A40" s="45" t="s">
        <v>12</v>
      </c>
      <c r="B40" s="46" t="s">
        <v>11</v>
      </c>
      <c r="C40" s="31"/>
      <c r="D40" s="14"/>
      <c r="E40" s="109"/>
      <c r="F40" s="109"/>
      <c r="G40" s="109"/>
      <c r="H40" s="109"/>
      <c r="K40"/>
      <c r="L40"/>
      <c r="M40"/>
      <c r="N40"/>
    </row>
    <row r="41" spans="1:14" s="1" customFormat="1" ht="15">
      <c r="A41" s="45" t="s">
        <v>13</v>
      </c>
      <c r="B41" s="46" t="s">
        <v>11</v>
      </c>
      <c r="C41" s="31"/>
      <c r="D41" s="16">
        <v>0</v>
      </c>
      <c r="E41" s="109"/>
      <c r="F41" s="109"/>
      <c r="G41" s="109"/>
      <c r="H41" s="109"/>
      <c r="K41"/>
      <c r="L41"/>
      <c r="M41"/>
      <c r="N41"/>
    </row>
    <row r="42" spans="1:14" s="1" customFormat="1" ht="24" customHeight="1">
      <c r="A42" s="569" t="s">
        <v>44</v>
      </c>
      <c r="B42" s="569"/>
      <c r="C42" s="569"/>
      <c r="D42" s="569"/>
      <c r="E42" s="109"/>
      <c r="F42" s="109"/>
      <c r="G42" s="109"/>
      <c r="H42" s="109"/>
      <c r="K42"/>
      <c r="L42"/>
      <c r="M42"/>
      <c r="N42"/>
    </row>
    <row r="43" spans="1:14" s="1" customFormat="1" ht="15">
      <c r="A43" s="45" t="s">
        <v>45</v>
      </c>
      <c r="B43" s="30" t="s">
        <v>46</v>
      </c>
      <c r="C43" s="31">
        <v>0</v>
      </c>
      <c r="D43" s="14">
        <v>0</v>
      </c>
      <c r="E43" s="109"/>
      <c r="F43" s="109"/>
      <c r="G43" s="109"/>
      <c r="H43" s="109"/>
      <c r="K43"/>
      <c r="L43"/>
      <c r="M43"/>
      <c r="N43"/>
    </row>
    <row r="44" spans="1:14" s="1" customFormat="1" ht="15">
      <c r="A44" s="45" t="s">
        <v>47</v>
      </c>
      <c r="B44" s="30" t="s">
        <v>46</v>
      </c>
      <c r="C44" s="31">
        <v>0</v>
      </c>
      <c r="D44" s="14">
        <v>0</v>
      </c>
      <c r="E44" s="109"/>
      <c r="F44" s="109"/>
      <c r="G44" s="109"/>
      <c r="H44" s="109"/>
      <c r="K44"/>
      <c r="L44"/>
      <c r="M44"/>
      <c r="N44"/>
    </row>
    <row r="45" spans="1:14" s="1" customFormat="1" ht="15">
      <c r="A45" s="47" t="s">
        <v>48</v>
      </c>
      <c r="B45" s="30" t="s">
        <v>46</v>
      </c>
      <c r="C45" s="31">
        <v>0</v>
      </c>
      <c r="D45" s="14">
        <v>0</v>
      </c>
      <c r="E45" s="109"/>
      <c r="F45" s="109"/>
      <c r="G45" s="109"/>
      <c r="H45" s="109"/>
      <c r="K45"/>
      <c r="L45"/>
      <c r="M45"/>
      <c r="N45"/>
    </row>
    <row r="46" spans="1:14" s="1" customFormat="1" ht="15">
      <c r="A46" s="45" t="s">
        <v>49</v>
      </c>
      <c r="B46" s="30" t="s">
        <v>11</v>
      </c>
      <c r="C46" s="31">
        <v>0</v>
      </c>
      <c r="D46" s="14">
        <v>0</v>
      </c>
      <c r="E46" s="109"/>
      <c r="F46" s="109"/>
      <c r="G46" s="109"/>
      <c r="H46" s="109"/>
      <c r="K46"/>
      <c r="L46"/>
      <c r="M46"/>
      <c r="N46"/>
    </row>
    <row r="47" spans="1:8" ht="20.25" customHeight="1">
      <c r="A47" s="570" t="s">
        <v>50</v>
      </c>
      <c r="B47" s="570"/>
      <c r="C47" s="570"/>
      <c r="D47" s="570"/>
      <c r="E47" s="109"/>
      <c r="F47" s="109"/>
      <c r="G47" s="109"/>
      <c r="H47" s="109"/>
    </row>
    <row r="48" spans="1:5" ht="25.5">
      <c r="A48" s="47" t="s">
        <v>51</v>
      </c>
      <c r="B48" s="30" t="s">
        <v>11</v>
      </c>
      <c r="C48" s="31"/>
      <c r="D48" s="14">
        <v>0</v>
      </c>
      <c r="E48" s="109"/>
    </row>
    <row r="49" spans="1:5" ht="15">
      <c r="A49" s="45" t="s">
        <v>12</v>
      </c>
      <c r="B49" s="30" t="s">
        <v>11</v>
      </c>
      <c r="C49" s="31"/>
      <c r="D49" s="14">
        <v>0</v>
      </c>
      <c r="E49" s="109"/>
    </row>
    <row r="50" spans="1:8" ht="15">
      <c r="A50" s="45" t="s">
        <v>13</v>
      </c>
      <c r="B50" s="30" t="s">
        <v>11</v>
      </c>
      <c r="C50" s="31"/>
      <c r="D50" s="48">
        <f>D52-D56-D58-D59</f>
        <v>23711.056269999997</v>
      </c>
      <c r="E50" s="109"/>
      <c r="H50" s="49"/>
    </row>
    <row r="51" spans="1:5" ht="25.5">
      <c r="A51" s="50" t="s">
        <v>52</v>
      </c>
      <c r="B51" s="30" t="s">
        <v>11</v>
      </c>
      <c r="C51" s="51"/>
      <c r="D51" s="52">
        <v>0</v>
      </c>
      <c r="E51" s="109"/>
    </row>
    <row r="52" spans="1:10" ht="17.25" customHeight="1">
      <c r="A52" s="53" t="s">
        <v>12</v>
      </c>
      <c r="B52" s="30" t="s">
        <v>11</v>
      </c>
      <c r="C52" s="31"/>
      <c r="D52" s="48"/>
      <c r="E52" s="109"/>
      <c r="I52" s="49"/>
      <c r="J52" s="49"/>
    </row>
    <row r="53" spans="1:14" ht="15">
      <c r="A53" s="56" t="s">
        <v>13</v>
      </c>
      <c r="B53" s="30" t="s">
        <v>11</v>
      </c>
      <c r="C53" s="57"/>
      <c r="D53" s="58">
        <v>935.99</v>
      </c>
      <c r="E53" s="109"/>
      <c r="H53" s="1" t="s">
        <v>26</v>
      </c>
      <c r="I53" s="60"/>
      <c r="J53" s="60"/>
      <c r="K53" s="61"/>
      <c r="L53" s="61"/>
      <c r="M53" s="61"/>
      <c r="N53" s="61"/>
    </row>
    <row r="54" spans="1:14" ht="18" customHeight="1">
      <c r="A54" s="571" t="s">
        <v>53</v>
      </c>
      <c r="B54" s="571"/>
      <c r="C54" s="571"/>
      <c r="D54" s="571"/>
      <c r="E54" s="114"/>
      <c r="F54" s="63"/>
      <c r="G54" s="64"/>
      <c r="I54" s="65"/>
      <c r="J54" s="65"/>
      <c r="K54" s="66"/>
      <c r="L54" s="66"/>
      <c r="M54" s="66"/>
      <c r="N54" s="66"/>
    </row>
    <row r="55" spans="1:14" ht="47.25">
      <c r="A55" s="67" t="s">
        <v>54</v>
      </c>
      <c r="B55" s="68" t="s">
        <v>55</v>
      </c>
      <c r="C55" s="69" t="s">
        <v>56</v>
      </c>
      <c r="D55" s="70" t="s">
        <v>57</v>
      </c>
      <c r="E55" s="114"/>
      <c r="F55" s="63"/>
      <c r="G55" s="64"/>
      <c r="I55" s="65"/>
      <c r="J55" s="71"/>
      <c r="K55" s="66"/>
      <c r="L55" s="66"/>
      <c r="M55" s="66"/>
      <c r="N55" s="66"/>
    </row>
    <row r="56" spans="1:14" ht="15">
      <c r="A56" s="72" t="s">
        <v>58</v>
      </c>
      <c r="B56" s="99">
        <v>2189.26</v>
      </c>
      <c r="C56" s="100">
        <f>B56*2.2815</f>
        <v>4994.79669</v>
      </c>
      <c r="D56" s="101">
        <f>B56-C56</f>
        <v>-2805.53669</v>
      </c>
      <c r="E56" s="117"/>
      <c r="F56" s="63"/>
      <c r="G56" s="64"/>
      <c r="I56" s="65"/>
      <c r="J56" s="65"/>
      <c r="K56" s="66"/>
      <c r="L56" s="66"/>
      <c r="M56" s="66"/>
      <c r="N56" s="66"/>
    </row>
    <row r="57" spans="1:14" ht="15">
      <c r="A57" s="72" t="s">
        <v>59</v>
      </c>
      <c r="B57" s="99">
        <v>0</v>
      </c>
      <c r="C57" s="100">
        <f>B57*2.2815</f>
        <v>0</v>
      </c>
      <c r="D57" s="101">
        <f>B57-C57</f>
        <v>0</v>
      </c>
      <c r="E57" s="114"/>
      <c r="F57" s="63"/>
      <c r="G57" s="64"/>
      <c r="I57" s="65"/>
      <c r="J57" s="65"/>
      <c r="K57" s="66"/>
      <c r="L57" s="66"/>
      <c r="M57" s="66"/>
      <c r="N57" s="66"/>
    </row>
    <row r="58" spans="1:14" ht="15">
      <c r="A58" s="72" t="s">
        <v>60</v>
      </c>
      <c r="B58" s="102">
        <v>9546.24</v>
      </c>
      <c r="C58" s="100">
        <f>B58*2.2815</f>
        <v>21779.74656</v>
      </c>
      <c r="D58" s="101">
        <f>B58-C58</f>
        <v>-12233.50656</v>
      </c>
      <c r="E58" s="114">
        <f>(2.07+1.8)*6*2301.2-0.37*2301.2*6</f>
        <v>48325.2</v>
      </c>
      <c r="F58" s="73"/>
      <c r="G58" s="74"/>
      <c r="H58" s="62"/>
      <c r="I58" s="65"/>
      <c r="J58" s="65"/>
      <c r="K58" s="66"/>
      <c r="L58" s="66"/>
      <c r="M58" s="66"/>
      <c r="N58" s="66"/>
    </row>
    <row r="59" spans="1:14" ht="15.75" thickBot="1">
      <c r="A59" s="125" t="s">
        <v>236</v>
      </c>
      <c r="B59" s="126">
        <v>6767.08</v>
      </c>
      <c r="C59" s="100">
        <f>B59*2.2815</f>
        <v>15439.093019999998</v>
      </c>
      <c r="D59" s="128">
        <f>B59-C59</f>
        <v>-8672.013019999999</v>
      </c>
      <c r="E59" s="114"/>
      <c r="F59" s="73"/>
      <c r="G59" s="74"/>
      <c r="I59" s="65"/>
      <c r="J59" s="65"/>
      <c r="K59" s="66"/>
      <c r="L59" s="66"/>
      <c r="M59" s="66"/>
      <c r="N59" s="66"/>
    </row>
    <row r="60" spans="1:14" ht="63">
      <c r="A60" s="129" t="s">
        <v>62</v>
      </c>
      <c r="B60" s="130" t="s">
        <v>63</v>
      </c>
      <c r="C60" s="131" t="s">
        <v>64</v>
      </c>
      <c r="D60" s="132" t="s">
        <v>65</v>
      </c>
      <c r="E60" s="114"/>
      <c r="F60" s="73"/>
      <c r="H60" s="65"/>
      <c r="I60" s="65"/>
      <c r="J60" s="65"/>
      <c r="K60" s="66"/>
      <c r="L60" s="66"/>
      <c r="M60" s="66"/>
      <c r="N60" s="66"/>
    </row>
    <row r="61" spans="1:14" ht="15">
      <c r="A61" s="133" t="s">
        <v>58</v>
      </c>
      <c r="B61" s="104">
        <f>B56</f>
        <v>2189.26</v>
      </c>
      <c r="C61" s="105">
        <f>C56</f>
        <v>4994.79669</v>
      </c>
      <c r="D61" s="134">
        <f>B61-C61</f>
        <v>-2805.53669</v>
      </c>
      <c r="E61" s="114"/>
      <c r="F61" s="73"/>
      <c r="H61" s="65"/>
      <c r="I61" s="65"/>
      <c r="J61" s="65" t="s">
        <v>26</v>
      </c>
      <c r="K61" s="66"/>
      <c r="L61" s="66"/>
      <c r="M61" s="66"/>
      <c r="N61" s="66"/>
    </row>
    <row r="62" spans="1:14" ht="15">
      <c r="A62" s="133" t="s">
        <v>59</v>
      </c>
      <c r="B62" s="104">
        <f>B57</f>
        <v>0</v>
      </c>
      <c r="C62" s="105">
        <f>C57*1.0063</f>
        <v>0</v>
      </c>
      <c r="D62" s="134">
        <f>B62-C62</f>
        <v>0</v>
      </c>
      <c r="E62" s="114"/>
      <c r="F62" s="73"/>
      <c r="H62" s="65"/>
      <c r="I62" s="65"/>
      <c r="J62" s="65"/>
      <c r="K62" s="66"/>
      <c r="L62" s="66"/>
      <c r="M62" s="66"/>
      <c r="N62" s="66"/>
    </row>
    <row r="63" spans="1:14" ht="15">
      <c r="A63" s="133" t="s">
        <v>60</v>
      </c>
      <c r="B63" s="104">
        <f>B58</f>
        <v>9546.24</v>
      </c>
      <c r="C63" s="105">
        <f>C58</f>
        <v>21779.74656</v>
      </c>
      <c r="D63" s="134">
        <f>B63-C63</f>
        <v>-12233.50656</v>
      </c>
      <c r="E63" s="114"/>
      <c r="F63" s="73"/>
      <c r="H63" s="65"/>
      <c r="I63" s="65"/>
      <c r="J63" s="65"/>
      <c r="K63" s="66"/>
      <c r="L63" s="66"/>
      <c r="M63" s="66"/>
      <c r="N63" s="66"/>
    </row>
    <row r="64" spans="1:14" ht="15.75" thickBot="1">
      <c r="A64" s="135" t="s">
        <v>236</v>
      </c>
      <c r="B64" s="136">
        <f>B59</f>
        <v>6767.08</v>
      </c>
      <c r="C64" s="137">
        <f>C59</f>
        <v>15439.093019999998</v>
      </c>
      <c r="D64" s="138">
        <f>B64-C64</f>
        <v>-8672.013019999999</v>
      </c>
      <c r="E64" s="114"/>
      <c r="F64" s="73"/>
      <c r="H64" s="65" t="s">
        <v>26</v>
      </c>
      <c r="I64" s="65"/>
      <c r="J64" s="65"/>
      <c r="K64" s="66"/>
      <c r="L64" s="66"/>
      <c r="M64" s="66"/>
      <c r="N64" s="66"/>
    </row>
    <row r="65" spans="1:14" ht="15">
      <c r="A65" s="77"/>
      <c r="B65" s="104"/>
      <c r="C65" s="106"/>
      <c r="D65" s="107"/>
      <c r="E65" s="114"/>
      <c r="F65" s="73"/>
      <c r="H65" s="65"/>
      <c r="I65" s="65"/>
      <c r="J65" s="65"/>
      <c r="K65" s="66"/>
      <c r="L65" s="66"/>
      <c r="M65" s="66"/>
      <c r="N65" s="66"/>
    </row>
    <row r="66" spans="1:14" ht="25.5">
      <c r="A66" s="80" t="s">
        <v>66</v>
      </c>
      <c r="B66" s="76" t="s">
        <v>11</v>
      </c>
      <c r="C66" s="81"/>
      <c r="D66" s="82">
        <v>0</v>
      </c>
      <c r="E66" s="114"/>
      <c r="F66" s="73"/>
      <c r="H66" s="65"/>
      <c r="I66" s="65"/>
      <c r="J66" s="65" t="s">
        <v>26</v>
      </c>
      <c r="K66" s="66"/>
      <c r="L66" s="66"/>
      <c r="M66" s="66"/>
      <c r="N66" s="66"/>
    </row>
    <row r="67" spans="1:14" ht="17.25" customHeight="1">
      <c r="A67" s="572" t="s">
        <v>67</v>
      </c>
      <c r="B67" s="572"/>
      <c r="C67" s="572"/>
      <c r="D67" s="572"/>
      <c r="E67" s="121" t="e">
        <f>D67+B19</f>
        <v>#VALUE!</v>
      </c>
      <c r="F67" s="65"/>
      <c r="H67" s="84" t="e">
        <f>E67-B18</f>
        <v>#VALUE!</v>
      </c>
      <c r="I67" s="65"/>
      <c r="J67" s="65"/>
      <c r="K67" s="66"/>
      <c r="L67" s="66"/>
      <c r="M67" s="66"/>
      <c r="N67" s="66"/>
    </row>
    <row r="68" spans="1:5" ht="21" customHeight="1">
      <c r="A68" s="85" t="s">
        <v>45</v>
      </c>
      <c r="B68" s="85" t="s">
        <v>46</v>
      </c>
      <c r="C68" s="86"/>
      <c r="D68" s="177">
        <v>0</v>
      </c>
      <c r="E68" s="123"/>
    </row>
    <row r="69" spans="1:5" ht="21" customHeight="1">
      <c r="A69" s="85" t="s">
        <v>47</v>
      </c>
      <c r="B69" s="85" t="s">
        <v>46</v>
      </c>
      <c r="C69" s="85"/>
      <c r="D69" s="177">
        <v>0</v>
      </c>
      <c r="E69" s="123"/>
    </row>
    <row r="70" spans="1:5" ht="18" customHeight="1">
      <c r="A70" s="85" t="s">
        <v>48</v>
      </c>
      <c r="B70" s="85" t="s">
        <v>46</v>
      </c>
      <c r="C70" s="85"/>
      <c r="D70" s="177">
        <v>0</v>
      </c>
      <c r="E70" s="123"/>
    </row>
    <row r="71" spans="1:5" ht="16.5" customHeight="1">
      <c r="A71" s="85" t="s">
        <v>49</v>
      </c>
      <c r="B71" s="85" t="s">
        <v>11</v>
      </c>
      <c r="C71" s="85"/>
      <c r="D71" s="177">
        <v>0</v>
      </c>
      <c r="E71" s="123"/>
    </row>
    <row r="72" spans="1:5" ht="15.75" customHeight="1">
      <c r="A72" s="566" t="s">
        <v>68</v>
      </c>
      <c r="B72" s="566"/>
      <c r="C72" s="566"/>
      <c r="D72" s="566"/>
      <c r="E72" s="123"/>
    </row>
    <row r="73" spans="1:5" ht="18.75" customHeight="1">
      <c r="A73" s="85" t="s">
        <v>69</v>
      </c>
      <c r="B73" s="85" t="s">
        <v>46</v>
      </c>
      <c r="C73" s="85"/>
      <c r="D73" s="177">
        <v>0</v>
      </c>
      <c r="E73" s="123"/>
    </row>
    <row r="74" spans="1:5" ht="21.75" customHeight="1">
      <c r="A74" s="85" t="s">
        <v>70</v>
      </c>
      <c r="B74" s="53" t="s">
        <v>46</v>
      </c>
      <c r="C74" s="53"/>
      <c r="D74" s="177">
        <v>1</v>
      </c>
      <c r="E74" s="123"/>
    </row>
    <row r="75" spans="1:5" ht="36" customHeight="1">
      <c r="A75" s="89" t="s">
        <v>71</v>
      </c>
      <c r="B75" s="85" t="s">
        <v>11</v>
      </c>
      <c r="C75" s="85"/>
      <c r="D75" s="177">
        <v>0</v>
      </c>
      <c r="E75" s="123"/>
    </row>
    <row r="76" spans="1:5" ht="15">
      <c r="A76" s="66"/>
      <c r="B76" s="66"/>
      <c r="C76" s="66"/>
      <c r="D76" s="90"/>
      <c r="E76" s="109"/>
    </row>
    <row r="77" spans="1:14" s="1" customFormat="1" ht="12.75">
      <c r="A77"/>
      <c r="B77"/>
      <c r="C77"/>
      <c r="D77"/>
      <c r="E77" s="109"/>
      <c r="H77" s="1" t="s">
        <v>26</v>
      </c>
      <c r="K77"/>
      <c r="L77"/>
      <c r="M77"/>
      <c r="N77"/>
    </row>
    <row r="78" spans="1:14" s="1" customFormat="1" ht="12.75">
      <c r="A78" t="s">
        <v>72</v>
      </c>
      <c r="B78"/>
      <c r="C78"/>
      <c r="D78"/>
      <c r="E78" s="109"/>
      <c r="K78"/>
      <c r="L78"/>
      <c r="M78"/>
      <c r="N78"/>
    </row>
    <row r="79" spans="1:14" s="1" customFormat="1" ht="12.75">
      <c r="A79"/>
      <c r="B79"/>
      <c r="C79"/>
      <c r="D79"/>
      <c r="H79" s="1" t="s">
        <v>26</v>
      </c>
      <c r="K79"/>
      <c r="L79"/>
      <c r="M79"/>
      <c r="N79"/>
    </row>
    <row r="80" spans="1:14" s="1" customFormat="1" ht="12.75">
      <c r="A80" t="s">
        <v>73</v>
      </c>
      <c r="B80"/>
      <c r="C80"/>
      <c r="D80"/>
      <c r="K80"/>
      <c r="L80"/>
      <c r="M80"/>
      <c r="N80"/>
    </row>
    <row r="84" spans="1:14" s="1" customFormat="1" ht="12.75">
      <c r="A84"/>
      <c r="B84"/>
      <c r="C84"/>
      <c r="D84"/>
      <c r="E84" s="1" t="s">
        <v>26</v>
      </c>
      <c r="K84"/>
      <c r="L84"/>
      <c r="M84"/>
      <c r="N84"/>
    </row>
  </sheetData>
  <sheetProtection selectLockedCells="1" selectUnlockedCells="1"/>
  <mergeCells count="13">
    <mergeCell ref="A72:D72"/>
    <mergeCell ref="A14:D14"/>
    <mergeCell ref="A29:D29"/>
    <mergeCell ref="A42:D42"/>
    <mergeCell ref="A47:D47"/>
    <mergeCell ref="A54:D54"/>
    <mergeCell ref="A67:D67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zoomScale="80" zoomScaleNormal="80" zoomScalePageLayoutView="0" workbookViewId="0" topLeftCell="A16">
      <selection activeCell="D39" sqref="D39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560" t="s">
        <v>0</v>
      </c>
      <c r="B1" s="560"/>
      <c r="C1" s="560"/>
      <c r="D1" s="560"/>
    </row>
    <row r="2" spans="1:4" ht="15.75">
      <c r="A2" s="561" t="s">
        <v>220</v>
      </c>
      <c r="B2" s="562"/>
      <c r="C2" s="562"/>
      <c r="D2" s="562"/>
    </row>
    <row r="3" spans="1:4" ht="15.75">
      <c r="A3" s="562" t="s">
        <v>1</v>
      </c>
      <c r="B3" s="562"/>
      <c r="C3" s="562"/>
      <c r="D3" s="562"/>
    </row>
    <row r="4" spans="1:4" ht="12.75">
      <c r="A4" s="563" t="s">
        <v>130</v>
      </c>
      <c r="B4" s="563"/>
      <c r="C4" s="563"/>
      <c r="D4" s="563"/>
    </row>
    <row r="5" spans="1:4" ht="12.75">
      <c r="A5" s="564" t="s">
        <v>266</v>
      </c>
      <c r="B5" s="563"/>
      <c r="C5" s="563"/>
      <c r="D5" s="563"/>
    </row>
    <row r="6" ht="9" customHeight="1">
      <c r="A6" s="2"/>
    </row>
    <row r="7" spans="1:4" ht="18" customHeight="1">
      <c r="A7" s="565" t="s">
        <v>2</v>
      </c>
      <c r="B7" s="565"/>
      <c r="C7" s="565"/>
      <c r="D7" s="565"/>
    </row>
    <row r="8" spans="1:3" ht="12.75">
      <c r="A8" s="2" t="s">
        <v>187</v>
      </c>
      <c r="C8" s="3"/>
    </row>
    <row r="9" spans="1:4" ht="12.75">
      <c r="A9" s="4" t="s">
        <v>3</v>
      </c>
      <c r="B9" s="4" t="s">
        <v>4</v>
      </c>
      <c r="C9" s="4" t="s">
        <v>5</v>
      </c>
      <c r="D9" s="5"/>
    </row>
    <row r="10" spans="1:4" ht="12.75">
      <c r="A10" s="6">
        <v>1</v>
      </c>
      <c r="B10" s="6">
        <v>2</v>
      </c>
      <c r="C10" s="6">
        <v>3</v>
      </c>
      <c r="D10" s="7">
        <v>4</v>
      </c>
    </row>
    <row r="11" spans="1:4" ht="12.75">
      <c r="A11" s="8" t="s">
        <v>6</v>
      </c>
      <c r="B11" s="9"/>
      <c r="C11" s="144" t="s">
        <v>262</v>
      </c>
      <c r="D11" s="10"/>
    </row>
    <row r="12" spans="1:8" ht="12.75">
      <c r="A12" s="8" t="s">
        <v>7</v>
      </c>
      <c r="B12" s="9"/>
      <c r="C12" s="144" t="s">
        <v>263</v>
      </c>
      <c r="D12" s="10"/>
      <c r="E12" s="109"/>
      <c r="F12" s="109"/>
      <c r="G12" s="109"/>
      <c r="H12" s="109"/>
    </row>
    <row r="13" spans="1:8" ht="12.75">
      <c r="A13" s="8" t="s">
        <v>8</v>
      </c>
      <c r="B13" s="9"/>
      <c r="C13" s="144" t="s">
        <v>267</v>
      </c>
      <c r="D13" s="10"/>
      <c r="E13" s="109"/>
      <c r="F13" s="109"/>
      <c r="G13" s="109"/>
      <c r="H13" s="109"/>
    </row>
    <row r="14" spans="1:8" ht="31.5" customHeight="1">
      <c r="A14" s="567" t="s">
        <v>9</v>
      </c>
      <c r="B14" s="567"/>
      <c r="C14" s="567"/>
      <c r="D14" s="567"/>
      <c r="E14" s="109"/>
      <c r="F14" s="109"/>
      <c r="G14" s="109"/>
      <c r="H14" s="109"/>
    </row>
    <row r="15" spans="1:8" ht="25.5">
      <c r="A15" s="11" t="s">
        <v>10</v>
      </c>
      <c r="B15" s="12" t="s">
        <v>11</v>
      </c>
      <c r="C15" s="15">
        <v>45717.3</v>
      </c>
      <c r="D15" s="14"/>
      <c r="E15" s="109"/>
      <c r="F15" s="109"/>
      <c r="G15" s="109"/>
      <c r="H15" s="109"/>
    </row>
    <row r="16" spans="1:8" ht="15">
      <c r="A16" s="8" t="s">
        <v>12</v>
      </c>
      <c r="B16" s="12" t="s">
        <v>11</v>
      </c>
      <c r="C16" s="13">
        <v>0</v>
      </c>
      <c r="D16" s="14"/>
      <c r="E16" s="109"/>
      <c r="F16" s="109"/>
      <c r="G16" s="109"/>
      <c r="H16" s="109"/>
    </row>
    <row r="17" spans="1:8" ht="15">
      <c r="A17" s="8" t="s">
        <v>13</v>
      </c>
      <c r="B17" s="12" t="s">
        <v>11</v>
      </c>
      <c r="C17" s="15">
        <v>6232</v>
      </c>
      <c r="D17" s="16"/>
      <c r="E17" s="109"/>
      <c r="F17" s="109"/>
      <c r="G17" s="109"/>
      <c r="H17" s="109"/>
    </row>
    <row r="18" spans="1:8" ht="31.5" customHeight="1">
      <c r="A18" s="17" t="s">
        <v>14</v>
      </c>
      <c r="B18" s="12" t="s">
        <v>11</v>
      </c>
      <c r="C18" s="15">
        <f>14839.62+4202.28</f>
        <v>19041.9</v>
      </c>
      <c r="D18" s="16"/>
      <c r="E18" s="110">
        <f>C18-C20</f>
        <v>11392.194000000003</v>
      </c>
      <c r="F18" s="109"/>
      <c r="G18" s="109"/>
      <c r="H18" s="109"/>
    </row>
    <row r="19" spans="1:8" ht="15">
      <c r="A19" s="8" t="s">
        <v>15</v>
      </c>
      <c r="B19" s="12" t="s">
        <v>11</v>
      </c>
      <c r="C19" s="15">
        <f>C18-C20-C21</f>
        <v>4870.878000000003</v>
      </c>
      <c r="D19" s="16"/>
      <c r="E19" s="110">
        <f>E18-E38</f>
        <v>0.004000000002633897</v>
      </c>
      <c r="F19" s="109"/>
      <c r="G19" s="109"/>
      <c r="H19" s="109"/>
    </row>
    <row r="20" spans="1:8" ht="15">
      <c r="A20" s="8" t="s">
        <v>16</v>
      </c>
      <c r="B20" s="12" t="s">
        <v>11</v>
      </c>
      <c r="C20" s="15">
        <f>(2.17+2.26)*6*129.7+4202.28</f>
        <v>7649.705999999999</v>
      </c>
      <c r="D20" s="16"/>
      <c r="E20" s="111"/>
      <c r="F20" s="109"/>
      <c r="G20" s="109"/>
      <c r="H20" s="109"/>
    </row>
    <row r="21" spans="1:8" ht="15">
      <c r="A21" s="8" t="s">
        <v>17</v>
      </c>
      <c r="B21" s="12" t="s">
        <v>11</v>
      </c>
      <c r="C21" s="19">
        <f>129.7*4.19*12</f>
        <v>6521.316</v>
      </c>
      <c r="D21" s="16"/>
      <c r="E21" s="109"/>
      <c r="F21" s="109"/>
      <c r="G21" s="109"/>
      <c r="H21" s="109"/>
    </row>
    <row r="22" spans="1:8" ht="15">
      <c r="A22" s="20" t="s">
        <v>18</v>
      </c>
      <c r="B22" s="12" t="s">
        <v>11</v>
      </c>
      <c r="C22" s="15">
        <f>C23+C24+C25+C26+C27</f>
        <v>24301.272780000003</v>
      </c>
      <c r="D22" s="16" t="s">
        <v>19</v>
      </c>
      <c r="E22" s="110"/>
      <c r="F22" s="109"/>
      <c r="G22" s="109"/>
      <c r="H22" s="109"/>
    </row>
    <row r="23" spans="1:8" ht="15">
      <c r="A23" s="8" t="s">
        <v>20</v>
      </c>
      <c r="B23" s="12" t="s">
        <v>11</v>
      </c>
      <c r="C23" s="15">
        <f>C18*1.2762</f>
        <v>24301.272780000003</v>
      </c>
      <c r="D23" s="16"/>
      <c r="E23" s="109"/>
      <c r="F23" s="109"/>
      <c r="G23" s="109"/>
      <c r="H23" s="109"/>
    </row>
    <row r="24" spans="1:8" ht="15">
      <c r="A24" s="8" t="s">
        <v>21</v>
      </c>
      <c r="B24" s="12" t="s">
        <v>11</v>
      </c>
      <c r="C24" s="15">
        <v>0</v>
      </c>
      <c r="D24" s="21">
        <v>65.21</v>
      </c>
      <c r="E24" s="111" t="e">
        <f>B24/#REF!*1</f>
        <v>#VALUE!</v>
      </c>
      <c r="F24" s="109"/>
      <c r="G24" s="109"/>
      <c r="H24" s="109" t="s">
        <v>22</v>
      </c>
    </row>
    <row r="25" spans="1:8" ht="15">
      <c r="A25" s="8" t="s">
        <v>23</v>
      </c>
      <c r="B25" s="12" t="s">
        <v>11</v>
      </c>
      <c r="C25" s="15">
        <v>0</v>
      </c>
      <c r="D25" s="21">
        <v>119.63</v>
      </c>
      <c r="E25" s="111" t="e">
        <f>B25/#REF!*1</f>
        <v>#VALUE!</v>
      </c>
      <c r="F25" s="109"/>
      <c r="G25" s="109"/>
      <c r="H25" s="109"/>
    </row>
    <row r="26" spans="1:8" ht="15">
      <c r="A26" s="9" t="s">
        <v>24</v>
      </c>
      <c r="B26" s="12" t="s">
        <v>11</v>
      </c>
      <c r="C26" s="15">
        <v>0</v>
      </c>
      <c r="D26" s="21"/>
      <c r="E26" s="111" t="e">
        <f>B26/#REF!*1</f>
        <v>#VALUE!</v>
      </c>
      <c r="F26" s="109"/>
      <c r="G26" s="109"/>
      <c r="H26" s="109"/>
    </row>
    <row r="27" spans="1:8" ht="16.5" customHeight="1">
      <c r="A27" s="98" t="s">
        <v>96</v>
      </c>
      <c r="B27" s="12" t="s">
        <v>11</v>
      </c>
      <c r="C27" s="15">
        <v>0</v>
      </c>
      <c r="D27" s="21">
        <v>139.18</v>
      </c>
      <c r="E27" s="111" t="e">
        <f>B27/#REF!*1</f>
        <v>#VALUE!</v>
      </c>
      <c r="F27" s="109"/>
      <c r="G27" s="109"/>
      <c r="H27" s="109"/>
    </row>
    <row r="28" spans="1:8" ht="15">
      <c r="A28" s="8" t="s">
        <v>25</v>
      </c>
      <c r="B28" s="12" t="s">
        <v>11</v>
      </c>
      <c r="C28" s="15">
        <f>C15+C22</f>
        <v>70018.57278</v>
      </c>
      <c r="D28" s="16" t="s">
        <v>26</v>
      </c>
      <c r="E28" s="111" t="e">
        <f>B28/#REF!*1</f>
        <v>#VALUE!</v>
      </c>
      <c r="F28" s="109"/>
      <c r="G28" s="109"/>
      <c r="H28" s="109"/>
    </row>
    <row r="29" spans="1:8" ht="35.25" customHeight="1">
      <c r="A29" s="568" t="s">
        <v>27</v>
      </c>
      <c r="B29" s="568"/>
      <c r="C29" s="568"/>
      <c r="D29" s="568"/>
      <c r="E29" s="109"/>
      <c r="F29" s="109"/>
      <c r="G29" s="109"/>
      <c r="H29" s="109"/>
    </row>
    <row r="30" spans="1:8" ht="60">
      <c r="A30" s="22" t="s">
        <v>28</v>
      </c>
      <c r="B30" s="23" t="s">
        <v>29</v>
      </c>
      <c r="C30" s="24" t="s">
        <v>30</v>
      </c>
      <c r="D30" s="25" t="s">
        <v>31</v>
      </c>
      <c r="E30" s="109"/>
      <c r="F30" s="109"/>
      <c r="G30" s="109"/>
      <c r="H30" s="109"/>
    </row>
    <row r="31" spans="1:8" ht="15">
      <c r="A31" s="26" t="s">
        <v>32</v>
      </c>
      <c r="B31" s="27" t="s">
        <v>33</v>
      </c>
      <c r="C31" s="28" t="s">
        <v>34</v>
      </c>
      <c r="D31" s="92">
        <f>(0.85+0.94)*6*129.7</f>
        <v>1392.9779999999998</v>
      </c>
      <c r="E31" s="109"/>
      <c r="F31" s="109"/>
      <c r="G31" s="109"/>
      <c r="H31" s="109"/>
    </row>
    <row r="32" spans="1:8" ht="15">
      <c r="A32" s="29" t="s">
        <v>36</v>
      </c>
      <c r="B32" s="30" t="s">
        <v>33</v>
      </c>
      <c r="C32" s="31" t="s">
        <v>37</v>
      </c>
      <c r="D32" s="93">
        <f>0.24*12*129.7</f>
        <v>373.53599999999994</v>
      </c>
      <c r="E32" s="109"/>
      <c r="F32" s="109"/>
      <c r="G32" s="109"/>
      <c r="H32" s="109"/>
    </row>
    <row r="33" spans="1:8" ht="15">
      <c r="A33" s="153" t="s">
        <v>174</v>
      </c>
      <c r="B33" s="30" t="s">
        <v>33</v>
      </c>
      <c r="C33" s="31" t="s">
        <v>34</v>
      </c>
      <c r="D33" s="92">
        <f>(0.16+0.35)*6*129.7-125.17</f>
        <v>271.71199999999993</v>
      </c>
      <c r="E33" s="109"/>
      <c r="F33" s="109"/>
      <c r="G33" s="109"/>
      <c r="H33" s="109"/>
    </row>
    <row r="34" spans="1:8" ht="15">
      <c r="A34" s="29" t="s">
        <v>81</v>
      </c>
      <c r="B34" s="91" t="s">
        <v>82</v>
      </c>
      <c r="C34" s="31" t="s">
        <v>34</v>
      </c>
      <c r="D34" s="93">
        <f>1.33*12*129.7</f>
        <v>2070.0119999999997</v>
      </c>
      <c r="E34" s="109"/>
      <c r="F34" s="109"/>
      <c r="G34" s="109"/>
      <c r="H34" s="109"/>
    </row>
    <row r="35" spans="1:8" ht="15">
      <c r="A35" s="29" t="s">
        <v>38</v>
      </c>
      <c r="B35" s="30" t="s">
        <v>35</v>
      </c>
      <c r="C35" s="364" t="s">
        <v>221</v>
      </c>
      <c r="D35" s="93">
        <f>4.19*129.7*12</f>
        <v>6521.316</v>
      </c>
      <c r="E35" s="109"/>
      <c r="F35" s="109"/>
      <c r="G35" s="109"/>
      <c r="H35" s="109"/>
    </row>
    <row r="36" spans="1:8" ht="15">
      <c r="A36" s="29" t="s">
        <v>85</v>
      </c>
      <c r="B36" s="30" t="s">
        <v>222</v>
      </c>
      <c r="C36" s="171" t="s">
        <v>37</v>
      </c>
      <c r="D36" s="93">
        <f>129.7*12*0.49</f>
        <v>762.636</v>
      </c>
      <c r="E36" s="109"/>
      <c r="F36" s="109"/>
      <c r="G36" s="109"/>
      <c r="H36" s="109"/>
    </row>
    <row r="37" spans="1:14" s="1" customFormat="1" ht="45">
      <c r="A37" s="33" t="s">
        <v>40</v>
      </c>
      <c r="B37" s="34" t="s">
        <v>41</v>
      </c>
      <c r="C37" s="108"/>
      <c r="D37" s="36">
        <v>0</v>
      </c>
      <c r="E37" s="109"/>
      <c r="F37" s="109"/>
      <c r="G37" s="109"/>
      <c r="H37" s="109"/>
      <c r="K37"/>
      <c r="L37"/>
      <c r="M37"/>
      <c r="N37"/>
    </row>
    <row r="38" spans="1:14" s="1" customFormat="1" ht="15.75">
      <c r="A38" s="37" t="s">
        <v>42</v>
      </c>
      <c r="B38" s="38"/>
      <c r="C38" s="39"/>
      <c r="D38" s="97">
        <f>SUM(D31:D37)</f>
        <v>11392.19</v>
      </c>
      <c r="E38" s="112">
        <f>D38-D37</f>
        <v>11392.19</v>
      </c>
      <c r="F38" s="109"/>
      <c r="G38" s="109"/>
      <c r="H38" s="109"/>
      <c r="K38"/>
      <c r="L38"/>
      <c r="M38"/>
      <c r="N38"/>
    </row>
    <row r="39" spans="1:14" s="1" customFormat="1" ht="15">
      <c r="A39" s="40" t="s">
        <v>43</v>
      </c>
      <c r="B39" s="41" t="s">
        <v>11</v>
      </c>
      <c r="C39" s="42"/>
      <c r="D39" s="43">
        <f>C28-D38</f>
        <v>58626.38278</v>
      </c>
      <c r="E39" s="112"/>
      <c r="F39" s="109"/>
      <c r="G39" s="109"/>
      <c r="H39" s="109"/>
      <c r="K39"/>
      <c r="L39"/>
      <c r="M39"/>
      <c r="N39"/>
    </row>
    <row r="40" spans="1:14" s="1" customFormat="1" ht="15">
      <c r="A40" s="45" t="s">
        <v>12</v>
      </c>
      <c r="B40" s="46" t="s">
        <v>11</v>
      </c>
      <c r="C40" s="31"/>
      <c r="D40" s="14"/>
      <c r="E40" s="109"/>
      <c r="F40" s="109"/>
      <c r="G40" s="109"/>
      <c r="H40" s="109"/>
      <c r="K40"/>
      <c r="L40"/>
      <c r="M40"/>
      <c r="N40"/>
    </row>
    <row r="41" spans="1:14" s="1" customFormat="1" ht="15">
      <c r="A41" s="45" t="s">
        <v>13</v>
      </c>
      <c r="B41" s="46" t="s">
        <v>11</v>
      </c>
      <c r="C41" s="31"/>
      <c r="D41" s="16">
        <f>C17+C18-C23</f>
        <v>972.6272199999985</v>
      </c>
      <c r="E41" s="109"/>
      <c r="F41" s="109"/>
      <c r="G41" s="109"/>
      <c r="H41" s="109"/>
      <c r="K41"/>
      <c r="L41"/>
      <c r="M41"/>
      <c r="N41"/>
    </row>
    <row r="42" spans="1:14" s="1" customFormat="1" ht="24" customHeight="1">
      <c r="A42" s="569" t="s">
        <v>44</v>
      </c>
      <c r="B42" s="569"/>
      <c r="C42" s="569"/>
      <c r="D42" s="569"/>
      <c r="E42" s="109"/>
      <c r="F42" s="109"/>
      <c r="G42" s="109"/>
      <c r="H42" s="109"/>
      <c r="K42"/>
      <c r="L42"/>
      <c r="M42"/>
      <c r="N42"/>
    </row>
    <row r="43" spans="1:14" s="1" customFormat="1" ht="15">
      <c r="A43" s="45" t="s">
        <v>45</v>
      </c>
      <c r="B43" s="30" t="s">
        <v>46</v>
      </c>
      <c r="C43" s="31">
        <v>0</v>
      </c>
      <c r="D43" s="14">
        <v>0</v>
      </c>
      <c r="E43" s="109"/>
      <c r="F43" s="109"/>
      <c r="G43" s="109"/>
      <c r="H43" s="109"/>
      <c r="K43"/>
      <c r="L43"/>
      <c r="M43"/>
      <c r="N43"/>
    </row>
    <row r="44" spans="1:14" s="1" customFormat="1" ht="15">
      <c r="A44" s="45" t="s">
        <v>47</v>
      </c>
      <c r="B44" s="30" t="s">
        <v>46</v>
      </c>
      <c r="C44" s="31">
        <v>0</v>
      </c>
      <c r="D44" s="14">
        <v>0</v>
      </c>
      <c r="E44" s="109"/>
      <c r="F44" s="109"/>
      <c r="G44" s="109"/>
      <c r="H44" s="109"/>
      <c r="K44"/>
      <c r="L44"/>
      <c r="M44"/>
      <c r="N44"/>
    </row>
    <row r="45" spans="1:14" s="1" customFormat="1" ht="15">
      <c r="A45" s="47" t="s">
        <v>48</v>
      </c>
      <c r="B45" s="30" t="s">
        <v>46</v>
      </c>
      <c r="C45" s="31">
        <v>0</v>
      </c>
      <c r="D45" s="14">
        <v>0</v>
      </c>
      <c r="E45" s="109"/>
      <c r="F45" s="109"/>
      <c r="G45" s="109"/>
      <c r="H45" s="109"/>
      <c r="K45"/>
      <c r="L45"/>
      <c r="M45"/>
      <c r="N45"/>
    </row>
    <row r="46" spans="1:14" s="1" customFormat="1" ht="15">
      <c r="A46" s="45" t="s">
        <v>49</v>
      </c>
      <c r="B46" s="30" t="s">
        <v>11</v>
      </c>
      <c r="C46" s="31">
        <v>0</v>
      </c>
      <c r="D46" s="14">
        <v>0</v>
      </c>
      <c r="E46" s="109"/>
      <c r="F46" s="109"/>
      <c r="G46" s="109"/>
      <c r="H46" s="109"/>
      <c r="K46"/>
      <c r="L46"/>
      <c r="M46"/>
      <c r="N46"/>
    </row>
    <row r="47" spans="1:8" ht="20.25" customHeight="1">
      <c r="A47" s="570" t="s">
        <v>50</v>
      </c>
      <c r="B47" s="570"/>
      <c r="C47" s="570"/>
      <c r="D47" s="570"/>
      <c r="E47" s="109"/>
      <c r="F47" s="109"/>
      <c r="G47" s="109"/>
      <c r="H47" s="109"/>
    </row>
    <row r="48" spans="1:8" ht="25.5">
      <c r="A48" s="47" t="s">
        <v>51</v>
      </c>
      <c r="B48" s="30" t="s">
        <v>11</v>
      </c>
      <c r="C48" s="31"/>
      <c r="D48" s="14">
        <v>0</v>
      </c>
      <c r="E48" s="109"/>
      <c r="F48" s="109"/>
      <c r="G48" s="109"/>
      <c r="H48" s="109"/>
    </row>
    <row r="49" spans="1:8" ht="15">
      <c r="A49" s="45" t="s">
        <v>12</v>
      </c>
      <c r="B49" s="30" t="s">
        <v>11</v>
      </c>
      <c r="C49" s="31"/>
      <c r="D49" s="14">
        <v>0</v>
      </c>
      <c r="E49" s="109"/>
      <c r="F49" s="109"/>
      <c r="G49" s="109"/>
      <c r="H49" s="109"/>
    </row>
    <row r="50" spans="1:8" ht="15">
      <c r="A50" s="45" t="s">
        <v>13</v>
      </c>
      <c r="B50" s="30" t="s">
        <v>11</v>
      </c>
      <c r="C50" s="31"/>
      <c r="D50" s="58">
        <f>D53-D56-D59</f>
        <v>4600.03715</v>
      </c>
      <c r="E50" s="109"/>
      <c r="F50" s="109"/>
      <c r="G50" s="109"/>
      <c r="H50" s="113"/>
    </row>
    <row r="51" spans="1:8" ht="25.5">
      <c r="A51" s="50" t="s">
        <v>52</v>
      </c>
      <c r="B51" s="30" t="s">
        <v>11</v>
      </c>
      <c r="C51" s="51"/>
      <c r="D51" s="52">
        <v>0</v>
      </c>
      <c r="E51" s="109"/>
      <c r="F51" s="109"/>
      <c r="G51" s="109"/>
      <c r="H51" s="109"/>
    </row>
    <row r="52" spans="1:10" ht="17.25" customHeight="1">
      <c r="A52" s="53" t="s">
        <v>12</v>
      </c>
      <c r="B52" s="30" t="s">
        <v>11</v>
      </c>
      <c r="C52" s="31"/>
      <c r="D52" s="14">
        <v>0</v>
      </c>
      <c r="E52" s="109"/>
      <c r="F52" s="109"/>
      <c r="G52" s="109"/>
      <c r="H52" s="109"/>
      <c r="I52" s="49"/>
      <c r="J52" s="49"/>
    </row>
    <row r="53" spans="1:14" ht="15">
      <c r="A53" s="56" t="s">
        <v>13</v>
      </c>
      <c r="B53" s="30" t="s">
        <v>11</v>
      </c>
      <c r="C53" s="57"/>
      <c r="D53" s="58">
        <v>2348.8</v>
      </c>
      <c r="E53" s="109"/>
      <c r="F53" s="109"/>
      <c r="G53" s="109"/>
      <c r="H53" s="109" t="s">
        <v>26</v>
      </c>
      <c r="I53" s="60"/>
      <c r="J53" s="60"/>
      <c r="K53" s="61"/>
      <c r="L53" s="61"/>
      <c r="M53" s="61"/>
      <c r="N53" s="61"/>
    </row>
    <row r="54" spans="1:14" ht="18" customHeight="1">
      <c r="A54" s="571" t="s">
        <v>53</v>
      </c>
      <c r="B54" s="571"/>
      <c r="C54" s="571"/>
      <c r="D54" s="571"/>
      <c r="E54" s="114"/>
      <c r="F54" s="115"/>
      <c r="G54" s="116"/>
      <c r="H54" s="109"/>
      <c r="I54" s="65"/>
      <c r="J54" s="65"/>
      <c r="K54" s="66"/>
      <c r="L54" s="66"/>
      <c r="M54" s="66"/>
      <c r="N54" s="66"/>
    </row>
    <row r="55" spans="1:14" ht="47.25">
      <c r="A55" s="67" t="s">
        <v>54</v>
      </c>
      <c r="B55" s="68" t="s">
        <v>55</v>
      </c>
      <c r="C55" s="69" t="s">
        <v>56</v>
      </c>
      <c r="D55" s="70" t="s">
        <v>57</v>
      </c>
      <c r="E55" s="114"/>
      <c r="F55" s="115"/>
      <c r="G55" s="116"/>
      <c r="H55" s="109"/>
      <c r="I55" s="65"/>
      <c r="J55" s="71"/>
      <c r="K55" s="66"/>
      <c r="L55" s="66"/>
      <c r="M55" s="66"/>
      <c r="N55" s="66"/>
    </row>
    <row r="56" spans="1:14" ht="15">
      <c r="A56" s="72" t="s">
        <v>58</v>
      </c>
      <c r="B56" s="99">
        <v>885.18</v>
      </c>
      <c r="C56" s="100">
        <f>B56*1.2762</f>
        <v>1129.666716</v>
      </c>
      <c r="D56" s="101">
        <f>B56-C56</f>
        <v>-244.486716</v>
      </c>
      <c r="E56" s="117"/>
      <c r="F56" s="115"/>
      <c r="G56" s="116"/>
      <c r="H56" s="109"/>
      <c r="I56" s="65"/>
      <c r="J56" s="65"/>
      <c r="K56" s="66"/>
      <c r="L56" s="66"/>
      <c r="M56" s="66"/>
      <c r="N56" s="66"/>
    </row>
    <row r="57" spans="1:14" ht="15">
      <c r="A57" s="72" t="s">
        <v>59</v>
      </c>
      <c r="B57" s="99">
        <v>0</v>
      </c>
      <c r="C57" s="100">
        <f>B57*1.2762</f>
        <v>0</v>
      </c>
      <c r="D57" s="101">
        <f>B57-C57</f>
        <v>0</v>
      </c>
      <c r="E57" s="114"/>
      <c r="F57" s="115"/>
      <c r="G57" s="116"/>
      <c r="H57" s="109"/>
      <c r="I57" s="65"/>
      <c r="J57" s="65"/>
      <c r="K57" s="66"/>
      <c r="L57" s="66"/>
      <c r="M57" s="66"/>
      <c r="N57" s="66"/>
    </row>
    <row r="58" spans="1:14" ht="15">
      <c r="A58" s="72" t="s">
        <v>60</v>
      </c>
      <c r="B58" s="102">
        <v>0</v>
      </c>
      <c r="C58" s="100">
        <f>B58*1.2762</f>
        <v>0</v>
      </c>
      <c r="D58" s="101">
        <f>B58-C58</f>
        <v>0</v>
      </c>
      <c r="E58" s="114">
        <f>(2.07+1.8)*6*2301.2-0.37*2301.2*6</f>
        <v>48325.2</v>
      </c>
      <c r="F58" s="118"/>
      <c r="G58" s="119"/>
      <c r="H58" s="114"/>
      <c r="I58" s="65"/>
      <c r="J58" s="65"/>
      <c r="K58" s="66"/>
      <c r="L58" s="66"/>
      <c r="M58" s="66"/>
      <c r="N58" s="66"/>
    </row>
    <row r="59" spans="1:14" ht="15.75" thickBot="1">
      <c r="A59" s="125" t="s">
        <v>236</v>
      </c>
      <c r="B59" s="126">
        <v>7265.57</v>
      </c>
      <c r="C59" s="100">
        <f>B59*1.2762</f>
        <v>9272.320434</v>
      </c>
      <c r="D59" s="128">
        <f>B59-C59</f>
        <v>-2006.7504339999996</v>
      </c>
      <c r="E59" s="114"/>
      <c r="F59" s="118"/>
      <c r="G59" s="119"/>
      <c r="H59" s="109"/>
      <c r="I59" s="65"/>
      <c r="J59" s="65"/>
      <c r="K59" s="66"/>
      <c r="L59" s="66"/>
      <c r="M59" s="66"/>
      <c r="N59" s="66"/>
    </row>
    <row r="60" spans="1:14" ht="63">
      <c r="A60" s="129" t="s">
        <v>62</v>
      </c>
      <c r="B60" s="130" t="s">
        <v>63</v>
      </c>
      <c r="C60" s="131" t="s">
        <v>64</v>
      </c>
      <c r="D60" s="132" t="s">
        <v>65</v>
      </c>
      <c r="E60" s="114"/>
      <c r="F60" s="118"/>
      <c r="G60" s="109"/>
      <c r="H60" s="120"/>
      <c r="I60" s="65"/>
      <c r="J60" s="65"/>
      <c r="K60" s="66"/>
      <c r="L60" s="66"/>
      <c r="M60" s="66"/>
      <c r="N60" s="66"/>
    </row>
    <row r="61" spans="1:14" ht="15">
      <c r="A61" s="133" t="s">
        <v>58</v>
      </c>
      <c r="B61" s="104">
        <f>B56</f>
        <v>885.18</v>
      </c>
      <c r="C61" s="105">
        <f>C56</f>
        <v>1129.666716</v>
      </c>
      <c r="D61" s="134">
        <f>B61-C61</f>
        <v>-244.486716</v>
      </c>
      <c r="E61" s="114"/>
      <c r="F61" s="118"/>
      <c r="G61" s="109"/>
      <c r="H61" s="120"/>
      <c r="I61" s="65"/>
      <c r="J61" s="65" t="s">
        <v>26</v>
      </c>
      <c r="K61" s="66"/>
      <c r="L61" s="66"/>
      <c r="M61" s="66"/>
      <c r="N61" s="66"/>
    </row>
    <row r="62" spans="1:14" ht="15">
      <c r="A62" s="133" t="s">
        <v>59</v>
      </c>
      <c r="B62" s="104">
        <v>0</v>
      </c>
      <c r="C62" s="105">
        <v>0</v>
      </c>
      <c r="D62" s="134">
        <f>B62-C62</f>
        <v>0</v>
      </c>
      <c r="E62" s="114"/>
      <c r="F62" s="118"/>
      <c r="G62" s="109"/>
      <c r="H62" s="120"/>
      <c r="I62" s="65"/>
      <c r="J62" s="65"/>
      <c r="K62" s="66"/>
      <c r="L62" s="66"/>
      <c r="M62" s="66"/>
      <c r="N62" s="66"/>
    </row>
    <row r="63" spans="1:14" ht="15">
      <c r="A63" s="133" t="s">
        <v>60</v>
      </c>
      <c r="B63" s="104">
        <v>0</v>
      </c>
      <c r="C63" s="105">
        <v>0</v>
      </c>
      <c r="D63" s="134">
        <f>B63-C63</f>
        <v>0</v>
      </c>
      <c r="E63" s="114"/>
      <c r="F63" s="118"/>
      <c r="G63" s="109"/>
      <c r="H63" s="120"/>
      <c r="I63" s="65"/>
      <c r="J63" s="65"/>
      <c r="K63" s="66"/>
      <c r="L63" s="66"/>
      <c r="M63" s="66"/>
      <c r="N63" s="66"/>
    </row>
    <row r="64" spans="1:14" ht="15.75" thickBot="1">
      <c r="A64" s="135" t="s">
        <v>236</v>
      </c>
      <c r="B64" s="136">
        <f>B59</f>
        <v>7265.57</v>
      </c>
      <c r="C64" s="137">
        <f>C59</f>
        <v>9272.320434</v>
      </c>
      <c r="D64" s="138">
        <f>B64-C64</f>
        <v>-2006.7504339999996</v>
      </c>
      <c r="E64" s="114"/>
      <c r="F64" s="118"/>
      <c r="G64" s="109"/>
      <c r="H64" s="120" t="s">
        <v>26</v>
      </c>
      <c r="I64" s="65"/>
      <c r="J64" s="65"/>
      <c r="K64" s="66"/>
      <c r="L64" s="66"/>
      <c r="M64" s="66"/>
      <c r="N64" s="66"/>
    </row>
    <row r="65" spans="1:14" ht="15">
      <c r="A65" s="77"/>
      <c r="B65" s="76"/>
      <c r="C65" s="78"/>
      <c r="D65" s="79"/>
      <c r="E65" s="114"/>
      <c r="F65" s="118"/>
      <c r="G65" s="109"/>
      <c r="H65" s="120"/>
      <c r="I65" s="65"/>
      <c r="J65" s="65"/>
      <c r="K65" s="66"/>
      <c r="L65" s="66"/>
      <c r="M65" s="66"/>
      <c r="N65" s="66"/>
    </row>
    <row r="66" spans="1:14" ht="25.5">
      <c r="A66" s="80" t="s">
        <v>66</v>
      </c>
      <c r="B66" s="76" t="s">
        <v>11</v>
      </c>
      <c r="C66" s="81"/>
      <c r="D66" s="82">
        <v>0</v>
      </c>
      <c r="E66" s="114"/>
      <c r="F66" s="118"/>
      <c r="G66" s="109"/>
      <c r="H66" s="120"/>
      <c r="I66" s="65"/>
      <c r="J66" s="65" t="s">
        <v>26</v>
      </c>
      <c r="K66" s="66"/>
      <c r="L66" s="66"/>
      <c r="M66" s="66"/>
      <c r="N66" s="66"/>
    </row>
    <row r="67" spans="1:14" ht="17.25" customHeight="1">
      <c r="A67" s="572" t="s">
        <v>67</v>
      </c>
      <c r="B67" s="572"/>
      <c r="C67" s="572"/>
      <c r="D67" s="572"/>
      <c r="E67" s="121" t="e">
        <f>D67+B19</f>
        <v>#VALUE!</v>
      </c>
      <c r="F67" s="120"/>
      <c r="G67" s="109"/>
      <c r="H67" s="122" t="e">
        <f>E67-B18</f>
        <v>#VALUE!</v>
      </c>
      <c r="I67" s="65"/>
      <c r="J67" s="65"/>
      <c r="K67" s="66"/>
      <c r="L67" s="66"/>
      <c r="M67" s="66"/>
      <c r="N67" s="66"/>
    </row>
    <row r="68" spans="1:8" ht="21" customHeight="1">
      <c r="A68" s="85" t="s">
        <v>45</v>
      </c>
      <c r="B68" s="85" t="s">
        <v>46</v>
      </c>
      <c r="C68" s="86"/>
      <c r="D68" s="177">
        <v>0</v>
      </c>
      <c r="E68" s="123"/>
      <c r="F68" s="109"/>
      <c r="G68" s="109"/>
      <c r="H68" s="109"/>
    </row>
    <row r="69" spans="1:8" ht="21" customHeight="1">
      <c r="A69" s="85" t="s">
        <v>47</v>
      </c>
      <c r="B69" s="85" t="s">
        <v>46</v>
      </c>
      <c r="C69" s="85"/>
      <c r="D69" s="177">
        <v>0</v>
      </c>
      <c r="E69" s="123"/>
      <c r="F69" s="109"/>
      <c r="G69" s="109"/>
      <c r="H69" s="109"/>
    </row>
    <row r="70" spans="1:8" ht="18" customHeight="1">
      <c r="A70" s="85" t="s">
        <v>48</v>
      </c>
      <c r="B70" s="85" t="s">
        <v>46</v>
      </c>
      <c r="C70" s="85"/>
      <c r="D70" s="177">
        <v>0</v>
      </c>
      <c r="E70" s="123"/>
      <c r="F70" s="109"/>
      <c r="G70" s="109"/>
      <c r="H70" s="109"/>
    </row>
    <row r="71" spans="1:8" ht="16.5" customHeight="1">
      <c r="A71" s="85" t="s">
        <v>49</v>
      </c>
      <c r="B71" s="85" t="s">
        <v>11</v>
      </c>
      <c r="C71" s="85"/>
      <c r="D71" s="177">
        <v>0</v>
      </c>
      <c r="E71" s="123"/>
      <c r="F71" s="109"/>
      <c r="G71" s="109"/>
      <c r="H71" s="109"/>
    </row>
    <row r="72" spans="1:8" ht="15.75" customHeight="1">
      <c r="A72" s="566" t="s">
        <v>68</v>
      </c>
      <c r="B72" s="566"/>
      <c r="C72" s="566"/>
      <c r="D72" s="566"/>
      <c r="E72" s="123"/>
      <c r="F72" s="109"/>
      <c r="G72" s="109"/>
      <c r="H72" s="109"/>
    </row>
    <row r="73" spans="1:8" ht="18.75" customHeight="1">
      <c r="A73" s="85" t="s">
        <v>69</v>
      </c>
      <c r="B73" s="85" t="s">
        <v>46</v>
      </c>
      <c r="C73" s="85"/>
      <c r="D73" s="177">
        <v>1</v>
      </c>
      <c r="E73" s="123"/>
      <c r="F73" s="109"/>
      <c r="G73" s="109"/>
      <c r="H73" s="109"/>
    </row>
    <row r="74" spans="1:8" ht="21.75" customHeight="1">
      <c r="A74" s="85" t="s">
        <v>70</v>
      </c>
      <c r="B74" s="53" t="s">
        <v>46</v>
      </c>
      <c r="C74" s="53"/>
      <c r="D74" s="177">
        <v>0</v>
      </c>
      <c r="E74" s="123"/>
      <c r="F74" s="109"/>
      <c r="G74" s="109"/>
      <c r="H74" s="109"/>
    </row>
    <row r="75" spans="1:8" ht="36" customHeight="1">
      <c r="A75" s="89" t="s">
        <v>71</v>
      </c>
      <c r="B75" s="85" t="s">
        <v>11</v>
      </c>
      <c r="C75" s="85"/>
      <c r="D75" s="177">
        <v>6460</v>
      </c>
      <c r="E75" s="123"/>
      <c r="F75" s="109"/>
      <c r="G75" s="109"/>
      <c r="H75" s="109"/>
    </row>
    <row r="76" spans="1:8" ht="15">
      <c r="A76" s="66"/>
      <c r="B76" s="66"/>
      <c r="C76" s="66"/>
      <c r="D76" s="90"/>
      <c r="E76" s="109"/>
      <c r="F76" s="109"/>
      <c r="G76" s="109"/>
      <c r="H76" s="109"/>
    </row>
    <row r="77" spans="1:14" s="1" customFormat="1" ht="12.75">
      <c r="A77"/>
      <c r="B77"/>
      <c r="C77"/>
      <c r="D77"/>
      <c r="E77" s="109"/>
      <c r="F77" s="109"/>
      <c r="G77" s="109"/>
      <c r="H77" s="109" t="s">
        <v>26</v>
      </c>
      <c r="K77"/>
      <c r="L77"/>
      <c r="M77"/>
      <c r="N77"/>
    </row>
    <row r="78" spans="1:14" s="1" customFormat="1" ht="12.75">
      <c r="A78" t="s">
        <v>72</v>
      </c>
      <c r="B78"/>
      <c r="C78"/>
      <c r="D78"/>
      <c r="E78" s="109"/>
      <c r="F78" s="109"/>
      <c r="G78" s="109"/>
      <c r="H78" s="109"/>
      <c r="K78"/>
      <c r="L78"/>
      <c r="M78"/>
      <c r="N78"/>
    </row>
    <row r="79" spans="1:14" s="1" customFormat="1" ht="12.75">
      <c r="A79"/>
      <c r="B79"/>
      <c r="C79"/>
      <c r="D79"/>
      <c r="E79" s="109"/>
      <c r="F79" s="109"/>
      <c r="G79" s="109"/>
      <c r="H79" s="109" t="s">
        <v>26</v>
      </c>
      <c r="K79"/>
      <c r="L79"/>
      <c r="M79"/>
      <c r="N79"/>
    </row>
    <row r="80" spans="1:14" s="1" customFormat="1" ht="12.75">
      <c r="A80" t="s">
        <v>73</v>
      </c>
      <c r="B80"/>
      <c r="C80"/>
      <c r="D80"/>
      <c r="E80" s="109"/>
      <c r="F80" s="109"/>
      <c r="G80" s="109"/>
      <c r="H80" s="109"/>
      <c r="K80"/>
      <c r="L80"/>
      <c r="M80"/>
      <c r="N80"/>
    </row>
    <row r="81" spans="5:8" ht="12.75">
      <c r="E81" s="109"/>
      <c r="F81" s="109"/>
      <c r="G81" s="109"/>
      <c r="H81" s="109"/>
    </row>
    <row r="82" spans="5:8" ht="12.75">
      <c r="E82" s="109"/>
      <c r="F82" s="109"/>
      <c r="G82" s="109"/>
      <c r="H82" s="109"/>
    </row>
    <row r="83" spans="5:8" ht="12.75">
      <c r="E83" s="109"/>
      <c r="F83" s="109"/>
      <c r="G83" s="109"/>
      <c r="H83" s="109"/>
    </row>
    <row r="84" spans="1:14" s="1" customFormat="1" ht="12.75">
      <c r="A84"/>
      <c r="B84"/>
      <c r="C84"/>
      <c r="D84"/>
      <c r="E84" s="1" t="s">
        <v>26</v>
      </c>
      <c r="K84"/>
      <c r="L84"/>
      <c r="M84"/>
      <c r="N84"/>
    </row>
  </sheetData>
  <sheetProtection selectLockedCells="1" selectUnlockedCells="1"/>
  <mergeCells count="13">
    <mergeCell ref="A72:D72"/>
    <mergeCell ref="A14:D14"/>
    <mergeCell ref="A29:D29"/>
    <mergeCell ref="A42:D42"/>
    <mergeCell ref="A47:D47"/>
    <mergeCell ref="A54:D54"/>
    <mergeCell ref="A67:D67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zoomScale="80" zoomScaleNormal="80" zoomScalePageLayoutView="0" workbookViewId="0" topLeftCell="A16">
      <selection activeCell="D39" sqref="D39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560" t="s">
        <v>0</v>
      </c>
      <c r="B1" s="560"/>
      <c r="C1" s="560"/>
      <c r="D1" s="560"/>
    </row>
    <row r="2" spans="1:4" ht="15.75">
      <c r="A2" s="561" t="s">
        <v>224</v>
      </c>
      <c r="B2" s="562"/>
      <c r="C2" s="562"/>
      <c r="D2" s="562"/>
    </row>
    <row r="3" spans="1:4" ht="15.75">
      <c r="A3" s="562" t="s">
        <v>1</v>
      </c>
      <c r="B3" s="562"/>
      <c r="C3" s="562"/>
      <c r="D3" s="562"/>
    </row>
    <row r="4" spans="1:4" ht="12.75">
      <c r="A4" s="563" t="s">
        <v>131</v>
      </c>
      <c r="B4" s="563"/>
      <c r="C4" s="563"/>
      <c r="D4" s="563"/>
    </row>
    <row r="5" spans="1:4" ht="12.75">
      <c r="A5" s="564" t="s">
        <v>266</v>
      </c>
      <c r="B5" s="563"/>
      <c r="C5" s="563"/>
      <c r="D5" s="563"/>
    </row>
    <row r="6" ht="9" customHeight="1">
      <c r="A6" s="2"/>
    </row>
    <row r="7" spans="1:4" ht="18" customHeight="1">
      <c r="A7" s="565" t="s">
        <v>2</v>
      </c>
      <c r="B7" s="565"/>
      <c r="C7" s="565"/>
      <c r="D7" s="565"/>
    </row>
    <row r="8" spans="1:3" ht="12.75">
      <c r="A8" s="2" t="s">
        <v>188</v>
      </c>
      <c r="C8" s="3"/>
    </row>
    <row r="9" spans="1:4" ht="12.75">
      <c r="A9" s="4" t="s">
        <v>3</v>
      </c>
      <c r="B9" s="4" t="s">
        <v>4</v>
      </c>
      <c r="C9" s="4" t="s">
        <v>5</v>
      </c>
      <c r="D9" s="5"/>
    </row>
    <row r="10" spans="1:4" ht="12.75">
      <c r="A10" s="6">
        <v>1</v>
      </c>
      <c r="B10" s="6">
        <v>2</v>
      </c>
      <c r="C10" s="6">
        <v>3</v>
      </c>
      <c r="D10" s="7">
        <v>4</v>
      </c>
    </row>
    <row r="11" spans="1:4" ht="12.75">
      <c r="A11" s="8" t="s">
        <v>6</v>
      </c>
      <c r="B11" s="9"/>
      <c r="C11" s="144" t="s">
        <v>262</v>
      </c>
      <c r="D11" s="10"/>
    </row>
    <row r="12" spans="1:4" ht="12.75">
      <c r="A12" s="8" t="s">
        <v>7</v>
      </c>
      <c r="B12" s="9"/>
      <c r="C12" s="144" t="s">
        <v>263</v>
      </c>
      <c r="D12" s="10"/>
    </row>
    <row r="13" spans="1:4" ht="12.75">
      <c r="A13" s="8" t="s">
        <v>8</v>
      </c>
      <c r="B13" s="9"/>
      <c r="C13" s="144" t="s">
        <v>267</v>
      </c>
      <c r="D13" s="10"/>
    </row>
    <row r="14" spans="1:8" ht="31.5" customHeight="1">
      <c r="A14" s="567" t="s">
        <v>9</v>
      </c>
      <c r="B14" s="567"/>
      <c r="C14" s="567"/>
      <c r="D14" s="567"/>
      <c r="E14" s="109"/>
      <c r="F14" s="109"/>
      <c r="G14" s="109"/>
      <c r="H14" s="109"/>
    </row>
    <row r="15" spans="1:8" ht="25.5">
      <c r="A15" s="11" t="s">
        <v>10</v>
      </c>
      <c r="B15" s="12" t="s">
        <v>11</v>
      </c>
      <c r="C15" s="13">
        <v>27325.84</v>
      </c>
      <c r="D15" s="14"/>
      <c r="E15" s="109"/>
      <c r="F15" s="109"/>
      <c r="G15" s="109"/>
      <c r="H15" s="109"/>
    </row>
    <row r="16" spans="1:8" ht="15">
      <c r="A16" s="8" t="s">
        <v>12</v>
      </c>
      <c r="B16" s="12" t="s">
        <v>11</v>
      </c>
      <c r="C16" s="13"/>
      <c r="D16" s="14"/>
      <c r="E16" s="109"/>
      <c r="F16" s="109"/>
      <c r="G16" s="109"/>
      <c r="H16" s="109"/>
    </row>
    <row r="17" spans="1:8" ht="15">
      <c r="A17" s="8" t="s">
        <v>13</v>
      </c>
      <c r="B17" s="12" t="s">
        <v>11</v>
      </c>
      <c r="C17" s="15">
        <v>1272.2</v>
      </c>
      <c r="D17" s="16"/>
      <c r="E17" s="109"/>
      <c r="F17" s="109"/>
      <c r="G17" s="109"/>
      <c r="H17" s="109"/>
    </row>
    <row r="18" spans="1:8" ht="31.5" customHeight="1">
      <c r="A18" s="17" t="s">
        <v>14</v>
      </c>
      <c r="B18" s="12" t="s">
        <v>11</v>
      </c>
      <c r="C18" s="15">
        <f>8415.18+1603.8</f>
        <v>10018.98</v>
      </c>
      <c r="D18" s="16"/>
      <c r="E18" s="110">
        <f>C18-C20</f>
        <v>8145.108</v>
      </c>
      <c r="F18" s="109"/>
      <c r="G18" s="109"/>
      <c r="H18" s="109"/>
    </row>
    <row r="19" spans="1:8" ht="15">
      <c r="A19" s="8" t="s">
        <v>15</v>
      </c>
      <c r="B19" s="12" t="s">
        <v>11</v>
      </c>
      <c r="C19" s="15">
        <f>C18-C20-C21</f>
        <v>3001.464</v>
      </c>
      <c r="D19" s="16"/>
      <c r="E19" s="110">
        <f>E18-E38</f>
        <v>0.0020000000004074536</v>
      </c>
      <c r="F19" s="109"/>
      <c r="G19" s="109"/>
      <c r="H19" s="109"/>
    </row>
    <row r="20" spans="1:8" ht="15">
      <c r="A20" s="8" t="s">
        <v>16</v>
      </c>
      <c r="B20" s="12" t="s">
        <v>11</v>
      </c>
      <c r="C20" s="15">
        <f>102.3*(0.21+0.23)*6+1603.8</f>
        <v>1873.8719999999998</v>
      </c>
      <c r="D20" s="16"/>
      <c r="E20" s="111"/>
      <c r="F20" s="109"/>
      <c r="G20" s="109"/>
      <c r="H20" s="109"/>
    </row>
    <row r="21" spans="1:8" ht="15">
      <c r="A21" s="8" t="s">
        <v>17</v>
      </c>
      <c r="B21" s="12" t="s">
        <v>11</v>
      </c>
      <c r="C21" s="19">
        <f>102.3*4.19*12</f>
        <v>5143.644</v>
      </c>
      <c r="D21" s="16"/>
      <c r="E21" s="109"/>
      <c r="F21" s="109"/>
      <c r="G21" s="109"/>
      <c r="H21" s="109"/>
    </row>
    <row r="22" spans="1:8" ht="15">
      <c r="A22" s="20" t="s">
        <v>18</v>
      </c>
      <c r="B22" s="12" t="s">
        <v>11</v>
      </c>
      <c r="C22" s="15">
        <f>C23+C24+C25+C26+C27</f>
        <v>10703.276334</v>
      </c>
      <c r="D22" s="16" t="s">
        <v>19</v>
      </c>
      <c r="E22" s="110" t="e">
        <f>B24+B25+B26+B27+B28</f>
        <v>#VALUE!</v>
      </c>
      <c r="F22" s="109"/>
      <c r="G22" s="109"/>
      <c r="H22" s="109"/>
    </row>
    <row r="23" spans="1:8" ht="15">
      <c r="A23" s="8" t="s">
        <v>20</v>
      </c>
      <c r="B23" s="12" t="s">
        <v>11</v>
      </c>
      <c r="C23" s="15">
        <f>C18*1.0683</f>
        <v>10703.276334</v>
      </c>
      <c r="D23" s="16"/>
      <c r="E23" s="109"/>
      <c r="F23" s="109"/>
      <c r="G23" s="109"/>
      <c r="H23" s="109"/>
    </row>
    <row r="24" spans="1:8" ht="15">
      <c r="A24" s="8" t="s">
        <v>21</v>
      </c>
      <c r="B24" s="12" t="s">
        <v>11</v>
      </c>
      <c r="C24" s="15">
        <v>0</v>
      </c>
      <c r="D24" s="21">
        <v>65.21</v>
      </c>
      <c r="E24" s="111" t="e">
        <f>B24/#REF!*1</f>
        <v>#VALUE!</v>
      </c>
      <c r="F24" s="109"/>
      <c r="G24" s="109"/>
      <c r="H24" s="109" t="s">
        <v>22</v>
      </c>
    </row>
    <row r="25" spans="1:8" ht="15">
      <c r="A25" s="8" t="s">
        <v>23</v>
      </c>
      <c r="B25" s="12" t="s">
        <v>11</v>
      </c>
      <c r="C25" s="15">
        <v>0</v>
      </c>
      <c r="D25" s="21">
        <v>119.63</v>
      </c>
      <c r="E25" s="111" t="e">
        <f>B25/#REF!*1</f>
        <v>#VALUE!</v>
      </c>
      <c r="F25" s="109"/>
      <c r="G25" s="109"/>
      <c r="H25" s="109"/>
    </row>
    <row r="26" spans="1:8" ht="15">
      <c r="A26" s="9" t="s">
        <v>24</v>
      </c>
      <c r="B26" s="12" t="s">
        <v>11</v>
      </c>
      <c r="C26" s="15">
        <v>0</v>
      </c>
      <c r="D26" s="21"/>
      <c r="E26" s="111" t="e">
        <f>B26/#REF!*1</f>
        <v>#VALUE!</v>
      </c>
      <c r="F26" s="109"/>
      <c r="G26" s="109"/>
      <c r="H26" s="109"/>
    </row>
    <row r="27" spans="1:8" ht="16.5" customHeight="1">
      <c r="A27" s="98" t="s">
        <v>96</v>
      </c>
      <c r="B27" s="12" t="s">
        <v>11</v>
      </c>
      <c r="C27" s="15">
        <v>0</v>
      </c>
      <c r="D27" s="21">
        <v>139.18</v>
      </c>
      <c r="E27" s="111" t="e">
        <f>B27/#REF!*1</f>
        <v>#VALUE!</v>
      </c>
      <c r="F27" s="109"/>
      <c r="G27" s="109"/>
      <c r="H27" s="109"/>
    </row>
    <row r="28" spans="1:8" ht="15">
      <c r="A28" s="8" t="s">
        <v>25</v>
      </c>
      <c r="B28" s="12" t="s">
        <v>11</v>
      </c>
      <c r="C28" s="15">
        <f>C15+C22</f>
        <v>38029.116334</v>
      </c>
      <c r="D28" s="16" t="s">
        <v>26</v>
      </c>
      <c r="E28" s="111" t="e">
        <f>B28/#REF!*1</f>
        <v>#VALUE!</v>
      </c>
      <c r="F28" s="109"/>
      <c r="G28" s="109"/>
      <c r="H28" s="109"/>
    </row>
    <row r="29" spans="1:8" ht="35.25" customHeight="1">
      <c r="A29" s="568" t="s">
        <v>27</v>
      </c>
      <c r="B29" s="568"/>
      <c r="C29" s="568"/>
      <c r="D29" s="568"/>
      <c r="E29" s="109"/>
      <c r="F29" s="109"/>
      <c r="G29" s="109"/>
      <c r="H29" s="109"/>
    </row>
    <row r="30" spans="1:8" ht="60">
      <c r="A30" s="22" t="s">
        <v>28</v>
      </c>
      <c r="B30" s="23" t="s">
        <v>29</v>
      </c>
      <c r="C30" s="24" t="s">
        <v>30</v>
      </c>
      <c r="D30" s="25" t="s">
        <v>31</v>
      </c>
      <c r="E30" s="109"/>
      <c r="F30" s="109"/>
      <c r="G30" s="109"/>
      <c r="H30" s="109"/>
    </row>
    <row r="31" spans="1:8" ht="15">
      <c r="A31" s="26" t="s">
        <v>32</v>
      </c>
      <c r="B31" s="27" t="s">
        <v>33</v>
      </c>
      <c r="C31" s="28" t="s">
        <v>34</v>
      </c>
      <c r="D31" s="92">
        <f>0.6*12*102.3</f>
        <v>736.56</v>
      </c>
      <c r="E31" s="109"/>
      <c r="F31" s="109"/>
      <c r="G31" s="109"/>
      <c r="H31" s="109"/>
    </row>
    <row r="32" spans="1:8" ht="15">
      <c r="A32" s="29" t="s">
        <v>36</v>
      </c>
      <c r="B32" s="30" t="s">
        <v>33</v>
      </c>
      <c r="C32" s="31" t="s">
        <v>37</v>
      </c>
      <c r="D32" s="93">
        <f>0.24*12*102.3</f>
        <v>294.62399999999997</v>
      </c>
      <c r="E32" s="109"/>
      <c r="F32" s="109"/>
      <c r="G32" s="109"/>
      <c r="H32" s="109"/>
    </row>
    <row r="33" spans="1:8" ht="15">
      <c r="A33" s="153" t="s">
        <v>174</v>
      </c>
      <c r="B33" s="30" t="s">
        <v>33</v>
      </c>
      <c r="C33" s="31" t="s">
        <v>34</v>
      </c>
      <c r="D33" s="93">
        <f>(0.16)*12*102.3</f>
        <v>196.416</v>
      </c>
      <c r="E33" s="109"/>
      <c r="F33" s="109"/>
      <c r="G33" s="109"/>
      <c r="H33" s="109"/>
    </row>
    <row r="34" spans="1:8" ht="15">
      <c r="A34" s="29" t="s">
        <v>81</v>
      </c>
      <c r="B34" s="91" t="s">
        <v>82</v>
      </c>
      <c r="C34" s="31" t="s">
        <v>34</v>
      </c>
      <c r="D34" s="93">
        <f>102.3*(0.57+0.82)*6</f>
        <v>853.1819999999998</v>
      </c>
      <c r="E34" s="109"/>
      <c r="F34" s="109"/>
      <c r="G34" s="109"/>
      <c r="H34" s="109"/>
    </row>
    <row r="35" spans="1:8" ht="15">
      <c r="A35" s="29" t="s">
        <v>38</v>
      </c>
      <c r="B35" s="30" t="s">
        <v>35</v>
      </c>
      <c r="C35" s="364" t="s">
        <v>221</v>
      </c>
      <c r="D35" s="93">
        <f>4.19*102.3*12</f>
        <v>5143.644</v>
      </c>
      <c r="E35" s="109"/>
      <c r="F35" s="109"/>
      <c r="G35" s="109"/>
      <c r="H35" s="109"/>
    </row>
    <row r="36" spans="1:8" ht="15">
      <c r="A36" s="29" t="s">
        <v>85</v>
      </c>
      <c r="B36" s="30" t="s">
        <v>222</v>
      </c>
      <c r="C36" s="171" t="s">
        <v>37</v>
      </c>
      <c r="D36" s="93">
        <f>102.3*0.75*12-0.02</f>
        <v>920.68</v>
      </c>
      <c r="E36" s="109"/>
      <c r="F36" s="109"/>
      <c r="G36" s="109"/>
      <c r="H36" s="109"/>
    </row>
    <row r="37" spans="1:14" s="1" customFormat="1" ht="45">
      <c r="A37" s="33" t="s">
        <v>40</v>
      </c>
      <c r="B37" s="34" t="s">
        <v>41</v>
      </c>
      <c r="C37" s="108"/>
      <c r="D37" s="36">
        <v>0</v>
      </c>
      <c r="E37" s="109"/>
      <c r="F37" s="109"/>
      <c r="G37" s="109"/>
      <c r="H37" s="109"/>
      <c r="K37"/>
      <c r="L37"/>
      <c r="M37"/>
      <c r="N37"/>
    </row>
    <row r="38" spans="1:14" s="1" customFormat="1" ht="15.75">
      <c r="A38" s="37" t="s">
        <v>42</v>
      </c>
      <c r="B38" s="38"/>
      <c r="C38" s="39"/>
      <c r="D38" s="97">
        <f>SUM(D31:D37)</f>
        <v>8145.106</v>
      </c>
      <c r="E38" s="112">
        <f>D38-D37</f>
        <v>8145.106</v>
      </c>
      <c r="F38" s="109"/>
      <c r="G38" s="109"/>
      <c r="H38" s="109"/>
      <c r="K38"/>
      <c r="L38"/>
      <c r="M38"/>
      <c r="N38"/>
    </row>
    <row r="39" spans="1:14" s="1" customFormat="1" ht="15">
      <c r="A39" s="40" t="s">
        <v>43</v>
      </c>
      <c r="B39" s="41" t="s">
        <v>11</v>
      </c>
      <c r="C39" s="42"/>
      <c r="D39" s="43">
        <f>C28-D38</f>
        <v>29884.010334</v>
      </c>
      <c r="E39" s="112"/>
      <c r="F39" s="109"/>
      <c r="G39" s="109"/>
      <c r="H39" s="109"/>
      <c r="K39"/>
      <c r="L39"/>
      <c r="M39"/>
      <c r="N39"/>
    </row>
    <row r="40" spans="1:14" s="1" customFormat="1" ht="15">
      <c r="A40" s="45" t="s">
        <v>12</v>
      </c>
      <c r="B40" s="46" t="s">
        <v>11</v>
      </c>
      <c r="C40" s="31"/>
      <c r="D40" s="14"/>
      <c r="E40" s="109"/>
      <c r="F40" s="109"/>
      <c r="G40" s="109"/>
      <c r="H40" s="109"/>
      <c r="K40"/>
      <c r="L40"/>
      <c r="M40"/>
      <c r="N40"/>
    </row>
    <row r="41" spans="1:14" s="1" customFormat="1" ht="15">
      <c r="A41" s="45" t="s">
        <v>13</v>
      </c>
      <c r="B41" s="46" t="s">
        <v>11</v>
      </c>
      <c r="C41" s="31"/>
      <c r="D41" s="16">
        <f>C17+C18-C23</f>
        <v>587.9036660000002</v>
      </c>
      <c r="E41" s="109"/>
      <c r="F41" s="109"/>
      <c r="G41" s="109"/>
      <c r="H41" s="109"/>
      <c r="K41"/>
      <c r="L41"/>
      <c r="M41"/>
      <c r="N41"/>
    </row>
    <row r="42" spans="1:14" s="1" customFormat="1" ht="24" customHeight="1">
      <c r="A42" s="569" t="s">
        <v>44</v>
      </c>
      <c r="B42" s="569"/>
      <c r="C42" s="569"/>
      <c r="D42" s="569"/>
      <c r="E42" s="109"/>
      <c r="F42" s="109"/>
      <c r="G42" s="109"/>
      <c r="H42" s="109"/>
      <c r="K42"/>
      <c r="L42"/>
      <c r="M42"/>
      <c r="N42"/>
    </row>
    <row r="43" spans="1:14" s="1" customFormat="1" ht="15">
      <c r="A43" s="45" t="s">
        <v>45</v>
      </c>
      <c r="B43" s="30" t="s">
        <v>46</v>
      </c>
      <c r="C43" s="31">
        <v>0</v>
      </c>
      <c r="D43" s="14">
        <v>0</v>
      </c>
      <c r="E43" s="109"/>
      <c r="F43" s="109"/>
      <c r="G43" s="109"/>
      <c r="H43" s="109"/>
      <c r="K43"/>
      <c r="L43"/>
      <c r="M43"/>
      <c r="N43"/>
    </row>
    <row r="44" spans="1:14" s="1" customFormat="1" ht="15">
      <c r="A44" s="45" t="s">
        <v>47</v>
      </c>
      <c r="B44" s="30" t="s">
        <v>46</v>
      </c>
      <c r="C44" s="31">
        <v>0</v>
      </c>
      <c r="D44" s="14">
        <v>0</v>
      </c>
      <c r="E44" s="109"/>
      <c r="F44" s="109"/>
      <c r="G44" s="109"/>
      <c r="H44" s="109"/>
      <c r="K44"/>
      <c r="L44"/>
      <c r="M44"/>
      <c r="N44"/>
    </row>
    <row r="45" spans="1:14" s="1" customFormat="1" ht="15">
      <c r="A45" s="47" t="s">
        <v>48</v>
      </c>
      <c r="B45" s="30" t="s">
        <v>46</v>
      </c>
      <c r="C45" s="31">
        <v>0</v>
      </c>
      <c r="D45" s="14">
        <v>0</v>
      </c>
      <c r="E45" s="109"/>
      <c r="F45" s="109"/>
      <c r="G45" s="109"/>
      <c r="H45" s="109"/>
      <c r="K45"/>
      <c r="L45"/>
      <c r="M45"/>
      <c r="N45"/>
    </row>
    <row r="46" spans="1:14" s="1" customFormat="1" ht="15">
      <c r="A46" s="45" t="s">
        <v>49</v>
      </c>
      <c r="B46" s="30" t="s">
        <v>11</v>
      </c>
      <c r="C46" s="31">
        <v>0</v>
      </c>
      <c r="D46" s="14">
        <v>0</v>
      </c>
      <c r="E46" s="109"/>
      <c r="F46" s="109"/>
      <c r="G46" s="109"/>
      <c r="H46" s="109"/>
      <c r="K46"/>
      <c r="L46"/>
      <c r="M46"/>
      <c r="N46"/>
    </row>
    <row r="47" spans="1:8" ht="20.25" customHeight="1">
      <c r="A47" s="570" t="s">
        <v>50</v>
      </c>
      <c r="B47" s="570"/>
      <c r="C47" s="570"/>
      <c r="D47" s="570"/>
      <c r="E47" s="109"/>
      <c r="F47" s="109"/>
      <c r="G47" s="109"/>
      <c r="H47" s="109"/>
    </row>
    <row r="48" spans="1:8" ht="25.5">
      <c r="A48" s="47" t="s">
        <v>51</v>
      </c>
      <c r="B48" s="30" t="s">
        <v>11</v>
      </c>
      <c r="C48" s="31"/>
      <c r="D48" s="14">
        <v>0</v>
      </c>
      <c r="E48" s="109"/>
      <c r="F48" s="109"/>
      <c r="G48" s="109"/>
      <c r="H48" s="109"/>
    </row>
    <row r="49" spans="1:8" ht="15">
      <c r="A49" s="45" t="s">
        <v>12</v>
      </c>
      <c r="B49" s="30" t="s">
        <v>11</v>
      </c>
      <c r="C49" s="31"/>
      <c r="D49" s="14">
        <v>0</v>
      </c>
      <c r="E49" s="109"/>
      <c r="F49" s="109"/>
      <c r="G49" s="109"/>
      <c r="H49" s="109"/>
    </row>
    <row r="50" spans="1:8" ht="15">
      <c r="A50" s="45" t="s">
        <v>13</v>
      </c>
      <c r="B50" s="30" t="s">
        <v>11</v>
      </c>
      <c r="C50" s="31"/>
      <c r="D50" s="58">
        <f>D52-D56-D59</f>
        <v>2202.6317200000003</v>
      </c>
      <c r="E50" s="109"/>
      <c r="F50" s="109"/>
      <c r="G50" s="109"/>
      <c r="H50" s="113"/>
    </row>
    <row r="51" spans="1:8" ht="25.5">
      <c r="A51" s="50" t="s">
        <v>52</v>
      </c>
      <c r="B51" s="30" t="s">
        <v>11</v>
      </c>
      <c r="C51" s="51"/>
      <c r="D51" s="52">
        <v>0</v>
      </c>
      <c r="E51" s="109"/>
      <c r="F51" s="109"/>
      <c r="G51" s="109"/>
      <c r="H51" s="109"/>
    </row>
    <row r="52" spans="1:10" ht="17.25" customHeight="1">
      <c r="A52" s="53" t="s">
        <v>12</v>
      </c>
      <c r="B52" s="30" t="s">
        <v>11</v>
      </c>
      <c r="C52" s="54"/>
      <c r="D52" s="378">
        <v>1754.01</v>
      </c>
      <c r="E52" s="109"/>
      <c r="F52" s="109"/>
      <c r="G52" s="109"/>
      <c r="H52" s="109"/>
      <c r="I52" s="49"/>
      <c r="J52" s="49"/>
    </row>
    <row r="53" spans="1:14" ht="15">
      <c r="A53" s="56" t="s">
        <v>13</v>
      </c>
      <c r="B53" s="30" t="s">
        <v>11</v>
      </c>
      <c r="C53" s="57"/>
      <c r="D53" s="58"/>
      <c r="E53" s="109"/>
      <c r="F53" s="109"/>
      <c r="G53" s="109"/>
      <c r="H53" s="109" t="s">
        <v>26</v>
      </c>
      <c r="I53" s="60"/>
      <c r="J53" s="60"/>
      <c r="K53" s="61"/>
      <c r="L53" s="61"/>
      <c r="M53" s="61"/>
      <c r="N53" s="61"/>
    </row>
    <row r="54" spans="1:14" ht="18" customHeight="1">
      <c r="A54" s="571" t="s">
        <v>53</v>
      </c>
      <c r="B54" s="571"/>
      <c r="C54" s="571"/>
      <c r="D54" s="571"/>
      <c r="E54" s="114"/>
      <c r="F54" s="115"/>
      <c r="G54" s="116"/>
      <c r="H54" s="109"/>
      <c r="I54" s="65"/>
      <c r="J54" s="65"/>
      <c r="K54" s="66"/>
      <c r="L54" s="66"/>
      <c r="M54" s="66"/>
      <c r="N54" s="66"/>
    </row>
    <row r="55" spans="1:14" ht="47.25">
      <c r="A55" s="67" t="s">
        <v>54</v>
      </c>
      <c r="B55" s="68" t="s">
        <v>55</v>
      </c>
      <c r="C55" s="69" t="s">
        <v>56</v>
      </c>
      <c r="D55" s="70" t="s">
        <v>57</v>
      </c>
      <c r="E55" s="114"/>
      <c r="F55" s="115"/>
      <c r="G55" s="116"/>
      <c r="H55" s="109"/>
      <c r="I55" s="65"/>
      <c r="J55" s="71"/>
      <c r="K55" s="66"/>
      <c r="L55" s="66"/>
      <c r="M55" s="66"/>
      <c r="N55" s="66"/>
    </row>
    <row r="56" spans="1:14" ht="15">
      <c r="A56" s="72" t="s">
        <v>58</v>
      </c>
      <c r="B56" s="99">
        <v>837.78</v>
      </c>
      <c r="C56" s="100">
        <f>B56*1.0683</f>
        <v>895.000374</v>
      </c>
      <c r="D56" s="101">
        <f>B56-C56</f>
        <v>-57.22037399999999</v>
      </c>
      <c r="E56" s="117"/>
      <c r="F56" s="115"/>
      <c r="G56" s="116"/>
      <c r="H56" s="109"/>
      <c r="I56" s="65"/>
      <c r="J56" s="65"/>
      <c r="K56" s="66"/>
      <c r="L56" s="66"/>
      <c r="M56" s="66"/>
      <c r="N56" s="66"/>
    </row>
    <row r="57" spans="1:14" ht="15">
      <c r="A57" s="72" t="s">
        <v>59</v>
      </c>
      <c r="B57" s="99">
        <v>0</v>
      </c>
      <c r="C57" s="100">
        <f>B57*0.9685</f>
        <v>0</v>
      </c>
      <c r="D57" s="101">
        <f>B57-C57</f>
        <v>0</v>
      </c>
      <c r="E57" s="114"/>
      <c r="F57" s="115"/>
      <c r="G57" s="116"/>
      <c r="H57" s="109"/>
      <c r="I57" s="65"/>
      <c r="J57" s="65"/>
      <c r="K57" s="66"/>
      <c r="L57" s="66"/>
      <c r="M57" s="66"/>
      <c r="N57" s="66"/>
    </row>
    <row r="58" spans="1:14" ht="15">
      <c r="A58" s="72" t="s">
        <v>60</v>
      </c>
      <c r="B58" s="102">
        <v>0</v>
      </c>
      <c r="C58" s="100">
        <f>B58*0.9685</f>
        <v>0</v>
      </c>
      <c r="D58" s="101">
        <f>B58-C58</f>
        <v>0</v>
      </c>
      <c r="E58" s="114">
        <f>(2.07+1.8)*6*2301.2-0.37*2301.2*6</f>
        <v>48325.2</v>
      </c>
      <c r="F58" s="118"/>
      <c r="G58" s="119"/>
      <c r="H58" s="114"/>
      <c r="I58" s="65"/>
      <c r="J58" s="65"/>
      <c r="K58" s="66"/>
      <c r="L58" s="66"/>
      <c r="M58" s="66"/>
      <c r="N58" s="66"/>
    </row>
    <row r="59" spans="1:14" ht="15.75" thickBot="1">
      <c r="A59" s="125" t="s">
        <v>236</v>
      </c>
      <c r="B59" s="126">
        <v>5730.62</v>
      </c>
      <c r="C59" s="127">
        <f>B59*1.0683</f>
        <v>6122.021346</v>
      </c>
      <c r="D59" s="128">
        <f>B59-C59</f>
        <v>-391.40134600000056</v>
      </c>
      <c r="E59" s="114"/>
      <c r="F59" s="118"/>
      <c r="G59" s="119"/>
      <c r="H59" s="109"/>
      <c r="I59" s="65"/>
      <c r="J59" s="65"/>
      <c r="K59" s="66"/>
      <c r="L59" s="66"/>
      <c r="M59" s="66"/>
      <c r="N59" s="66"/>
    </row>
    <row r="60" spans="1:14" ht="63">
      <c r="A60" s="129" t="s">
        <v>62</v>
      </c>
      <c r="B60" s="130" t="s">
        <v>63</v>
      </c>
      <c r="C60" s="131" t="s">
        <v>64</v>
      </c>
      <c r="D60" s="132" t="s">
        <v>65</v>
      </c>
      <c r="E60" s="114"/>
      <c r="F60" s="118"/>
      <c r="G60" s="109"/>
      <c r="H60" s="120"/>
      <c r="I60" s="65"/>
      <c r="J60" s="65"/>
      <c r="K60" s="66"/>
      <c r="L60" s="66"/>
      <c r="M60" s="66"/>
      <c r="N60" s="66"/>
    </row>
    <row r="61" spans="1:14" ht="15">
      <c r="A61" s="133" t="s">
        <v>58</v>
      </c>
      <c r="B61" s="104">
        <f>B56</f>
        <v>837.78</v>
      </c>
      <c r="C61" s="105">
        <f>C56</f>
        <v>895.000374</v>
      </c>
      <c r="D61" s="134">
        <f>B61-C61</f>
        <v>-57.22037399999999</v>
      </c>
      <c r="E61" s="114"/>
      <c r="F61" s="118"/>
      <c r="G61" s="109"/>
      <c r="H61" s="120"/>
      <c r="I61" s="65"/>
      <c r="J61" s="65" t="s">
        <v>26</v>
      </c>
      <c r="K61" s="66"/>
      <c r="L61" s="66"/>
      <c r="M61" s="66"/>
      <c r="N61" s="66"/>
    </row>
    <row r="62" spans="1:14" ht="15">
      <c r="A62" s="133" t="s">
        <v>59</v>
      </c>
      <c r="B62" s="104">
        <v>0</v>
      </c>
      <c r="C62" s="105">
        <v>0</v>
      </c>
      <c r="D62" s="134">
        <f>B62-C62</f>
        <v>0</v>
      </c>
      <c r="E62" s="114"/>
      <c r="F62" s="118"/>
      <c r="G62" s="109"/>
      <c r="H62" s="120"/>
      <c r="I62" s="65"/>
      <c r="J62" s="65"/>
      <c r="K62" s="66"/>
      <c r="L62" s="66"/>
      <c r="M62" s="66"/>
      <c r="N62" s="66"/>
    </row>
    <row r="63" spans="1:14" ht="15">
      <c r="A63" s="133" t="s">
        <v>60</v>
      </c>
      <c r="B63" s="104">
        <v>0</v>
      </c>
      <c r="C63" s="105">
        <v>0</v>
      </c>
      <c r="D63" s="134">
        <f>B63-C63</f>
        <v>0</v>
      </c>
      <c r="E63" s="114"/>
      <c r="F63" s="118"/>
      <c r="G63" s="109"/>
      <c r="H63" s="120"/>
      <c r="I63" s="65"/>
      <c r="J63" s="65"/>
      <c r="K63" s="66"/>
      <c r="L63" s="66"/>
      <c r="M63" s="66"/>
      <c r="N63" s="66"/>
    </row>
    <row r="64" spans="1:14" ht="15.75" thickBot="1">
      <c r="A64" s="473" t="s">
        <v>236</v>
      </c>
      <c r="B64" s="474">
        <f>B59</f>
        <v>5730.62</v>
      </c>
      <c r="C64" s="137">
        <f>C59</f>
        <v>6122.021346</v>
      </c>
      <c r="D64" s="138">
        <f>B64-C64</f>
        <v>-391.40134600000056</v>
      </c>
      <c r="E64" s="114"/>
      <c r="F64" s="73"/>
      <c r="H64" s="65" t="s">
        <v>26</v>
      </c>
      <c r="I64" s="65"/>
      <c r="J64" s="65"/>
      <c r="K64" s="66"/>
      <c r="L64" s="66"/>
      <c r="M64" s="66"/>
      <c r="N64" s="66"/>
    </row>
    <row r="65" spans="1:14" ht="15">
      <c r="A65" s="77"/>
      <c r="B65" s="76"/>
      <c r="C65" s="78"/>
      <c r="D65" s="79"/>
      <c r="E65" s="114"/>
      <c r="F65" s="73"/>
      <c r="H65" s="65"/>
      <c r="I65" s="65"/>
      <c r="J65" s="65"/>
      <c r="K65" s="66"/>
      <c r="L65" s="66"/>
      <c r="M65" s="66"/>
      <c r="N65" s="66"/>
    </row>
    <row r="66" spans="1:14" ht="25.5">
      <c r="A66" s="80" t="s">
        <v>66</v>
      </c>
      <c r="B66" s="76" t="s">
        <v>11</v>
      </c>
      <c r="C66" s="81"/>
      <c r="D66" s="82">
        <v>0</v>
      </c>
      <c r="E66" s="114"/>
      <c r="F66" s="73"/>
      <c r="H66" s="65"/>
      <c r="I66" s="65"/>
      <c r="J66" s="65" t="s">
        <v>26</v>
      </c>
      <c r="K66" s="66"/>
      <c r="L66" s="66"/>
      <c r="M66" s="66"/>
      <c r="N66" s="66"/>
    </row>
    <row r="67" spans="1:14" ht="17.25" customHeight="1">
      <c r="A67" s="572" t="s">
        <v>67</v>
      </c>
      <c r="B67" s="572"/>
      <c r="C67" s="572"/>
      <c r="D67" s="572"/>
      <c r="E67" s="121" t="e">
        <f>D67+B19</f>
        <v>#VALUE!</v>
      </c>
      <c r="F67" s="65"/>
      <c r="H67" s="84" t="e">
        <f>E67-B18</f>
        <v>#VALUE!</v>
      </c>
      <c r="I67" s="65"/>
      <c r="J67" s="65"/>
      <c r="K67" s="66"/>
      <c r="L67" s="66"/>
      <c r="M67" s="66"/>
      <c r="N67" s="66"/>
    </row>
    <row r="68" spans="1:5" ht="21" customHeight="1">
      <c r="A68" s="85" t="s">
        <v>45</v>
      </c>
      <c r="B68" s="85" t="s">
        <v>46</v>
      </c>
      <c r="C68" s="86"/>
      <c r="D68" s="177">
        <v>0</v>
      </c>
      <c r="E68" s="123"/>
    </row>
    <row r="69" spans="1:5" ht="21" customHeight="1">
      <c r="A69" s="85" t="s">
        <v>47</v>
      </c>
      <c r="B69" s="85" t="s">
        <v>46</v>
      </c>
      <c r="C69" s="85"/>
      <c r="D69" s="177">
        <v>0</v>
      </c>
      <c r="E69" s="123"/>
    </row>
    <row r="70" spans="1:5" ht="18" customHeight="1">
      <c r="A70" s="85" t="s">
        <v>48</v>
      </c>
      <c r="B70" s="85" t="s">
        <v>46</v>
      </c>
      <c r="C70" s="85"/>
      <c r="D70" s="177">
        <v>0</v>
      </c>
      <c r="E70" s="123"/>
    </row>
    <row r="71" spans="1:5" ht="16.5" customHeight="1">
      <c r="A71" s="85" t="s">
        <v>49</v>
      </c>
      <c r="B71" s="85" t="s">
        <v>11</v>
      </c>
      <c r="C71" s="85"/>
      <c r="D71" s="177">
        <v>0</v>
      </c>
      <c r="E71" s="123"/>
    </row>
    <row r="72" spans="1:5" ht="15.75" customHeight="1">
      <c r="A72" s="566" t="s">
        <v>68</v>
      </c>
      <c r="B72" s="566"/>
      <c r="C72" s="566"/>
      <c r="D72" s="566"/>
      <c r="E72" s="123"/>
    </row>
    <row r="73" spans="1:5" ht="18.75" customHeight="1">
      <c r="A73" s="85" t="s">
        <v>69</v>
      </c>
      <c r="B73" s="85" t="s">
        <v>46</v>
      </c>
      <c r="C73" s="85"/>
      <c r="D73" s="177">
        <v>1</v>
      </c>
      <c r="E73" s="123"/>
    </row>
    <row r="74" spans="1:5" ht="21.75" customHeight="1">
      <c r="A74" s="85" t="s">
        <v>70</v>
      </c>
      <c r="B74" s="53" t="s">
        <v>46</v>
      </c>
      <c r="C74" s="53"/>
      <c r="D74" s="177">
        <v>0</v>
      </c>
      <c r="E74" s="123"/>
    </row>
    <row r="75" spans="1:5" ht="36" customHeight="1">
      <c r="A75" s="89" t="s">
        <v>71</v>
      </c>
      <c r="B75" s="85" t="s">
        <v>11</v>
      </c>
      <c r="C75" s="85"/>
      <c r="D75" s="177">
        <v>0</v>
      </c>
      <c r="E75" s="123"/>
    </row>
    <row r="76" spans="1:5" ht="15">
      <c r="A76" s="66"/>
      <c r="B76" s="66"/>
      <c r="C76" s="66"/>
      <c r="D76" s="90"/>
      <c r="E76" s="109"/>
    </row>
    <row r="77" spans="1:14" s="1" customFormat="1" ht="12.75">
      <c r="A77"/>
      <c r="B77"/>
      <c r="C77"/>
      <c r="D77"/>
      <c r="E77" s="109"/>
      <c r="H77" s="1" t="s">
        <v>26</v>
      </c>
      <c r="K77"/>
      <c r="L77"/>
      <c r="M77"/>
      <c r="N77"/>
    </row>
    <row r="78" spans="1:14" s="1" customFormat="1" ht="12.75">
      <c r="A78" t="s">
        <v>72</v>
      </c>
      <c r="B78"/>
      <c r="C78"/>
      <c r="D78"/>
      <c r="E78" s="109"/>
      <c r="K78"/>
      <c r="L78"/>
      <c r="M78"/>
      <c r="N78"/>
    </row>
    <row r="79" spans="1:14" s="1" customFormat="1" ht="12.75">
      <c r="A79"/>
      <c r="B79"/>
      <c r="C79"/>
      <c r="D79"/>
      <c r="E79" s="109"/>
      <c r="H79" s="1" t="s">
        <v>26</v>
      </c>
      <c r="K79"/>
      <c r="L79"/>
      <c r="M79"/>
      <c r="N79"/>
    </row>
    <row r="80" spans="1:14" s="1" customFormat="1" ht="12.75">
      <c r="A80" t="s">
        <v>73</v>
      </c>
      <c r="B80"/>
      <c r="C80"/>
      <c r="D80"/>
      <c r="E80" s="109"/>
      <c r="K80"/>
      <c r="L80"/>
      <c r="M80"/>
      <c r="N80"/>
    </row>
    <row r="81" ht="12.75">
      <c r="E81" s="109"/>
    </row>
    <row r="82" ht="12.75">
      <c r="E82" s="109"/>
    </row>
    <row r="83" ht="12.75">
      <c r="E83" s="109"/>
    </row>
    <row r="84" spans="1:14" s="1" customFormat="1" ht="12.75">
      <c r="A84"/>
      <c r="B84"/>
      <c r="C84"/>
      <c r="D84"/>
      <c r="E84" s="109" t="s">
        <v>26</v>
      </c>
      <c r="K84"/>
      <c r="L84"/>
      <c r="M84"/>
      <c r="N84"/>
    </row>
  </sheetData>
  <sheetProtection selectLockedCells="1" selectUnlockedCells="1"/>
  <mergeCells count="13">
    <mergeCell ref="A72:D72"/>
    <mergeCell ref="A14:D14"/>
    <mergeCell ref="A29:D29"/>
    <mergeCell ref="A42:D42"/>
    <mergeCell ref="A47:D47"/>
    <mergeCell ref="A54:D54"/>
    <mergeCell ref="A67:D67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zoomScale="80" zoomScaleNormal="80" zoomScalePageLayoutView="0" workbookViewId="0" topLeftCell="A16">
      <selection activeCell="D39" sqref="D39"/>
    </sheetView>
  </sheetViews>
  <sheetFormatPr defaultColWidth="11.57421875" defaultRowHeight="12.75"/>
  <cols>
    <col min="1" max="1" width="58.140625" style="0" customWidth="1"/>
    <col min="2" max="2" width="18.8515625" style="0" customWidth="1"/>
    <col min="3" max="3" width="21.7109375" style="0" customWidth="1"/>
    <col min="4" max="4" width="15.14062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5.75">
      <c r="A1" s="562" t="s">
        <v>0</v>
      </c>
      <c r="B1" s="562"/>
      <c r="C1" s="562"/>
      <c r="D1" s="562"/>
    </row>
    <row r="2" spans="1:4" ht="15.75">
      <c r="A2" s="561" t="s">
        <v>220</v>
      </c>
      <c r="B2" s="562"/>
      <c r="C2" s="562"/>
      <c r="D2" s="562"/>
    </row>
    <row r="3" spans="1:4" ht="15.75">
      <c r="A3" s="562" t="s">
        <v>1</v>
      </c>
      <c r="B3" s="562"/>
      <c r="C3" s="562"/>
      <c r="D3" s="562"/>
    </row>
    <row r="4" spans="1:4" ht="15.75">
      <c r="A4" s="562" t="s">
        <v>132</v>
      </c>
      <c r="B4" s="562"/>
      <c r="C4" s="562"/>
      <c r="D4" s="562"/>
    </row>
    <row r="5" spans="1:4" ht="15.75">
      <c r="A5" s="561" t="s">
        <v>306</v>
      </c>
      <c r="B5" s="562"/>
      <c r="C5" s="562"/>
      <c r="D5" s="562"/>
    </row>
    <row r="6" spans="1:4" ht="9" customHeight="1">
      <c r="A6" s="323"/>
      <c r="B6" s="324"/>
      <c r="C6" s="324"/>
      <c r="D6" s="324"/>
    </row>
    <row r="7" spans="1:4" ht="18" customHeight="1">
      <c r="A7" s="582" t="s">
        <v>2</v>
      </c>
      <c r="B7" s="582"/>
      <c r="C7" s="582"/>
      <c r="D7" s="582"/>
    </row>
    <row r="8" spans="1:4" ht="15">
      <c r="A8" s="323" t="s">
        <v>189</v>
      </c>
      <c r="B8" s="324"/>
      <c r="C8" s="325"/>
      <c r="D8" s="324"/>
    </row>
    <row r="9" spans="1:4" ht="15">
      <c r="A9" s="326" t="s">
        <v>3</v>
      </c>
      <c r="B9" s="326" t="s">
        <v>4</v>
      </c>
      <c r="C9" s="326" t="s">
        <v>5</v>
      </c>
      <c r="D9" s="327"/>
    </row>
    <row r="10" spans="1:4" ht="15">
      <c r="A10" s="328">
        <v>1</v>
      </c>
      <c r="B10" s="328">
        <v>2</v>
      </c>
      <c r="C10" s="328">
        <v>3</v>
      </c>
      <c r="D10" s="329">
        <v>4</v>
      </c>
    </row>
    <row r="11" spans="1:4" ht="15">
      <c r="A11" s="330" t="s">
        <v>6</v>
      </c>
      <c r="B11" s="322"/>
      <c r="C11" s="331" t="s">
        <v>262</v>
      </c>
      <c r="D11" s="14"/>
    </row>
    <row r="12" spans="1:4" ht="15">
      <c r="A12" s="330" t="s">
        <v>7</v>
      </c>
      <c r="B12" s="322"/>
      <c r="C12" s="331" t="s">
        <v>263</v>
      </c>
      <c r="D12" s="14"/>
    </row>
    <row r="13" spans="1:4" ht="15">
      <c r="A13" s="330" t="s">
        <v>8</v>
      </c>
      <c r="B13" s="322"/>
      <c r="C13" s="331" t="s">
        <v>267</v>
      </c>
      <c r="D13" s="14"/>
    </row>
    <row r="14" spans="1:5" ht="31.5" customHeight="1">
      <c r="A14" s="567" t="s">
        <v>9</v>
      </c>
      <c r="B14" s="567"/>
      <c r="C14" s="567"/>
      <c r="D14" s="567"/>
      <c r="E14" s="109"/>
    </row>
    <row r="15" spans="1:8" ht="30">
      <c r="A15" s="332" t="s">
        <v>10</v>
      </c>
      <c r="B15" s="333" t="s">
        <v>11</v>
      </c>
      <c r="C15" s="13">
        <v>27325.84</v>
      </c>
      <c r="D15" s="14"/>
      <c r="E15" s="109"/>
      <c r="F15" s="109"/>
      <c r="G15" s="109"/>
      <c r="H15" s="109"/>
    </row>
    <row r="16" spans="1:8" ht="15">
      <c r="A16" s="330" t="s">
        <v>12</v>
      </c>
      <c r="B16" s="333" t="s">
        <v>11</v>
      </c>
      <c r="C16" s="13">
        <v>0</v>
      </c>
      <c r="D16" s="14"/>
      <c r="E16" s="109"/>
      <c r="F16" s="59"/>
      <c r="G16" s="59"/>
      <c r="H16" s="59"/>
    </row>
    <row r="17" spans="1:8" ht="15">
      <c r="A17" s="330" t="s">
        <v>13</v>
      </c>
      <c r="B17" s="333" t="s">
        <v>11</v>
      </c>
      <c r="C17" s="15">
        <v>1193.9</v>
      </c>
      <c r="D17" s="16"/>
      <c r="E17" s="319"/>
      <c r="F17" s="319"/>
      <c r="G17" s="319"/>
      <c r="H17" s="319"/>
    </row>
    <row r="18" spans="1:8" ht="31.5" customHeight="1">
      <c r="A18" s="334" t="s">
        <v>14</v>
      </c>
      <c r="B18" s="333" t="s">
        <v>11</v>
      </c>
      <c r="C18" s="15">
        <f>11176.5+3068.28</f>
        <v>14244.78</v>
      </c>
      <c r="D18" s="16"/>
      <c r="E18" s="320">
        <f>C18-C20</f>
        <v>9528.720000000001</v>
      </c>
      <c r="F18" s="319"/>
      <c r="G18" s="319"/>
      <c r="H18" s="319"/>
    </row>
    <row r="19" spans="1:8" ht="15">
      <c r="A19" s="330" t="s">
        <v>15</v>
      </c>
      <c r="B19" s="333" t="s">
        <v>11</v>
      </c>
      <c r="C19" s="15">
        <f>C18-C20-C21</f>
        <v>4767.204000000001</v>
      </c>
      <c r="D19" s="16"/>
      <c r="E19" s="320">
        <f>E18-E38</f>
        <v>-0.003999999998995918</v>
      </c>
      <c r="F19" s="319"/>
      <c r="G19" s="319"/>
      <c r="H19" s="319"/>
    </row>
    <row r="20" spans="1:8" ht="15">
      <c r="A20" s="330" t="s">
        <v>16</v>
      </c>
      <c r="B20" s="333" t="s">
        <v>11</v>
      </c>
      <c r="C20" s="15">
        <f>(1.42+1.48)*6*94.7+3068.28</f>
        <v>4716.06</v>
      </c>
      <c r="D20" s="16"/>
      <c r="E20" s="321"/>
      <c r="F20" s="319"/>
      <c r="G20" s="319"/>
      <c r="H20" s="319"/>
    </row>
    <row r="21" spans="1:8" ht="15">
      <c r="A21" s="330" t="s">
        <v>17</v>
      </c>
      <c r="B21" s="333" t="s">
        <v>11</v>
      </c>
      <c r="C21" s="19">
        <f>94.7*4.19*12</f>
        <v>4761.5160000000005</v>
      </c>
      <c r="D21" s="16"/>
      <c r="E21" s="319"/>
      <c r="F21" s="319"/>
      <c r="G21" s="319"/>
      <c r="H21" s="319"/>
    </row>
    <row r="22" spans="1:8" ht="15.75">
      <c r="A22" s="335" t="s">
        <v>18</v>
      </c>
      <c r="B22" s="333" t="s">
        <v>11</v>
      </c>
      <c r="C22" s="15">
        <f>C23+C24+C25+C26+C27</f>
        <v>14244.78</v>
      </c>
      <c r="D22" s="16" t="s">
        <v>19</v>
      </c>
      <c r="E22" s="320" t="e">
        <f>B24+B25+B26+B27+B28</f>
        <v>#VALUE!</v>
      </c>
      <c r="F22" s="319"/>
      <c r="G22" s="319"/>
      <c r="H22" s="319"/>
    </row>
    <row r="23" spans="1:8" ht="15">
      <c r="A23" s="330" t="s">
        <v>20</v>
      </c>
      <c r="B23" s="333" t="s">
        <v>11</v>
      </c>
      <c r="C23" s="15">
        <f>C18*1</f>
        <v>14244.78</v>
      </c>
      <c r="D23" s="16"/>
      <c r="E23" s="319"/>
      <c r="F23" s="319"/>
      <c r="G23" s="319"/>
      <c r="H23" s="319"/>
    </row>
    <row r="24" spans="1:8" ht="15">
      <c r="A24" s="330" t="s">
        <v>21</v>
      </c>
      <c r="B24" s="333" t="s">
        <v>11</v>
      </c>
      <c r="C24" s="15">
        <v>0</v>
      </c>
      <c r="D24" s="21">
        <v>65.21</v>
      </c>
      <c r="E24" s="321" t="e">
        <f>B24/#REF!*1</f>
        <v>#VALUE!</v>
      </c>
      <c r="F24" s="319"/>
      <c r="G24" s="319"/>
      <c r="H24" s="319" t="s">
        <v>22</v>
      </c>
    </row>
    <row r="25" spans="1:8" ht="15">
      <c r="A25" s="330" t="s">
        <v>23</v>
      </c>
      <c r="B25" s="333" t="s">
        <v>11</v>
      </c>
      <c r="C25" s="15">
        <v>0</v>
      </c>
      <c r="D25" s="21">
        <v>119.63</v>
      </c>
      <c r="E25" s="111" t="e">
        <f>B25/#REF!*1</f>
        <v>#VALUE!</v>
      </c>
      <c r="F25" s="109"/>
      <c r="G25" s="109"/>
      <c r="H25" s="109"/>
    </row>
    <row r="26" spans="1:8" ht="15">
      <c r="A26" s="322" t="s">
        <v>24</v>
      </c>
      <c r="B26" s="333" t="s">
        <v>11</v>
      </c>
      <c r="C26" s="15">
        <v>0</v>
      </c>
      <c r="D26" s="21"/>
      <c r="E26" s="111" t="e">
        <f>B26/#REF!*1</f>
        <v>#VALUE!</v>
      </c>
      <c r="F26" s="109"/>
      <c r="G26" s="109"/>
      <c r="H26" s="109"/>
    </row>
    <row r="27" spans="1:8" ht="16.5" customHeight="1">
      <c r="A27" s="336" t="s">
        <v>96</v>
      </c>
      <c r="B27" s="333" t="s">
        <v>11</v>
      </c>
      <c r="C27" s="15">
        <v>0</v>
      </c>
      <c r="D27" s="21">
        <v>139.18</v>
      </c>
      <c r="E27" s="111" t="e">
        <f>B27/#REF!*1</f>
        <v>#VALUE!</v>
      </c>
      <c r="F27" s="109"/>
      <c r="G27" s="109"/>
      <c r="H27" s="109"/>
    </row>
    <row r="28" spans="1:8" ht="15">
      <c r="A28" s="330" t="s">
        <v>25</v>
      </c>
      <c r="B28" s="333" t="s">
        <v>11</v>
      </c>
      <c r="C28" s="15">
        <f>C15+C22</f>
        <v>41570.62</v>
      </c>
      <c r="D28" s="16" t="s">
        <v>26</v>
      </c>
      <c r="E28" s="111" t="e">
        <f>B28/#REF!*1</f>
        <v>#VALUE!</v>
      </c>
      <c r="F28" s="109"/>
      <c r="G28" s="109"/>
      <c r="H28" s="109"/>
    </row>
    <row r="29" spans="1:8" ht="35.25" customHeight="1">
      <c r="A29" s="568" t="s">
        <v>27</v>
      </c>
      <c r="B29" s="568"/>
      <c r="C29" s="568"/>
      <c r="D29" s="568"/>
      <c r="E29" s="109"/>
      <c r="F29" s="109"/>
      <c r="G29" s="109"/>
      <c r="H29" s="109"/>
    </row>
    <row r="30" spans="1:8" ht="60">
      <c r="A30" s="337" t="s">
        <v>28</v>
      </c>
      <c r="B30" s="23" t="s">
        <v>29</v>
      </c>
      <c r="C30" s="24" t="s">
        <v>30</v>
      </c>
      <c r="D30" s="25" t="s">
        <v>31</v>
      </c>
      <c r="E30" s="109"/>
      <c r="F30" s="109"/>
      <c r="G30" s="109"/>
      <c r="H30" s="109"/>
    </row>
    <row r="31" spans="1:8" ht="30">
      <c r="A31" s="338" t="s">
        <v>32</v>
      </c>
      <c r="B31" s="27" t="s">
        <v>33</v>
      </c>
      <c r="C31" s="28" t="s">
        <v>34</v>
      </c>
      <c r="D31" s="92">
        <f>(0.92+0.85)*6*94.7</f>
        <v>1005.7140000000002</v>
      </c>
      <c r="E31" s="109"/>
      <c r="F31" s="109"/>
      <c r="G31" s="109"/>
      <c r="H31" s="109"/>
    </row>
    <row r="32" spans="1:8" ht="15">
      <c r="A32" s="339" t="s">
        <v>36</v>
      </c>
      <c r="B32" s="30" t="s">
        <v>78</v>
      </c>
      <c r="C32" s="31" t="s">
        <v>37</v>
      </c>
      <c r="D32" s="93">
        <f>0.48*12*94.7</f>
        <v>545.472</v>
      </c>
      <c r="E32" s="109"/>
      <c r="F32" s="109"/>
      <c r="G32" s="109"/>
      <c r="H32" s="109"/>
    </row>
    <row r="33" spans="1:8" ht="15">
      <c r="A33" s="340" t="s">
        <v>174</v>
      </c>
      <c r="B33" s="30" t="s">
        <v>33</v>
      </c>
      <c r="C33" s="31" t="s">
        <v>34</v>
      </c>
      <c r="D33" s="93">
        <f>(0.95+0.69)*6*94.7</f>
        <v>931.8480000000001</v>
      </c>
      <c r="E33" s="109"/>
      <c r="F33" s="109"/>
      <c r="G33" s="109"/>
      <c r="H33" s="109"/>
    </row>
    <row r="34" spans="1:8" ht="15">
      <c r="A34" s="339" t="s">
        <v>81</v>
      </c>
      <c r="B34" s="91" t="s">
        <v>82</v>
      </c>
      <c r="C34" s="31" t="s">
        <v>34</v>
      </c>
      <c r="D34" s="93">
        <f>1.33*12*94.7</f>
        <v>1511.412</v>
      </c>
      <c r="E34" s="109"/>
      <c r="F34" s="109"/>
      <c r="G34" s="109"/>
      <c r="H34" s="109"/>
    </row>
    <row r="35" spans="1:8" ht="15">
      <c r="A35" s="339" t="s">
        <v>38</v>
      </c>
      <c r="B35" s="30" t="s">
        <v>35</v>
      </c>
      <c r="C35" s="364" t="s">
        <v>221</v>
      </c>
      <c r="D35" s="93">
        <f>4.19*94.7*12</f>
        <v>4761.5160000000005</v>
      </c>
      <c r="E35" s="109"/>
      <c r="F35" s="109"/>
      <c r="G35" s="109"/>
      <c r="H35" s="109"/>
    </row>
    <row r="36" spans="1:8" ht="15">
      <c r="A36" s="339" t="s">
        <v>85</v>
      </c>
      <c r="B36" s="30" t="s">
        <v>222</v>
      </c>
      <c r="C36" s="171" t="s">
        <v>37</v>
      </c>
      <c r="D36" s="93">
        <f>94.7*0.68*12+0.01</f>
        <v>772.762</v>
      </c>
      <c r="E36" s="109"/>
      <c r="F36" s="109"/>
      <c r="G36" s="109"/>
      <c r="H36" s="109"/>
    </row>
    <row r="37" spans="1:14" s="1" customFormat="1" ht="45">
      <c r="A37" s="341" t="s">
        <v>40</v>
      </c>
      <c r="B37" s="34" t="s">
        <v>41</v>
      </c>
      <c r="C37" s="108"/>
      <c r="D37" s="36">
        <v>0</v>
      </c>
      <c r="E37" s="109"/>
      <c r="F37" s="109"/>
      <c r="G37" s="109"/>
      <c r="H37" s="109"/>
      <c r="K37"/>
      <c r="L37"/>
      <c r="M37"/>
      <c r="N37"/>
    </row>
    <row r="38" spans="1:14" s="1" customFormat="1" ht="15.75">
      <c r="A38" s="342" t="s">
        <v>42</v>
      </c>
      <c r="B38" s="38"/>
      <c r="C38" s="39"/>
      <c r="D38" s="97">
        <f>SUM(D31:D37)</f>
        <v>9528.724</v>
      </c>
      <c r="E38" s="181">
        <f>D38-D37</f>
        <v>9528.724</v>
      </c>
      <c r="F38" s="109"/>
      <c r="G38" s="109"/>
      <c r="H38" s="109"/>
      <c r="K38"/>
      <c r="L38"/>
      <c r="M38"/>
      <c r="N38"/>
    </row>
    <row r="39" spans="1:14" s="1" customFormat="1" ht="15.75">
      <c r="A39" s="259" t="s">
        <v>43</v>
      </c>
      <c r="B39" s="343" t="s">
        <v>11</v>
      </c>
      <c r="C39" s="42"/>
      <c r="D39" s="43">
        <f>C28-D38</f>
        <v>32041.896</v>
      </c>
      <c r="E39" s="181"/>
      <c r="F39" s="109"/>
      <c r="G39" s="109"/>
      <c r="H39" s="109"/>
      <c r="K39"/>
      <c r="L39"/>
      <c r="M39"/>
      <c r="N39"/>
    </row>
    <row r="40" spans="1:14" s="1" customFormat="1" ht="15">
      <c r="A40" s="31" t="s">
        <v>12</v>
      </c>
      <c r="B40" s="30" t="s">
        <v>11</v>
      </c>
      <c r="C40" s="31"/>
      <c r="D40" s="14"/>
      <c r="E40" s="319"/>
      <c r="F40" s="109"/>
      <c r="G40" s="109"/>
      <c r="H40" s="109"/>
      <c r="K40"/>
      <c r="L40"/>
      <c r="M40"/>
      <c r="N40"/>
    </row>
    <row r="41" spans="1:14" s="1" customFormat="1" ht="15">
      <c r="A41" s="31" t="s">
        <v>13</v>
      </c>
      <c r="B41" s="30" t="s">
        <v>11</v>
      </c>
      <c r="C41" s="31"/>
      <c r="D41" s="16">
        <f>C17+C18-C23</f>
        <v>1193.8999999999996</v>
      </c>
      <c r="E41" s="319"/>
      <c r="F41" s="109"/>
      <c r="G41" s="109"/>
      <c r="H41" s="109"/>
      <c r="K41"/>
      <c r="L41"/>
      <c r="M41"/>
      <c r="N41"/>
    </row>
    <row r="42" spans="1:14" s="1" customFormat="1" ht="24" customHeight="1">
      <c r="A42" s="569" t="s">
        <v>44</v>
      </c>
      <c r="B42" s="569"/>
      <c r="C42" s="569"/>
      <c r="D42" s="569"/>
      <c r="E42" s="109"/>
      <c r="F42" s="109"/>
      <c r="G42" s="109"/>
      <c r="H42" s="109"/>
      <c r="K42"/>
      <c r="L42"/>
      <c r="M42"/>
      <c r="N42"/>
    </row>
    <row r="43" spans="1:14" s="1" customFormat="1" ht="15">
      <c r="A43" s="31" t="s">
        <v>45</v>
      </c>
      <c r="B43" s="30" t="s">
        <v>46</v>
      </c>
      <c r="C43" s="31">
        <v>0</v>
      </c>
      <c r="D43" s="14">
        <v>0</v>
      </c>
      <c r="E43" s="109"/>
      <c r="F43" s="109"/>
      <c r="G43" s="109"/>
      <c r="H43" s="109"/>
      <c r="K43"/>
      <c r="L43"/>
      <c r="M43"/>
      <c r="N43"/>
    </row>
    <row r="44" spans="1:14" s="1" customFormat="1" ht="15">
      <c r="A44" s="31" t="s">
        <v>47</v>
      </c>
      <c r="B44" s="30" t="s">
        <v>46</v>
      </c>
      <c r="C44" s="31">
        <v>0</v>
      </c>
      <c r="D44" s="14">
        <v>0</v>
      </c>
      <c r="E44" s="109"/>
      <c r="F44" s="109"/>
      <c r="G44" s="109"/>
      <c r="H44" s="109"/>
      <c r="K44"/>
      <c r="L44"/>
      <c r="M44"/>
      <c r="N44"/>
    </row>
    <row r="45" spans="1:14" s="1" customFormat="1" ht="30">
      <c r="A45" s="35" t="s">
        <v>48</v>
      </c>
      <c r="B45" s="30" t="s">
        <v>46</v>
      </c>
      <c r="C45" s="31">
        <v>0</v>
      </c>
      <c r="D45" s="14">
        <v>0</v>
      </c>
      <c r="E45" s="109"/>
      <c r="F45" s="109"/>
      <c r="G45" s="109"/>
      <c r="H45" s="109"/>
      <c r="K45"/>
      <c r="L45"/>
      <c r="M45"/>
      <c r="N45"/>
    </row>
    <row r="46" spans="1:14" s="1" customFormat="1" ht="15">
      <c r="A46" s="31" t="s">
        <v>49</v>
      </c>
      <c r="B46" s="30" t="s">
        <v>11</v>
      </c>
      <c r="C46" s="31">
        <v>0</v>
      </c>
      <c r="D46" s="14">
        <v>0</v>
      </c>
      <c r="E46" s="109"/>
      <c r="F46" s="109"/>
      <c r="G46" s="109"/>
      <c r="H46" s="109"/>
      <c r="K46"/>
      <c r="L46"/>
      <c r="M46"/>
      <c r="N46"/>
    </row>
    <row r="47" spans="1:8" ht="20.25" customHeight="1">
      <c r="A47" s="570" t="s">
        <v>50</v>
      </c>
      <c r="B47" s="570"/>
      <c r="C47" s="570"/>
      <c r="D47" s="570"/>
      <c r="E47" s="109"/>
      <c r="F47" s="109"/>
      <c r="G47" s="109"/>
      <c r="H47" s="109"/>
    </row>
    <row r="48" spans="1:8" ht="30">
      <c r="A48" s="35" t="s">
        <v>51</v>
      </c>
      <c r="B48" s="30" t="s">
        <v>11</v>
      </c>
      <c r="C48" s="31"/>
      <c r="D48" s="14">
        <v>0</v>
      </c>
      <c r="E48" s="109"/>
      <c r="F48" s="109"/>
      <c r="G48" s="109"/>
      <c r="H48" s="109"/>
    </row>
    <row r="49" spans="1:8" ht="15">
      <c r="A49" s="31" t="s">
        <v>12</v>
      </c>
      <c r="B49" s="30" t="s">
        <v>11</v>
      </c>
      <c r="C49" s="31"/>
      <c r="D49" s="14">
        <v>0</v>
      </c>
      <c r="E49" s="109"/>
      <c r="F49" s="109"/>
      <c r="G49" s="109"/>
      <c r="H49" s="109"/>
    </row>
    <row r="50" spans="1:8" ht="15">
      <c r="A50" s="31" t="s">
        <v>13</v>
      </c>
      <c r="B50" s="30" t="s">
        <v>11</v>
      </c>
      <c r="C50" s="31"/>
      <c r="D50" s="48">
        <v>4712.24</v>
      </c>
      <c r="E50" s="109"/>
      <c r="F50" s="109"/>
      <c r="G50" s="109"/>
      <c r="H50" s="113"/>
    </row>
    <row r="51" spans="1:8" ht="30">
      <c r="A51" s="344" t="s">
        <v>52</v>
      </c>
      <c r="B51" s="30" t="s">
        <v>11</v>
      </c>
      <c r="C51" s="51"/>
      <c r="D51" s="52">
        <v>0</v>
      </c>
      <c r="E51" s="109"/>
      <c r="F51" s="109"/>
      <c r="G51" s="109"/>
      <c r="H51" s="109"/>
    </row>
    <row r="52" spans="1:10" ht="17.25" customHeight="1">
      <c r="A52" s="345" t="s">
        <v>12</v>
      </c>
      <c r="B52" s="30" t="s">
        <v>11</v>
      </c>
      <c r="C52" s="31"/>
      <c r="D52" s="14">
        <v>0</v>
      </c>
      <c r="E52" s="109"/>
      <c r="F52" s="109"/>
      <c r="G52" s="109"/>
      <c r="H52" s="109"/>
      <c r="I52" s="49"/>
      <c r="J52" s="49"/>
    </row>
    <row r="53" spans="1:14" ht="15">
      <c r="A53" s="346" t="s">
        <v>13</v>
      </c>
      <c r="B53" s="30" t="s">
        <v>11</v>
      </c>
      <c r="C53" s="347"/>
      <c r="D53" s="58">
        <v>613.81</v>
      </c>
      <c r="E53" s="109"/>
      <c r="F53" s="109"/>
      <c r="G53" s="109"/>
      <c r="H53" s="109" t="s">
        <v>26</v>
      </c>
      <c r="I53" s="60"/>
      <c r="J53" s="60"/>
      <c r="K53" s="61"/>
      <c r="L53" s="61"/>
      <c r="M53" s="61"/>
      <c r="N53" s="61"/>
    </row>
    <row r="54" spans="1:14" ht="18" customHeight="1">
      <c r="A54" s="571" t="s">
        <v>53</v>
      </c>
      <c r="B54" s="571"/>
      <c r="C54" s="571"/>
      <c r="D54" s="571"/>
      <c r="E54" s="114"/>
      <c r="F54" s="115"/>
      <c r="G54" s="116"/>
      <c r="H54" s="109"/>
      <c r="I54" s="65"/>
      <c r="J54" s="65"/>
      <c r="K54" s="66"/>
      <c r="L54" s="66"/>
      <c r="M54" s="66"/>
      <c r="N54" s="66"/>
    </row>
    <row r="55" spans="1:14" ht="78.75">
      <c r="A55" s="348" t="s">
        <v>54</v>
      </c>
      <c r="B55" s="349" t="s">
        <v>55</v>
      </c>
      <c r="C55" s="69" t="s">
        <v>56</v>
      </c>
      <c r="D55" s="70" t="s">
        <v>57</v>
      </c>
      <c r="E55" s="114"/>
      <c r="F55" s="115"/>
      <c r="G55" s="116"/>
      <c r="H55" s="109"/>
      <c r="I55" s="65"/>
      <c r="J55" s="71"/>
      <c r="K55" s="66"/>
      <c r="L55" s="66"/>
      <c r="M55" s="66"/>
      <c r="N55" s="66"/>
    </row>
    <row r="56" spans="1:14" ht="15">
      <c r="A56" s="350" t="s">
        <v>58</v>
      </c>
      <c r="B56" s="99">
        <v>672.06</v>
      </c>
      <c r="C56" s="100">
        <f>B56*1</f>
        <v>672.06</v>
      </c>
      <c r="D56" s="101">
        <f>B56-C56</f>
        <v>0</v>
      </c>
      <c r="E56" s="117"/>
      <c r="F56" s="115"/>
      <c r="G56" s="116"/>
      <c r="H56" s="109"/>
      <c r="I56" s="65"/>
      <c r="J56" s="65"/>
      <c r="K56" s="66"/>
      <c r="L56" s="66"/>
      <c r="M56" s="66"/>
      <c r="N56" s="66"/>
    </row>
    <row r="57" spans="1:14" ht="15">
      <c r="A57" s="350" t="s">
        <v>59</v>
      </c>
      <c r="B57" s="99">
        <v>0</v>
      </c>
      <c r="C57" s="100">
        <f>B57*1.0015</f>
        <v>0</v>
      </c>
      <c r="D57" s="101">
        <f>B57-C57</f>
        <v>0</v>
      </c>
      <c r="E57" s="114"/>
      <c r="F57" s="115"/>
      <c r="G57" s="116"/>
      <c r="H57" s="109"/>
      <c r="I57" s="65"/>
      <c r="J57" s="65"/>
      <c r="K57" s="66"/>
      <c r="L57" s="66"/>
      <c r="M57" s="66"/>
      <c r="N57" s="66"/>
    </row>
    <row r="58" spans="1:14" ht="15">
      <c r="A58" s="350" t="s">
        <v>60</v>
      </c>
      <c r="B58" s="351">
        <v>7483.68</v>
      </c>
      <c r="C58" s="100">
        <f>B58*1</f>
        <v>7483.68</v>
      </c>
      <c r="D58" s="101">
        <f>B58-C58</f>
        <v>0</v>
      </c>
      <c r="E58" s="114">
        <f>(2.07+1.8)*6*2301.2-0.37*2301.2*6</f>
        <v>48325.2</v>
      </c>
      <c r="F58" s="118"/>
      <c r="G58" s="119"/>
      <c r="H58" s="114"/>
      <c r="I58" s="65"/>
      <c r="J58" s="65"/>
      <c r="K58" s="66"/>
      <c r="L58" s="66"/>
      <c r="M58" s="66"/>
      <c r="N58" s="66"/>
    </row>
    <row r="59" spans="1:14" ht="15.75" thickBot="1">
      <c r="A59" s="352" t="s">
        <v>236</v>
      </c>
      <c r="B59" s="126">
        <v>5304.95</v>
      </c>
      <c r="C59" s="100">
        <f>B59*1</f>
        <v>5304.95</v>
      </c>
      <c r="D59" s="128">
        <f>B59-C59</f>
        <v>0</v>
      </c>
      <c r="E59" s="114"/>
      <c r="F59" s="118"/>
      <c r="G59" s="119"/>
      <c r="H59" s="109"/>
      <c r="I59" s="65"/>
      <c r="J59" s="65"/>
      <c r="K59" s="66"/>
      <c r="L59" s="66"/>
      <c r="M59" s="66"/>
      <c r="N59" s="66"/>
    </row>
    <row r="60" spans="1:14" ht="126">
      <c r="A60" s="353" t="s">
        <v>62</v>
      </c>
      <c r="B60" s="131" t="s">
        <v>63</v>
      </c>
      <c r="C60" s="131" t="s">
        <v>64</v>
      </c>
      <c r="D60" s="132" t="s">
        <v>65</v>
      </c>
      <c r="E60" s="114"/>
      <c r="F60" s="118"/>
      <c r="G60" s="109"/>
      <c r="H60" s="120"/>
      <c r="I60" s="65"/>
      <c r="J60" s="65"/>
      <c r="K60" s="66"/>
      <c r="L60" s="66"/>
      <c r="M60" s="66"/>
      <c r="N60" s="66"/>
    </row>
    <row r="61" spans="1:14" ht="15">
      <c r="A61" s="354" t="s">
        <v>58</v>
      </c>
      <c r="B61" s="351">
        <f>B56</f>
        <v>672.06</v>
      </c>
      <c r="C61" s="100">
        <f>B61*1</f>
        <v>672.06</v>
      </c>
      <c r="D61" s="134">
        <f>B61-C61</f>
        <v>0</v>
      </c>
      <c r="E61" s="114"/>
      <c r="F61" s="118"/>
      <c r="G61" s="109"/>
      <c r="H61" s="120"/>
      <c r="I61" s="65"/>
      <c r="J61" s="65" t="s">
        <v>26</v>
      </c>
      <c r="K61" s="66"/>
      <c r="L61" s="66"/>
      <c r="M61" s="66"/>
      <c r="N61" s="66"/>
    </row>
    <row r="62" spans="1:14" ht="15">
      <c r="A62" s="354" t="s">
        <v>59</v>
      </c>
      <c r="B62" s="351">
        <f>B57</f>
        <v>0</v>
      </c>
      <c r="C62" s="100">
        <f>B62*1.0015</f>
        <v>0</v>
      </c>
      <c r="D62" s="134">
        <f>B62-C62</f>
        <v>0</v>
      </c>
      <c r="E62" s="114"/>
      <c r="F62" s="118"/>
      <c r="G62" s="109"/>
      <c r="H62" s="120"/>
      <c r="I62" s="65"/>
      <c r="J62" s="65"/>
      <c r="K62" s="66"/>
      <c r="L62" s="66"/>
      <c r="M62" s="66"/>
      <c r="N62" s="66"/>
    </row>
    <row r="63" spans="1:14" ht="15">
      <c r="A63" s="354" t="s">
        <v>60</v>
      </c>
      <c r="B63" s="351">
        <v>41105.22</v>
      </c>
      <c r="C63" s="100">
        <f>B63*1</f>
        <v>41105.22</v>
      </c>
      <c r="D63" s="134">
        <f>B63-C63</f>
        <v>0</v>
      </c>
      <c r="E63" s="114"/>
      <c r="F63" s="118"/>
      <c r="G63" s="109"/>
      <c r="H63" s="120"/>
      <c r="I63" s="65"/>
      <c r="J63" s="65"/>
      <c r="K63" s="66"/>
      <c r="L63" s="66"/>
      <c r="M63" s="66"/>
      <c r="N63" s="66"/>
    </row>
    <row r="64" spans="1:14" ht="15">
      <c r="A64" s="352" t="s">
        <v>236</v>
      </c>
      <c r="B64" s="126">
        <f>B59</f>
        <v>5304.95</v>
      </c>
      <c r="C64" s="100">
        <f>B64*1</f>
        <v>5304.95</v>
      </c>
      <c r="D64" s="128">
        <f>B64-C64</f>
        <v>0</v>
      </c>
      <c r="E64" s="114"/>
      <c r="F64" s="118"/>
      <c r="G64" s="109"/>
      <c r="H64" s="120" t="s">
        <v>26</v>
      </c>
      <c r="I64" s="65"/>
      <c r="J64" s="65"/>
      <c r="K64" s="66"/>
      <c r="L64" s="66"/>
      <c r="M64" s="66"/>
      <c r="N64" s="66"/>
    </row>
    <row r="65" spans="1:14" ht="15">
      <c r="A65" s="355"/>
      <c r="B65" s="356"/>
      <c r="C65" s="78"/>
      <c r="D65" s="79"/>
      <c r="E65" s="62"/>
      <c r="F65" s="73"/>
      <c r="H65" s="65"/>
      <c r="I65" s="65"/>
      <c r="J65" s="65"/>
      <c r="K65" s="66"/>
      <c r="L65" s="66"/>
      <c r="M65" s="66"/>
      <c r="N65" s="66"/>
    </row>
    <row r="66" spans="1:14" ht="30">
      <c r="A66" s="357" t="s">
        <v>66</v>
      </c>
      <c r="B66" s="356" t="s">
        <v>11</v>
      </c>
      <c r="C66" s="81"/>
      <c r="D66" s="82">
        <v>0</v>
      </c>
      <c r="E66" s="62"/>
      <c r="F66" s="73"/>
      <c r="H66" s="65"/>
      <c r="I66" s="65"/>
      <c r="J66" s="65" t="s">
        <v>26</v>
      </c>
      <c r="K66" s="66"/>
      <c r="L66" s="66"/>
      <c r="M66" s="66"/>
      <c r="N66" s="66"/>
    </row>
    <row r="67" spans="1:14" ht="17.25" customHeight="1">
      <c r="A67" s="572" t="s">
        <v>67</v>
      </c>
      <c r="B67" s="572"/>
      <c r="C67" s="572"/>
      <c r="D67" s="572"/>
      <c r="E67" s="83" t="e">
        <f>D67+B19</f>
        <v>#VALUE!</v>
      </c>
      <c r="F67" s="65"/>
      <c r="H67" s="84" t="e">
        <f>E67-B18</f>
        <v>#VALUE!</v>
      </c>
      <c r="I67" s="65"/>
      <c r="J67" s="65"/>
      <c r="K67" s="66"/>
      <c r="L67" s="66"/>
      <c r="M67" s="66"/>
      <c r="N67" s="66"/>
    </row>
    <row r="68" spans="1:5" ht="21" customHeight="1">
      <c r="A68" s="358" t="s">
        <v>45</v>
      </c>
      <c r="B68" s="358" t="s">
        <v>46</v>
      </c>
      <c r="C68" s="359"/>
      <c r="D68" s="177">
        <v>0</v>
      </c>
      <c r="E68" s="88"/>
    </row>
    <row r="69" spans="1:5" ht="21" customHeight="1">
      <c r="A69" s="358" t="s">
        <v>47</v>
      </c>
      <c r="B69" s="358" t="s">
        <v>46</v>
      </c>
      <c r="C69" s="358"/>
      <c r="D69" s="177">
        <v>0</v>
      </c>
      <c r="E69" s="88"/>
    </row>
    <row r="70" spans="1:5" ht="18" customHeight="1">
      <c r="A70" s="358" t="s">
        <v>48</v>
      </c>
      <c r="B70" s="358" t="s">
        <v>46</v>
      </c>
      <c r="C70" s="358"/>
      <c r="D70" s="177">
        <v>0</v>
      </c>
      <c r="E70" s="88"/>
    </row>
    <row r="71" spans="1:5" ht="16.5" customHeight="1">
      <c r="A71" s="358" t="s">
        <v>49</v>
      </c>
      <c r="B71" s="358" t="s">
        <v>11</v>
      </c>
      <c r="C71" s="358"/>
      <c r="D71" s="177">
        <v>0</v>
      </c>
      <c r="E71" s="88"/>
    </row>
    <row r="72" spans="1:5" ht="15.75" customHeight="1">
      <c r="A72" s="583" t="s">
        <v>68</v>
      </c>
      <c r="B72" s="583"/>
      <c r="C72" s="583"/>
      <c r="D72" s="583"/>
      <c r="E72" s="88"/>
    </row>
    <row r="73" spans="1:5" ht="18.75" customHeight="1">
      <c r="A73" s="358" t="s">
        <v>69</v>
      </c>
      <c r="B73" s="358" t="s">
        <v>46</v>
      </c>
      <c r="C73" s="358"/>
      <c r="D73" s="177">
        <v>0</v>
      </c>
      <c r="E73" s="88"/>
    </row>
    <row r="74" spans="1:5" ht="21.75" customHeight="1">
      <c r="A74" s="358" t="s">
        <v>70</v>
      </c>
      <c r="B74" s="345" t="s">
        <v>46</v>
      </c>
      <c r="C74" s="345"/>
      <c r="D74" s="177">
        <v>0</v>
      </c>
      <c r="E74" s="88"/>
    </row>
    <row r="75" spans="1:5" ht="36" customHeight="1">
      <c r="A75" s="360" t="s">
        <v>71</v>
      </c>
      <c r="B75" s="358" t="s">
        <v>11</v>
      </c>
      <c r="C75" s="358"/>
      <c r="D75" s="177">
        <v>0</v>
      </c>
      <c r="E75" s="88"/>
    </row>
    <row r="76" spans="1:4" ht="15">
      <c r="A76" s="361"/>
      <c r="B76" s="361"/>
      <c r="C76" s="361"/>
      <c r="D76" s="90"/>
    </row>
    <row r="77" spans="1:14" s="1" customFormat="1" ht="15">
      <c r="A77" s="324"/>
      <c r="B77" s="324"/>
      <c r="C77" s="324"/>
      <c r="D77" s="324"/>
      <c r="H77" s="1" t="s">
        <v>26</v>
      </c>
      <c r="K77"/>
      <c r="L77"/>
      <c r="M77"/>
      <c r="N77"/>
    </row>
    <row r="78" spans="1:14" s="1" customFormat="1" ht="15">
      <c r="A78" s="324" t="s">
        <v>72</v>
      </c>
      <c r="B78" s="324"/>
      <c r="C78" s="324"/>
      <c r="D78" s="324"/>
      <c r="K78"/>
      <c r="L78"/>
      <c r="M78"/>
      <c r="N78"/>
    </row>
    <row r="79" spans="1:14" s="1" customFormat="1" ht="15">
      <c r="A79" s="324"/>
      <c r="B79" s="324"/>
      <c r="C79" s="324"/>
      <c r="D79" s="324"/>
      <c r="H79" s="1" t="s">
        <v>26</v>
      </c>
      <c r="K79"/>
      <c r="L79"/>
      <c r="M79"/>
      <c r="N79"/>
    </row>
    <row r="80" spans="1:14" s="1" customFormat="1" ht="15">
      <c r="A80" s="324" t="s">
        <v>73</v>
      </c>
      <c r="B80" s="324"/>
      <c r="C80" s="324"/>
      <c r="D80" s="324"/>
      <c r="K80"/>
      <c r="L80"/>
      <c r="M80"/>
      <c r="N80"/>
    </row>
    <row r="81" spans="1:4" ht="15">
      <c r="A81" s="324"/>
      <c r="B81" s="324"/>
      <c r="C81" s="324"/>
      <c r="D81" s="324"/>
    </row>
    <row r="82" spans="1:4" ht="15">
      <c r="A82" s="324"/>
      <c r="B82" s="324"/>
      <c r="C82" s="324"/>
      <c r="D82" s="324"/>
    </row>
    <row r="83" spans="1:4" ht="15">
      <c r="A83" s="324"/>
      <c r="B83" s="324"/>
      <c r="C83" s="324"/>
      <c r="D83" s="324"/>
    </row>
    <row r="84" spans="1:14" s="1" customFormat="1" ht="12.75">
      <c r="A84"/>
      <c r="B84"/>
      <c r="C84"/>
      <c r="D84"/>
      <c r="E84" s="1" t="s">
        <v>26</v>
      </c>
      <c r="K84"/>
      <c r="L84"/>
      <c r="M84"/>
      <c r="N84"/>
    </row>
  </sheetData>
  <sheetProtection selectLockedCells="1" selectUnlockedCells="1"/>
  <mergeCells count="13">
    <mergeCell ref="A72:D72"/>
    <mergeCell ref="A14:D14"/>
    <mergeCell ref="A29:D29"/>
    <mergeCell ref="A42:D42"/>
    <mergeCell ref="A47:D47"/>
    <mergeCell ref="A54:D54"/>
    <mergeCell ref="A67:D67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600" verticalDpi="600" orientation="portrait" paperSize="12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="80" zoomScaleNormal="80" zoomScalePageLayoutView="0" workbookViewId="0" topLeftCell="A22">
      <selection activeCell="C23" sqref="C23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560" t="s">
        <v>0</v>
      </c>
      <c r="B1" s="560"/>
      <c r="C1" s="560"/>
      <c r="D1" s="560"/>
    </row>
    <row r="2" spans="1:4" ht="15.75">
      <c r="A2" s="561" t="s">
        <v>220</v>
      </c>
      <c r="B2" s="562"/>
      <c r="C2" s="562"/>
      <c r="D2" s="562"/>
    </row>
    <row r="3" spans="1:4" ht="15.75">
      <c r="A3" s="562" t="s">
        <v>1</v>
      </c>
      <c r="B3" s="562"/>
      <c r="C3" s="562"/>
      <c r="D3" s="562"/>
    </row>
    <row r="4" spans="1:4" ht="12.75">
      <c r="A4" s="563" t="s">
        <v>133</v>
      </c>
      <c r="B4" s="563"/>
      <c r="C4" s="563"/>
      <c r="D4" s="563"/>
    </row>
    <row r="5" spans="1:4" ht="12.75">
      <c r="A5" s="564" t="s">
        <v>266</v>
      </c>
      <c r="B5" s="563"/>
      <c r="C5" s="563"/>
      <c r="D5" s="563"/>
    </row>
    <row r="6" spans="1:4" ht="9" customHeight="1">
      <c r="A6" s="258"/>
      <c r="B6" s="178"/>
      <c r="C6" s="178"/>
      <c r="D6" s="178"/>
    </row>
    <row r="7" spans="1:4" ht="18" customHeight="1">
      <c r="A7" s="565" t="s">
        <v>2</v>
      </c>
      <c r="B7" s="565"/>
      <c r="C7" s="565"/>
      <c r="D7" s="565"/>
    </row>
    <row r="8" spans="1:4" ht="12.75">
      <c r="A8" s="258" t="s">
        <v>190</v>
      </c>
      <c r="B8" s="178"/>
      <c r="C8" s="183"/>
      <c r="D8" s="178"/>
    </row>
    <row r="9" spans="1:4" ht="12.75">
      <c r="A9" s="184" t="s">
        <v>3</v>
      </c>
      <c r="B9" s="184" t="s">
        <v>4</v>
      </c>
      <c r="C9" s="184" t="s">
        <v>5</v>
      </c>
      <c r="D9" s="185"/>
    </row>
    <row r="10" spans="1:8" ht="12.75">
      <c r="A10" s="186">
        <v>1</v>
      </c>
      <c r="B10" s="186">
        <v>2</v>
      </c>
      <c r="C10" s="186">
        <v>3</v>
      </c>
      <c r="D10" s="187">
        <v>4</v>
      </c>
      <c r="E10" s="109"/>
      <c r="F10" s="109"/>
      <c r="G10" s="109"/>
      <c r="H10" s="109"/>
    </row>
    <row r="11" spans="1:8" ht="12.75">
      <c r="A11" s="20" t="s">
        <v>6</v>
      </c>
      <c r="B11" s="188"/>
      <c r="C11" s="189" t="s">
        <v>262</v>
      </c>
      <c r="D11" s="190"/>
      <c r="E11" s="109"/>
      <c r="F11" s="109"/>
      <c r="G11" s="109"/>
      <c r="H11" s="109"/>
    </row>
    <row r="12" spans="1:8" ht="12.75">
      <c r="A12" s="20" t="s">
        <v>7</v>
      </c>
      <c r="B12" s="188"/>
      <c r="C12" s="189" t="s">
        <v>263</v>
      </c>
      <c r="D12" s="190"/>
      <c r="E12" s="109"/>
      <c r="F12" s="109"/>
      <c r="G12" s="109"/>
      <c r="H12" s="109"/>
    </row>
    <row r="13" spans="1:8" ht="12.75">
      <c r="A13" s="20" t="s">
        <v>8</v>
      </c>
      <c r="B13" s="188"/>
      <c r="C13" s="189" t="s">
        <v>267</v>
      </c>
      <c r="D13" s="190"/>
      <c r="E13" s="109"/>
      <c r="F13" s="109"/>
      <c r="G13" s="109"/>
      <c r="H13" s="109"/>
    </row>
    <row r="14" spans="1:8" ht="31.5" customHeight="1">
      <c r="A14" s="567" t="s">
        <v>9</v>
      </c>
      <c r="B14" s="567"/>
      <c r="C14" s="567"/>
      <c r="D14" s="567"/>
      <c r="E14" s="109"/>
      <c r="F14" s="109"/>
      <c r="G14" s="109"/>
      <c r="H14" s="109"/>
    </row>
    <row r="15" spans="1:8" ht="26.25">
      <c r="A15" s="17" t="s">
        <v>10</v>
      </c>
      <c r="B15" s="191" t="s">
        <v>11</v>
      </c>
      <c r="C15" s="194">
        <v>41792.21</v>
      </c>
      <c r="D15" s="193"/>
      <c r="E15" s="109"/>
      <c r="F15" s="109"/>
      <c r="G15" s="109"/>
      <c r="H15" s="109"/>
    </row>
    <row r="16" spans="1:8" ht="15.75">
      <c r="A16" s="20" t="s">
        <v>12</v>
      </c>
      <c r="B16" s="191" t="s">
        <v>11</v>
      </c>
      <c r="C16" s="192">
        <v>0</v>
      </c>
      <c r="D16" s="193"/>
      <c r="E16" s="109"/>
      <c r="F16" s="109"/>
      <c r="G16" s="109"/>
      <c r="H16" s="109"/>
    </row>
    <row r="17" spans="1:8" ht="15.75">
      <c r="A17" s="20" t="s">
        <v>13</v>
      </c>
      <c r="B17" s="191" t="s">
        <v>11</v>
      </c>
      <c r="C17" s="194">
        <v>1034.4</v>
      </c>
      <c r="D17" s="195"/>
      <c r="E17" s="109"/>
      <c r="F17" s="109"/>
      <c r="G17" s="109"/>
      <c r="H17" s="109"/>
    </row>
    <row r="18" spans="1:8" ht="31.5" customHeight="1">
      <c r="A18" s="17" t="s">
        <v>14</v>
      </c>
      <c r="B18" s="191" t="s">
        <v>11</v>
      </c>
      <c r="C18" s="194">
        <f>17019.84+6347.16</f>
        <v>23367</v>
      </c>
      <c r="D18" s="195"/>
      <c r="E18" s="110">
        <f>C18-C20</f>
        <v>16573.188000000002</v>
      </c>
      <c r="F18" s="109"/>
      <c r="G18" s="109"/>
      <c r="H18" s="109"/>
    </row>
    <row r="19" spans="1:8" ht="15.75">
      <c r="A19" s="20" t="s">
        <v>15</v>
      </c>
      <c r="B19" s="191" t="s">
        <v>11</v>
      </c>
      <c r="C19" s="194">
        <f>C18-C20-C21</f>
        <v>6723.335999999999</v>
      </c>
      <c r="D19" s="195"/>
      <c r="E19" s="110">
        <f>E18-E39</f>
        <v>-223.27800000000207</v>
      </c>
      <c r="F19" s="109"/>
      <c r="G19" s="109"/>
      <c r="H19" s="109"/>
    </row>
    <row r="20" spans="1:8" ht="15.75">
      <c r="A20" s="20" t="s">
        <v>16</v>
      </c>
      <c r="B20" s="191" t="s">
        <v>11</v>
      </c>
      <c r="C20" s="194">
        <f>195.9*12*(0.1+0.09)+6347.16</f>
        <v>6793.812</v>
      </c>
      <c r="D20" s="195"/>
      <c r="E20" s="111"/>
      <c r="F20" s="109"/>
      <c r="G20" s="109"/>
      <c r="H20" s="109"/>
    </row>
    <row r="21" spans="1:8" ht="15.75">
      <c r="A21" s="20" t="s">
        <v>17</v>
      </c>
      <c r="B21" s="191" t="s">
        <v>11</v>
      </c>
      <c r="C21" s="196">
        <f>195.9*4.19*12</f>
        <v>9849.852000000003</v>
      </c>
      <c r="D21" s="195"/>
      <c r="E21" s="109"/>
      <c r="F21" s="109"/>
      <c r="G21" s="109"/>
      <c r="H21" s="109"/>
    </row>
    <row r="22" spans="1:8" ht="15.75">
      <c r="A22" s="20" t="s">
        <v>18</v>
      </c>
      <c r="B22" s="191" t="s">
        <v>11</v>
      </c>
      <c r="C22" s="194">
        <f>C23+C24+C25+C26+C27</f>
        <v>21235.9296</v>
      </c>
      <c r="D22" s="195" t="s">
        <v>19</v>
      </c>
      <c r="E22" s="110"/>
      <c r="F22" s="109"/>
      <c r="G22" s="109"/>
      <c r="H22" s="109"/>
    </row>
    <row r="23" spans="1:8" ht="15.75">
      <c r="A23" s="20" t="s">
        <v>20</v>
      </c>
      <c r="B23" s="191" t="s">
        <v>11</v>
      </c>
      <c r="C23" s="194">
        <f>C18*0.9088</f>
        <v>21235.9296</v>
      </c>
      <c r="D23" s="195"/>
      <c r="E23" s="109"/>
      <c r="F23" s="109"/>
      <c r="G23" s="109"/>
      <c r="H23" s="109"/>
    </row>
    <row r="24" spans="1:8" ht="15.75">
      <c r="A24" s="20" t="s">
        <v>21</v>
      </c>
      <c r="B24" s="191" t="s">
        <v>11</v>
      </c>
      <c r="C24" s="194">
        <v>0</v>
      </c>
      <c r="D24" s="197">
        <v>65.21</v>
      </c>
      <c r="E24" s="111" t="e">
        <f>B24/#REF!*1</f>
        <v>#VALUE!</v>
      </c>
      <c r="F24" s="109"/>
      <c r="G24" s="109"/>
      <c r="H24" s="109" t="s">
        <v>22</v>
      </c>
    </row>
    <row r="25" spans="1:8" ht="15.75">
      <c r="A25" s="20" t="s">
        <v>23</v>
      </c>
      <c r="B25" s="191" t="s">
        <v>11</v>
      </c>
      <c r="C25" s="194">
        <v>0</v>
      </c>
      <c r="D25" s="197">
        <v>119.63</v>
      </c>
      <c r="E25" s="111" t="e">
        <f>B25/#REF!*1</f>
        <v>#VALUE!</v>
      </c>
      <c r="F25" s="109"/>
      <c r="G25" s="109"/>
      <c r="H25" s="109"/>
    </row>
    <row r="26" spans="1:8" ht="15.75">
      <c r="A26" s="188" t="s">
        <v>24</v>
      </c>
      <c r="B26" s="191" t="s">
        <v>11</v>
      </c>
      <c r="C26" s="194">
        <v>0</v>
      </c>
      <c r="D26" s="197"/>
      <c r="E26" s="111" t="e">
        <f>B26/#REF!*1</f>
        <v>#VALUE!</v>
      </c>
      <c r="F26" s="109"/>
      <c r="G26" s="109"/>
      <c r="H26" s="109"/>
    </row>
    <row r="27" spans="1:8" ht="16.5" customHeight="1">
      <c r="A27" s="198" t="s">
        <v>96</v>
      </c>
      <c r="B27" s="191" t="s">
        <v>11</v>
      </c>
      <c r="C27" s="194">
        <v>0</v>
      </c>
      <c r="D27" s="197">
        <v>139.18</v>
      </c>
      <c r="E27" s="111" t="e">
        <f>B27/#REF!*1</f>
        <v>#VALUE!</v>
      </c>
      <c r="F27" s="109"/>
      <c r="G27" s="109"/>
      <c r="H27" s="109"/>
    </row>
    <row r="28" spans="1:8" ht="15.75">
      <c r="A28" s="20" t="s">
        <v>25</v>
      </c>
      <c r="B28" s="191" t="s">
        <v>11</v>
      </c>
      <c r="C28" s="194">
        <f>C15+C22</f>
        <v>63028.139599999995</v>
      </c>
      <c r="D28" s="195" t="s">
        <v>26</v>
      </c>
      <c r="E28" s="111" t="e">
        <f>B28/#REF!*1</f>
        <v>#VALUE!</v>
      </c>
      <c r="F28" s="109"/>
      <c r="G28" s="109"/>
      <c r="H28" s="109"/>
    </row>
    <row r="29" spans="1:8" ht="35.25" customHeight="1">
      <c r="A29" s="568" t="s">
        <v>27</v>
      </c>
      <c r="B29" s="568"/>
      <c r="C29" s="568"/>
      <c r="D29" s="568"/>
      <c r="E29" s="109"/>
      <c r="F29" s="109"/>
      <c r="G29" s="109"/>
      <c r="H29" s="109"/>
    </row>
    <row r="30" spans="1:8" ht="63">
      <c r="A30" s="271" t="s">
        <v>28</v>
      </c>
      <c r="B30" s="307" t="s">
        <v>29</v>
      </c>
      <c r="C30" s="286" t="s">
        <v>30</v>
      </c>
      <c r="D30" s="308" t="s">
        <v>31</v>
      </c>
      <c r="E30" s="109"/>
      <c r="F30" s="109"/>
      <c r="G30" s="109"/>
      <c r="H30" s="109"/>
    </row>
    <row r="31" spans="1:8" ht="15.75">
      <c r="A31" s="203" t="s">
        <v>32</v>
      </c>
      <c r="B31" s="204" t="s">
        <v>33</v>
      </c>
      <c r="C31" s="205" t="s">
        <v>34</v>
      </c>
      <c r="D31" s="206">
        <f>0.58*12*195.9</f>
        <v>1363.464</v>
      </c>
      <c r="E31" s="109"/>
      <c r="F31" s="109"/>
      <c r="G31" s="109"/>
      <c r="H31" s="109"/>
    </row>
    <row r="32" spans="1:8" ht="15.75">
      <c r="A32" s="207" t="s">
        <v>36</v>
      </c>
      <c r="B32" s="208" t="s">
        <v>33</v>
      </c>
      <c r="C32" s="209" t="s">
        <v>37</v>
      </c>
      <c r="D32" s="210">
        <f>0.24*12*195.9</f>
        <v>564.192</v>
      </c>
      <c r="E32" s="109"/>
      <c r="F32" s="109"/>
      <c r="G32" s="109"/>
      <c r="H32" s="109"/>
    </row>
    <row r="33" spans="1:8" ht="15.75">
      <c r="A33" s="293" t="s">
        <v>174</v>
      </c>
      <c r="B33" s="208" t="s">
        <v>33</v>
      </c>
      <c r="C33" s="209" t="s">
        <v>34</v>
      </c>
      <c r="D33" s="210">
        <f>0.16*12*195.9</f>
        <v>376.128</v>
      </c>
      <c r="E33" s="109"/>
      <c r="F33" s="109"/>
      <c r="G33" s="109"/>
      <c r="H33" s="109"/>
    </row>
    <row r="34" spans="1:8" ht="15.75">
      <c r="A34" s="207" t="s">
        <v>81</v>
      </c>
      <c r="B34" s="213" t="s">
        <v>82</v>
      </c>
      <c r="C34" s="209" t="s">
        <v>34</v>
      </c>
      <c r="D34" s="210">
        <f>(1.06+1.33)*6*195.9</f>
        <v>2809.206</v>
      </c>
      <c r="E34" s="109"/>
      <c r="F34" s="109"/>
      <c r="G34" s="109"/>
      <c r="H34" s="109"/>
    </row>
    <row r="35" spans="1:8" ht="15.75">
      <c r="A35" s="207" t="s">
        <v>38</v>
      </c>
      <c r="B35" s="208" t="s">
        <v>35</v>
      </c>
      <c r="C35" s="362" t="s">
        <v>221</v>
      </c>
      <c r="D35" s="210">
        <f>4.19*195.9*12</f>
        <v>9849.852000000003</v>
      </c>
      <c r="E35" s="109"/>
      <c r="F35" s="109"/>
      <c r="G35" s="109"/>
      <c r="H35" s="109"/>
    </row>
    <row r="36" spans="1:8" ht="15.75">
      <c r="A36" s="207" t="s">
        <v>85</v>
      </c>
      <c r="B36" s="208" t="s">
        <v>222</v>
      </c>
      <c r="C36" s="259" t="s">
        <v>37</v>
      </c>
      <c r="D36" s="210">
        <f>195.9*12*0.78</f>
        <v>1833.6240000000003</v>
      </c>
      <c r="E36" s="109"/>
      <c r="F36" s="109"/>
      <c r="G36" s="109"/>
      <c r="H36" s="109"/>
    </row>
    <row r="37" spans="1:14" s="1" customFormat="1" ht="47.25">
      <c r="A37" s="365" t="s">
        <v>40</v>
      </c>
      <c r="B37" s="215" t="s">
        <v>41</v>
      </c>
      <c r="C37" s="318" t="s">
        <v>77</v>
      </c>
      <c r="D37" s="175">
        <f>D38</f>
        <v>7518</v>
      </c>
      <c r="E37" s="109"/>
      <c r="F37" s="109"/>
      <c r="G37" s="109"/>
      <c r="H37" s="109"/>
      <c r="K37"/>
      <c r="L37"/>
      <c r="M37"/>
      <c r="N37"/>
    </row>
    <row r="38" spans="1:14" s="1" customFormat="1" ht="15.75">
      <c r="A38" s="216" t="s">
        <v>253</v>
      </c>
      <c r="B38" s="217" t="s">
        <v>148</v>
      </c>
      <c r="C38" s="466" t="s">
        <v>227</v>
      </c>
      <c r="D38" s="176">
        <v>7518</v>
      </c>
      <c r="E38" s="109"/>
      <c r="F38" s="109"/>
      <c r="G38" s="109"/>
      <c r="H38" s="109"/>
      <c r="K38"/>
      <c r="L38"/>
      <c r="M38"/>
      <c r="N38"/>
    </row>
    <row r="39" spans="1:14" s="1" customFormat="1" ht="15.75">
      <c r="A39" s="37" t="s">
        <v>42</v>
      </c>
      <c r="B39" s="222"/>
      <c r="C39" s="223"/>
      <c r="D39" s="97">
        <f>D31+D32+D33+D34+D35+D36+D37</f>
        <v>24314.466000000004</v>
      </c>
      <c r="E39" s="112">
        <f>D39-D37</f>
        <v>16796.466000000004</v>
      </c>
      <c r="F39" s="109"/>
      <c r="G39" s="109"/>
      <c r="H39" s="109"/>
      <c r="K39"/>
      <c r="L39"/>
      <c r="M39"/>
      <c r="N39"/>
    </row>
    <row r="40" spans="1:14" s="1" customFormat="1" ht="15.75">
      <c r="A40" s="40" t="s">
        <v>43</v>
      </c>
      <c r="B40" s="224" t="s">
        <v>11</v>
      </c>
      <c r="C40" s="225"/>
      <c r="D40" s="226">
        <f>C28-D39</f>
        <v>38713.673599999995</v>
      </c>
      <c r="E40" s="112"/>
      <c r="F40" s="109"/>
      <c r="G40" s="109"/>
      <c r="H40" s="109"/>
      <c r="K40"/>
      <c r="L40"/>
      <c r="M40"/>
      <c r="N40"/>
    </row>
    <row r="41" spans="1:14" s="1" customFormat="1" ht="15.75">
      <c r="A41" s="227" t="s">
        <v>12</v>
      </c>
      <c r="B41" s="228" t="s">
        <v>11</v>
      </c>
      <c r="C41" s="209"/>
      <c r="D41" s="193"/>
      <c r="E41" s="109"/>
      <c r="F41" s="109"/>
      <c r="G41" s="109"/>
      <c r="H41" s="109"/>
      <c r="K41"/>
      <c r="L41"/>
      <c r="M41"/>
      <c r="N41"/>
    </row>
    <row r="42" spans="1:14" s="1" customFormat="1" ht="15.75">
      <c r="A42" s="227" t="s">
        <v>13</v>
      </c>
      <c r="B42" s="228" t="s">
        <v>11</v>
      </c>
      <c r="C42" s="209"/>
      <c r="D42" s="195">
        <v>1329.73</v>
      </c>
      <c r="E42" s="109"/>
      <c r="F42" s="109"/>
      <c r="G42" s="109"/>
      <c r="H42" s="109"/>
      <c r="K42"/>
      <c r="L42"/>
      <c r="M42"/>
      <c r="N42"/>
    </row>
    <row r="43" spans="1:14" s="1" customFormat="1" ht="24" customHeight="1">
      <c r="A43" s="569" t="s">
        <v>44</v>
      </c>
      <c r="B43" s="569"/>
      <c r="C43" s="569"/>
      <c r="D43" s="569"/>
      <c r="E43" s="109"/>
      <c r="F43" s="109"/>
      <c r="G43" s="109"/>
      <c r="H43" s="109"/>
      <c r="K43"/>
      <c r="L43"/>
      <c r="M43"/>
      <c r="N43"/>
    </row>
    <row r="44" spans="1:14" s="1" customFormat="1" ht="15.75">
      <c r="A44" s="227" t="s">
        <v>45</v>
      </c>
      <c r="B44" s="208" t="s">
        <v>46</v>
      </c>
      <c r="C44" s="209"/>
      <c r="D44" s="193">
        <v>0</v>
      </c>
      <c r="E44" s="109"/>
      <c r="F44" s="109"/>
      <c r="G44" s="109"/>
      <c r="H44" s="109"/>
      <c r="K44"/>
      <c r="L44"/>
      <c r="M44"/>
      <c r="N44"/>
    </row>
    <row r="45" spans="1:14" s="1" customFormat="1" ht="15.75">
      <c r="A45" s="227" t="s">
        <v>47</v>
      </c>
      <c r="B45" s="208" t="s">
        <v>46</v>
      </c>
      <c r="C45" s="209"/>
      <c r="D45" s="193">
        <v>0</v>
      </c>
      <c r="E45" s="109"/>
      <c r="F45" s="109"/>
      <c r="G45" s="109"/>
      <c r="H45" s="109"/>
      <c r="K45"/>
      <c r="L45"/>
      <c r="M45"/>
      <c r="N45"/>
    </row>
    <row r="46" spans="1:14" s="1" customFormat="1" ht="15.75">
      <c r="A46" s="229" t="s">
        <v>48</v>
      </c>
      <c r="B46" s="208" t="s">
        <v>46</v>
      </c>
      <c r="C46" s="209"/>
      <c r="D46" s="193">
        <v>0</v>
      </c>
      <c r="E46" s="109"/>
      <c r="F46" s="109"/>
      <c r="G46" s="109"/>
      <c r="H46" s="109"/>
      <c r="K46"/>
      <c r="L46"/>
      <c r="M46"/>
      <c r="N46"/>
    </row>
    <row r="47" spans="1:14" s="1" customFormat="1" ht="15.75">
      <c r="A47" s="227" t="s">
        <v>49</v>
      </c>
      <c r="B47" s="208" t="s">
        <v>11</v>
      </c>
      <c r="C47" s="209"/>
      <c r="D47" s="193">
        <v>0</v>
      </c>
      <c r="E47" s="109"/>
      <c r="F47" s="109"/>
      <c r="G47" s="109"/>
      <c r="H47" s="109"/>
      <c r="K47"/>
      <c r="L47"/>
      <c r="M47"/>
      <c r="N47"/>
    </row>
    <row r="48" spans="1:8" ht="20.25" customHeight="1">
      <c r="A48" s="570" t="s">
        <v>50</v>
      </c>
      <c r="B48" s="570"/>
      <c r="C48" s="570"/>
      <c r="D48" s="570"/>
      <c r="E48" s="109"/>
      <c r="F48" s="109"/>
      <c r="G48" s="109"/>
      <c r="H48" s="109"/>
    </row>
    <row r="49" spans="1:8" ht="26.25">
      <c r="A49" s="229" t="s">
        <v>51</v>
      </c>
      <c r="B49" s="208" t="s">
        <v>11</v>
      </c>
      <c r="C49" s="209"/>
      <c r="D49" s="193">
        <v>0</v>
      </c>
      <c r="E49" s="109"/>
      <c r="F49" s="109"/>
      <c r="G49" s="109"/>
      <c r="H49" s="109"/>
    </row>
    <row r="50" spans="1:8" ht="15.75">
      <c r="A50" s="227" t="s">
        <v>12</v>
      </c>
      <c r="B50" s="208" t="s">
        <v>11</v>
      </c>
      <c r="C50" s="209"/>
      <c r="D50" s="193">
        <v>0</v>
      </c>
      <c r="E50" s="109"/>
      <c r="F50" s="109"/>
      <c r="G50" s="109"/>
      <c r="H50" s="109"/>
    </row>
    <row r="51" spans="1:8" ht="15.75">
      <c r="A51" s="227" t="s">
        <v>13</v>
      </c>
      <c r="B51" s="208" t="s">
        <v>11</v>
      </c>
      <c r="C51" s="209"/>
      <c r="D51" s="374">
        <v>0</v>
      </c>
      <c r="E51" s="109"/>
      <c r="F51" s="109"/>
      <c r="G51" s="109"/>
      <c r="H51" s="113"/>
    </row>
    <row r="52" spans="1:8" ht="26.25">
      <c r="A52" s="231" t="s">
        <v>52</v>
      </c>
      <c r="B52" s="208" t="s">
        <v>11</v>
      </c>
      <c r="C52" s="232"/>
      <c r="D52" s="233">
        <v>0</v>
      </c>
      <c r="E52" s="109"/>
      <c r="F52" s="109"/>
      <c r="G52" s="109"/>
      <c r="H52" s="109"/>
    </row>
    <row r="53" spans="1:10" ht="17.25" customHeight="1">
      <c r="A53" s="254" t="s">
        <v>12</v>
      </c>
      <c r="B53" s="208" t="s">
        <v>11</v>
      </c>
      <c r="C53" s="209"/>
      <c r="D53" s="374"/>
      <c r="E53" s="109"/>
      <c r="F53" s="109"/>
      <c r="G53" s="109"/>
      <c r="H53" s="109"/>
      <c r="I53" s="49"/>
      <c r="J53" s="49"/>
    </row>
    <row r="54" spans="1:14" ht="15.75">
      <c r="A54" s="235" t="s">
        <v>13</v>
      </c>
      <c r="B54" s="208" t="s">
        <v>11</v>
      </c>
      <c r="C54" s="236"/>
      <c r="D54" s="237">
        <f>D57+D58+D59+D60</f>
        <v>1739.7923039999985</v>
      </c>
      <c r="E54" s="109"/>
      <c r="F54" s="109"/>
      <c r="G54" s="109"/>
      <c r="H54" s="109" t="s">
        <v>26</v>
      </c>
      <c r="I54" s="60"/>
      <c r="J54" s="60"/>
      <c r="K54" s="61"/>
      <c r="L54" s="61"/>
      <c r="M54" s="61"/>
      <c r="N54" s="61"/>
    </row>
    <row r="55" spans="1:14" ht="18" customHeight="1">
      <c r="A55" s="571" t="s">
        <v>53</v>
      </c>
      <c r="B55" s="571"/>
      <c r="C55" s="571"/>
      <c r="D55" s="571"/>
      <c r="E55" s="114"/>
      <c r="F55" s="115"/>
      <c r="G55" s="116"/>
      <c r="H55" s="109"/>
      <c r="I55" s="65"/>
      <c r="J55" s="65"/>
      <c r="K55" s="66"/>
      <c r="L55" s="66"/>
      <c r="M55" s="66"/>
      <c r="N55" s="66"/>
    </row>
    <row r="56" spans="1:14" ht="47.25">
      <c r="A56" s="67" t="s">
        <v>54</v>
      </c>
      <c r="B56" s="68" t="s">
        <v>55</v>
      </c>
      <c r="C56" s="69" t="s">
        <v>56</v>
      </c>
      <c r="D56" s="70" t="s">
        <v>57</v>
      </c>
      <c r="E56" s="114"/>
      <c r="F56" s="115"/>
      <c r="G56" s="116"/>
      <c r="H56" s="109"/>
      <c r="I56" s="65"/>
      <c r="J56" s="71"/>
      <c r="K56" s="66"/>
      <c r="L56" s="66"/>
      <c r="M56" s="66"/>
      <c r="N56" s="66"/>
    </row>
    <row r="57" spans="1:14" ht="15.75">
      <c r="A57" s="238" t="s">
        <v>58</v>
      </c>
      <c r="B57" s="239">
        <v>1906.42</v>
      </c>
      <c r="C57" s="240">
        <f>B57*0.9088</f>
        <v>1732.5544960000002</v>
      </c>
      <c r="D57" s="241">
        <f>B57-C57</f>
        <v>173.86550399999987</v>
      </c>
      <c r="E57" s="117"/>
      <c r="F57" s="115"/>
      <c r="G57" s="116"/>
      <c r="H57" s="109"/>
      <c r="I57" s="65"/>
      <c r="J57" s="65"/>
      <c r="K57" s="66"/>
      <c r="L57" s="66"/>
      <c r="M57" s="66"/>
      <c r="N57" s="66"/>
    </row>
    <row r="58" spans="1:14" ht="15.75">
      <c r="A58" s="238" t="s">
        <v>59</v>
      </c>
      <c r="B58" s="242">
        <v>2181.76</v>
      </c>
      <c r="C58" s="240">
        <f>B58*0.9088</f>
        <v>1982.7834880000003</v>
      </c>
      <c r="D58" s="241">
        <f>B58-C58</f>
        <v>198.97651199999996</v>
      </c>
      <c r="E58" s="117"/>
      <c r="F58" s="118"/>
      <c r="G58" s="119"/>
      <c r="H58" s="109"/>
      <c r="I58" s="65"/>
      <c r="J58" s="65"/>
      <c r="K58" s="66"/>
      <c r="L58" s="66"/>
      <c r="M58" s="66"/>
      <c r="N58" s="66"/>
    </row>
    <row r="59" spans="1:14" ht="15.75">
      <c r="A59" s="238" t="s">
        <v>60</v>
      </c>
      <c r="B59" s="242">
        <v>4014.48</v>
      </c>
      <c r="C59" s="240">
        <f>B59*0.9088</f>
        <v>3648.359424</v>
      </c>
      <c r="D59" s="241">
        <f>B59-C59</f>
        <v>366.1205759999998</v>
      </c>
      <c r="E59" s="114">
        <f>(2.07+1.8)*6*2301.2-0.37*2301.2*6</f>
        <v>48325.2</v>
      </c>
      <c r="F59" s="118"/>
      <c r="G59" s="119"/>
      <c r="H59" s="114"/>
      <c r="I59" s="65"/>
      <c r="J59" s="65"/>
      <c r="K59" s="66"/>
      <c r="L59" s="66"/>
      <c r="M59" s="66"/>
      <c r="N59" s="66"/>
    </row>
    <row r="60" spans="1:14" ht="16.5" thickBot="1">
      <c r="A60" s="261" t="s">
        <v>236</v>
      </c>
      <c r="B60" s="262">
        <v>10974.01</v>
      </c>
      <c r="C60" s="240">
        <f>B60*0.9088</f>
        <v>9973.180288000001</v>
      </c>
      <c r="D60" s="264">
        <f>B60-C60</f>
        <v>1000.8297119999988</v>
      </c>
      <c r="E60" s="114"/>
      <c r="F60" s="118"/>
      <c r="G60" s="119"/>
      <c r="H60" s="109"/>
      <c r="I60" s="65"/>
      <c r="J60" s="65"/>
      <c r="K60" s="66"/>
      <c r="L60" s="66"/>
      <c r="M60" s="66"/>
      <c r="N60" s="66"/>
    </row>
    <row r="61" spans="1:14" ht="63">
      <c r="A61" s="129" t="s">
        <v>62</v>
      </c>
      <c r="B61" s="130" t="s">
        <v>63</v>
      </c>
      <c r="C61" s="131" t="s">
        <v>64</v>
      </c>
      <c r="D61" s="132" t="s">
        <v>65</v>
      </c>
      <c r="E61" s="114"/>
      <c r="F61" s="118"/>
      <c r="G61" s="109"/>
      <c r="H61" s="120"/>
      <c r="I61" s="65"/>
      <c r="J61" s="65"/>
      <c r="K61" s="66"/>
      <c r="L61" s="66"/>
      <c r="M61" s="66"/>
      <c r="N61" s="66"/>
    </row>
    <row r="62" spans="1:14" ht="15.75">
      <c r="A62" s="265" t="s">
        <v>58</v>
      </c>
      <c r="B62" s="244">
        <f>B57</f>
        <v>1906.42</v>
      </c>
      <c r="C62" s="240">
        <f>B62</f>
        <v>1906.42</v>
      </c>
      <c r="D62" s="266">
        <f>B62-C62</f>
        <v>0</v>
      </c>
      <c r="E62" s="114"/>
      <c r="F62" s="118"/>
      <c r="G62" s="109"/>
      <c r="H62" s="120"/>
      <c r="I62" s="65"/>
      <c r="J62" s="65" t="s">
        <v>26</v>
      </c>
      <c r="K62" s="66"/>
      <c r="L62" s="66"/>
      <c r="M62" s="66"/>
      <c r="N62" s="66"/>
    </row>
    <row r="63" spans="1:14" ht="15.75">
      <c r="A63" s="265" t="s">
        <v>59</v>
      </c>
      <c r="B63" s="244">
        <f>B58</f>
        <v>2181.76</v>
      </c>
      <c r="C63" s="240">
        <f>B63</f>
        <v>2181.76</v>
      </c>
      <c r="D63" s="266">
        <f>B63-C63</f>
        <v>0</v>
      </c>
      <c r="E63" s="114"/>
      <c r="F63" s="118"/>
      <c r="G63" s="109"/>
      <c r="H63" s="120"/>
      <c r="I63" s="65"/>
      <c r="J63" s="65"/>
      <c r="K63" s="66"/>
      <c r="L63" s="66"/>
      <c r="M63" s="66"/>
      <c r="N63" s="66"/>
    </row>
    <row r="64" spans="1:14" ht="15.75">
      <c r="A64" s="265" t="s">
        <v>60</v>
      </c>
      <c r="B64" s="244">
        <f>B59</f>
        <v>4014.48</v>
      </c>
      <c r="C64" s="240">
        <f>B64</f>
        <v>4014.48</v>
      </c>
      <c r="D64" s="266">
        <f>B64-C64</f>
        <v>0</v>
      </c>
      <c r="E64" s="114"/>
      <c r="F64" s="118"/>
      <c r="G64" s="109"/>
      <c r="H64" s="120"/>
      <c r="I64" s="65"/>
      <c r="J64" s="65"/>
      <c r="K64" s="66"/>
      <c r="L64" s="66"/>
      <c r="M64" s="66"/>
      <c r="N64" s="66"/>
    </row>
    <row r="65" spans="1:14" ht="16.5" thickBot="1">
      <c r="A65" s="267" t="s">
        <v>236</v>
      </c>
      <c r="B65" s="268">
        <f>B60</f>
        <v>10974.01</v>
      </c>
      <c r="C65" s="398">
        <f>C60</f>
        <v>9973.180288000001</v>
      </c>
      <c r="D65" s="270">
        <f>B65-C65</f>
        <v>1000.8297119999988</v>
      </c>
      <c r="E65" s="114"/>
      <c r="F65" s="118"/>
      <c r="G65" s="109"/>
      <c r="H65" s="120" t="s">
        <v>26</v>
      </c>
      <c r="I65" s="65"/>
      <c r="J65" s="65"/>
      <c r="K65" s="66"/>
      <c r="L65" s="66"/>
      <c r="M65" s="66"/>
      <c r="N65" s="66"/>
    </row>
    <row r="66" spans="1:14" ht="15.75">
      <c r="A66" s="247"/>
      <c r="B66" s="248"/>
      <c r="C66" s="249"/>
      <c r="D66" s="250"/>
      <c r="E66" s="62"/>
      <c r="F66" s="73"/>
      <c r="H66" s="65"/>
      <c r="I66" s="65"/>
      <c r="J66" s="65"/>
      <c r="K66" s="66"/>
      <c r="L66" s="66"/>
      <c r="M66" s="66"/>
      <c r="N66" s="66"/>
    </row>
    <row r="67" spans="1:14" ht="26.25">
      <c r="A67" s="251" t="s">
        <v>66</v>
      </c>
      <c r="B67" s="248" t="s">
        <v>11</v>
      </c>
      <c r="C67" s="252"/>
      <c r="D67" s="253">
        <v>0</v>
      </c>
      <c r="E67" s="62"/>
      <c r="F67" s="73"/>
      <c r="H67" s="65"/>
      <c r="I67" s="65"/>
      <c r="J67" s="65" t="s">
        <v>26</v>
      </c>
      <c r="K67" s="66"/>
      <c r="L67" s="66"/>
      <c r="M67" s="66"/>
      <c r="N67" s="66"/>
    </row>
    <row r="68" spans="1:14" ht="17.25" customHeight="1">
      <c r="A68" s="572" t="s">
        <v>67</v>
      </c>
      <c r="B68" s="572"/>
      <c r="C68" s="572"/>
      <c r="D68" s="572"/>
      <c r="E68" s="83" t="e">
        <f>D68+B19</f>
        <v>#VALUE!</v>
      </c>
      <c r="F68" s="65"/>
      <c r="H68" s="84" t="e">
        <f>E68-B18</f>
        <v>#VALUE!</v>
      </c>
      <c r="I68" s="65"/>
      <c r="J68" s="65"/>
      <c r="K68" s="66"/>
      <c r="L68" s="66"/>
      <c r="M68" s="66"/>
      <c r="N68" s="66"/>
    </row>
    <row r="69" spans="1:5" ht="21" customHeight="1">
      <c r="A69" s="86" t="s">
        <v>45</v>
      </c>
      <c r="B69" s="86" t="s">
        <v>46</v>
      </c>
      <c r="C69" s="86"/>
      <c r="D69" s="177">
        <v>0</v>
      </c>
      <c r="E69" s="88"/>
    </row>
    <row r="70" spans="1:5" ht="21" customHeight="1">
      <c r="A70" s="86" t="s">
        <v>47</v>
      </c>
      <c r="B70" s="86" t="s">
        <v>46</v>
      </c>
      <c r="C70" s="86"/>
      <c r="D70" s="177">
        <v>0</v>
      </c>
      <c r="E70" s="88"/>
    </row>
    <row r="71" spans="1:5" ht="18" customHeight="1">
      <c r="A71" s="86" t="s">
        <v>48</v>
      </c>
      <c r="B71" s="86" t="s">
        <v>46</v>
      </c>
      <c r="C71" s="86"/>
      <c r="D71" s="177">
        <v>0</v>
      </c>
      <c r="E71" s="88"/>
    </row>
    <row r="72" spans="1:5" ht="16.5" customHeight="1">
      <c r="A72" s="86" t="s">
        <v>49</v>
      </c>
      <c r="B72" s="86" t="s">
        <v>11</v>
      </c>
      <c r="C72" s="86"/>
      <c r="D72" s="177">
        <v>0</v>
      </c>
      <c r="E72" s="88"/>
    </row>
    <row r="73" spans="1:5" ht="15.75" customHeight="1">
      <c r="A73" s="566" t="s">
        <v>68</v>
      </c>
      <c r="B73" s="566"/>
      <c r="C73" s="566"/>
      <c r="D73" s="566"/>
      <c r="E73" s="88"/>
    </row>
    <row r="74" spans="1:5" ht="18.75" customHeight="1">
      <c r="A74" s="86" t="s">
        <v>69</v>
      </c>
      <c r="B74" s="86" t="s">
        <v>46</v>
      </c>
      <c r="C74" s="86"/>
      <c r="D74" s="177">
        <v>0</v>
      </c>
      <c r="E74" s="88"/>
    </row>
    <row r="75" spans="1:5" ht="21.75" customHeight="1">
      <c r="A75" s="86" t="s">
        <v>70</v>
      </c>
      <c r="B75" s="254" t="s">
        <v>46</v>
      </c>
      <c r="C75" s="254"/>
      <c r="D75" s="177">
        <v>0</v>
      </c>
      <c r="E75" s="88"/>
    </row>
    <row r="76" spans="1:5" ht="36" customHeight="1">
      <c r="A76" s="255" t="s">
        <v>71</v>
      </c>
      <c r="B76" s="86" t="s">
        <v>11</v>
      </c>
      <c r="C76" s="86"/>
      <c r="D76" s="177">
        <v>0</v>
      </c>
      <c r="E76" s="88"/>
    </row>
    <row r="77" spans="1:4" ht="15.75">
      <c r="A77" s="256"/>
      <c r="B77" s="256"/>
      <c r="C77" s="256"/>
      <c r="D77" s="257"/>
    </row>
    <row r="78" spans="1:14" s="1" customFormat="1" ht="12.75">
      <c r="A78" s="178"/>
      <c r="B78" s="178"/>
      <c r="C78" s="178"/>
      <c r="D78" s="178"/>
      <c r="H78" s="1" t="s">
        <v>26</v>
      </c>
      <c r="K78"/>
      <c r="L78"/>
      <c r="M78"/>
      <c r="N78"/>
    </row>
    <row r="79" spans="1:14" s="1" customFormat="1" ht="12.75">
      <c r="A79" s="178" t="s">
        <v>72</v>
      </c>
      <c r="B79" s="178"/>
      <c r="C79" s="178"/>
      <c r="D79" s="178"/>
      <c r="K79"/>
      <c r="L79"/>
      <c r="M79"/>
      <c r="N79"/>
    </row>
    <row r="80" spans="1:14" s="1" customFormat="1" ht="12.75">
      <c r="A80" s="178"/>
      <c r="B80" s="178"/>
      <c r="C80" s="178"/>
      <c r="D80" s="178"/>
      <c r="H80" s="1" t="s">
        <v>26</v>
      </c>
      <c r="K80"/>
      <c r="L80"/>
      <c r="M80"/>
      <c r="N80"/>
    </row>
    <row r="81" spans="1:14" s="1" customFormat="1" ht="12.75">
      <c r="A81" s="178" t="s">
        <v>73</v>
      </c>
      <c r="B81" s="178"/>
      <c r="C81" s="178"/>
      <c r="D81" s="178"/>
      <c r="K81"/>
      <c r="L81"/>
      <c r="M81"/>
      <c r="N81"/>
    </row>
    <row r="82" spans="1:4" ht="12.75">
      <c r="A82" s="178"/>
      <c r="B82" s="178"/>
      <c r="C82" s="178"/>
      <c r="D82" s="178"/>
    </row>
    <row r="83" spans="1:4" ht="12.75">
      <c r="A83" s="178"/>
      <c r="B83" s="178"/>
      <c r="C83" s="178"/>
      <c r="D83" s="178"/>
    </row>
    <row r="84" spans="1:4" ht="12.75">
      <c r="A84" s="178"/>
      <c r="B84" s="178"/>
      <c r="C84" s="178"/>
      <c r="D84" s="178"/>
    </row>
    <row r="85" spans="1:14" s="1" customFormat="1" ht="12.75">
      <c r="A85"/>
      <c r="B85"/>
      <c r="C85"/>
      <c r="D85"/>
      <c r="E85" s="1" t="s">
        <v>26</v>
      </c>
      <c r="K85"/>
      <c r="L85"/>
      <c r="M85"/>
      <c r="N85"/>
    </row>
  </sheetData>
  <sheetProtection selectLockedCells="1" selectUnlockedCells="1"/>
  <mergeCells count="13">
    <mergeCell ref="A73:D73"/>
    <mergeCell ref="A14:D14"/>
    <mergeCell ref="A29:D29"/>
    <mergeCell ref="A43:D43"/>
    <mergeCell ref="A48:D48"/>
    <mergeCell ref="A55:D55"/>
    <mergeCell ref="A68:D68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="80" zoomScaleNormal="80" zoomScalePageLayoutView="0" workbookViewId="0" topLeftCell="A19">
      <selection activeCell="D40" sqref="D40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560" t="s">
        <v>0</v>
      </c>
      <c r="B1" s="560"/>
      <c r="C1" s="560"/>
      <c r="D1" s="560"/>
    </row>
    <row r="2" spans="1:4" ht="15.75">
      <c r="A2" s="561" t="s">
        <v>220</v>
      </c>
      <c r="B2" s="562"/>
      <c r="C2" s="562"/>
      <c r="D2" s="562"/>
    </row>
    <row r="3" spans="1:4" ht="15.75">
      <c r="A3" s="562" t="s">
        <v>1</v>
      </c>
      <c r="B3" s="562"/>
      <c r="C3" s="562"/>
      <c r="D3" s="562"/>
    </row>
    <row r="4" spans="1:4" ht="12.75">
      <c r="A4" s="563" t="s">
        <v>134</v>
      </c>
      <c r="B4" s="563"/>
      <c r="C4" s="563"/>
      <c r="D4" s="563"/>
    </row>
    <row r="5" spans="1:4" ht="12.75">
      <c r="A5" s="564" t="s">
        <v>266</v>
      </c>
      <c r="B5" s="563"/>
      <c r="C5" s="563"/>
      <c r="D5" s="563"/>
    </row>
    <row r="6" ht="9" customHeight="1">
      <c r="A6" s="2"/>
    </row>
    <row r="7" spans="1:4" ht="18" customHeight="1">
      <c r="A7" s="565" t="s">
        <v>2</v>
      </c>
      <c r="B7" s="565"/>
      <c r="C7" s="565"/>
      <c r="D7" s="565"/>
    </row>
    <row r="8" spans="1:3" ht="12.75">
      <c r="A8" s="145" t="s">
        <v>257</v>
      </c>
      <c r="C8" s="3"/>
    </row>
    <row r="9" spans="1:4" ht="12.75">
      <c r="A9" s="4" t="s">
        <v>3</v>
      </c>
      <c r="B9" s="4" t="s">
        <v>4</v>
      </c>
      <c r="C9" s="4" t="s">
        <v>5</v>
      </c>
      <c r="D9" s="5"/>
    </row>
    <row r="10" spans="1:4" ht="12.75">
      <c r="A10" s="6">
        <v>1</v>
      </c>
      <c r="B10" s="6">
        <v>2</v>
      </c>
      <c r="C10" s="6">
        <v>3</v>
      </c>
      <c r="D10" s="7">
        <v>4</v>
      </c>
    </row>
    <row r="11" spans="1:8" ht="12.75">
      <c r="A11" s="8" t="s">
        <v>6</v>
      </c>
      <c r="B11" s="9"/>
      <c r="C11" s="144" t="s">
        <v>262</v>
      </c>
      <c r="D11" s="10"/>
      <c r="E11" s="109"/>
      <c r="F11" s="109"/>
      <c r="G11" s="109"/>
      <c r="H11" s="109"/>
    </row>
    <row r="12" spans="1:8" ht="12.75">
      <c r="A12" s="8" t="s">
        <v>7</v>
      </c>
      <c r="B12" s="9"/>
      <c r="C12" s="144" t="s">
        <v>263</v>
      </c>
      <c r="D12" s="10"/>
      <c r="E12" s="109"/>
      <c r="F12" s="109"/>
      <c r="G12" s="109"/>
      <c r="H12" s="109"/>
    </row>
    <row r="13" spans="1:8" ht="12.75">
      <c r="A13" s="8" t="s">
        <v>8</v>
      </c>
      <c r="B13" s="9"/>
      <c r="C13" s="144" t="s">
        <v>267</v>
      </c>
      <c r="D13" s="10"/>
      <c r="E13" s="109"/>
      <c r="F13" s="109"/>
      <c r="G13" s="109"/>
      <c r="H13" s="109"/>
    </row>
    <row r="14" spans="1:8" ht="31.5" customHeight="1">
      <c r="A14" s="567" t="s">
        <v>9</v>
      </c>
      <c r="B14" s="567"/>
      <c r="C14" s="567"/>
      <c r="D14" s="567"/>
      <c r="E14" s="109"/>
      <c r="F14" s="109"/>
      <c r="G14" s="109"/>
      <c r="H14" s="109"/>
    </row>
    <row r="15" spans="1:8" ht="25.5">
      <c r="A15" s="11" t="s">
        <v>10</v>
      </c>
      <c r="B15" s="12" t="s">
        <v>11</v>
      </c>
      <c r="C15" s="15">
        <v>7907.96</v>
      </c>
      <c r="D15" s="14"/>
      <c r="E15" s="109"/>
      <c r="F15" s="109"/>
      <c r="G15" s="109"/>
      <c r="H15" s="109"/>
    </row>
    <row r="16" spans="1:8" ht="15">
      <c r="A16" s="8" t="s">
        <v>12</v>
      </c>
      <c r="B16" s="12" t="s">
        <v>11</v>
      </c>
      <c r="C16" s="13">
        <v>0</v>
      </c>
      <c r="D16" s="14"/>
      <c r="E16" s="109"/>
      <c r="F16" s="109"/>
      <c r="G16" s="109"/>
      <c r="H16" s="109"/>
    </row>
    <row r="17" spans="1:8" ht="15">
      <c r="A17" s="8" t="s">
        <v>13</v>
      </c>
      <c r="B17" s="12" t="s">
        <v>11</v>
      </c>
      <c r="C17" s="15">
        <v>2246.8</v>
      </c>
      <c r="D17" s="16"/>
      <c r="E17" s="109"/>
      <c r="F17" s="109"/>
      <c r="G17" s="109"/>
      <c r="H17" s="109"/>
    </row>
    <row r="18" spans="1:8" ht="31.5" customHeight="1">
      <c r="A18" s="17" t="s">
        <v>14</v>
      </c>
      <c r="B18" s="12" t="s">
        <v>11</v>
      </c>
      <c r="C18" s="15">
        <f>28366.14</f>
        <v>28366.14</v>
      </c>
      <c r="D18" s="16"/>
      <c r="E18" s="18">
        <f>C18-C20</f>
        <v>17764.332</v>
      </c>
      <c r="F18" s="109"/>
      <c r="G18" s="109"/>
      <c r="H18" s="109"/>
    </row>
    <row r="19" spans="1:10" ht="15">
      <c r="A19" s="8" t="s">
        <v>15</v>
      </c>
      <c r="B19" s="12" t="s">
        <v>11</v>
      </c>
      <c r="C19" s="15">
        <f>C18-C20-C21</f>
        <v>7979.843999999997</v>
      </c>
      <c r="D19" s="16"/>
      <c r="E19" s="18">
        <f>E18-E39</f>
        <v>0</v>
      </c>
      <c r="F19" s="109"/>
      <c r="G19" s="109"/>
      <c r="H19" s="379"/>
      <c r="I19" s="59"/>
      <c r="J19" s="59"/>
    </row>
    <row r="20" spans="1:8" ht="15">
      <c r="A20" s="8" t="s">
        <v>16</v>
      </c>
      <c r="B20" s="12" t="s">
        <v>11</v>
      </c>
      <c r="C20" s="15">
        <f>(4.45+4.63)*6*194.6</f>
        <v>10601.808</v>
      </c>
      <c r="D20" s="16"/>
      <c r="E20" s="149"/>
      <c r="F20" s="109"/>
      <c r="G20" s="109"/>
      <c r="H20" s="109"/>
    </row>
    <row r="21" spans="1:8" ht="15">
      <c r="A21" s="8" t="s">
        <v>17</v>
      </c>
      <c r="B21" s="12" t="s">
        <v>11</v>
      </c>
      <c r="C21" s="19">
        <f>194.6*4.19*12</f>
        <v>9784.488000000001</v>
      </c>
      <c r="D21" s="16"/>
      <c r="E21" s="59"/>
      <c r="F21" s="109"/>
      <c r="G21" s="109"/>
      <c r="H21" s="109"/>
    </row>
    <row r="22" spans="1:8" ht="15">
      <c r="A22" s="20" t="s">
        <v>18</v>
      </c>
      <c r="B22" s="12" t="s">
        <v>11</v>
      </c>
      <c r="C22" s="15">
        <f>C23+C24+C25+C26+C27</f>
        <v>28366.14</v>
      </c>
      <c r="D22" s="16" t="s">
        <v>19</v>
      </c>
      <c r="E22" s="110"/>
      <c r="F22" s="109"/>
      <c r="G22" s="109"/>
      <c r="H22" s="109"/>
    </row>
    <row r="23" spans="1:8" ht="15">
      <c r="A23" s="8" t="s">
        <v>20</v>
      </c>
      <c r="B23" s="12" t="s">
        <v>11</v>
      </c>
      <c r="C23" s="15">
        <f>C18*1</f>
        <v>28366.14</v>
      </c>
      <c r="D23" s="16"/>
      <c r="E23" s="109"/>
      <c r="F23" s="109"/>
      <c r="G23" s="109"/>
      <c r="H23" s="109"/>
    </row>
    <row r="24" spans="1:8" ht="15">
      <c r="A24" s="8" t="s">
        <v>21</v>
      </c>
      <c r="B24" s="12" t="s">
        <v>11</v>
      </c>
      <c r="C24" s="15">
        <v>0</v>
      </c>
      <c r="D24" s="21">
        <v>65.21</v>
      </c>
      <c r="E24" s="111"/>
      <c r="F24" s="109"/>
      <c r="G24" s="109"/>
      <c r="H24" s="109" t="s">
        <v>22</v>
      </c>
    </row>
    <row r="25" spans="1:8" ht="15">
      <c r="A25" s="8" t="s">
        <v>23</v>
      </c>
      <c r="B25" s="12" t="s">
        <v>11</v>
      </c>
      <c r="C25" s="15">
        <v>0</v>
      </c>
      <c r="D25" s="21">
        <v>119.63</v>
      </c>
      <c r="E25" s="111"/>
      <c r="F25" s="109"/>
      <c r="G25" s="109"/>
      <c r="H25" s="109"/>
    </row>
    <row r="26" spans="1:8" ht="15">
      <c r="A26" s="9" t="s">
        <v>24</v>
      </c>
      <c r="B26" s="12" t="s">
        <v>11</v>
      </c>
      <c r="C26" s="15">
        <v>0</v>
      </c>
      <c r="D26" s="21"/>
      <c r="E26" s="111"/>
      <c r="F26" s="109"/>
      <c r="G26" s="109"/>
      <c r="H26" s="109"/>
    </row>
    <row r="27" spans="1:8" ht="16.5" customHeight="1">
      <c r="A27" s="98" t="s">
        <v>96</v>
      </c>
      <c r="B27" s="12" t="s">
        <v>11</v>
      </c>
      <c r="C27" s="15">
        <v>0</v>
      </c>
      <c r="D27" s="21">
        <v>139.18</v>
      </c>
      <c r="E27" s="111"/>
      <c r="F27" s="109"/>
      <c r="G27" s="109"/>
      <c r="H27" s="109"/>
    </row>
    <row r="28" spans="1:8" ht="15">
      <c r="A28" s="8" t="s">
        <v>25</v>
      </c>
      <c r="B28" s="12" t="s">
        <v>11</v>
      </c>
      <c r="C28" s="15">
        <f>C15+C22</f>
        <v>36274.1</v>
      </c>
      <c r="D28" s="16" t="s">
        <v>26</v>
      </c>
      <c r="E28" s="111" t="e">
        <f>B28/#REF!*1</f>
        <v>#VALUE!</v>
      </c>
      <c r="F28" s="109"/>
      <c r="G28" s="109"/>
      <c r="H28" s="109"/>
    </row>
    <row r="29" spans="1:8" ht="35.25" customHeight="1">
      <c r="A29" s="568" t="s">
        <v>27</v>
      </c>
      <c r="B29" s="568"/>
      <c r="C29" s="568"/>
      <c r="D29" s="568"/>
      <c r="E29" s="109"/>
      <c r="F29" s="109"/>
      <c r="G29" s="109"/>
      <c r="H29" s="109"/>
    </row>
    <row r="30" spans="1:8" ht="60">
      <c r="A30" s="22" t="s">
        <v>28</v>
      </c>
      <c r="B30" s="23" t="s">
        <v>29</v>
      </c>
      <c r="C30" s="24" t="s">
        <v>30</v>
      </c>
      <c r="D30" s="25" t="s">
        <v>31</v>
      </c>
      <c r="E30" s="109"/>
      <c r="F30" s="109"/>
      <c r="G30" s="109"/>
      <c r="H30" s="109"/>
    </row>
    <row r="31" spans="1:8" ht="15">
      <c r="A31" s="26" t="s">
        <v>32</v>
      </c>
      <c r="B31" s="27" t="s">
        <v>33</v>
      </c>
      <c r="C31" s="28" t="s">
        <v>34</v>
      </c>
      <c r="D31" s="92">
        <f>(0.85+1.12)*6*194.6</f>
        <v>2300.172</v>
      </c>
      <c r="E31" s="109"/>
      <c r="F31" s="109"/>
      <c r="G31" s="109"/>
      <c r="H31" s="109"/>
    </row>
    <row r="32" spans="1:8" ht="15">
      <c r="A32" s="29" t="s">
        <v>36</v>
      </c>
      <c r="B32" s="30" t="s">
        <v>33</v>
      </c>
      <c r="C32" s="31" t="s">
        <v>37</v>
      </c>
      <c r="D32" s="93">
        <f>0.24*12*194.6</f>
        <v>560.448</v>
      </c>
      <c r="E32" s="109"/>
      <c r="F32" s="109"/>
      <c r="G32" s="109"/>
      <c r="H32" s="109"/>
    </row>
    <row r="33" spans="1:8" ht="15">
      <c r="A33" s="153" t="s">
        <v>250</v>
      </c>
      <c r="B33" s="30" t="s">
        <v>33</v>
      </c>
      <c r="C33" s="31" t="s">
        <v>34</v>
      </c>
      <c r="D33" s="93">
        <v>168.6</v>
      </c>
      <c r="E33" s="109"/>
      <c r="F33" s="109"/>
      <c r="G33" s="109"/>
      <c r="H33" s="109"/>
    </row>
    <row r="34" spans="1:8" ht="15">
      <c r="A34" s="29" t="s">
        <v>81</v>
      </c>
      <c r="B34" s="91" t="s">
        <v>82</v>
      </c>
      <c r="C34" s="31" t="s">
        <v>34</v>
      </c>
      <c r="D34" s="93">
        <f>1.33*12*194.6</f>
        <v>3105.8160000000003</v>
      </c>
      <c r="E34" s="109"/>
      <c r="F34" s="109"/>
      <c r="G34" s="109"/>
      <c r="H34" s="109"/>
    </row>
    <row r="35" spans="1:8" ht="15">
      <c r="A35" s="29" t="s">
        <v>38</v>
      </c>
      <c r="B35" s="30" t="s">
        <v>35</v>
      </c>
      <c r="C35" s="364" t="s">
        <v>221</v>
      </c>
      <c r="D35" s="93">
        <f>4.19*194.6*12</f>
        <v>9784.488000000001</v>
      </c>
      <c r="E35" s="109"/>
      <c r="F35" s="109"/>
      <c r="G35" s="109"/>
      <c r="H35" s="109"/>
    </row>
    <row r="36" spans="1:8" ht="15">
      <c r="A36" s="29" t="s">
        <v>85</v>
      </c>
      <c r="B36" s="30" t="s">
        <v>222</v>
      </c>
      <c r="C36" s="171" t="s">
        <v>37</v>
      </c>
      <c r="D36" s="96">
        <f>194.6*12*0.79</f>
        <v>1844.808</v>
      </c>
      <c r="E36" s="109"/>
      <c r="F36" s="109"/>
      <c r="G36" s="109"/>
      <c r="H36" s="109"/>
    </row>
    <row r="37" spans="1:14" s="1" customFormat="1" ht="45">
      <c r="A37" s="147" t="s">
        <v>219</v>
      </c>
      <c r="B37" s="34" t="s">
        <v>41</v>
      </c>
      <c r="C37" s="108"/>
      <c r="D37" s="381">
        <f>D38</f>
        <v>20023</v>
      </c>
      <c r="E37" s="109"/>
      <c r="F37" s="109"/>
      <c r="G37" s="109"/>
      <c r="H37" s="109"/>
      <c r="K37"/>
      <c r="L37"/>
      <c r="M37"/>
      <c r="N37"/>
    </row>
    <row r="38" spans="1:14" s="1" customFormat="1" ht="15">
      <c r="A38" s="148" t="s">
        <v>315</v>
      </c>
      <c r="B38" s="95" t="s">
        <v>148</v>
      </c>
      <c r="C38" s="108" t="s">
        <v>227</v>
      </c>
      <c r="D38" s="146">
        <v>20023</v>
      </c>
      <c r="E38" s="109"/>
      <c r="F38" s="109"/>
      <c r="G38" s="109"/>
      <c r="H38" s="109"/>
      <c r="K38"/>
      <c r="L38"/>
      <c r="M38"/>
      <c r="N38"/>
    </row>
    <row r="39" spans="1:14" s="1" customFormat="1" ht="15.75">
      <c r="A39" s="37" t="s">
        <v>42</v>
      </c>
      <c r="B39" s="38"/>
      <c r="C39" s="39"/>
      <c r="D39" s="97">
        <f>D31+D32+D33+D34+D35+D36+D37</f>
        <v>37787.332</v>
      </c>
      <c r="E39" s="112">
        <f>D39-D37</f>
        <v>17764.332000000002</v>
      </c>
      <c r="F39" s="109"/>
      <c r="G39" s="109"/>
      <c r="H39" s="109"/>
      <c r="K39"/>
      <c r="L39"/>
      <c r="M39"/>
      <c r="N39"/>
    </row>
    <row r="40" spans="1:14" s="1" customFormat="1" ht="15">
      <c r="A40" s="40" t="s">
        <v>43</v>
      </c>
      <c r="B40" s="41" t="s">
        <v>11</v>
      </c>
      <c r="C40" s="42"/>
      <c r="D40" s="43">
        <f>C28-D39</f>
        <v>-1513.2320000000036</v>
      </c>
      <c r="E40" s="112"/>
      <c r="F40" s="109"/>
      <c r="G40" s="109"/>
      <c r="H40" s="109"/>
      <c r="K40"/>
      <c r="L40"/>
      <c r="M40"/>
      <c r="N40"/>
    </row>
    <row r="41" spans="1:14" s="1" customFormat="1" ht="15">
      <c r="A41" s="45" t="s">
        <v>12</v>
      </c>
      <c r="B41" s="46" t="s">
        <v>11</v>
      </c>
      <c r="C41" s="31"/>
      <c r="D41" s="14"/>
      <c r="E41" s="109"/>
      <c r="F41" s="109"/>
      <c r="G41" s="109"/>
      <c r="H41" s="109"/>
      <c r="K41"/>
      <c r="L41"/>
      <c r="M41"/>
      <c r="N41"/>
    </row>
    <row r="42" spans="1:14" s="1" customFormat="1" ht="15">
      <c r="A42" s="45" t="s">
        <v>13</v>
      </c>
      <c r="B42" s="46" t="s">
        <v>11</v>
      </c>
      <c r="C42" s="31"/>
      <c r="D42" s="16">
        <f>C17+C18-C23</f>
        <v>2246.7999999999993</v>
      </c>
      <c r="E42" s="109"/>
      <c r="F42" s="109"/>
      <c r="G42" s="109"/>
      <c r="H42" s="109"/>
      <c r="K42"/>
      <c r="L42"/>
      <c r="M42"/>
      <c r="N42"/>
    </row>
    <row r="43" spans="1:14" s="1" customFormat="1" ht="24" customHeight="1">
      <c r="A43" s="569" t="s">
        <v>44</v>
      </c>
      <c r="B43" s="569"/>
      <c r="C43" s="569"/>
      <c r="D43" s="569"/>
      <c r="E43" s="109"/>
      <c r="F43" s="109"/>
      <c r="G43" s="109"/>
      <c r="H43" s="109"/>
      <c r="K43"/>
      <c r="L43"/>
      <c r="M43"/>
      <c r="N43"/>
    </row>
    <row r="44" spans="1:14" s="1" customFormat="1" ht="15">
      <c r="A44" s="45" t="s">
        <v>45</v>
      </c>
      <c r="B44" s="30" t="s">
        <v>46</v>
      </c>
      <c r="C44" s="31"/>
      <c r="D44" s="14">
        <v>0</v>
      </c>
      <c r="E44" s="109"/>
      <c r="F44" s="109"/>
      <c r="G44" s="109"/>
      <c r="H44" s="109"/>
      <c r="K44"/>
      <c r="L44"/>
      <c r="M44"/>
      <c r="N44"/>
    </row>
    <row r="45" spans="1:14" s="1" customFormat="1" ht="15">
      <c r="A45" s="45" t="s">
        <v>47</v>
      </c>
      <c r="B45" s="30" t="s">
        <v>46</v>
      </c>
      <c r="C45" s="31"/>
      <c r="D45" s="14">
        <v>0</v>
      </c>
      <c r="E45" s="109"/>
      <c r="F45" s="109"/>
      <c r="G45" s="109"/>
      <c r="H45" s="109"/>
      <c r="K45"/>
      <c r="L45"/>
      <c r="M45"/>
      <c r="N45"/>
    </row>
    <row r="46" spans="1:14" s="1" customFormat="1" ht="15">
      <c r="A46" s="47" t="s">
        <v>48</v>
      </c>
      <c r="B46" s="30" t="s">
        <v>46</v>
      </c>
      <c r="C46" s="31"/>
      <c r="D46" s="14">
        <v>0</v>
      </c>
      <c r="E46" s="109"/>
      <c r="F46" s="109"/>
      <c r="G46" s="109"/>
      <c r="H46" s="109"/>
      <c r="K46"/>
      <c r="L46"/>
      <c r="M46"/>
      <c r="N46"/>
    </row>
    <row r="47" spans="1:14" s="1" customFormat="1" ht="15">
      <c r="A47" s="45" t="s">
        <v>49</v>
      </c>
      <c r="B47" s="30" t="s">
        <v>11</v>
      </c>
      <c r="C47" s="31"/>
      <c r="D47" s="14">
        <v>0</v>
      </c>
      <c r="E47" s="109"/>
      <c r="F47" s="109"/>
      <c r="G47" s="109"/>
      <c r="H47" s="109"/>
      <c r="K47"/>
      <c r="L47"/>
      <c r="M47"/>
      <c r="N47"/>
    </row>
    <row r="48" spans="1:8" ht="20.25" customHeight="1">
      <c r="A48" s="570" t="s">
        <v>50</v>
      </c>
      <c r="B48" s="570"/>
      <c r="C48" s="570"/>
      <c r="D48" s="570"/>
      <c r="E48" s="109"/>
      <c r="F48" s="109"/>
      <c r="G48" s="109"/>
      <c r="H48" s="109"/>
    </row>
    <row r="49" spans="1:8" ht="25.5">
      <c r="A49" s="47" t="s">
        <v>51</v>
      </c>
      <c r="B49" s="30" t="s">
        <v>11</v>
      </c>
      <c r="C49" s="31"/>
      <c r="D49" s="179">
        <f>D53-D57-D58-D60</f>
        <v>278.96</v>
      </c>
      <c r="E49" s="109"/>
      <c r="F49" s="109"/>
      <c r="G49" s="109"/>
      <c r="H49" s="109"/>
    </row>
    <row r="50" spans="1:8" ht="15">
      <c r="A50" s="45" t="s">
        <v>12</v>
      </c>
      <c r="B50" s="30" t="s">
        <v>11</v>
      </c>
      <c r="C50" s="31"/>
      <c r="D50" s="14">
        <v>0</v>
      </c>
      <c r="E50" s="109"/>
      <c r="F50" s="109"/>
      <c r="G50" s="109"/>
      <c r="H50" s="109"/>
    </row>
    <row r="51" spans="1:8" ht="15">
      <c r="A51" s="45" t="s">
        <v>13</v>
      </c>
      <c r="B51" s="30" t="s">
        <v>11</v>
      </c>
      <c r="C51" s="31"/>
      <c r="D51" s="48">
        <v>0</v>
      </c>
      <c r="E51" s="109"/>
      <c r="F51" s="109"/>
      <c r="G51" s="109"/>
      <c r="H51" s="113"/>
    </row>
    <row r="52" spans="1:8" ht="25.5">
      <c r="A52" s="50" t="s">
        <v>52</v>
      </c>
      <c r="B52" s="30" t="s">
        <v>11</v>
      </c>
      <c r="C52" s="51"/>
      <c r="D52" s="52">
        <v>0</v>
      </c>
      <c r="E52" s="109"/>
      <c r="F52" s="109"/>
      <c r="G52" s="109"/>
      <c r="H52" s="109"/>
    </row>
    <row r="53" spans="1:10" ht="17.25" customHeight="1">
      <c r="A53" s="53" t="s">
        <v>12</v>
      </c>
      <c r="B53" s="30" t="s">
        <v>11</v>
      </c>
      <c r="C53" s="31"/>
      <c r="D53" s="179">
        <v>278.96</v>
      </c>
      <c r="E53" s="109"/>
      <c r="F53" s="109"/>
      <c r="G53" s="109"/>
      <c r="H53" s="109"/>
      <c r="I53" s="49"/>
      <c r="J53" s="49"/>
    </row>
    <row r="54" spans="1:14" ht="15">
      <c r="A54" s="56" t="s">
        <v>13</v>
      </c>
      <c r="B54" s="30" t="s">
        <v>11</v>
      </c>
      <c r="C54" s="57"/>
      <c r="D54" s="58"/>
      <c r="E54" s="109"/>
      <c r="F54" s="109"/>
      <c r="G54" s="109"/>
      <c r="H54" s="109" t="s">
        <v>26</v>
      </c>
      <c r="I54" s="60"/>
      <c r="J54" s="60"/>
      <c r="K54" s="61"/>
      <c r="L54" s="61"/>
      <c r="M54" s="61"/>
      <c r="N54" s="61"/>
    </row>
    <row r="55" spans="1:14" ht="18" customHeight="1">
      <c r="A55" s="571" t="s">
        <v>53</v>
      </c>
      <c r="B55" s="571"/>
      <c r="C55" s="571"/>
      <c r="D55" s="571"/>
      <c r="E55" s="114"/>
      <c r="F55" s="115"/>
      <c r="G55" s="116"/>
      <c r="H55" s="109"/>
      <c r="I55" s="65"/>
      <c r="J55" s="65"/>
      <c r="K55" s="66"/>
      <c r="L55" s="66"/>
      <c r="M55" s="66"/>
      <c r="N55" s="66"/>
    </row>
    <row r="56" spans="1:14" ht="47.25">
      <c r="A56" s="67" t="s">
        <v>54</v>
      </c>
      <c r="B56" s="68" t="s">
        <v>55</v>
      </c>
      <c r="C56" s="69" t="s">
        <v>56</v>
      </c>
      <c r="D56" s="70" t="s">
        <v>57</v>
      </c>
      <c r="E56" s="114"/>
      <c r="F56" s="115"/>
      <c r="G56" s="116"/>
      <c r="H56" s="109"/>
      <c r="I56" s="65"/>
      <c r="J56" s="71"/>
      <c r="K56" s="66"/>
      <c r="L56" s="66"/>
      <c r="M56" s="66"/>
      <c r="N56" s="66"/>
    </row>
    <row r="57" spans="1:14" ht="15">
      <c r="A57" s="72" t="s">
        <v>58</v>
      </c>
      <c r="B57" s="99">
        <v>1681.68</v>
      </c>
      <c r="C57" s="100">
        <f>B57*1</f>
        <v>1681.68</v>
      </c>
      <c r="D57" s="101">
        <f>B57-C57</f>
        <v>0</v>
      </c>
      <c r="E57" s="117"/>
      <c r="F57" s="115"/>
      <c r="G57" s="116"/>
      <c r="H57" s="109"/>
      <c r="I57" s="65"/>
      <c r="J57" s="65"/>
      <c r="K57" s="66"/>
      <c r="L57" s="66"/>
      <c r="M57" s="66"/>
      <c r="N57" s="66"/>
    </row>
    <row r="58" spans="1:14" ht="15">
      <c r="A58" s="72" t="s">
        <v>59</v>
      </c>
      <c r="B58" s="99">
        <v>1924.56</v>
      </c>
      <c r="C58" s="100">
        <f>B58*1</f>
        <v>1924.56</v>
      </c>
      <c r="D58" s="101">
        <f>B58-C58</f>
        <v>0</v>
      </c>
      <c r="E58" s="114"/>
      <c r="F58" s="115"/>
      <c r="G58" s="116"/>
      <c r="H58" s="109"/>
      <c r="I58" s="65"/>
      <c r="J58" s="65"/>
      <c r="K58" s="66"/>
      <c r="L58" s="66"/>
      <c r="M58" s="66"/>
      <c r="N58" s="66"/>
    </row>
    <row r="59" spans="1:14" ht="15">
      <c r="A59" s="72" t="s">
        <v>60</v>
      </c>
      <c r="B59" s="102">
        <v>0</v>
      </c>
      <c r="C59" s="100">
        <f>B59*1</f>
        <v>0</v>
      </c>
      <c r="D59" s="101">
        <f>B59-C59</f>
        <v>0</v>
      </c>
      <c r="E59" s="114">
        <f>(2.07+1.8)*6*2301.2-0.37*2301.2*6</f>
        <v>48325.2</v>
      </c>
      <c r="F59" s="118"/>
      <c r="G59" s="119"/>
      <c r="H59" s="114"/>
      <c r="I59" s="65"/>
      <c r="J59" s="65"/>
      <c r="K59" s="66"/>
      <c r="L59" s="66"/>
      <c r="M59" s="66"/>
      <c r="N59" s="66"/>
    </row>
    <row r="60" spans="1:14" ht="15.75" thickBot="1">
      <c r="A60" s="125" t="s">
        <v>236</v>
      </c>
      <c r="B60" s="126">
        <v>10901.19</v>
      </c>
      <c r="C60" s="100">
        <f>B60*1</f>
        <v>10901.19</v>
      </c>
      <c r="D60" s="128">
        <f>B60-C60</f>
        <v>0</v>
      </c>
      <c r="E60" s="114"/>
      <c r="F60" s="118"/>
      <c r="G60" s="119"/>
      <c r="H60" s="109"/>
      <c r="I60" s="65"/>
      <c r="J60" s="65"/>
      <c r="K60" s="66"/>
      <c r="L60" s="66"/>
      <c r="M60" s="66"/>
      <c r="N60" s="66"/>
    </row>
    <row r="61" spans="1:14" ht="63">
      <c r="A61" s="129" t="s">
        <v>62</v>
      </c>
      <c r="B61" s="130" t="s">
        <v>63</v>
      </c>
      <c r="C61" s="131" t="s">
        <v>64</v>
      </c>
      <c r="D61" s="132" t="s">
        <v>65</v>
      </c>
      <c r="E61" s="114"/>
      <c r="F61" s="118"/>
      <c r="G61" s="109"/>
      <c r="H61" s="120"/>
      <c r="I61" s="65"/>
      <c r="J61" s="65"/>
      <c r="K61" s="66"/>
      <c r="L61" s="66"/>
      <c r="M61" s="66"/>
      <c r="N61" s="66"/>
    </row>
    <row r="62" spans="1:14" ht="15">
      <c r="A62" s="133" t="s">
        <v>58</v>
      </c>
      <c r="B62" s="104">
        <f>B57</f>
        <v>1681.68</v>
      </c>
      <c r="C62" s="105">
        <f>C57</f>
        <v>1681.68</v>
      </c>
      <c r="D62" s="134">
        <f>B62-C62</f>
        <v>0</v>
      </c>
      <c r="E62" s="114"/>
      <c r="F62" s="118"/>
      <c r="G62" s="109"/>
      <c r="H62" s="120"/>
      <c r="I62" s="65"/>
      <c r="J62" s="65" t="s">
        <v>26</v>
      </c>
      <c r="K62" s="66"/>
      <c r="L62" s="66"/>
      <c r="M62" s="66"/>
      <c r="N62" s="66"/>
    </row>
    <row r="63" spans="1:14" ht="15">
      <c r="A63" s="133" t="s">
        <v>59</v>
      </c>
      <c r="B63" s="104">
        <f>B58</f>
        <v>1924.56</v>
      </c>
      <c r="C63" s="105">
        <f>C58</f>
        <v>1924.56</v>
      </c>
      <c r="D63" s="134">
        <f>B63-C63</f>
        <v>0</v>
      </c>
      <c r="E63" s="114"/>
      <c r="F63" s="118"/>
      <c r="G63" s="109"/>
      <c r="H63" s="120"/>
      <c r="I63" s="65"/>
      <c r="J63" s="65"/>
      <c r="K63" s="66"/>
      <c r="L63" s="66"/>
      <c r="M63" s="66"/>
      <c r="N63" s="66"/>
    </row>
    <row r="64" spans="1:14" ht="15">
      <c r="A64" s="133" t="s">
        <v>60</v>
      </c>
      <c r="B64" s="104">
        <v>0</v>
      </c>
      <c r="C64" s="105">
        <v>0</v>
      </c>
      <c r="D64" s="134">
        <f>B64-C64</f>
        <v>0</v>
      </c>
      <c r="E64" s="114"/>
      <c r="F64" s="118"/>
      <c r="G64" s="109"/>
      <c r="H64" s="120"/>
      <c r="I64" s="65"/>
      <c r="J64" s="65"/>
      <c r="K64" s="66"/>
      <c r="L64" s="66"/>
      <c r="M64" s="66"/>
      <c r="N64" s="66"/>
    </row>
    <row r="65" spans="1:14" ht="15.75" thickBot="1">
      <c r="A65" s="135" t="s">
        <v>236</v>
      </c>
      <c r="B65" s="136">
        <f>B60</f>
        <v>10901.19</v>
      </c>
      <c r="C65" s="137">
        <f>B65</f>
        <v>10901.19</v>
      </c>
      <c r="D65" s="138">
        <f>B65-C65</f>
        <v>0</v>
      </c>
      <c r="E65" s="62"/>
      <c r="F65" s="73"/>
      <c r="H65" s="65" t="s">
        <v>26</v>
      </c>
      <c r="I65" s="65"/>
      <c r="J65" s="65"/>
      <c r="K65" s="66"/>
      <c r="L65" s="66"/>
      <c r="M65" s="66"/>
      <c r="N65" s="66"/>
    </row>
    <row r="66" spans="1:14" ht="15">
      <c r="A66" s="77"/>
      <c r="B66" s="76"/>
      <c r="C66" s="78"/>
      <c r="D66" s="79"/>
      <c r="E66" s="62"/>
      <c r="F66" s="73"/>
      <c r="H66" s="65"/>
      <c r="I66" s="65"/>
      <c r="J66" s="65"/>
      <c r="K66" s="66"/>
      <c r="L66" s="66"/>
      <c r="M66" s="66"/>
      <c r="N66" s="66"/>
    </row>
    <row r="67" spans="1:14" ht="25.5">
      <c r="A67" s="80" t="s">
        <v>66</v>
      </c>
      <c r="B67" s="76" t="s">
        <v>11</v>
      </c>
      <c r="C67" s="81"/>
      <c r="D67" s="82">
        <v>0</v>
      </c>
      <c r="E67" s="62"/>
      <c r="F67" s="73"/>
      <c r="H67" s="65"/>
      <c r="I67" s="65"/>
      <c r="J67" s="65" t="s">
        <v>26</v>
      </c>
      <c r="K67" s="66"/>
      <c r="L67" s="66"/>
      <c r="M67" s="66"/>
      <c r="N67" s="66"/>
    </row>
    <row r="68" spans="1:14" ht="17.25" customHeight="1">
      <c r="A68" s="572" t="s">
        <v>67</v>
      </c>
      <c r="B68" s="572"/>
      <c r="C68" s="572"/>
      <c r="D68" s="572"/>
      <c r="E68" s="83" t="e">
        <f>D68+B19</f>
        <v>#VALUE!</v>
      </c>
      <c r="F68" s="65"/>
      <c r="H68" s="84" t="e">
        <f>E68-B18</f>
        <v>#VALUE!</v>
      </c>
      <c r="I68" s="65"/>
      <c r="J68" s="65"/>
      <c r="K68" s="66"/>
      <c r="L68" s="66"/>
      <c r="M68" s="66"/>
      <c r="N68" s="66"/>
    </row>
    <row r="69" spans="1:5" ht="21" customHeight="1">
      <c r="A69" s="85" t="s">
        <v>45</v>
      </c>
      <c r="B69" s="85" t="s">
        <v>46</v>
      </c>
      <c r="C69" s="86"/>
      <c r="D69" s="177">
        <v>0</v>
      </c>
      <c r="E69" s="88"/>
    </row>
    <row r="70" spans="1:5" ht="21" customHeight="1">
      <c r="A70" s="85" t="s">
        <v>47</v>
      </c>
      <c r="B70" s="85" t="s">
        <v>46</v>
      </c>
      <c r="C70" s="85"/>
      <c r="D70" s="177">
        <v>0</v>
      </c>
      <c r="E70" s="88"/>
    </row>
    <row r="71" spans="1:5" ht="18" customHeight="1">
      <c r="A71" s="85" t="s">
        <v>48</v>
      </c>
      <c r="B71" s="85" t="s">
        <v>46</v>
      </c>
      <c r="C71" s="85"/>
      <c r="D71" s="177">
        <v>0</v>
      </c>
      <c r="E71" s="88"/>
    </row>
    <row r="72" spans="1:5" ht="16.5" customHeight="1">
      <c r="A72" s="85" t="s">
        <v>49</v>
      </c>
      <c r="B72" s="85" t="s">
        <v>11</v>
      </c>
      <c r="C72" s="85"/>
      <c r="D72" s="177">
        <v>0</v>
      </c>
      <c r="E72" s="88"/>
    </row>
    <row r="73" spans="1:5" ht="15.75" customHeight="1">
      <c r="A73" s="566" t="s">
        <v>68</v>
      </c>
      <c r="B73" s="566"/>
      <c r="C73" s="566"/>
      <c r="D73" s="566"/>
      <c r="E73" s="88"/>
    </row>
    <row r="74" spans="1:5" ht="18.75" customHeight="1">
      <c r="A74" s="85" t="s">
        <v>69</v>
      </c>
      <c r="B74" s="85" t="s">
        <v>46</v>
      </c>
      <c r="C74" s="85"/>
      <c r="D74" s="177">
        <v>0</v>
      </c>
      <c r="E74" s="88"/>
    </row>
    <row r="75" spans="1:5" ht="21.75" customHeight="1">
      <c r="A75" s="85" t="s">
        <v>70</v>
      </c>
      <c r="B75" s="53" t="s">
        <v>46</v>
      </c>
      <c r="C75" s="53"/>
      <c r="D75" s="177">
        <v>0</v>
      </c>
      <c r="E75" s="88"/>
    </row>
    <row r="76" spans="1:5" ht="36" customHeight="1">
      <c r="A76" s="89" t="s">
        <v>71</v>
      </c>
      <c r="B76" s="85" t="s">
        <v>11</v>
      </c>
      <c r="C76" s="85"/>
      <c r="D76" s="177">
        <v>0</v>
      </c>
      <c r="E76" s="88"/>
    </row>
    <row r="77" spans="1:4" ht="15">
      <c r="A77" s="66"/>
      <c r="B77" s="66"/>
      <c r="C77" s="66"/>
      <c r="D77" s="90"/>
    </row>
    <row r="78" spans="1:14" s="1" customFormat="1" ht="12.75">
      <c r="A78"/>
      <c r="B78"/>
      <c r="C78"/>
      <c r="D78"/>
      <c r="H78" s="1" t="s">
        <v>26</v>
      </c>
      <c r="K78"/>
      <c r="L78"/>
      <c r="M78"/>
      <c r="N78"/>
    </row>
    <row r="79" spans="1:14" s="1" customFormat="1" ht="12.75">
      <c r="A79" t="s">
        <v>72</v>
      </c>
      <c r="B79"/>
      <c r="C79"/>
      <c r="D79"/>
      <c r="K79"/>
      <c r="L79"/>
      <c r="M79"/>
      <c r="N79"/>
    </row>
    <row r="80" spans="1:14" s="1" customFormat="1" ht="12.75">
      <c r="A80"/>
      <c r="B80"/>
      <c r="C80"/>
      <c r="D80"/>
      <c r="H80" s="1" t="s">
        <v>26</v>
      </c>
      <c r="K80"/>
      <c r="L80"/>
      <c r="M80"/>
      <c r="N80"/>
    </row>
    <row r="81" spans="1:14" s="1" customFormat="1" ht="12.75">
      <c r="A81" t="s">
        <v>73</v>
      </c>
      <c r="B81"/>
      <c r="C81"/>
      <c r="D81"/>
      <c r="K81"/>
      <c r="L81"/>
      <c r="M81"/>
      <c r="N81"/>
    </row>
    <row r="85" spans="1:14" s="1" customFormat="1" ht="12.75">
      <c r="A85"/>
      <c r="B85"/>
      <c r="C85"/>
      <c r="D85"/>
      <c r="E85" s="1" t="s">
        <v>26</v>
      </c>
      <c r="K85"/>
      <c r="L85"/>
      <c r="M85"/>
      <c r="N85"/>
    </row>
  </sheetData>
  <sheetProtection selectLockedCells="1" selectUnlockedCells="1"/>
  <mergeCells count="13">
    <mergeCell ref="A73:D73"/>
    <mergeCell ref="A14:D14"/>
    <mergeCell ref="A29:D29"/>
    <mergeCell ref="A43:D43"/>
    <mergeCell ref="A48:D48"/>
    <mergeCell ref="A55:D55"/>
    <mergeCell ref="A68:D68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zoomScale="80" zoomScaleNormal="80" zoomScalePageLayoutView="0" workbookViewId="0" topLeftCell="A34">
      <selection activeCell="D39" sqref="D39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560" t="s">
        <v>0</v>
      </c>
      <c r="B1" s="560"/>
      <c r="C1" s="560"/>
      <c r="D1" s="560"/>
    </row>
    <row r="2" spans="1:4" ht="15.75">
      <c r="A2" s="561" t="s">
        <v>220</v>
      </c>
      <c r="B2" s="562"/>
      <c r="C2" s="562"/>
      <c r="D2" s="562"/>
    </row>
    <row r="3" spans="1:4" ht="15.75">
      <c r="A3" s="562" t="s">
        <v>1</v>
      </c>
      <c r="B3" s="562"/>
      <c r="C3" s="562"/>
      <c r="D3" s="562"/>
    </row>
    <row r="4" spans="1:4" ht="12.75">
      <c r="A4" s="563" t="s">
        <v>135</v>
      </c>
      <c r="B4" s="563"/>
      <c r="C4" s="563"/>
      <c r="D4" s="563"/>
    </row>
    <row r="5" spans="1:4" ht="12.75">
      <c r="A5" s="564" t="s">
        <v>266</v>
      </c>
      <c r="B5" s="563"/>
      <c r="C5" s="563"/>
      <c r="D5" s="563"/>
    </row>
    <row r="6" ht="9" customHeight="1">
      <c r="A6" s="2"/>
    </row>
    <row r="7" spans="1:4" ht="18" customHeight="1">
      <c r="A7" s="565" t="s">
        <v>2</v>
      </c>
      <c r="B7" s="565"/>
      <c r="C7" s="565"/>
      <c r="D7" s="565"/>
    </row>
    <row r="8" spans="1:3" ht="12.75">
      <c r="A8" s="2" t="s">
        <v>191</v>
      </c>
      <c r="C8" s="3"/>
    </row>
    <row r="9" spans="1:4" ht="12.75">
      <c r="A9" s="4" t="s">
        <v>3</v>
      </c>
      <c r="B9" s="4" t="s">
        <v>4</v>
      </c>
      <c r="C9" s="4" t="s">
        <v>5</v>
      </c>
      <c r="D9" s="5"/>
    </row>
    <row r="10" spans="1:4" ht="12.75">
      <c r="A10" s="6">
        <v>1</v>
      </c>
      <c r="B10" s="6">
        <v>2</v>
      </c>
      <c r="C10" s="6">
        <v>3</v>
      </c>
      <c r="D10" s="7">
        <v>4</v>
      </c>
    </row>
    <row r="11" spans="1:4" ht="12.75">
      <c r="A11" s="8" t="s">
        <v>6</v>
      </c>
      <c r="B11" s="9"/>
      <c r="C11" s="144" t="s">
        <v>262</v>
      </c>
      <c r="D11" s="10"/>
    </row>
    <row r="12" spans="1:5" ht="12.75">
      <c r="A12" s="8" t="s">
        <v>7</v>
      </c>
      <c r="B12" s="9"/>
      <c r="C12" s="144" t="s">
        <v>263</v>
      </c>
      <c r="D12" s="10"/>
      <c r="E12" s="109"/>
    </row>
    <row r="13" spans="1:5" ht="12.75">
      <c r="A13" s="8" t="s">
        <v>8</v>
      </c>
      <c r="B13" s="9"/>
      <c r="C13" s="144" t="s">
        <v>267</v>
      </c>
      <c r="D13" s="10"/>
      <c r="E13" s="109"/>
    </row>
    <row r="14" spans="1:5" ht="31.5" customHeight="1">
      <c r="A14" s="567" t="s">
        <v>9</v>
      </c>
      <c r="B14" s="567"/>
      <c r="C14" s="567"/>
      <c r="D14" s="567"/>
      <c r="E14" s="109"/>
    </row>
    <row r="15" spans="1:5" ht="25.5">
      <c r="A15" s="11" t="s">
        <v>10</v>
      </c>
      <c r="B15" s="12" t="s">
        <v>11</v>
      </c>
      <c r="C15" s="15">
        <v>-56.63</v>
      </c>
      <c r="D15" s="14"/>
      <c r="E15" s="109"/>
    </row>
    <row r="16" spans="1:5" ht="15">
      <c r="A16" s="8" t="s">
        <v>12</v>
      </c>
      <c r="B16" s="12" t="s">
        <v>11</v>
      </c>
      <c r="C16" s="13"/>
      <c r="D16" s="14"/>
      <c r="E16" s="109"/>
    </row>
    <row r="17" spans="1:8" ht="15">
      <c r="A17" s="8" t="s">
        <v>13</v>
      </c>
      <c r="B17" s="12" t="s">
        <v>11</v>
      </c>
      <c r="C17" s="15">
        <v>9585</v>
      </c>
      <c r="D17" s="16"/>
      <c r="E17" s="109"/>
      <c r="F17" s="109"/>
      <c r="G17" s="109"/>
      <c r="H17" s="109"/>
    </row>
    <row r="18" spans="1:8" ht="31.5" customHeight="1">
      <c r="A18" s="17" t="s">
        <v>14</v>
      </c>
      <c r="B18" s="12" t="s">
        <v>11</v>
      </c>
      <c r="C18" s="15">
        <f>7984.32</f>
        <v>7984.32</v>
      </c>
      <c r="D18" s="16"/>
      <c r="E18" s="110">
        <f>C18-C20</f>
        <v>4697.016</v>
      </c>
      <c r="F18" s="109"/>
      <c r="G18" s="109"/>
      <c r="H18" s="109"/>
    </row>
    <row r="19" spans="1:8" ht="15">
      <c r="A19" s="8" t="s">
        <v>15</v>
      </c>
      <c r="B19" s="12" t="s">
        <v>11</v>
      </c>
      <c r="C19" s="15">
        <f>C18-C20-C21</f>
        <v>2012.0639999999994</v>
      </c>
      <c r="D19" s="16"/>
      <c r="E19" s="110">
        <f>E18-E38</f>
        <v>0.001999999999497959</v>
      </c>
      <c r="F19" s="109"/>
      <c r="G19" s="109"/>
      <c r="H19" s="109"/>
    </row>
    <row r="20" spans="1:8" ht="15">
      <c r="A20" s="8" t="s">
        <v>16</v>
      </c>
      <c r="B20" s="12" t="s">
        <v>11</v>
      </c>
      <c r="C20" s="15">
        <f>5.13*12*53.4</f>
        <v>3287.304</v>
      </c>
      <c r="D20" s="16"/>
      <c r="E20" s="111"/>
      <c r="F20" s="109"/>
      <c r="G20" s="109"/>
      <c r="H20" s="109"/>
    </row>
    <row r="21" spans="1:8" ht="15">
      <c r="A21" s="8" t="s">
        <v>17</v>
      </c>
      <c r="B21" s="12" t="s">
        <v>11</v>
      </c>
      <c r="C21" s="19">
        <f>53.4*4.19*12</f>
        <v>2684.952</v>
      </c>
      <c r="D21" s="16"/>
      <c r="E21" s="109"/>
      <c r="F21" s="109"/>
      <c r="G21" s="109"/>
      <c r="H21" s="109"/>
    </row>
    <row r="22" spans="1:8" ht="15">
      <c r="A22" s="20" t="s">
        <v>18</v>
      </c>
      <c r="B22" s="12" t="s">
        <v>11</v>
      </c>
      <c r="C22" s="15">
        <f>C23+C24+C25+C26+C27</f>
        <v>13434.416832</v>
      </c>
      <c r="D22" s="16" t="s">
        <v>19</v>
      </c>
      <c r="E22" s="110" t="e">
        <f>B24+B25+B26+B27+B28</f>
        <v>#VALUE!</v>
      </c>
      <c r="F22" s="109"/>
      <c r="G22" s="109"/>
      <c r="H22" s="109"/>
    </row>
    <row r="23" spans="1:8" ht="15">
      <c r="A23" s="8" t="s">
        <v>20</v>
      </c>
      <c r="B23" s="12" t="s">
        <v>11</v>
      </c>
      <c r="C23" s="15">
        <f>C18*1.6826</f>
        <v>13434.416832</v>
      </c>
      <c r="D23" s="16"/>
      <c r="E23" s="109"/>
      <c r="F23" s="109"/>
      <c r="G23" s="109"/>
      <c r="H23" s="109"/>
    </row>
    <row r="24" spans="1:8" ht="15">
      <c r="A24" s="8" t="s">
        <v>21</v>
      </c>
      <c r="B24" s="12" t="s">
        <v>11</v>
      </c>
      <c r="C24" s="15">
        <v>0</v>
      </c>
      <c r="D24" s="21">
        <v>65.21</v>
      </c>
      <c r="E24" s="111" t="e">
        <f>B24/#REF!*1</f>
        <v>#VALUE!</v>
      </c>
      <c r="F24" s="109"/>
      <c r="G24" s="109"/>
      <c r="H24" s="109" t="s">
        <v>22</v>
      </c>
    </row>
    <row r="25" spans="1:8" ht="15">
      <c r="A25" s="8" t="s">
        <v>23</v>
      </c>
      <c r="B25" s="12" t="s">
        <v>11</v>
      </c>
      <c r="C25" s="15">
        <v>0</v>
      </c>
      <c r="D25" s="21">
        <v>119.63</v>
      </c>
      <c r="E25" s="111" t="e">
        <f>B25/#REF!*1</f>
        <v>#VALUE!</v>
      </c>
      <c r="F25" s="109"/>
      <c r="G25" s="109"/>
      <c r="H25" s="109"/>
    </row>
    <row r="26" spans="1:8" ht="15">
      <c r="A26" s="9" t="s">
        <v>24</v>
      </c>
      <c r="B26" s="12" t="s">
        <v>11</v>
      </c>
      <c r="C26" s="15">
        <v>0</v>
      </c>
      <c r="D26" s="21"/>
      <c r="E26" s="111" t="e">
        <f>B26/#REF!*1</f>
        <v>#VALUE!</v>
      </c>
      <c r="F26" s="109"/>
      <c r="G26" s="109"/>
      <c r="H26" s="109"/>
    </row>
    <row r="27" spans="1:8" ht="16.5" customHeight="1">
      <c r="A27" s="98" t="s">
        <v>96</v>
      </c>
      <c r="B27" s="12" t="s">
        <v>11</v>
      </c>
      <c r="C27" s="15">
        <v>0</v>
      </c>
      <c r="D27" s="21">
        <v>139.18</v>
      </c>
      <c r="E27" s="111" t="e">
        <f>B27/#REF!*1</f>
        <v>#VALUE!</v>
      </c>
      <c r="F27" s="109"/>
      <c r="G27" s="109"/>
      <c r="H27" s="109"/>
    </row>
    <row r="28" spans="1:8" ht="15">
      <c r="A28" s="8" t="s">
        <v>25</v>
      </c>
      <c r="B28" s="12" t="s">
        <v>11</v>
      </c>
      <c r="C28" s="15">
        <f>C15+C22</f>
        <v>13377.786832000002</v>
      </c>
      <c r="D28" s="16" t="s">
        <v>26</v>
      </c>
      <c r="E28" s="111" t="e">
        <f>B28/#REF!*1</f>
        <v>#VALUE!</v>
      </c>
      <c r="F28" s="109"/>
      <c r="G28" s="109"/>
      <c r="H28" s="109"/>
    </row>
    <row r="29" spans="1:8" ht="35.25" customHeight="1">
      <c r="A29" s="568" t="s">
        <v>27</v>
      </c>
      <c r="B29" s="568"/>
      <c r="C29" s="568"/>
      <c r="D29" s="568"/>
      <c r="E29" s="109"/>
      <c r="F29" s="109"/>
      <c r="G29" s="109"/>
      <c r="H29" s="109"/>
    </row>
    <row r="30" spans="1:8" ht="60">
      <c r="A30" s="22" t="s">
        <v>28</v>
      </c>
      <c r="B30" s="23" t="s">
        <v>29</v>
      </c>
      <c r="C30" s="24" t="s">
        <v>30</v>
      </c>
      <c r="D30" s="25" t="s">
        <v>31</v>
      </c>
      <c r="E30" s="109"/>
      <c r="F30" s="109"/>
      <c r="G30" s="109"/>
      <c r="H30" s="109"/>
    </row>
    <row r="31" spans="1:8" ht="15">
      <c r="A31" s="26" t="s">
        <v>32</v>
      </c>
      <c r="B31" s="27" t="s">
        <v>33</v>
      </c>
      <c r="C31" s="28" t="s">
        <v>34</v>
      </c>
      <c r="D31" s="92">
        <f>0.85*12*53.4</f>
        <v>544.68</v>
      </c>
      <c r="E31" s="109"/>
      <c r="F31" s="109"/>
      <c r="G31" s="109"/>
      <c r="H31" s="109"/>
    </row>
    <row r="32" spans="1:8" ht="15">
      <c r="A32" s="29" t="s">
        <v>36</v>
      </c>
      <c r="B32" s="30" t="s">
        <v>33</v>
      </c>
      <c r="C32" s="31" t="s">
        <v>37</v>
      </c>
      <c r="D32" s="93">
        <f>0.24*12*53.4</f>
        <v>153.792</v>
      </c>
      <c r="E32" s="109"/>
      <c r="F32" s="109"/>
      <c r="G32" s="109"/>
      <c r="H32" s="109"/>
    </row>
    <row r="33" spans="1:8" ht="15">
      <c r="A33" s="153" t="s">
        <v>179</v>
      </c>
      <c r="B33" s="30" t="s">
        <v>33</v>
      </c>
      <c r="C33" s="31" t="s">
        <v>34</v>
      </c>
      <c r="D33" s="93">
        <v>0</v>
      </c>
      <c r="E33" s="109"/>
      <c r="F33" s="109"/>
      <c r="G33" s="109"/>
      <c r="H33" s="109"/>
    </row>
    <row r="34" spans="1:8" ht="15">
      <c r="A34" s="29" t="s">
        <v>81</v>
      </c>
      <c r="B34" s="91" t="s">
        <v>82</v>
      </c>
      <c r="C34" s="31" t="s">
        <v>34</v>
      </c>
      <c r="D34" s="93">
        <f>1.33*12*53.4</f>
        <v>852.264</v>
      </c>
      <c r="E34" s="109"/>
      <c r="F34" s="109"/>
      <c r="G34" s="109"/>
      <c r="H34" s="109"/>
    </row>
    <row r="35" spans="1:8" ht="15">
      <c r="A35" s="29" t="s">
        <v>38</v>
      </c>
      <c r="B35" s="30" t="s">
        <v>35</v>
      </c>
      <c r="C35" s="364" t="s">
        <v>221</v>
      </c>
      <c r="D35" s="93">
        <f>4.19*53.4*12</f>
        <v>2684.952</v>
      </c>
      <c r="E35" s="109"/>
      <c r="F35" s="109"/>
      <c r="G35" s="109"/>
      <c r="H35" s="109"/>
    </row>
    <row r="36" spans="1:8" ht="15">
      <c r="A36" s="29" t="s">
        <v>85</v>
      </c>
      <c r="B36" s="30" t="s">
        <v>222</v>
      </c>
      <c r="C36" s="171" t="s">
        <v>37</v>
      </c>
      <c r="D36" s="93">
        <f>53.4*0.72*12-0.05</f>
        <v>461.32599999999996</v>
      </c>
      <c r="E36" s="109"/>
      <c r="F36" s="109"/>
      <c r="G36" s="109"/>
      <c r="H36" s="109"/>
    </row>
    <row r="37" spans="1:14" s="1" customFormat="1" ht="45">
      <c r="A37" s="33" t="s">
        <v>40</v>
      </c>
      <c r="B37" s="34" t="s">
        <v>41</v>
      </c>
      <c r="C37" s="108" t="s">
        <v>77</v>
      </c>
      <c r="D37" s="36">
        <v>0</v>
      </c>
      <c r="E37" s="109"/>
      <c r="F37" s="109"/>
      <c r="G37" s="109"/>
      <c r="H37" s="109"/>
      <c r="K37"/>
      <c r="L37"/>
      <c r="M37"/>
      <c r="N37"/>
    </row>
    <row r="38" spans="1:14" s="1" customFormat="1" ht="15.75">
      <c r="A38" s="37" t="s">
        <v>42</v>
      </c>
      <c r="B38" s="38"/>
      <c r="C38" s="39"/>
      <c r="D38" s="97">
        <f>D31+D32+D33+D34+D35+D36+D37</f>
        <v>4697.014</v>
      </c>
      <c r="E38" s="112">
        <f>D38-D37</f>
        <v>4697.014</v>
      </c>
      <c r="F38" s="109"/>
      <c r="G38" s="109"/>
      <c r="H38" s="109"/>
      <c r="K38"/>
      <c r="L38"/>
      <c r="M38"/>
      <c r="N38"/>
    </row>
    <row r="39" spans="1:14" s="1" customFormat="1" ht="15">
      <c r="A39" s="40" t="s">
        <v>43</v>
      </c>
      <c r="B39" s="41" t="s">
        <v>11</v>
      </c>
      <c r="C39" s="42"/>
      <c r="D39" s="43">
        <f>C28-D38</f>
        <v>8680.772832000002</v>
      </c>
      <c r="E39" s="112"/>
      <c r="F39" s="109"/>
      <c r="G39" s="109"/>
      <c r="H39" s="109"/>
      <c r="K39"/>
      <c r="L39"/>
      <c r="M39"/>
      <c r="N39"/>
    </row>
    <row r="40" spans="1:14" s="1" customFormat="1" ht="15">
      <c r="A40" s="45" t="s">
        <v>12</v>
      </c>
      <c r="B40" s="46" t="s">
        <v>11</v>
      </c>
      <c r="C40" s="31"/>
      <c r="D40" s="14"/>
      <c r="E40" s="109"/>
      <c r="F40" s="109"/>
      <c r="G40" s="109"/>
      <c r="H40" s="109"/>
      <c r="K40"/>
      <c r="L40"/>
      <c r="M40"/>
      <c r="N40"/>
    </row>
    <row r="41" spans="1:14" s="1" customFormat="1" ht="15">
      <c r="A41" s="45" t="s">
        <v>13</v>
      </c>
      <c r="B41" s="46" t="s">
        <v>11</v>
      </c>
      <c r="C41" s="31"/>
      <c r="D41" s="16">
        <f>C17+C18-C23</f>
        <v>4134.903167999999</v>
      </c>
      <c r="E41" s="109"/>
      <c r="F41" s="109"/>
      <c r="G41" s="109"/>
      <c r="H41" s="109"/>
      <c r="K41"/>
      <c r="L41"/>
      <c r="M41"/>
      <c r="N41"/>
    </row>
    <row r="42" spans="1:14" s="1" customFormat="1" ht="24" customHeight="1">
      <c r="A42" s="569" t="s">
        <v>44</v>
      </c>
      <c r="B42" s="569"/>
      <c r="C42" s="569"/>
      <c r="D42" s="569"/>
      <c r="E42" s="109"/>
      <c r="F42" s="109"/>
      <c r="G42" s="109"/>
      <c r="H42" s="109"/>
      <c r="K42"/>
      <c r="L42"/>
      <c r="M42"/>
      <c r="N42"/>
    </row>
    <row r="43" spans="1:14" s="1" customFormat="1" ht="15">
      <c r="A43" s="45" t="s">
        <v>45</v>
      </c>
      <c r="B43" s="30" t="s">
        <v>46</v>
      </c>
      <c r="C43" s="31"/>
      <c r="D43" s="14">
        <v>0</v>
      </c>
      <c r="E43" s="109"/>
      <c r="F43" s="109"/>
      <c r="G43" s="109"/>
      <c r="H43" s="109"/>
      <c r="K43"/>
      <c r="L43"/>
      <c r="M43"/>
      <c r="N43"/>
    </row>
    <row r="44" spans="1:14" s="1" customFormat="1" ht="15">
      <c r="A44" s="45" t="s">
        <v>47</v>
      </c>
      <c r="B44" s="30" t="s">
        <v>46</v>
      </c>
      <c r="C44" s="31"/>
      <c r="D44" s="14">
        <v>0</v>
      </c>
      <c r="E44" s="109"/>
      <c r="F44" s="109"/>
      <c r="G44" s="109"/>
      <c r="H44" s="109"/>
      <c r="K44"/>
      <c r="L44"/>
      <c r="M44"/>
      <c r="N44"/>
    </row>
    <row r="45" spans="1:14" s="1" customFormat="1" ht="15">
      <c r="A45" s="47" t="s">
        <v>48</v>
      </c>
      <c r="B45" s="30" t="s">
        <v>46</v>
      </c>
      <c r="C45" s="31"/>
      <c r="D45" s="14">
        <v>0</v>
      </c>
      <c r="E45" s="109"/>
      <c r="K45"/>
      <c r="L45"/>
      <c r="M45"/>
      <c r="N45"/>
    </row>
    <row r="46" spans="1:14" s="1" customFormat="1" ht="15">
      <c r="A46" s="45" t="s">
        <v>49</v>
      </c>
      <c r="B46" s="30" t="s">
        <v>11</v>
      </c>
      <c r="C46" s="31"/>
      <c r="D46" s="14">
        <v>0</v>
      </c>
      <c r="E46" s="109"/>
      <c r="K46"/>
      <c r="L46"/>
      <c r="M46"/>
      <c r="N46"/>
    </row>
    <row r="47" spans="1:5" ht="20.25" customHeight="1">
      <c r="A47" s="570" t="s">
        <v>50</v>
      </c>
      <c r="B47" s="570"/>
      <c r="C47" s="570"/>
      <c r="D47" s="570"/>
      <c r="E47" s="109"/>
    </row>
    <row r="48" spans="1:5" ht="25.5">
      <c r="A48" s="47" t="s">
        <v>51</v>
      </c>
      <c r="B48" s="30" t="s">
        <v>11</v>
      </c>
      <c r="C48" s="31"/>
      <c r="D48" s="14">
        <v>0</v>
      </c>
      <c r="E48" s="109"/>
    </row>
    <row r="49" spans="1:5" ht="15">
      <c r="A49" s="45" t="s">
        <v>12</v>
      </c>
      <c r="B49" s="30" t="s">
        <v>11</v>
      </c>
      <c r="C49" s="31"/>
      <c r="D49" s="58">
        <f>D53-D56-D59</f>
        <v>5265.304572000001</v>
      </c>
      <c r="E49" s="109"/>
    </row>
    <row r="50" spans="1:8" ht="15">
      <c r="A50" s="45" t="s">
        <v>13</v>
      </c>
      <c r="B50" s="30" t="s">
        <v>11</v>
      </c>
      <c r="C50" s="31"/>
      <c r="D50" s="48"/>
      <c r="E50" s="109"/>
      <c r="H50" s="49"/>
    </row>
    <row r="51" spans="1:5" ht="25.5">
      <c r="A51" s="50" t="s">
        <v>52</v>
      </c>
      <c r="B51" s="30" t="s">
        <v>11</v>
      </c>
      <c r="C51" s="51"/>
      <c r="D51" s="52">
        <v>0</v>
      </c>
      <c r="E51" s="109"/>
    </row>
    <row r="52" spans="1:10" ht="17.25" customHeight="1">
      <c r="A52" s="53" t="s">
        <v>12</v>
      </c>
      <c r="B52" s="30" t="s">
        <v>11</v>
      </c>
      <c r="C52" s="31"/>
      <c r="D52" s="14">
        <v>0</v>
      </c>
      <c r="E52" s="109"/>
      <c r="I52" s="49"/>
      <c r="J52" s="49"/>
    </row>
    <row r="53" spans="1:14" ht="15">
      <c r="A53" s="56" t="s">
        <v>13</v>
      </c>
      <c r="B53" s="30" t="s">
        <v>11</v>
      </c>
      <c r="C53" s="57"/>
      <c r="D53" s="58">
        <v>3119.06</v>
      </c>
      <c r="E53" s="109"/>
      <c r="H53" s="1" t="s">
        <v>26</v>
      </c>
      <c r="I53" s="60"/>
      <c r="J53" s="60"/>
      <c r="K53" s="61"/>
      <c r="L53" s="61"/>
      <c r="M53" s="61"/>
      <c r="N53" s="61"/>
    </row>
    <row r="54" spans="1:14" ht="18" customHeight="1">
      <c r="A54" s="571" t="s">
        <v>53</v>
      </c>
      <c r="B54" s="571"/>
      <c r="C54" s="571"/>
      <c r="D54" s="571"/>
      <c r="E54" s="114"/>
      <c r="F54" s="63"/>
      <c r="G54" s="64"/>
      <c r="I54" s="65"/>
      <c r="J54" s="65"/>
      <c r="K54" s="66"/>
      <c r="L54" s="66"/>
      <c r="M54" s="66"/>
      <c r="N54" s="66"/>
    </row>
    <row r="55" spans="1:14" ht="47.25">
      <c r="A55" s="67" t="s">
        <v>54</v>
      </c>
      <c r="B55" s="68" t="s">
        <v>55</v>
      </c>
      <c r="C55" s="69" t="s">
        <v>56</v>
      </c>
      <c r="D55" s="70" t="s">
        <v>57</v>
      </c>
      <c r="E55" s="114"/>
      <c r="F55" s="63"/>
      <c r="G55" s="64"/>
      <c r="I55" s="65"/>
      <c r="J55" s="71"/>
      <c r="K55" s="66"/>
      <c r="L55" s="66"/>
      <c r="M55" s="66"/>
      <c r="N55" s="66"/>
    </row>
    <row r="56" spans="1:14" ht="15">
      <c r="A56" s="72" t="s">
        <v>58</v>
      </c>
      <c r="B56" s="99">
        <v>152.88</v>
      </c>
      <c r="C56" s="100">
        <f>B56*1.6826</f>
        <v>257.235888</v>
      </c>
      <c r="D56" s="101">
        <f>B56-C56</f>
        <v>-104.355888</v>
      </c>
      <c r="E56" s="117"/>
      <c r="F56" s="63"/>
      <c r="G56" s="64"/>
      <c r="I56" s="65"/>
      <c r="J56" s="65"/>
      <c r="K56" s="66"/>
      <c r="L56" s="66"/>
      <c r="M56" s="66"/>
      <c r="N56" s="66"/>
    </row>
    <row r="57" spans="1:14" ht="15">
      <c r="A57" s="72" t="s">
        <v>59</v>
      </c>
      <c r="B57" s="99">
        <v>0</v>
      </c>
      <c r="C57" s="100">
        <f>B57*1.6826</f>
        <v>0</v>
      </c>
      <c r="D57" s="101">
        <f>B57-C57</f>
        <v>0</v>
      </c>
      <c r="E57" s="114"/>
      <c r="F57" s="63"/>
      <c r="G57" s="64"/>
      <c r="I57" s="65"/>
      <c r="J57" s="65"/>
      <c r="K57" s="66"/>
      <c r="L57" s="66"/>
      <c r="M57" s="66"/>
      <c r="N57" s="66"/>
    </row>
    <row r="58" spans="1:14" ht="15">
      <c r="A58" s="72" t="s">
        <v>60</v>
      </c>
      <c r="B58" s="102">
        <v>0</v>
      </c>
      <c r="C58" s="100">
        <f>B58*1.6826</f>
        <v>0</v>
      </c>
      <c r="D58" s="101">
        <f>B58-C58</f>
        <v>0</v>
      </c>
      <c r="E58" s="114">
        <f>(2.07+1.8)*6*2301.2-0.37*2301.2*6</f>
        <v>48325.2</v>
      </c>
      <c r="F58" s="73"/>
      <c r="G58" s="74"/>
      <c r="H58" s="62"/>
      <c r="I58" s="65"/>
      <c r="J58" s="65"/>
      <c r="K58" s="66"/>
      <c r="L58" s="66"/>
      <c r="M58" s="66"/>
      <c r="N58" s="66"/>
    </row>
    <row r="59" spans="1:14" ht="15.75" thickBot="1">
      <c r="A59" s="125" t="s">
        <v>236</v>
      </c>
      <c r="B59" s="126">
        <v>2991.34</v>
      </c>
      <c r="C59" s="100">
        <f>B59*1.6826</f>
        <v>5033.228684000001</v>
      </c>
      <c r="D59" s="128">
        <f>B59-C59</f>
        <v>-2041.8886840000005</v>
      </c>
      <c r="E59" s="114"/>
      <c r="F59" s="73"/>
      <c r="G59" s="74"/>
      <c r="I59" s="65"/>
      <c r="J59" s="65"/>
      <c r="K59" s="66"/>
      <c r="L59" s="66"/>
      <c r="M59" s="66"/>
      <c r="N59" s="66"/>
    </row>
    <row r="60" spans="1:14" ht="63">
      <c r="A60" s="129" t="s">
        <v>62</v>
      </c>
      <c r="B60" s="130" t="s">
        <v>63</v>
      </c>
      <c r="C60" s="131" t="s">
        <v>64</v>
      </c>
      <c r="D60" s="132" t="s">
        <v>65</v>
      </c>
      <c r="E60" s="114"/>
      <c r="F60" s="73"/>
      <c r="H60" s="65"/>
      <c r="I60" s="65"/>
      <c r="J60" s="65"/>
      <c r="K60" s="66"/>
      <c r="L60" s="66"/>
      <c r="M60" s="66"/>
      <c r="N60" s="66"/>
    </row>
    <row r="61" spans="1:14" ht="15">
      <c r="A61" s="133" t="s">
        <v>58</v>
      </c>
      <c r="B61" s="104">
        <f>B56</f>
        <v>152.88</v>
      </c>
      <c r="C61" s="105">
        <f>C56</f>
        <v>257.235888</v>
      </c>
      <c r="D61" s="134">
        <f>B61-C61</f>
        <v>-104.355888</v>
      </c>
      <c r="E61" s="114"/>
      <c r="F61" s="73"/>
      <c r="H61" s="65"/>
      <c r="I61" s="65"/>
      <c r="J61" s="65" t="s">
        <v>26</v>
      </c>
      <c r="K61" s="66"/>
      <c r="L61" s="66"/>
      <c r="M61" s="66"/>
      <c r="N61" s="66"/>
    </row>
    <row r="62" spans="1:14" ht="15">
      <c r="A62" s="133" t="s">
        <v>59</v>
      </c>
      <c r="B62" s="104">
        <v>0</v>
      </c>
      <c r="C62" s="105">
        <v>0</v>
      </c>
      <c r="D62" s="134">
        <f>B62-C62</f>
        <v>0</v>
      </c>
      <c r="E62" s="114"/>
      <c r="F62" s="73"/>
      <c r="H62" s="65"/>
      <c r="I62" s="65"/>
      <c r="J62" s="65"/>
      <c r="K62" s="66"/>
      <c r="L62" s="66"/>
      <c r="M62" s="66"/>
      <c r="N62" s="66"/>
    </row>
    <row r="63" spans="1:14" ht="15">
      <c r="A63" s="133" t="s">
        <v>60</v>
      </c>
      <c r="B63" s="104">
        <v>0</v>
      </c>
      <c r="C63" s="105">
        <v>0</v>
      </c>
      <c r="D63" s="134">
        <f>B63-C63</f>
        <v>0</v>
      </c>
      <c r="E63" s="114"/>
      <c r="F63" s="73"/>
      <c r="H63" s="65"/>
      <c r="I63" s="65"/>
      <c r="J63" s="65"/>
      <c r="K63" s="66"/>
      <c r="L63" s="66"/>
      <c r="M63" s="66"/>
      <c r="N63" s="66"/>
    </row>
    <row r="64" spans="1:14" ht="15.75" thickBot="1">
      <c r="A64" s="135" t="s">
        <v>236</v>
      </c>
      <c r="B64" s="136">
        <f>B59</f>
        <v>2991.34</v>
      </c>
      <c r="C64" s="137">
        <f>C59</f>
        <v>5033.228684000001</v>
      </c>
      <c r="D64" s="138">
        <f>B64-C64</f>
        <v>-2041.8886840000005</v>
      </c>
      <c r="E64" s="114"/>
      <c r="F64" s="73"/>
      <c r="H64" s="65" t="s">
        <v>26</v>
      </c>
      <c r="I64" s="65"/>
      <c r="J64" s="65"/>
      <c r="K64" s="66"/>
      <c r="L64" s="66"/>
      <c r="M64" s="66"/>
      <c r="N64" s="66"/>
    </row>
    <row r="65" spans="1:14" ht="15">
      <c r="A65" s="77"/>
      <c r="B65" s="76"/>
      <c r="C65" s="78"/>
      <c r="D65" s="79"/>
      <c r="E65" s="114"/>
      <c r="F65" s="73"/>
      <c r="H65" s="65"/>
      <c r="I65" s="65"/>
      <c r="J65" s="65"/>
      <c r="K65" s="66"/>
      <c r="L65" s="66"/>
      <c r="M65" s="66"/>
      <c r="N65" s="66"/>
    </row>
    <row r="66" spans="1:14" ht="25.5">
      <c r="A66" s="80" t="s">
        <v>66</v>
      </c>
      <c r="B66" s="76" t="s">
        <v>11</v>
      </c>
      <c r="C66" s="81"/>
      <c r="D66" s="82">
        <v>0</v>
      </c>
      <c r="E66" s="114"/>
      <c r="F66" s="73"/>
      <c r="H66" s="65"/>
      <c r="I66" s="65"/>
      <c r="J66" s="65" t="s">
        <v>26</v>
      </c>
      <c r="K66" s="66"/>
      <c r="L66" s="66"/>
      <c r="M66" s="66"/>
      <c r="N66" s="66"/>
    </row>
    <row r="67" spans="1:14" ht="17.25" customHeight="1">
      <c r="A67" s="572" t="s">
        <v>67</v>
      </c>
      <c r="B67" s="572"/>
      <c r="C67" s="572"/>
      <c r="D67" s="572"/>
      <c r="E67" s="121" t="e">
        <f>D67+B19</f>
        <v>#VALUE!</v>
      </c>
      <c r="F67" s="65"/>
      <c r="H67" s="84" t="e">
        <f>E67-B18</f>
        <v>#VALUE!</v>
      </c>
      <c r="I67" s="65"/>
      <c r="J67" s="65"/>
      <c r="K67" s="66"/>
      <c r="L67" s="66"/>
      <c r="M67" s="66"/>
      <c r="N67" s="66"/>
    </row>
    <row r="68" spans="1:5" ht="21" customHeight="1">
      <c r="A68" s="85" t="s">
        <v>45</v>
      </c>
      <c r="B68" s="85" t="s">
        <v>46</v>
      </c>
      <c r="C68" s="86"/>
      <c r="D68" s="177">
        <v>0</v>
      </c>
      <c r="E68" s="123"/>
    </row>
    <row r="69" spans="1:5" ht="21" customHeight="1">
      <c r="A69" s="85" t="s">
        <v>47</v>
      </c>
      <c r="B69" s="85" t="s">
        <v>46</v>
      </c>
      <c r="C69" s="85"/>
      <c r="D69" s="177">
        <v>0</v>
      </c>
      <c r="E69" s="123"/>
    </row>
    <row r="70" spans="1:5" ht="18" customHeight="1">
      <c r="A70" s="85" t="s">
        <v>48</v>
      </c>
      <c r="B70" s="85" t="s">
        <v>46</v>
      </c>
      <c r="C70" s="85"/>
      <c r="D70" s="177">
        <v>0</v>
      </c>
      <c r="E70" s="123"/>
    </row>
    <row r="71" spans="1:5" ht="16.5" customHeight="1">
      <c r="A71" s="85" t="s">
        <v>49</v>
      </c>
      <c r="B71" s="85" t="s">
        <v>11</v>
      </c>
      <c r="C71" s="85"/>
      <c r="D71" s="177">
        <v>0</v>
      </c>
      <c r="E71" s="123"/>
    </row>
    <row r="72" spans="1:5" ht="15.75" customHeight="1">
      <c r="A72" s="566" t="s">
        <v>68</v>
      </c>
      <c r="B72" s="566"/>
      <c r="C72" s="566"/>
      <c r="D72" s="566"/>
      <c r="E72" s="123"/>
    </row>
    <row r="73" spans="1:5" ht="18.75" customHeight="1">
      <c r="A73" s="85" t="s">
        <v>69</v>
      </c>
      <c r="B73" s="85" t="s">
        <v>46</v>
      </c>
      <c r="C73" s="85"/>
      <c r="D73" s="177">
        <v>0</v>
      </c>
      <c r="E73" s="123"/>
    </row>
    <row r="74" spans="1:5" ht="21.75" customHeight="1">
      <c r="A74" s="85" t="s">
        <v>70</v>
      </c>
      <c r="B74" s="53" t="s">
        <v>46</v>
      </c>
      <c r="C74" s="53"/>
      <c r="D74" s="177">
        <v>1</v>
      </c>
      <c r="E74" s="123"/>
    </row>
    <row r="75" spans="1:5" ht="36" customHeight="1">
      <c r="A75" s="89" t="s">
        <v>71</v>
      </c>
      <c r="B75" s="85" t="s">
        <v>11</v>
      </c>
      <c r="C75" s="85"/>
      <c r="D75" s="177">
        <v>0</v>
      </c>
      <c r="E75" s="123"/>
    </row>
    <row r="76" spans="1:5" ht="15">
      <c r="A76" s="66"/>
      <c r="B76" s="66"/>
      <c r="C76" s="66"/>
      <c r="D76" s="90"/>
      <c r="E76" s="109"/>
    </row>
    <row r="77" spans="1:14" s="1" customFormat="1" ht="12.75">
      <c r="A77"/>
      <c r="B77"/>
      <c r="C77"/>
      <c r="D77"/>
      <c r="E77" s="109"/>
      <c r="H77" s="1" t="s">
        <v>26</v>
      </c>
      <c r="K77"/>
      <c r="L77"/>
      <c r="M77"/>
      <c r="N77"/>
    </row>
    <row r="78" spans="1:14" s="1" customFormat="1" ht="12.75">
      <c r="A78" t="s">
        <v>72</v>
      </c>
      <c r="B78"/>
      <c r="C78"/>
      <c r="D78"/>
      <c r="E78" s="109"/>
      <c r="K78"/>
      <c r="L78"/>
      <c r="M78"/>
      <c r="N78"/>
    </row>
    <row r="79" spans="1:14" s="1" customFormat="1" ht="12.75">
      <c r="A79"/>
      <c r="B79"/>
      <c r="C79"/>
      <c r="D79"/>
      <c r="E79" s="109"/>
      <c r="H79" s="1" t="s">
        <v>26</v>
      </c>
      <c r="K79"/>
      <c r="L79"/>
      <c r="M79"/>
      <c r="N79"/>
    </row>
    <row r="80" spans="1:14" s="1" customFormat="1" ht="12.75">
      <c r="A80" t="s">
        <v>73</v>
      </c>
      <c r="B80"/>
      <c r="C80"/>
      <c r="D80"/>
      <c r="E80" s="109"/>
      <c r="K80"/>
      <c r="L80"/>
      <c r="M80"/>
      <c r="N80"/>
    </row>
    <row r="84" spans="1:14" s="1" customFormat="1" ht="12.75">
      <c r="A84"/>
      <c r="B84"/>
      <c r="C84"/>
      <c r="D84"/>
      <c r="E84" s="1" t="s">
        <v>26</v>
      </c>
      <c r="K84"/>
      <c r="L84"/>
      <c r="M84"/>
      <c r="N84"/>
    </row>
  </sheetData>
  <sheetProtection selectLockedCells="1" selectUnlockedCells="1"/>
  <mergeCells count="13">
    <mergeCell ref="A72:D72"/>
    <mergeCell ref="A14:D14"/>
    <mergeCell ref="A29:D29"/>
    <mergeCell ref="A42:D42"/>
    <mergeCell ref="A47:D47"/>
    <mergeCell ref="A54:D54"/>
    <mergeCell ref="A67:D67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1"/>
  <sheetViews>
    <sheetView zoomScale="93" zoomScaleNormal="93" zoomScalePageLayoutView="0" workbookViewId="0" topLeftCell="A34">
      <selection activeCell="D46" sqref="D46"/>
    </sheetView>
  </sheetViews>
  <sheetFormatPr defaultColWidth="11.57421875" defaultRowHeight="12.75"/>
  <cols>
    <col min="1" max="1" width="52.140625" style="0" customWidth="1"/>
    <col min="2" max="2" width="17.28125" style="0" customWidth="1"/>
    <col min="3" max="3" width="22.57421875" style="0" customWidth="1"/>
    <col min="4" max="4" width="20.2812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560" t="s">
        <v>0</v>
      </c>
      <c r="B1" s="560"/>
      <c r="C1" s="560"/>
      <c r="D1" s="560"/>
    </row>
    <row r="2" spans="1:4" ht="15.75">
      <c r="A2" s="561" t="s">
        <v>220</v>
      </c>
      <c r="B2" s="562"/>
      <c r="C2" s="562"/>
      <c r="D2" s="562"/>
    </row>
    <row r="3" spans="1:4" ht="15.75">
      <c r="A3" s="562" t="s">
        <v>1</v>
      </c>
      <c r="B3" s="562"/>
      <c r="C3" s="562"/>
      <c r="D3" s="562"/>
    </row>
    <row r="4" spans="1:4" ht="12.75">
      <c r="A4" s="563" t="s">
        <v>86</v>
      </c>
      <c r="B4" s="563"/>
      <c r="C4" s="563"/>
      <c r="D4" s="563"/>
    </row>
    <row r="5" spans="1:4" ht="12.75">
      <c r="A5" s="564" t="s">
        <v>266</v>
      </c>
      <c r="B5" s="563"/>
      <c r="C5" s="563"/>
      <c r="D5" s="563"/>
    </row>
    <row r="6" spans="1:4" ht="10.5" customHeight="1">
      <c r="A6" s="258"/>
      <c r="B6" s="178"/>
      <c r="C6" s="178"/>
      <c r="D6" s="178"/>
    </row>
    <row r="7" spans="1:4" ht="32.25" customHeight="1">
      <c r="A7" s="565" t="s">
        <v>2</v>
      </c>
      <c r="B7" s="565"/>
      <c r="C7" s="565"/>
      <c r="D7" s="565"/>
    </row>
    <row r="8" spans="1:4" ht="21" customHeight="1">
      <c r="A8" s="258" t="s">
        <v>153</v>
      </c>
      <c r="B8" s="178"/>
      <c r="C8" s="183"/>
      <c r="D8" s="178"/>
    </row>
    <row r="9" spans="1:4" ht="12.75">
      <c r="A9" s="184" t="s">
        <v>3</v>
      </c>
      <c r="B9" s="184" t="s">
        <v>4</v>
      </c>
      <c r="C9" s="184" t="s">
        <v>5</v>
      </c>
      <c r="D9" s="185"/>
    </row>
    <row r="10" spans="1:4" ht="12.75">
      <c r="A10" s="186">
        <v>1</v>
      </c>
      <c r="B10" s="186">
        <v>2</v>
      </c>
      <c r="C10" s="186">
        <v>3</v>
      </c>
      <c r="D10" s="187">
        <v>4</v>
      </c>
    </row>
    <row r="11" spans="1:4" ht="12.75">
      <c r="A11" s="20" t="s">
        <v>6</v>
      </c>
      <c r="B11" s="188"/>
      <c r="C11" s="189" t="s">
        <v>262</v>
      </c>
      <c r="D11" s="190"/>
    </row>
    <row r="12" spans="1:5" ht="12.75">
      <c r="A12" s="20" t="s">
        <v>7</v>
      </c>
      <c r="B12" s="188"/>
      <c r="C12" s="189" t="s">
        <v>263</v>
      </c>
      <c r="D12" s="190"/>
      <c r="E12" s="109"/>
    </row>
    <row r="13" spans="1:5" ht="12.75">
      <c r="A13" s="20" t="s">
        <v>8</v>
      </c>
      <c r="B13" s="188"/>
      <c r="C13" s="189" t="s">
        <v>267</v>
      </c>
      <c r="D13" s="190"/>
      <c r="E13" s="109"/>
    </row>
    <row r="14" spans="1:5" ht="31.5" customHeight="1">
      <c r="A14" s="567" t="s">
        <v>9</v>
      </c>
      <c r="B14" s="567"/>
      <c r="C14" s="567"/>
      <c r="D14" s="567"/>
      <c r="E14" s="109"/>
    </row>
    <row r="15" spans="1:10" ht="39">
      <c r="A15" s="17" t="s">
        <v>10</v>
      </c>
      <c r="B15" s="191" t="s">
        <v>11</v>
      </c>
      <c r="C15" s="194">
        <v>-24319.19</v>
      </c>
      <c r="D15" s="193"/>
      <c r="E15" s="109"/>
      <c r="F15" s="109"/>
      <c r="G15" s="109"/>
      <c r="H15" s="109"/>
      <c r="I15" s="109"/>
      <c r="J15" s="109"/>
    </row>
    <row r="16" spans="1:10" ht="15.75">
      <c r="A16" s="20" t="s">
        <v>12</v>
      </c>
      <c r="B16" s="191" t="s">
        <v>11</v>
      </c>
      <c r="C16" s="192">
        <v>0</v>
      </c>
      <c r="D16" s="193"/>
      <c r="E16" s="109"/>
      <c r="F16" s="109"/>
      <c r="G16" s="109"/>
      <c r="H16" s="109"/>
      <c r="I16" s="109"/>
      <c r="J16" s="109"/>
    </row>
    <row r="17" spans="1:10" ht="15.75">
      <c r="A17" s="20" t="s">
        <v>13</v>
      </c>
      <c r="B17" s="191" t="s">
        <v>11</v>
      </c>
      <c r="C17" s="194">
        <v>66571.5</v>
      </c>
      <c r="D17" s="195"/>
      <c r="E17" s="109" t="e">
        <f>B17/12/1022.6</f>
        <v>#VALUE!</v>
      </c>
      <c r="F17" s="109"/>
      <c r="G17" s="109"/>
      <c r="H17" s="109"/>
      <c r="I17" s="109"/>
      <c r="J17" s="109"/>
    </row>
    <row r="18" spans="1:10" ht="31.5" customHeight="1">
      <c r="A18" s="17" t="s">
        <v>14</v>
      </c>
      <c r="B18" s="191" t="s">
        <v>11</v>
      </c>
      <c r="C18" s="194">
        <f>63723.84+5434.26</f>
        <v>69158.09999999999</v>
      </c>
      <c r="D18" s="195"/>
      <c r="E18" s="109"/>
      <c r="F18" s="109"/>
      <c r="G18" s="109"/>
      <c r="H18" s="109"/>
      <c r="I18" s="109"/>
      <c r="J18" s="109"/>
    </row>
    <row r="19" spans="1:10" ht="15.75">
      <c r="A19" s="20" t="s">
        <v>15</v>
      </c>
      <c r="B19" s="191" t="s">
        <v>11</v>
      </c>
      <c r="C19" s="194">
        <f>C18-C20-C21</f>
        <v>38596.63199999999</v>
      </c>
      <c r="D19" s="195"/>
      <c r="E19" s="110">
        <f>C18-C20-5434.26</f>
        <v>52623.24599999999</v>
      </c>
      <c r="F19" s="109"/>
      <c r="G19" s="109"/>
      <c r="H19" s="109"/>
      <c r="I19" s="109"/>
      <c r="J19" s="109"/>
    </row>
    <row r="20" spans="1:10" ht="15.75">
      <c r="A20" s="20" t="s">
        <v>16</v>
      </c>
      <c r="B20" s="191" t="s">
        <v>11</v>
      </c>
      <c r="C20" s="194">
        <f>2.39*12*387.05</f>
        <v>11100.594000000001</v>
      </c>
      <c r="D20" s="195"/>
      <c r="E20" s="110">
        <f>E19-E45</f>
        <v>-0.001999999993131496</v>
      </c>
      <c r="F20" s="109"/>
      <c r="G20" s="109"/>
      <c r="H20" s="109"/>
      <c r="I20" s="109"/>
      <c r="J20" s="109"/>
    </row>
    <row r="21" spans="1:10" ht="15.75">
      <c r="A21" s="20" t="s">
        <v>17</v>
      </c>
      <c r="B21" s="191" t="s">
        <v>11</v>
      </c>
      <c r="C21" s="196">
        <f>387.05*4.19*12</f>
        <v>19460.874000000003</v>
      </c>
      <c r="D21" s="195"/>
      <c r="E21" s="111"/>
      <c r="F21" s="109"/>
      <c r="G21" s="109"/>
      <c r="H21" s="109"/>
      <c r="I21" s="109"/>
      <c r="J21" s="109"/>
    </row>
    <row r="22" spans="1:10" ht="15.75">
      <c r="A22" s="20" t="s">
        <v>18</v>
      </c>
      <c r="B22" s="191" t="s">
        <v>11</v>
      </c>
      <c r="C22" s="194">
        <f>C23+C24+C25+C26</f>
        <v>55817.50251</v>
      </c>
      <c r="D22" s="195" t="s">
        <v>19</v>
      </c>
      <c r="E22" s="110" t="e">
        <f>B24+B25+B26+#REF!+B27</f>
        <v>#VALUE!</v>
      </c>
      <c r="F22" s="109"/>
      <c r="G22" s="109"/>
      <c r="H22" s="109"/>
      <c r="I22" s="109"/>
      <c r="J22" s="109"/>
    </row>
    <row r="23" spans="1:10" ht="15.75">
      <c r="A23" s="20" t="s">
        <v>20</v>
      </c>
      <c r="B23" s="191" t="s">
        <v>11</v>
      </c>
      <c r="C23" s="194">
        <f>C18*0.8071</f>
        <v>55817.50251</v>
      </c>
      <c r="D23" s="195"/>
      <c r="E23" s="109"/>
      <c r="F23" s="109"/>
      <c r="G23" s="109"/>
      <c r="H23" s="109"/>
      <c r="I23" s="109"/>
      <c r="J23" s="109"/>
    </row>
    <row r="24" spans="1:10" ht="15.75">
      <c r="A24" s="20" t="s">
        <v>21</v>
      </c>
      <c r="B24" s="191" t="s">
        <v>11</v>
      </c>
      <c r="C24" s="194">
        <v>0</v>
      </c>
      <c r="D24" s="197">
        <v>65.21</v>
      </c>
      <c r="E24" s="111" t="e">
        <f>B24/#REF!*1</f>
        <v>#VALUE!</v>
      </c>
      <c r="F24" s="109"/>
      <c r="G24" s="109"/>
      <c r="H24" s="109" t="s">
        <v>22</v>
      </c>
      <c r="I24" s="109"/>
      <c r="J24" s="109"/>
    </row>
    <row r="25" spans="1:10" ht="15.75">
      <c r="A25" s="20" t="s">
        <v>23</v>
      </c>
      <c r="B25" s="191" t="s">
        <v>11</v>
      </c>
      <c r="C25" s="194">
        <v>0</v>
      </c>
      <c r="D25" s="197">
        <v>119.63</v>
      </c>
      <c r="E25" s="111" t="e">
        <f>B25/#REF!*1</f>
        <v>#VALUE!</v>
      </c>
      <c r="F25" s="109"/>
      <c r="G25" s="109"/>
      <c r="H25" s="109"/>
      <c r="I25" s="109"/>
      <c r="J25" s="109"/>
    </row>
    <row r="26" spans="1:10" ht="15.75">
      <c r="A26" s="188" t="s">
        <v>24</v>
      </c>
      <c r="B26" s="191" t="s">
        <v>11</v>
      </c>
      <c r="C26" s="194">
        <v>0</v>
      </c>
      <c r="D26" s="197"/>
      <c r="E26" s="111" t="e">
        <f>B26/#REF!*1</f>
        <v>#VALUE!</v>
      </c>
      <c r="F26" s="109"/>
      <c r="G26" s="109"/>
      <c r="H26" s="109"/>
      <c r="I26" s="109"/>
      <c r="J26" s="109"/>
    </row>
    <row r="27" spans="1:10" ht="15.75">
      <c r="A27" s="20" t="s">
        <v>25</v>
      </c>
      <c r="B27" s="191" t="s">
        <v>11</v>
      </c>
      <c r="C27" s="194">
        <f>C15+C22</f>
        <v>31498.31251</v>
      </c>
      <c r="D27" s="195" t="s">
        <v>26</v>
      </c>
      <c r="E27" s="111" t="e">
        <f>B27/#REF!*1</f>
        <v>#VALUE!</v>
      </c>
      <c r="F27" s="109"/>
      <c r="G27" s="109"/>
      <c r="H27" s="109"/>
      <c r="I27" s="109"/>
      <c r="J27" s="109"/>
    </row>
    <row r="28" spans="1:10" ht="35.25" customHeight="1">
      <c r="A28" s="568" t="s">
        <v>27</v>
      </c>
      <c r="B28" s="568"/>
      <c r="C28" s="568"/>
      <c r="D28" s="568"/>
      <c r="E28" s="109"/>
      <c r="F28" s="109"/>
      <c r="G28" s="109"/>
      <c r="H28" s="109"/>
      <c r="I28" s="109"/>
      <c r="J28" s="109"/>
    </row>
    <row r="29" spans="1:10" ht="63">
      <c r="A29" s="199" t="s">
        <v>28</v>
      </c>
      <c r="B29" s="285" t="s">
        <v>29</v>
      </c>
      <c r="C29" s="286" t="s">
        <v>30</v>
      </c>
      <c r="D29" s="287" t="s">
        <v>31</v>
      </c>
      <c r="E29" s="109"/>
      <c r="F29" s="109"/>
      <c r="G29" s="109"/>
      <c r="H29" s="109"/>
      <c r="I29" s="109"/>
      <c r="J29" s="109"/>
    </row>
    <row r="30" spans="1:10" ht="31.5">
      <c r="A30" s="203" t="s">
        <v>32</v>
      </c>
      <c r="B30" s="204" t="s">
        <v>33</v>
      </c>
      <c r="C30" s="205" t="s">
        <v>34</v>
      </c>
      <c r="D30" s="206">
        <f>0.6*12*387.05</f>
        <v>2786.7599999999998</v>
      </c>
      <c r="E30" s="109"/>
      <c r="F30" s="109"/>
      <c r="G30" s="109"/>
      <c r="H30" s="109"/>
      <c r="I30" s="109"/>
      <c r="J30" s="109"/>
    </row>
    <row r="31" spans="1:10" ht="15.75">
      <c r="A31" s="207" t="s">
        <v>75</v>
      </c>
      <c r="B31" s="208" t="s">
        <v>76</v>
      </c>
      <c r="C31" s="209" t="s">
        <v>34</v>
      </c>
      <c r="D31" s="210">
        <f>2.4*12*387.05</f>
        <v>11147.039999999999</v>
      </c>
      <c r="E31" s="109"/>
      <c r="F31" s="109"/>
      <c r="G31" s="109"/>
      <c r="H31" s="109"/>
      <c r="I31" s="109"/>
      <c r="J31" s="109"/>
    </row>
    <row r="32" spans="1:10" ht="15.75">
      <c r="A32" s="207" t="s">
        <v>36</v>
      </c>
      <c r="B32" s="208" t="s">
        <v>33</v>
      </c>
      <c r="C32" s="209" t="s">
        <v>37</v>
      </c>
      <c r="D32" s="210">
        <f>0.24*12*387.05</f>
        <v>1114.704</v>
      </c>
      <c r="E32" s="109"/>
      <c r="F32" s="109"/>
      <c r="G32" s="109"/>
      <c r="H32" s="109"/>
      <c r="I32" s="109"/>
      <c r="J32" s="109"/>
    </row>
    <row r="33" spans="1:10" ht="15.75">
      <c r="A33" s="207" t="s">
        <v>79</v>
      </c>
      <c r="B33" s="363" t="s">
        <v>33</v>
      </c>
      <c r="C33" s="209" t="s">
        <v>34</v>
      </c>
      <c r="D33" s="210">
        <f>0.73*12*387.05</f>
        <v>3390.558</v>
      </c>
      <c r="E33" s="109"/>
      <c r="F33" s="109"/>
      <c r="G33" s="109"/>
      <c r="H33" s="109"/>
      <c r="I33" s="109"/>
      <c r="J33" s="109"/>
    </row>
    <row r="34" spans="1:10" ht="15.75">
      <c r="A34" s="207" t="s">
        <v>80</v>
      </c>
      <c r="B34" s="208" t="s">
        <v>33</v>
      </c>
      <c r="C34" s="209" t="s">
        <v>34</v>
      </c>
      <c r="D34" s="210">
        <f>1.38*12*387.05</f>
        <v>6409.548</v>
      </c>
      <c r="E34" s="109"/>
      <c r="F34" s="109"/>
      <c r="G34" s="109"/>
      <c r="H34" s="109"/>
      <c r="I34" s="109"/>
      <c r="J34" s="109"/>
    </row>
    <row r="35" spans="1:10" ht="31.5">
      <c r="A35" s="207" t="s">
        <v>81</v>
      </c>
      <c r="B35" s="213" t="s">
        <v>82</v>
      </c>
      <c r="C35" s="209" t="s">
        <v>34</v>
      </c>
      <c r="D35" s="210">
        <f>1.33*12*387.05</f>
        <v>6177.318</v>
      </c>
      <c r="E35" s="109"/>
      <c r="F35" s="109"/>
      <c r="G35" s="109"/>
      <c r="H35" s="109"/>
      <c r="I35" s="109"/>
      <c r="J35" s="109"/>
    </row>
    <row r="36" spans="1:10" ht="15.75">
      <c r="A36" s="207" t="s">
        <v>38</v>
      </c>
      <c r="B36" s="208" t="s">
        <v>35</v>
      </c>
      <c r="C36" s="362" t="s">
        <v>221</v>
      </c>
      <c r="D36" s="211">
        <f>4.19*387.05*12</f>
        <v>19460.874000000003</v>
      </c>
      <c r="E36" s="109"/>
      <c r="F36" s="109"/>
      <c r="G36" s="109"/>
      <c r="H36" s="109"/>
      <c r="I36" s="109"/>
      <c r="J36" s="109"/>
    </row>
    <row r="37" spans="1:10" ht="15.75">
      <c r="A37" s="207" t="s">
        <v>233</v>
      </c>
      <c r="B37" s="208" t="s">
        <v>222</v>
      </c>
      <c r="C37" s="275" t="s">
        <v>37</v>
      </c>
      <c r="D37" s="210">
        <f>387.05*0.46*12-0.07</f>
        <v>2136.446</v>
      </c>
      <c r="E37" s="109"/>
      <c r="F37" s="109"/>
      <c r="G37" s="109"/>
      <c r="H37" s="109"/>
      <c r="I37" s="109"/>
      <c r="J37" s="109"/>
    </row>
    <row r="38" spans="1:10" ht="15.75">
      <c r="A38" s="207" t="s">
        <v>209</v>
      </c>
      <c r="B38" s="208"/>
      <c r="C38" s="214"/>
      <c r="D38" s="210"/>
      <c r="E38" s="109"/>
      <c r="F38" s="109"/>
      <c r="G38" s="109"/>
      <c r="H38" s="109"/>
      <c r="I38" s="109"/>
      <c r="J38" s="109"/>
    </row>
    <row r="39" spans="1:10" ht="47.25">
      <c r="A39" s="207" t="s">
        <v>213</v>
      </c>
      <c r="B39" s="208" t="s">
        <v>35</v>
      </c>
      <c r="C39" s="275" t="s">
        <v>210</v>
      </c>
      <c r="D39" s="210">
        <v>467.27</v>
      </c>
      <c r="E39" s="109"/>
      <c r="F39" s="109"/>
      <c r="G39" s="109"/>
      <c r="H39" s="109"/>
      <c r="I39" s="109"/>
      <c r="J39" s="109"/>
    </row>
    <row r="40" spans="1:10" ht="15.75">
      <c r="A40" s="207" t="s">
        <v>211</v>
      </c>
      <c r="B40" s="208" t="s">
        <v>35</v>
      </c>
      <c r="C40" s="214" t="s">
        <v>212</v>
      </c>
      <c r="D40" s="210">
        <v>42722.48</v>
      </c>
      <c r="E40" s="109"/>
      <c r="F40" s="109"/>
      <c r="G40" s="109"/>
      <c r="H40" s="109"/>
      <c r="I40" s="109"/>
      <c r="J40" s="109"/>
    </row>
    <row r="41" spans="1:14" s="1" customFormat="1" ht="78.75">
      <c r="A41" s="260" t="s">
        <v>203</v>
      </c>
      <c r="B41" s="215" t="s">
        <v>41</v>
      </c>
      <c r="C41" s="221"/>
      <c r="D41" s="381">
        <f>D42+D43+D44</f>
        <v>2046.51</v>
      </c>
      <c r="E41" s="109"/>
      <c r="F41" s="109"/>
      <c r="G41" s="109"/>
      <c r="H41" s="109"/>
      <c r="I41" s="109"/>
      <c r="J41" s="109"/>
      <c r="K41"/>
      <c r="L41"/>
      <c r="M41"/>
      <c r="N41"/>
    </row>
    <row r="42" spans="1:14" s="1" customFormat="1" ht="15.75">
      <c r="A42" s="219" t="s">
        <v>271</v>
      </c>
      <c r="B42" s="295" t="s">
        <v>159</v>
      </c>
      <c r="C42" s="209" t="s">
        <v>34</v>
      </c>
      <c r="D42" s="176">
        <v>352</v>
      </c>
      <c r="E42" s="109"/>
      <c r="F42" s="109"/>
      <c r="G42" s="109"/>
      <c r="H42" s="109"/>
      <c r="I42" s="109"/>
      <c r="J42" s="109"/>
      <c r="K42"/>
      <c r="L42"/>
      <c r="M42"/>
      <c r="N42"/>
    </row>
    <row r="43" spans="1:14" s="1" customFormat="1" ht="15.75">
      <c r="A43" s="219" t="s">
        <v>277</v>
      </c>
      <c r="B43" s="295" t="s">
        <v>159</v>
      </c>
      <c r="C43" s="209" t="s">
        <v>34</v>
      </c>
      <c r="D43" s="176">
        <v>1274.51</v>
      </c>
      <c r="E43" s="109"/>
      <c r="F43" s="109"/>
      <c r="G43" s="109"/>
      <c r="H43" s="109"/>
      <c r="I43" s="109"/>
      <c r="J43" s="109"/>
      <c r="K43"/>
      <c r="L43"/>
      <c r="M43"/>
      <c r="N43"/>
    </row>
    <row r="44" spans="1:14" s="1" customFormat="1" ht="15.75">
      <c r="A44" s="219" t="s">
        <v>278</v>
      </c>
      <c r="B44" s="217" t="s">
        <v>152</v>
      </c>
      <c r="C44" s="209" t="s">
        <v>34</v>
      </c>
      <c r="D44" s="176">
        <v>420</v>
      </c>
      <c r="E44" s="109"/>
      <c r="F44" s="109"/>
      <c r="G44" s="109"/>
      <c r="H44" s="109"/>
      <c r="I44" s="109"/>
      <c r="J44" s="109"/>
      <c r="K44"/>
      <c r="L44"/>
      <c r="M44"/>
      <c r="N44"/>
    </row>
    <row r="45" spans="1:14" s="1" customFormat="1" ht="15.75">
      <c r="A45" s="37" t="s">
        <v>42</v>
      </c>
      <c r="B45" s="222"/>
      <c r="C45" s="223"/>
      <c r="D45" s="97">
        <f>D30+D31+D32+D33+D34+D35+D36+D37+D39+D40+D41</f>
        <v>97859.50799999999</v>
      </c>
      <c r="E45" s="112">
        <f>D45-D41-D39-D40</f>
        <v>52623.247999999985</v>
      </c>
      <c r="F45" s="109"/>
      <c r="G45" s="109"/>
      <c r="H45" s="109"/>
      <c r="I45" s="109"/>
      <c r="J45" s="109"/>
      <c r="K45"/>
      <c r="L45"/>
      <c r="M45"/>
      <c r="N45"/>
    </row>
    <row r="46" spans="1:14" s="1" customFormat="1" ht="15.75">
      <c r="A46" s="40" t="s">
        <v>43</v>
      </c>
      <c r="B46" s="224" t="s">
        <v>11</v>
      </c>
      <c r="C46" s="225"/>
      <c r="D46" s="226">
        <f>C27-D45</f>
        <v>-66361.19548999998</v>
      </c>
      <c r="E46" s="112"/>
      <c r="F46" s="109"/>
      <c r="G46" s="109"/>
      <c r="H46" s="109"/>
      <c r="I46" s="109"/>
      <c r="J46" s="109"/>
      <c r="K46"/>
      <c r="L46"/>
      <c r="M46"/>
      <c r="N46"/>
    </row>
    <row r="47" spans="1:14" s="1" customFormat="1" ht="15.75">
      <c r="A47" s="227" t="s">
        <v>12</v>
      </c>
      <c r="B47" s="228" t="s">
        <v>11</v>
      </c>
      <c r="C47" s="209"/>
      <c r="D47" s="193">
        <v>0</v>
      </c>
      <c r="E47" s="109"/>
      <c r="F47" s="109"/>
      <c r="G47" s="109"/>
      <c r="H47" s="109"/>
      <c r="I47" s="109"/>
      <c r="J47" s="109"/>
      <c r="K47"/>
      <c r="L47"/>
      <c r="M47"/>
      <c r="N47"/>
    </row>
    <row r="48" spans="1:14" s="1" customFormat="1" ht="15.75">
      <c r="A48" s="227" t="s">
        <v>13</v>
      </c>
      <c r="B48" s="228" t="s">
        <v>11</v>
      </c>
      <c r="C48" s="209"/>
      <c r="D48" s="195">
        <f>C17+C18-C23</f>
        <v>79912.09748999999</v>
      </c>
      <c r="E48" s="109"/>
      <c r="F48" s="109"/>
      <c r="G48" s="109"/>
      <c r="H48" s="109"/>
      <c r="I48" s="109"/>
      <c r="J48" s="109"/>
      <c r="K48"/>
      <c r="L48"/>
      <c r="M48"/>
      <c r="N48"/>
    </row>
    <row r="49" spans="1:14" s="1" customFormat="1" ht="24" customHeight="1">
      <c r="A49" s="569" t="s">
        <v>44</v>
      </c>
      <c r="B49" s="569"/>
      <c r="C49" s="569"/>
      <c r="D49" s="569"/>
      <c r="E49" s="109"/>
      <c r="F49" s="109"/>
      <c r="G49" s="109"/>
      <c r="H49" s="109"/>
      <c r="I49" s="109"/>
      <c r="J49" s="109"/>
      <c r="K49"/>
      <c r="L49"/>
      <c r="M49"/>
      <c r="N49"/>
    </row>
    <row r="50" spans="1:14" s="1" customFormat="1" ht="15.75">
      <c r="A50" s="227" t="s">
        <v>45</v>
      </c>
      <c r="B50" s="208" t="s">
        <v>46</v>
      </c>
      <c r="C50" s="209"/>
      <c r="D50" s="193">
        <v>0</v>
      </c>
      <c r="E50" s="109"/>
      <c r="F50" s="109"/>
      <c r="G50" s="109"/>
      <c r="H50" s="109"/>
      <c r="I50" s="109"/>
      <c r="J50" s="109"/>
      <c r="K50"/>
      <c r="L50"/>
      <c r="M50"/>
      <c r="N50"/>
    </row>
    <row r="51" spans="1:14" s="1" customFormat="1" ht="15.75">
      <c r="A51" s="227" t="s">
        <v>47</v>
      </c>
      <c r="B51" s="208" t="s">
        <v>46</v>
      </c>
      <c r="C51" s="209"/>
      <c r="D51" s="193">
        <v>0</v>
      </c>
      <c r="E51" s="109"/>
      <c r="F51" s="109"/>
      <c r="G51" s="109"/>
      <c r="H51" s="109"/>
      <c r="I51" s="109"/>
      <c r="J51" s="109"/>
      <c r="K51"/>
      <c r="L51"/>
      <c r="M51"/>
      <c r="N51"/>
    </row>
    <row r="52" spans="1:14" s="1" customFormat="1" ht="26.25">
      <c r="A52" s="229" t="s">
        <v>48</v>
      </c>
      <c r="B52" s="208" t="s">
        <v>46</v>
      </c>
      <c r="C52" s="209"/>
      <c r="D52" s="193">
        <v>0</v>
      </c>
      <c r="E52" s="109"/>
      <c r="F52" s="109"/>
      <c r="G52" s="109"/>
      <c r="H52" s="109"/>
      <c r="I52" s="109"/>
      <c r="J52" s="109"/>
      <c r="K52"/>
      <c r="L52"/>
      <c r="M52"/>
      <c r="N52"/>
    </row>
    <row r="53" spans="1:14" s="1" customFormat="1" ht="15.75">
      <c r="A53" s="227" t="s">
        <v>49</v>
      </c>
      <c r="B53" s="208" t="s">
        <v>11</v>
      </c>
      <c r="C53" s="209"/>
      <c r="D53" s="193">
        <v>0</v>
      </c>
      <c r="E53" s="109"/>
      <c r="F53" s="109"/>
      <c r="G53" s="109"/>
      <c r="H53" s="109"/>
      <c r="I53" s="109"/>
      <c r="J53" s="109"/>
      <c r="K53"/>
      <c r="L53"/>
      <c r="M53"/>
      <c r="N53"/>
    </row>
    <row r="54" spans="1:10" ht="20.25" customHeight="1">
      <c r="A54" s="570" t="s">
        <v>50</v>
      </c>
      <c r="B54" s="570"/>
      <c r="C54" s="570"/>
      <c r="D54" s="570"/>
      <c r="E54" s="109"/>
      <c r="F54" s="109"/>
      <c r="G54" s="109"/>
      <c r="H54" s="109"/>
      <c r="I54" s="109"/>
      <c r="J54" s="109"/>
    </row>
    <row r="55" spans="1:10" ht="26.25">
      <c r="A55" s="229" t="s">
        <v>51</v>
      </c>
      <c r="B55" s="208" t="s">
        <v>11</v>
      </c>
      <c r="C55" s="209"/>
      <c r="D55" s="193">
        <v>0</v>
      </c>
      <c r="E55" s="109"/>
      <c r="F55" s="109"/>
      <c r="G55" s="109"/>
      <c r="H55" s="109"/>
      <c r="I55" s="109"/>
      <c r="J55" s="109"/>
    </row>
    <row r="56" spans="1:10" ht="15.75">
      <c r="A56" s="227" t="s">
        <v>12</v>
      </c>
      <c r="B56" s="208" t="s">
        <v>11</v>
      </c>
      <c r="C56" s="209"/>
      <c r="D56" s="193">
        <v>0</v>
      </c>
      <c r="E56" s="109"/>
      <c r="F56" s="109"/>
      <c r="G56" s="109"/>
      <c r="H56" s="109"/>
      <c r="I56" s="109"/>
      <c r="J56" s="109"/>
    </row>
    <row r="57" spans="1:10" ht="15.75">
      <c r="A57" s="227" t="s">
        <v>13</v>
      </c>
      <c r="B57" s="208" t="s">
        <v>11</v>
      </c>
      <c r="C57" s="209"/>
      <c r="D57" s="230">
        <f>D60-D63-D64-D65-D66</f>
        <v>239346.291339</v>
      </c>
      <c r="E57" s="109"/>
      <c r="F57" s="109"/>
      <c r="G57" s="109"/>
      <c r="H57" s="113"/>
      <c r="I57" s="109"/>
      <c r="J57" s="109"/>
    </row>
    <row r="58" spans="1:8" ht="26.25">
      <c r="A58" s="231" t="s">
        <v>52</v>
      </c>
      <c r="B58" s="208" t="s">
        <v>11</v>
      </c>
      <c r="C58" s="232"/>
      <c r="D58" s="233">
        <v>0</v>
      </c>
      <c r="E58" s="109"/>
      <c r="F58" s="109"/>
      <c r="G58" s="109"/>
      <c r="H58" s="109"/>
    </row>
    <row r="59" spans="1:10" ht="17.25" customHeight="1">
      <c r="A59" s="254" t="s">
        <v>12</v>
      </c>
      <c r="B59" s="208" t="s">
        <v>11</v>
      </c>
      <c r="C59" s="276"/>
      <c r="D59" s="55">
        <v>0</v>
      </c>
      <c r="E59" s="109"/>
      <c r="F59" s="109"/>
      <c r="G59" s="109"/>
      <c r="H59" s="109"/>
      <c r="I59" s="49"/>
      <c r="J59" s="49"/>
    </row>
    <row r="60" spans="1:14" ht="15.75">
      <c r="A60" s="235" t="s">
        <v>13</v>
      </c>
      <c r="B60" s="208" t="s">
        <v>11</v>
      </c>
      <c r="C60" s="236"/>
      <c r="D60" s="237">
        <v>251054.76</v>
      </c>
      <c r="E60" s="109"/>
      <c r="F60" s="109"/>
      <c r="G60" s="109"/>
      <c r="H60" s="109" t="s">
        <v>26</v>
      </c>
      <c r="I60" s="60"/>
      <c r="J60" s="60"/>
      <c r="K60" s="61"/>
      <c r="L60" s="61"/>
      <c r="M60" s="61"/>
      <c r="N60" s="61"/>
    </row>
    <row r="61" spans="1:14" ht="18" customHeight="1" thickBot="1">
      <c r="A61" s="571" t="s">
        <v>53</v>
      </c>
      <c r="B61" s="571"/>
      <c r="C61" s="571"/>
      <c r="D61" s="571"/>
      <c r="E61" s="114"/>
      <c r="F61" s="115"/>
      <c r="G61" s="116"/>
      <c r="H61" s="109"/>
      <c r="I61" s="65"/>
      <c r="J61" s="65"/>
      <c r="K61" s="66"/>
      <c r="L61" s="66"/>
      <c r="M61" s="66"/>
      <c r="N61" s="66"/>
    </row>
    <row r="62" spans="1:14" ht="38.25">
      <c r="A62" s="160" t="s">
        <v>54</v>
      </c>
      <c r="B62" s="68" t="s">
        <v>55</v>
      </c>
      <c r="C62" s="157" t="s">
        <v>56</v>
      </c>
      <c r="D62" s="158" t="s">
        <v>57</v>
      </c>
      <c r="E62" s="114"/>
      <c r="F62" s="115"/>
      <c r="G62" s="116"/>
      <c r="H62" s="109"/>
      <c r="I62" s="65"/>
      <c r="J62" s="71"/>
      <c r="K62" s="66"/>
      <c r="L62" s="66"/>
      <c r="M62" s="66"/>
      <c r="N62" s="66"/>
    </row>
    <row r="63" spans="1:14" ht="15.75">
      <c r="A63" s="238" t="s">
        <v>58</v>
      </c>
      <c r="B63" s="277">
        <v>4081.31</v>
      </c>
      <c r="C63" s="430">
        <f>B63*0.8071</f>
        <v>3294.025301</v>
      </c>
      <c r="D63" s="431">
        <f>B63-C63</f>
        <v>787.2846989999998</v>
      </c>
      <c r="E63" s="117"/>
      <c r="F63" s="63"/>
      <c r="G63" s="64"/>
      <c r="I63" s="65"/>
      <c r="J63" s="65"/>
      <c r="K63" s="66"/>
      <c r="L63" s="66"/>
      <c r="M63" s="66"/>
      <c r="N63" s="66"/>
    </row>
    <row r="64" spans="1:14" ht="15.75">
      <c r="A64" s="238" t="s">
        <v>59</v>
      </c>
      <c r="B64" s="277">
        <v>4670.73</v>
      </c>
      <c r="C64" s="430">
        <f>B64*0.8071</f>
        <v>3769.7461829999997</v>
      </c>
      <c r="D64" s="431">
        <f>B64-C64</f>
        <v>900.9838169999998</v>
      </c>
      <c r="E64" s="114"/>
      <c r="F64" s="63"/>
      <c r="G64" s="64"/>
      <c r="I64" s="65"/>
      <c r="J64" s="65"/>
      <c r="K64" s="66"/>
      <c r="L64" s="66"/>
      <c r="M64" s="66"/>
      <c r="N64" s="66"/>
    </row>
    <row r="65" spans="1:14" ht="15.75">
      <c r="A65" s="238" t="s">
        <v>60</v>
      </c>
      <c r="B65" s="280">
        <v>30586.7</v>
      </c>
      <c r="C65" s="430">
        <f>B65*0.8071</f>
        <v>24686.52557</v>
      </c>
      <c r="D65" s="431">
        <f>B65-C65</f>
        <v>5900.174429999999</v>
      </c>
      <c r="E65" s="114">
        <f>(2.07+1.8)*6*2301.2-0.37*2301.2*6</f>
        <v>48325.2</v>
      </c>
      <c r="F65" s="73"/>
      <c r="G65" s="74"/>
      <c r="H65" s="62"/>
      <c r="I65" s="65"/>
      <c r="J65" s="65"/>
      <c r="K65" s="66"/>
      <c r="L65" s="66"/>
      <c r="M65" s="66"/>
      <c r="N65" s="66"/>
    </row>
    <row r="66" spans="1:14" ht="16.5" thickBot="1">
      <c r="A66" s="261" t="s">
        <v>236</v>
      </c>
      <c r="B66" s="288">
        <v>21358.35</v>
      </c>
      <c r="C66" s="430">
        <f>B66*0.8071</f>
        <v>17238.324285</v>
      </c>
      <c r="D66" s="436">
        <f>B66-C66</f>
        <v>4120.025715</v>
      </c>
      <c r="E66" s="114"/>
      <c r="F66" s="73"/>
      <c r="G66" s="74"/>
      <c r="I66" s="65"/>
      <c r="J66" s="65"/>
      <c r="K66" s="66"/>
      <c r="L66" s="66"/>
      <c r="M66" s="66"/>
      <c r="N66" s="66"/>
    </row>
    <row r="67" spans="1:14" ht="78.75">
      <c r="A67" s="129" t="s">
        <v>62</v>
      </c>
      <c r="B67" s="141" t="s">
        <v>63</v>
      </c>
      <c r="C67" s="142" t="s">
        <v>64</v>
      </c>
      <c r="D67" s="143" t="s">
        <v>65</v>
      </c>
      <c r="E67" s="114"/>
      <c r="F67" s="73"/>
      <c r="H67" s="65"/>
      <c r="I67" s="65"/>
      <c r="J67" s="65"/>
      <c r="K67" s="66"/>
      <c r="L67" s="66"/>
      <c r="M67" s="66"/>
      <c r="N67" s="66"/>
    </row>
    <row r="68" spans="1:14" ht="15.75">
      <c r="A68" s="265" t="s">
        <v>58</v>
      </c>
      <c r="B68" s="248">
        <f>B63</f>
        <v>4081.31</v>
      </c>
      <c r="C68" s="433">
        <f>B68</f>
        <v>4081.31</v>
      </c>
      <c r="D68" s="437">
        <f>B68-C68</f>
        <v>0</v>
      </c>
      <c r="E68" s="114"/>
      <c r="F68" s="73"/>
      <c r="H68" s="65"/>
      <c r="I68" s="65"/>
      <c r="J68" s="65" t="s">
        <v>26</v>
      </c>
      <c r="K68" s="66"/>
      <c r="L68" s="66"/>
      <c r="M68" s="66"/>
      <c r="N68" s="66"/>
    </row>
    <row r="69" spans="1:14" ht="15.75">
      <c r="A69" s="265" t="s">
        <v>59</v>
      </c>
      <c r="B69" s="248">
        <f>B64</f>
        <v>4670.73</v>
      </c>
      <c r="C69" s="433">
        <f>B69</f>
        <v>4670.73</v>
      </c>
      <c r="D69" s="437">
        <f>B69-C69</f>
        <v>0</v>
      </c>
      <c r="E69" s="114"/>
      <c r="F69" s="73"/>
      <c r="H69" s="65"/>
      <c r="I69" s="65"/>
      <c r="J69" s="65"/>
      <c r="K69" s="66"/>
      <c r="L69" s="66"/>
      <c r="M69" s="66"/>
      <c r="N69" s="66"/>
    </row>
    <row r="70" spans="1:14" ht="15.75">
      <c r="A70" s="265" t="s">
        <v>60</v>
      </c>
      <c r="B70" s="248">
        <f>B65</f>
        <v>30586.7</v>
      </c>
      <c r="C70" s="433">
        <f>B70</f>
        <v>30586.7</v>
      </c>
      <c r="D70" s="437">
        <f>B70-C70</f>
        <v>0</v>
      </c>
      <c r="E70" s="114"/>
      <c r="F70" s="73"/>
      <c r="H70" s="65"/>
      <c r="I70" s="65"/>
      <c r="J70" s="65"/>
      <c r="K70" s="66"/>
      <c r="L70" s="66"/>
      <c r="M70" s="66"/>
      <c r="N70" s="66"/>
    </row>
    <row r="71" spans="1:14" ht="15.75">
      <c r="A71" s="391" t="s">
        <v>236</v>
      </c>
      <c r="B71" s="392">
        <f>B66</f>
        <v>21358.35</v>
      </c>
      <c r="C71" s="438">
        <f>C66</f>
        <v>17238.324285</v>
      </c>
      <c r="D71" s="439">
        <f>B71-C71</f>
        <v>4120.025715</v>
      </c>
      <c r="E71" s="114"/>
      <c r="F71" s="73"/>
      <c r="H71" s="65"/>
      <c r="I71" s="65"/>
      <c r="J71" s="65"/>
      <c r="K71" s="66"/>
      <c r="L71" s="66"/>
      <c r="M71" s="66"/>
      <c r="N71" s="66"/>
    </row>
    <row r="72" spans="1:14" ht="15.75">
      <c r="A72" s="247"/>
      <c r="B72" s="248"/>
      <c r="C72" s="425"/>
      <c r="D72" s="426"/>
      <c r="E72" s="114"/>
      <c r="F72" s="73"/>
      <c r="H72" s="65"/>
      <c r="I72" s="65"/>
      <c r="J72" s="65"/>
      <c r="K72" s="66"/>
      <c r="L72" s="66"/>
      <c r="M72" s="66"/>
      <c r="N72" s="66"/>
    </row>
    <row r="73" spans="1:14" ht="26.25">
      <c r="A73" s="251" t="s">
        <v>66</v>
      </c>
      <c r="B73" s="248" t="s">
        <v>11</v>
      </c>
      <c r="C73" s="427"/>
      <c r="D73" s="428">
        <v>0</v>
      </c>
      <c r="E73" s="114"/>
      <c r="F73" s="73"/>
      <c r="H73" s="65"/>
      <c r="I73" s="65"/>
      <c r="J73" s="65" t="s">
        <v>26</v>
      </c>
      <c r="K73" s="66"/>
      <c r="L73" s="66"/>
      <c r="M73" s="66"/>
      <c r="N73" s="66"/>
    </row>
    <row r="74" spans="1:14" ht="17.25" customHeight="1">
      <c r="A74" s="572" t="s">
        <v>67</v>
      </c>
      <c r="B74" s="572"/>
      <c r="C74" s="572"/>
      <c r="D74" s="572"/>
      <c r="E74" s="121" t="e">
        <f>D74+B19</f>
        <v>#VALUE!</v>
      </c>
      <c r="F74" s="65"/>
      <c r="H74" s="84" t="e">
        <f>E74-B18</f>
        <v>#VALUE!</v>
      </c>
      <c r="I74" s="65"/>
      <c r="J74" s="65"/>
      <c r="K74" s="66"/>
      <c r="L74" s="66"/>
      <c r="M74" s="66"/>
      <c r="N74" s="66"/>
    </row>
    <row r="75" spans="1:5" ht="21" customHeight="1">
      <c r="A75" s="86" t="s">
        <v>45</v>
      </c>
      <c r="B75" s="86" t="s">
        <v>46</v>
      </c>
      <c r="C75" s="86"/>
      <c r="D75" s="177">
        <v>0</v>
      </c>
      <c r="E75" s="123"/>
    </row>
    <row r="76" spans="1:5" ht="21" customHeight="1">
      <c r="A76" s="86" t="s">
        <v>47</v>
      </c>
      <c r="B76" s="86" t="s">
        <v>46</v>
      </c>
      <c r="C76" s="86"/>
      <c r="D76" s="177">
        <v>0</v>
      </c>
      <c r="E76" s="123"/>
    </row>
    <row r="77" spans="1:5" ht="18" customHeight="1">
      <c r="A77" s="86" t="s">
        <v>48</v>
      </c>
      <c r="B77" s="86" t="s">
        <v>46</v>
      </c>
      <c r="C77" s="86"/>
      <c r="D77" s="177">
        <v>0</v>
      </c>
      <c r="E77" s="123"/>
    </row>
    <row r="78" spans="1:5" ht="16.5" customHeight="1">
      <c r="A78" s="86" t="s">
        <v>49</v>
      </c>
      <c r="B78" s="86" t="s">
        <v>11</v>
      </c>
      <c r="C78" s="86"/>
      <c r="D78" s="177">
        <v>0</v>
      </c>
      <c r="E78" s="123"/>
    </row>
    <row r="79" spans="1:5" ht="15.75" customHeight="1">
      <c r="A79" s="566" t="s">
        <v>68</v>
      </c>
      <c r="B79" s="566"/>
      <c r="C79" s="566"/>
      <c r="D79" s="566"/>
      <c r="E79" s="123"/>
    </row>
    <row r="80" spans="1:5" ht="18.75" customHeight="1">
      <c r="A80" s="86" t="s">
        <v>69</v>
      </c>
      <c r="B80" s="86" t="s">
        <v>46</v>
      </c>
      <c r="C80" s="86"/>
      <c r="D80" s="177">
        <v>1</v>
      </c>
      <c r="E80" s="123"/>
    </row>
    <row r="81" spans="1:5" ht="21.75" customHeight="1">
      <c r="A81" s="86" t="s">
        <v>70</v>
      </c>
      <c r="B81" s="254" t="s">
        <v>46</v>
      </c>
      <c r="C81" s="254"/>
      <c r="D81" s="177">
        <v>0</v>
      </c>
      <c r="E81" s="123"/>
    </row>
    <row r="82" spans="1:5" ht="36" customHeight="1">
      <c r="A82" s="255" t="s">
        <v>71</v>
      </c>
      <c r="B82" s="86" t="s">
        <v>11</v>
      </c>
      <c r="C82" s="86"/>
      <c r="D82" s="177">
        <v>0</v>
      </c>
      <c r="E82" s="88"/>
    </row>
    <row r="83" spans="1:4" ht="15.75">
      <c r="A83" s="256"/>
      <c r="B83" s="256"/>
      <c r="C83" s="256"/>
      <c r="D83" s="257"/>
    </row>
    <row r="84" spans="1:14" s="1" customFormat="1" ht="12.75">
      <c r="A84" s="178"/>
      <c r="B84" s="178"/>
      <c r="C84" s="178"/>
      <c r="D84" s="178"/>
      <c r="H84" s="1" t="s">
        <v>26</v>
      </c>
      <c r="K84"/>
      <c r="L84"/>
      <c r="M84"/>
      <c r="N84"/>
    </row>
    <row r="85" spans="1:14" s="1" customFormat="1" ht="12.75">
      <c r="A85" s="178" t="s">
        <v>72</v>
      </c>
      <c r="B85" s="178"/>
      <c r="C85" s="178" t="s">
        <v>141</v>
      </c>
      <c r="D85" s="178"/>
      <c r="K85"/>
      <c r="L85"/>
      <c r="M85"/>
      <c r="N85"/>
    </row>
    <row r="86" spans="1:14" s="1" customFormat="1" ht="12.75">
      <c r="A86" s="178"/>
      <c r="B86" s="178"/>
      <c r="C86" s="178"/>
      <c r="D86" s="178"/>
      <c r="H86" s="1" t="s">
        <v>26</v>
      </c>
      <c r="K86"/>
      <c r="L86"/>
      <c r="M86"/>
      <c r="N86"/>
    </row>
    <row r="87" spans="1:14" s="1" customFormat="1" ht="12.75">
      <c r="A87" s="178" t="s">
        <v>73</v>
      </c>
      <c r="B87" s="178"/>
      <c r="C87" s="178"/>
      <c r="D87" s="178"/>
      <c r="K87"/>
      <c r="L87"/>
      <c r="M87"/>
      <c r="N87"/>
    </row>
    <row r="88" spans="1:4" ht="12.75">
      <c r="A88" s="178"/>
      <c r="B88" s="178"/>
      <c r="C88" s="178"/>
      <c r="D88" s="178"/>
    </row>
    <row r="89" spans="1:4" ht="12.75">
      <c r="A89" s="178"/>
      <c r="B89" s="178"/>
      <c r="C89" s="178"/>
      <c r="D89" s="178"/>
    </row>
    <row r="91" spans="1:14" s="1" customFormat="1" ht="12.75">
      <c r="A91"/>
      <c r="B91"/>
      <c r="C91"/>
      <c r="D91"/>
      <c r="E91" s="1" t="s">
        <v>26</v>
      </c>
      <c r="K91"/>
      <c r="L91"/>
      <c r="M91"/>
      <c r="N91"/>
    </row>
  </sheetData>
  <sheetProtection selectLockedCells="1" selectUnlockedCells="1"/>
  <mergeCells count="13">
    <mergeCell ref="A79:D79"/>
    <mergeCell ref="A14:D14"/>
    <mergeCell ref="A28:D28"/>
    <mergeCell ref="A49:D49"/>
    <mergeCell ref="A54:D54"/>
    <mergeCell ref="A61:D61"/>
    <mergeCell ref="A74:D74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600" verticalDpi="600" orientation="portrait" paperSize="12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zoomScale="80" zoomScaleNormal="80" zoomScalePageLayoutView="0" workbookViewId="0" topLeftCell="A22">
      <selection activeCell="D39" sqref="D39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560" t="s">
        <v>0</v>
      </c>
      <c r="B1" s="560"/>
      <c r="C1" s="560"/>
      <c r="D1" s="560"/>
    </row>
    <row r="2" spans="1:4" ht="15.75">
      <c r="A2" s="561" t="s">
        <v>220</v>
      </c>
      <c r="B2" s="562"/>
      <c r="C2" s="562"/>
      <c r="D2" s="562"/>
    </row>
    <row r="3" spans="1:4" ht="15.75">
      <c r="A3" s="562" t="s">
        <v>1</v>
      </c>
      <c r="B3" s="562"/>
      <c r="C3" s="562"/>
      <c r="D3" s="562"/>
    </row>
    <row r="4" spans="1:4" ht="12.75">
      <c r="A4" s="563" t="s">
        <v>136</v>
      </c>
      <c r="B4" s="563"/>
      <c r="C4" s="563"/>
      <c r="D4" s="563"/>
    </row>
    <row r="5" spans="1:4" ht="12.75">
      <c r="A5" s="564" t="s">
        <v>266</v>
      </c>
      <c r="B5" s="563"/>
      <c r="C5" s="563"/>
      <c r="D5" s="563"/>
    </row>
    <row r="6" ht="9" customHeight="1">
      <c r="A6" s="2"/>
    </row>
    <row r="7" spans="1:4" ht="18" customHeight="1">
      <c r="A7" s="565" t="s">
        <v>2</v>
      </c>
      <c r="B7" s="565"/>
      <c r="C7" s="565"/>
      <c r="D7" s="565"/>
    </row>
    <row r="8" spans="1:3" ht="12.75">
      <c r="A8" s="2" t="s">
        <v>192</v>
      </c>
      <c r="C8" s="3"/>
    </row>
    <row r="9" spans="1:4" ht="12.75">
      <c r="A9" s="4" t="s">
        <v>3</v>
      </c>
      <c r="B9" s="4" t="s">
        <v>4</v>
      </c>
      <c r="C9" s="4" t="s">
        <v>5</v>
      </c>
      <c r="D9" s="5"/>
    </row>
    <row r="10" spans="1:4" ht="12.75">
      <c r="A10" s="6">
        <v>1</v>
      </c>
      <c r="B10" s="6">
        <v>2</v>
      </c>
      <c r="C10" s="6">
        <v>3</v>
      </c>
      <c r="D10" s="7">
        <v>4</v>
      </c>
    </row>
    <row r="11" spans="1:4" ht="12.75">
      <c r="A11" s="8" t="s">
        <v>6</v>
      </c>
      <c r="B11" s="9"/>
      <c r="C11" s="144" t="s">
        <v>262</v>
      </c>
      <c r="D11" s="10"/>
    </row>
    <row r="12" spans="1:8" ht="12.75">
      <c r="A12" s="8" t="s">
        <v>7</v>
      </c>
      <c r="B12" s="9"/>
      <c r="C12" s="144" t="s">
        <v>263</v>
      </c>
      <c r="D12" s="10"/>
      <c r="E12" s="109"/>
      <c r="F12" s="109"/>
      <c r="G12" s="109"/>
      <c r="H12" s="109"/>
    </row>
    <row r="13" spans="1:8" ht="12.75">
      <c r="A13" s="8" t="s">
        <v>8</v>
      </c>
      <c r="B13" s="9"/>
      <c r="C13" s="144" t="s">
        <v>267</v>
      </c>
      <c r="D13" s="10"/>
      <c r="E13" s="109"/>
      <c r="F13" s="109"/>
      <c r="G13" s="109"/>
      <c r="H13" s="109"/>
    </row>
    <row r="14" spans="1:8" ht="31.5" customHeight="1">
      <c r="A14" s="567" t="s">
        <v>9</v>
      </c>
      <c r="B14" s="567"/>
      <c r="C14" s="567"/>
      <c r="D14" s="567"/>
      <c r="E14" s="109"/>
      <c r="F14" s="109"/>
      <c r="G14" s="109"/>
      <c r="H14" s="109"/>
    </row>
    <row r="15" spans="1:8" ht="25.5">
      <c r="A15" s="11" t="s">
        <v>10</v>
      </c>
      <c r="B15" s="12" t="s">
        <v>11</v>
      </c>
      <c r="C15" s="15">
        <v>19650.16</v>
      </c>
      <c r="D15" s="14"/>
      <c r="E15" s="109"/>
      <c r="F15" s="109"/>
      <c r="G15" s="109"/>
      <c r="H15" s="109"/>
    </row>
    <row r="16" spans="1:8" ht="15">
      <c r="A16" s="8" t="s">
        <v>12</v>
      </c>
      <c r="B16" s="12" t="s">
        <v>11</v>
      </c>
      <c r="C16" s="13">
        <v>0</v>
      </c>
      <c r="D16" s="14"/>
      <c r="E16" s="109"/>
      <c r="F16" s="109"/>
      <c r="G16" s="109"/>
      <c r="H16" s="109"/>
    </row>
    <row r="17" spans="1:8" ht="15">
      <c r="A17" s="8" t="s">
        <v>13</v>
      </c>
      <c r="B17" s="12" t="s">
        <v>11</v>
      </c>
      <c r="C17" s="15">
        <v>1043.1</v>
      </c>
      <c r="D17" s="16"/>
      <c r="E17" s="109"/>
      <c r="F17" s="109"/>
      <c r="G17" s="109"/>
      <c r="H17" s="109"/>
    </row>
    <row r="18" spans="1:8" ht="31.5" customHeight="1">
      <c r="A18" s="17" t="s">
        <v>14</v>
      </c>
      <c r="B18" s="12" t="s">
        <v>11</v>
      </c>
      <c r="C18" s="15">
        <f>11194.32+1283.04</f>
        <v>12477.36</v>
      </c>
      <c r="D18" s="16"/>
      <c r="E18" s="110">
        <f>C18-C20</f>
        <v>7541.076000000001</v>
      </c>
      <c r="F18" s="109"/>
      <c r="G18" s="109"/>
      <c r="H18" s="109"/>
    </row>
    <row r="19" spans="1:8" ht="15">
      <c r="A19" s="8" t="s">
        <v>15</v>
      </c>
      <c r="B19" s="12" t="s">
        <v>11</v>
      </c>
      <c r="C19" s="15">
        <f>C18-C20-C21</f>
        <v>3528.732000000001</v>
      </c>
      <c r="D19" s="16"/>
      <c r="E19" s="110">
        <f>E18-E38</f>
        <v>-0.003999999998995918</v>
      </c>
      <c r="F19" s="109"/>
      <c r="G19" s="109"/>
      <c r="H19" s="109"/>
    </row>
    <row r="20" spans="1:8" ht="15">
      <c r="A20" s="8" t="s">
        <v>16</v>
      </c>
      <c r="B20" s="12" t="s">
        <v>11</v>
      </c>
      <c r="C20" s="15">
        <f>(3.73+3.9)*6*79.8+1283.04</f>
        <v>4936.284</v>
      </c>
      <c r="D20" s="16"/>
      <c r="E20" s="111"/>
      <c r="F20" s="109"/>
      <c r="G20" s="109"/>
      <c r="H20" s="109"/>
    </row>
    <row r="21" spans="1:8" ht="15">
      <c r="A21" s="8" t="s">
        <v>17</v>
      </c>
      <c r="B21" s="12" t="s">
        <v>11</v>
      </c>
      <c r="C21" s="19">
        <f>79.8*4.19*12</f>
        <v>4012.344</v>
      </c>
      <c r="D21" s="16"/>
      <c r="E21" s="109"/>
      <c r="F21" s="109"/>
      <c r="G21" s="109"/>
      <c r="H21" s="109"/>
    </row>
    <row r="22" spans="1:8" ht="15">
      <c r="A22" s="20" t="s">
        <v>18</v>
      </c>
      <c r="B22" s="12" t="s">
        <v>11</v>
      </c>
      <c r="C22" s="15">
        <f>C23+C24+C25+C26+C27</f>
        <v>12256.510728</v>
      </c>
      <c r="D22" s="16" t="s">
        <v>19</v>
      </c>
      <c r="E22" s="110" t="e">
        <f>B24+B25+B26+B27+B28</f>
        <v>#VALUE!</v>
      </c>
      <c r="F22" s="109"/>
      <c r="G22" s="109"/>
      <c r="H22" s="109"/>
    </row>
    <row r="23" spans="1:8" ht="15">
      <c r="A23" s="8" t="s">
        <v>20</v>
      </c>
      <c r="B23" s="12" t="s">
        <v>11</v>
      </c>
      <c r="C23" s="15">
        <f>C18*0.9823</f>
        <v>12256.510728</v>
      </c>
      <c r="D23" s="16"/>
      <c r="E23" s="109"/>
      <c r="F23" s="109"/>
      <c r="G23" s="109"/>
      <c r="H23" s="109"/>
    </row>
    <row r="24" spans="1:8" ht="15">
      <c r="A24" s="8" t="s">
        <v>21</v>
      </c>
      <c r="B24" s="12" t="s">
        <v>11</v>
      </c>
      <c r="C24" s="15">
        <v>0</v>
      </c>
      <c r="D24" s="21">
        <v>65.21</v>
      </c>
      <c r="E24" s="111" t="e">
        <f>B24/#REF!*1</f>
        <v>#VALUE!</v>
      </c>
      <c r="F24" s="109"/>
      <c r="G24" s="109"/>
      <c r="H24" s="109" t="s">
        <v>22</v>
      </c>
    </row>
    <row r="25" spans="1:8" ht="15">
      <c r="A25" s="8" t="s">
        <v>23</v>
      </c>
      <c r="B25" s="12" t="s">
        <v>11</v>
      </c>
      <c r="C25" s="15">
        <v>0</v>
      </c>
      <c r="D25" s="21">
        <v>119.63</v>
      </c>
      <c r="E25" s="111" t="e">
        <f>B25/#REF!*1</f>
        <v>#VALUE!</v>
      </c>
      <c r="F25" s="109"/>
      <c r="G25" s="109"/>
      <c r="H25" s="109"/>
    </row>
    <row r="26" spans="1:8" ht="15">
      <c r="A26" s="9" t="s">
        <v>24</v>
      </c>
      <c r="B26" s="12" t="s">
        <v>11</v>
      </c>
      <c r="C26" s="15">
        <v>0</v>
      </c>
      <c r="D26" s="21"/>
      <c r="E26" s="111" t="e">
        <f>B26/#REF!*1</f>
        <v>#VALUE!</v>
      </c>
      <c r="F26" s="109"/>
      <c r="G26" s="109"/>
      <c r="H26" s="109"/>
    </row>
    <row r="27" spans="1:8" ht="16.5" customHeight="1">
      <c r="A27" s="98" t="s">
        <v>96</v>
      </c>
      <c r="B27" s="12" t="s">
        <v>11</v>
      </c>
      <c r="C27" s="15">
        <v>0</v>
      </c>
      <c r="D27" s="21">
        <v>139.18</v>
      </c>
      <c r="E27" s="111" t="e">
        <f>B27/#REF!*1</f>
        <v>#VALUE!</v>
      </c>
      <c r="F27" s="109"/>
      <c r="G27" s="109"/>
      <c r="H27" s="109"/>
    </row>
    <row r="28" spans="1:8" ht="15">
      <c r="A28" s="8" t="s">
        <v>25</v>
      </c>
      <c r="B28" s="12" t="s">
        <v>11</v>
      </c>
      <c r="C28" s="15">
        <f>C15+C22</f>
        <v>31906.670727999997</v>
      </c>
      <c r="D28" s="16" t="s">
        <v>26</v>
      </c>
      <c r="E28" s="111" t="e">
        <f>B28/#REF!*1</f>
        <v>#VALUE!</v>
      </c>
      <c r="F28" s="109"/>
      <c r="G28" s="109"/>
      <c r="H28" s="109"/>
    </row>
    <row r="29" spans="1:8" ht="35.25" customHeight="1">
      <c r="A29" s="568" t="s">
        <v>27</v>
      </c>
      <c r="B29" s="568"/>
      <c r="C29" s="568"/>
      <c r="D29" s="568"/>
      <c r="E29" s="109"/>
      <c r="F29" s="109"/>
      <c r="G29" s="109"/>
      <c r="H29" s="109"/>
    </row>
    <row r="30" spans="1:8" ht="60">
      <c r="A30" s="22" t="s">
        <v>28</v>
      </c>
      <c r="B30" s="23" t="s">
        <v>29</v>
      </c>
      <c r="C30" s="24" t="s">
        <v>30</v>
      </c>
      <c r="D30" s="25" t="s">
        <v>31</v>
      </c>
      <c r="E30" s="109"/>
      <c r="F30" s="109"/>
      <c r="G30" s="109"/>
      <c r="H30" s="109"/>
    </row>
    <row r="31" spans="1:8" ht="15">
      <c r="A31" s="26" t="s">
        <v>32</v>
      </c>
      <c r="B31" s="27" t="s">
        <v>33</v>
      </c>
      <c r="C31" s="28" t="s">
        <v>34</v>
      </c>
      <c r="D31" s="92">
        <f>(0.85+0.95)*6*79.8</f>
        <v>861.8399999999999</v>
      </c>
      <c r="E31" s="109"/>
      <c r="F31" s="109"/>
      <c r="G31" s="109"/>
      <c r="H31" s="109"/>
    </row>
    <row r="32" spans="1:8" ht="15">
      <c r="A32" s="29" t="s">
        <v>36</v>
      </c>
      <c r="B32" s="30" t="s">
        <v>33</v>
      </c>
      <c r="C32" s="31" t="s">
        <v>37</v>
      </c>
      <c r="D32" s="93">
        <f>0.24*12*79.8</f>
        <v>229.82399999999998</v>
      </c>
      <c r="E32" s="109"/>
      <c r="F32" s="109"/>
      <c r="G32" s="109"/>
      <c r="H32" s="109"/>
    </row>
    <row r="33" spans="1:8" ht="15">
      <c r="A33" s="153" t="s">
        <v>174</v>
      </c>
      <c r="B33" s="30" t="s">
        <v>33</v>
      </c>
      <c r="C33" s="31" t="s">
        <v>34</v>
      </c>
      <c r="D33" s="93">
        <f>(0.35+0.16)*6*79.8</f>
        <v>244.188</v>
      </c>
      <c r="E33" s="109"/>
      <c r="F33" s="109"/>
      <c r="G33" s="109"/>
      <c r="H33" s="109"/>
    </row>
    <row r="34" spans="1:8" ht="15">
      <c r="A34" s="29" t="s">
        <v>81</v>
      </c>
      <c r="B34" s="91" t="s">
        <v>82</v>
      </c>
      <c r="C34" s="31" t="s">
        <v>34</v>
      </c>
      <c r="D34" s="93">
        <f>1.33*12*79.8</f>
        <v>1273.608</v>
      </c>
      <c r="E34" s="109"/>
      <c r="F34" s="109"/>
      <c r="G34" s="109"/>
      <c r="H34" s="109"/>
    </row>
    <row r="35" spans="1:8" ht="15">
      <c r="A35" s="29" t="s">
        <v>38</v>
      </c>
      <c r="B35" s="30" t="s">
        <v>35</v>
      </c>
      <c r="C35" s="364" t="s">
        <v>221</v>
      </c>
      <c r="D35" s="93">
        <f>4.19*79.8*12</f>
        <v>4012.344</v>
      </c>
      <c r="E35" s="109"/>
      <c r="F35" s="109"/>
      <c r="G35" s="109"/>
      <c r="H35" s="109"/>
    </row>
    <row r="36" spans="1:8" ht="15">
      <c r="A36" s="29" t="s">
        <v>85</v>
      </c>
      <c r="B36" s="30" t="s">
        <v>222</v>
      </c>
      <c r="C36" s="171" t="s">
        <v>37</v>
      </c>
      <c r="D36" s="93">
        <f>79.8*12*0.96-0.02</f>
        <v>919.276</v>
      </c>
      <c r="E36" s="109"/>
      <c r="F36" s="109"/>
      <c r="G36" s="109"/>
      <c r="H36" s="109"/>
    </row>
    <row r="37" spans="1:14" s="1" customFormat="1" ht="45">
      <c r="A37" s="33" t="s">
        <v>40</v>
      </c>
      <c r="B37" s="34" t="s">
        <v>41</v>
      </c>
      <c r="C37" s="108" t="s">
        <v>77</v>
      </c>
      <c r="D37" s="36">
        <v>0</v>
      </c>
      <c r="E37" s="109"/>
      <c r="F37" s="109"/>
      <c r="G37" s="109"/>
      <c r="H37" s="109"/>
      <c r="K37"/>
      <c r="L37"/>
      <c r="M37"/>
      <c r="N37"/>
    </row>
    <row r="38" spans="1:14" s="1" customFormat="1" ht="15.75">
      <c r="A38" s="37" t="s">
        <v>42</v>
      </c>
      <c r="B38" s="38"/>
      <c r="C38" s="39"/>
      <c r="D38" s="97">
        <f>SUM(D31:D37)</f>
        <v>7541.08</v>
      </c>
      <c r="E38" s="112">
        <f>D38-D37</f>
        <v>7541.08</v>
      </c>
      <c r="F38" s="109"/>
      <c r="G38" s="109"/>
      <c r="H38" s="109"/>
      <c r="K38"/>
      <c r="L38"/>
      <c r="M38"/>
      <c r="N38"/>
    </row>
    <row r="39" spans="1:14" s="1" customFormat="1" ht="15">
      <c r="A39" s="40" t="s">
        <v>43</v>
      </c>
      <c r="B39" s="41" t="s">
        <v>11</v>
      </c>
      <c r="C39" s="42"/>
      <c r="D39" s="43">
        <f>C28-D38</f>
        <v>24365.590727999996</v>
      </c>
      <c r="E39" s="112"/>
      <c r="F39" s="109"/>
      <c r="G39" s="109"/>
      <c r="H39" s="109"/>
      <c r="K39"/>
      <c r="L39"/>
      <c r="M39"/>
      <c r="N39"/>
    </row>
    <row r="40" spans="1:14" s="1" customFormat="1" ht="15">
      <c r="A40" s="45" t="s">
        <v>12</v>
      </c>
      <c r="B40" s="46" t="s">
        <v>11</v>
      </c>
      <c r="C40" s="31"/>
      <c r="D40" s="16"/>
      <c r="E40" s="109"/>
      <c r="F40" s="109"/>
      <c r="G40" s="109"/>
      <c r="H40" s="109"/>
      <c r="K40"/>
      <c r="L40"/>
      <c r="M40"/>
      <c r="N40"/>
    </row>
    <row r="41" spans="1:14" s="1" customFormat="1" ht="15">
      <c r="A41" s="45" t="s">
        <v>13</v>
      </c>
      <c r="B41" s="46" t="s">
        <v>11</v>
      </c>
      <c r="C41" s="31"/>
      <c r="D41" s="16">
        <f>C17+C18-C23</f>
        <v>1263.9492720000017</v>
      </c>
      <c r="E41" s="109"/>
      <c r="F41" s="109"/>
      <c r="G41" s="109"/>
      <c r="H41" s="109"/>
      <c r="K41"/>
      <c r="L41"/>
      <c r="M41"/>
      <c r="N41"/>
    </row>
    <row r="42" spans="1:14" s="1" customFormat="1" ht="24" customHeight="1">
      <c r="A42" s="569" t="s">
        <v>44</v>
      </c>
      <c r="B42" s="569"/>
      <c r="C42" s="569"/>
      <c r="D42" s="569"/>
      <c r="E42" s="109"/>
      <c r="F42" s="109"/>
      <c r="G42" s="109"/>
      <c r="H42" s="109"/>
      <c r="K42"/>
      <c r="L42"/>
      <c r="M42"/>
      <c r="N42"/>
    </row>
    <row r="43" spans="1:14" s="1" customFormat="1" ht="15">
      <c r="A43" s="45" t="s">
        <v>45</v>
      </c>
      <c r="B43" s="30" t="s">
        <v>46</v>
      </c>
      <c r="C43" s="31"/>
      <c r="D43" s="14">
        <v>0</v>
      </c>
      <c r="E43" s="109"/>
      <c r="F43" s="109"/>
      <c r="G43" s="109"/>
      <c r="H43" s="109"/>
      <c r="K43"/>
      <c r="L43"/>
      <c r="M43"/>
      <c r="N43"/>
    </row>
    <row r="44" spans="1:14" s="1" customFormat="1" ht="15">
      <c r="A44" s="45" t="s">
        <v>47</v>
      </c>
      <c r="B44" s="30" t="s">
        <v>46</v>
      </c>
      <c r="C44" s="31"/>
      <c r="D44" s="14">
        <v>0</v>
      </c>
      <c r="E44" s="109"/>
      <c r="F44" s="109"/>
      <c r="G44" s="109"/>
      <c r="H44" s="109"/>
      <c r="K44"/>
      <c r="L44"/>
      <c r="M44"/>
      <c r="N44"/>
    </row>
    <row r="45" spans="1:14" s="1" customFormat="1" ht="15">
      <c r="A45" s="47" t="s">
        <v>48</v>
      </c>
      <c r="B45" s="30" t="s">
        <v>46</v>
      </c>
      <c r="C45" s="31"/>
      <c r="D45" s="14">
        <v>0</v>
      </c>
      <c r="E45" s="109"/>
      <c r="F45" s="109"/>
      <c r="G45" s="109"/>
      <c r="H45" s="109"/>
      <c r="K45"/>
      <c r="L45"/>
      <c r="M45"/>
      <c r="N45"/>
    </row>
    <row r="46" spans="1:14" s="1" customFormat="1" ht="15">
      <c r="A46" s="45" t="s">
        <v>49</v>
      </c>
      <c r="B46" s="30" t="s">
        <v>11</v>
      </c>
      <c r="C46" s="31"/>
      <c r="D46" s="14">
        <v>0</v>
      </c>
      <c r="E46" s="109"/>
      <c r="F46" s="109"/>
      <c r="G46" s="109"/>
      <c r="H46" s="109"/>
      <c r="K46"/>
      <c r="L46"/>
      <c r="M46"/>
      <c r="N46"/>
    </row>
    <row r="47" spans="1:8" ht="20.25" customHeight="1">
      <c r="A47" s="570" t="s">
        <v>50</v>
      </c>
      <c r="B47" s="570"/>
      <c r="C47" s="570"/>
      <c r="D47" s="570"/>
      <c r="E47" s="109"/>
      <c r="F47" s="109"/>
      <c r="G47" s="109"/>
      <c r="H47" s="109"/>
    </row>
    <row r="48" spans="1:8" ht="25.5">
      <c r="A48" s="47" t="s">
        <v>51</v>
      </c>
      <c r="B48" s="30" t="s">
        <v>11</v>
      </c>
      <c r="C48" s="31"/>
      <c r="D48" s="14">
        <v>0</v>
      </c>
      <c r="E48" s="109"/>
      <c r="F48" s="109"/>
      <c r="G48" s="109"/>
      <c r="H48" s="109"/>
    </row>
    <row r="49" spans="1:8" ht="15">
      <c r="A49" s="45" t="s">
        <v>12</v>
      </c>
      <c r="B49" s="30" t="s">
        <v>11</v>
      </c>
      <c r="C49" s="31"/>
      <c r="D49" s="14">
        <v>0</v>
      </c>
      <c r="E49" s="109"/>
      <c r="F49" s="109"/>
      <c r="G49" s="109"/>
      <c r="H49" s="109"/>
    </row>
    <row r="50" spans="1:8" ht="15">
      <c r="A50" s="45" t="s">
        <v>13</v>
      </c>
      <c r="B50" s="30" t="s">
        <v>11</v>
      </c>
      <c r="C50" s="31"/>
      <c r="D50" s="48">
        <f>D53+D56+D59</f>
        <v>694.2248790000006</v>
      </c>
      <c r="E50" s="109"/>
      <c r="F50" s="109"/>
      <c r="G50" s="109"/>
      <c r="H50" s="113"/>
    </row>
    <row r="51" spans="1:8" ht="25.5">
      <c r="A51" s="50" t="s">
        <v>52</v>
      </c>
      <c r="B51" s="30" t="s">
        <v>11</v>
      </c>
      <c r="C51" s="51"/>
      <c r="D51" s="52">
        <v>0</v>
      </c>
      <c r="E51" s="109"/>
      <c r="F51" s="109"/>
      <c r="G51" s="109"/>
      <c r="H51" s="109"/>
    </row>
    <row r="52" spans="1:10" ht="17.25" customHeight="1">
      <c r="A52" s="53" t="s">
        <v>12</v>
      </c>
      <c r="B52" s="30" t="s">
        <v>11</v>
      </c>
      <c r="C52" s="31"/>
      <c r="D52" s="14">
        <v>0</v>
      </c>
      <c r="E52" s="109"/>
      <c r="F52" s="109"/>
      <c r="G52" s="109"/>
      <c r="H52" s="109"/>
      <c r="I52" s="49"/>
      <c r="J52" s="49"/>
    </row>
    <row r="53" spans="1:14" ht="15">
      <c r="A53" s="56" t="s">
        <v>13</v>
      </c>
      <c r="B53" s="30" t="s">
        <v>11</v>
      </c>
      <c r="C53" s="57"/>
      <c r="D53" s="58">
        <v>601.95</v>
      </c>
      <c r="E53" s="109"/>
      <c r="F53" s="109"/>
      <c r="G53" s="109"/>
      <c r="H53" s="109" t="s">
        <v>26</v>
      </c>
      <c r="I53" s="60"/>
      <c r="J53" s="60"/>
      <c r="K53" s="61"/>
      <c r="L53" s="61"/>
      <c r="M53" s="61"/>
      <c r="N53" s="61"/>
    </row>
    <row r="54" spans="1:14" ht="18" customHeight="1">
      <c r="A54" s="571" t="s">
        <v>53</v>
      </c>
      <c r="B54" s="571"/>
      <c r="C54" s="571"/>
      <c r="D54" s="571"/>
      <c r="E54" s="114"/>
      <c r="F54" s="115"/>
      <c r="G54" s="116"/>
      <c r="H54" s="109"/>
      <c r="I54" s="65"/>
      <c r="J54" s="65"/>
      <c r="K54" s="66"/>
      <c r="L54" s="66"/>
      <c r="M54" s="66"/>
      <c r="N54" s="66"/>
    </row>
    <row r="55" spans="1:14" ht="47.25">
      <c r="A55" s="67" t="s">
        <v>54</v>
      </c>
      <c r="B55" s="68" t="s">
        <v>55</v>
      </c>
      <c r="C55" s="69" t="s">
        <v>56</v>
      </c>
      <c r="D55" s="70" t="s">
        <v>57</v>
      </c>
      <c r="E55" s="114"/>
      <c r="F55" s="115"/>
      <c r="G55" s="116"/>
      <c r="H55" s="109"/>
      <c r="I55" s="65"/>
      <c r="J55" s="71"/>
      <c r="K55" s="66"/>
      <c r="L55" s="66"/>
      <c r="M55" s="66"/>
      <c r="N55" s="66"/>
    </row>
    <row r="56" spans="1:14" ht="15">
      <c r="A56" s="72" t="s">
        <v>58</v>
      </c>
      <c r="B56" s="99">
        <v>743</v>
      </c>
      <c r="C56" s="100">
        <f>B56*0.9823</f>
        <v>729.8489</v>
      </c>
      <c r="D56" s="101">
        <f>B56-C56</f>
        <v>13.151100000000042</v>
      </c>
      <c r="E56" s="117"/>
      <c r="F56" s="115"/>
      <c r="G56" s="116"/>
      <c r="H56" s="109"/>
      <c r="I56" s="65"/>
      <c r="J56" s="65"/>
      <c r="K56" s="66"/>
      <c r="L56" s="66"/>
      <c r="M56" s="66"/>
      <c r="N56" s="66"/>
    </row>
    <row r="57" spans="1:14" ht="15">
      <c r="A57" s="72" t="s">
        <v>59</v>
      </c>
      <c r="B57" s="99">
        <v>0</v>
      </c>
      <c r="C57" s="100">
        <f>B57*0.8954</f>
        <v>0</v>
      </c>
      <c r="D57" s="101">
        <f>B57-C57</f>
        <v>0</v>
      </c>
      <c r="E57" s="114"/>
      <c r="F57" s="115"/>
      <c r="G57" s="116"/>
      <c r="H57" s="109"/>
      <c r="I57" s="65"/>
      <c r="J57" s="65"/>
      <c r="K57" s="66"/>
      <c r="L57" s="66"/>
      <c r="M57" s="66"/>
      <c r="N57" s="66"/>
    </row>
    <row r="58" spans="1:14" ht="15">
      <c r="A58" s="72" t="s">
        <v>60</v>
      </c>
      <c r="B58" s="102">
        <v>0</v>
      </c>
      <c r="C58" s="100">
        <f>B58*0.8954</f>
        <v>0</v>
      </c>
      <c r="D58" s="101">
        <f>B58-C58</f>
        <v>0</v>
      </c>
      <c r="E58" s="114">
        <f>(2.07+1.8)*6*2301.2-0.37*2301.2*6</f>
        <v>48325.2</v>
      </c>
      <c r="F58" s="118"/>
      <c r="G58" s="119"/>
      <c r="H58" s="114"/>
      <c r="I58" s="65"/>
      <c r="J58" s="65"/>
      <c r="K58" s="66"/>
      <c r="L58" s="66"/>
      <c r="M58" s="66"/>
      <c r="N58" s="66"/>
    </row>
    <row r="59" spans="1:14" ht="15.75" thickBot="1">
      <c r="A59" s="125" t="s">
        <v>236</v>
      </c>
      <c r="B59" s="126">
        <v>4470.27</v>
      </c>
      <c r="C59" s="100">
        <f>B59*0.9823</f>
        <v>4391.146221</v>
      </c>
      <c r="D59" s="128">
        <f>B59-C59</f>
        <v>79.12377900000047</v>
      </c>
      <c r="E59" s="114"/>
      <c r="F59" s="118"/>
      <c r="G59" s="119"/>
      <c r="H59" s="109"/>
      <c r="I59" s="65"/>
      <c r="J59" s="65"/>
      <c r="K59" s="66"/>
      <c r="L59" s="66"/>
      <c r="M59" s="66"/>
      <c r="N59" s="66"/>
    </row>
    <row r="60" spans="1:14" ht="63">
      <c r="A60" s="129" t="s">
        <v>62</v>
      </c>
      <c r="B60" s="130" t="s">
        <v>63</v>
      </c>
      <c r="C60" s="131" t="s">
        <v>64</v>
      </c>
      <c r="D60" s="132" t="s">
        <v>65</v>
      </c>
      <c r="E60" s="114"/>
      <c r="F60" s="118"/>
      <c r="G60" s="109"/>
      <c r="H60" s="120"/>
      <c r="I60" s="65"/>
      <c r="J60" s="65"/>
      <c r="K60" s="66"/>
      <c r="L60" s="66"/>
      <c r="M60" s="66"/>
      <c r="N60" s="66"/>
    </row>
    <row r="61" spans="1:14" ht="15">
      <c r="A61" s="133" t="s">
        <v>58</v>
      </c>
      <c r="B61" s="104">
        <f>B56</f>
        <v>743</v>
      </c>
      <c r="C61" s="105">
        <f>B61</f>
        <v>743</v>
      </c>
      <c r="D61" s="134">
        <f>B61-C61</f>
        <v>0</v>
      </c>
      <c r="E61" s="114"/>
      <c r="F61" s="118"/>
      <c r="G61" s="109"/>
      <c r="H61" s="120"/>
      <c r="I61" s="65"/>
      <c r="J61" s="65" t="s">
        <v>26</v>
      </c>
      <c r="K61" s="66"/>
      <c r="L61" s="66"/>
      <c r="M61" s="66"/>
      <c r="N61" s="66"/>
    </row>
    <row r="62" spans="1:14" ht="15">
      <c r="A62" s="133" t="s">
        <v>59</v>
      </c>
      <c r="B62" s="104">
        <v>0</v>
      </c>
      <c r="C62" s="105">
        <v>0</v>
      </c>
      <c r="D62" s="134">
        <f>B62-C62</f>
        <v>0</v>
      </c>
      <c r="E62" s="114"/>
      <c r="F62" s="118"/>
      <c r="G62" s="109"/>
      <c r="H62" s="120"/>
      <c r="I62" s="65"/>
      <c r="J62" s="65"/>
      <c r="K62" s="66"/>
      <c r="L62" s="66"/>
      <c r="M62" s="66"/>
      <c r="N62" s="66"/>
    </row>
    <row r="63" spans="1:14" ht="15">
      <c r="A63" s="133" t="s">
        <v>60</v>
      </c>
      <c r="B63" s="104">
        <v>0</v>
      </c>
      <c r="C63" s="105">
        <v>0</v>
      </c>
      <c r="D63" s="134">
        <f>B63-C63</f>
        <v>0</v>
      </c>
      <c r="E63" s="114"/>
      <c r="F63" s="118"/>
      <c r="G63" s="109"/>
      <c r="H63" s="120"/>
      <c r="I63" s="65"/>
      <c r="J63" s="65"/>
      <c r="K63" s="66"/>
      <c r="L63" s="66"/>
      <c r="M63" s="66"/>
      <c r="N63" s="66"/>
    </row>
    <row r="64" spans="1:14" ht="15.75" thickBot="1">
      <c r="A64" s="135" t="s">
        <v>236</v>
      </c>
      <c r="B64" s="136">
        <f>B59</f>
        <v>4470.27</v>
      </c>
      <c r="C64" s="137">
        <f>C59</f>
        <v>4391.146221</v>
      </c>
      <c r="D64" s="138">
        <v>0</v>
      </c>
      <c r="E64" s="114"/>
      <c r="F64" s="118"/>
      <c r="G64" s="109"/>
      <c r="H64" s="120" t="s">
        <v>26</v>
      </c>
      <c r="I64" s="65"/>
      <c r="J64" s="65"/>
      <c r="K64" s="66"/>
      <c r="L64" s="66"/>
      <c r="M64" s="66"/>
      <c r="N64" s="66"/>
    </row>
    <row r="65" spans="1:14" ht="15">
      <c r="A65" s="77"/>
      <c r="B65" s="76"/>
      <c r="C65" s="78"/>
      <c r="D65" s="79"/>
      <c r="E65" s="114"/>
      <c r="F65" s="118"/>
      <c r="G65" s="109"/>
      <c r="H65" s="120"/>
      <c r="I65" s="65"/>
      <c r="J65" s="65"/>
      <c r="K65" s="66"/>
      <c r="L65" s="66"/>
      <c r="M65" s="66"/>
      <c r="N65" s="66"/>
    </row>
    <row r="66" spans="1:14" ht="25.5">
      <c r="A66" s="80" t="s">
        <v>66</v>
      </c>
      <c r="B66" s="76" t="s">
        <v>11</v>
      </c>
      <c r="C66" s="81"/>
      <c r="D66" s="82">
        <v>0</v>
      </c>
      <c r="E66" s="114"/>
      <c r="F66" s="118"/>
      <c r="G66" s="109"/>
      <c r="H66" s="120"/>
      <c r="I66" s="65"/>
      <c r="J66" s="65" t="s">
        <v>26</v>
      </c>
      <c r="K66" s="66"/>
      <c r="L66" s="66"/>
      <c r="M66" s="66"/>
      <c r="N66" s="66"/>
    </row>
    <row r="67" spans="1:14" ht="17.25" customHeight="1">
      <c r="A67" s="572" t="s">
        <v>67</v>
      </c>
      <c r="B67" s="572"/>
      <c r="C67" s="572"/>
      <c r="D67" s="572"/>
      <c r="E67" s="121" t="e">
        <f>D67+B19</f>
        <v>#VALUE!</v>
      </c>
      <c r="F67" s="120"/>
      <c r="G67" s="109"/>
      <c r="H67" s="122" t="e">
        <f>E67-B18</f>
        <v>#VALUE!</v>
      </c>
      <c r="I67" s="65"/>
      <c r="J67" s="65"/>
      <c r="K67" s="66"/>
      <c r="L67" s="66"/>
      <c r="M67" s="66"/>
      <c r="N67" s="66"/>
    </row>
    <row r="68" spans="1:8" ht="21" customHeight="1">
      <c r="A68" s="85" t="s">
        <v>45</v>
      </c>
      <c r="B68" s="85" t="s">
        <v>46</v>
      </c>
      <c r="C68" s="86"/>
      <c r="D68" s="177">
        <v>0</v>
      </c>
      <c r="E68" s="123"/>
      <c r="F68" s="109"/>
      <c r="G68" s="109"/>
      <c r="H68" s="109"/>
    </row>
    <row r="69" spans="1:8" ht="21" customHeight="1">
      <c r="A69" s="85" t="s">
        <v>47</v>
      </c>
      <c r="B69" s="85" t="s">
        <v>46</v>
      </c>
      <c r="C69" s="85"/>
      <c r="D69" s="177">
        <v>0</v>
      </c>
      <c r="E69" s="123"/>
      <c r="F69" s="109"/>
      <c r="G69" s="109"/>
      <c r="H69" s="109"/>
    </row>
    <row r="70" spans="1:8" ht="18" customHeight="1">
      <c r="A70" s="85" t="s">
        <v>48</v>
      </c>
      <c r="B70" s="85" t="s">
        <v>46</v>
      </c>
      <c r="C70" s="85"/>
      <c r="D70" s="177">
        <v>0</v>
      </c>
      <c r="E70" s="123"/>
      <c r="F70" s="109"/>
      <c r="G70" s="109"/>
      <c r="H70" s="109"/>
    </row>
    <row r="71" spans="1:8" ht="16.5" customHeight="1">
      <c r="A71" s="85" t="s">
        <v>49</v>
      </c>
      <c r="B71" s="85" t="s">
        <v>11</v>
      </c>
      <c r="C71" s="85"/>
      <c r="D71" s="177">
        <v>0</v>
      </c>
      <c r="E71" s="123"/>
      <c r="F71" s="109"/>
      <c r="G71" s="109"/>
      <c r="H71" s="109"/>
    </row>
    <row r="72" spans="1:8" ht="15.75" customHeight="1">
      <c r="A72" s="566" t="s">
        <v>68</v>
      </c>
      <c r="B72" s="566"/>
      <c r="C72" s="566"/>
      <c r="D72" s="566"/>
      <c r="E72" s="123"/>
      <c r="F72" s="109"/>
      <c r="G72" s="109"/>
      <c r="H72" s="109"/>
    </row>
    <row r="73" spans="1:8" ht="18.75" customHeight="1">
      <c r="A73" s="85" t="s">
        <v>69</v>
      </c>
      <c r="B73" s="85" t="s">
        <v>46</v>
      </c>
      <c r="C73" s="85"/>
      <c r="D73" s="177">
        <v>0</v>
      </c>
      <c r="E73" s="123"/>
      <c r="F73" s="109"/>
      <c r="G73" s="109"/>
      <c r="H73" s="109"/>
    </row>
    <row r="74" spans="1:8" ht="21.75" customHeight="1">
      <c r="A74" s="85" t="s">
        <v>70</v>
      </c>
      <c r="B74" s="53" t="s">
        <v>46</v>
      </c>
      <c r="C74" s="53"/>
      <c r="D74" s="177">
        <v>0</v>
      </c>
      <c r="E74" s="123"/>
      <c r="F74" s="109"/>
      <c r="G74" s="109"/>
      <c r="H74" s="109"/>
    </row>
    <row r="75" spans="1:8" ht="36" customHeight="1">
      <c r="A75" s="89" t="s">
        <v>71</v>
      </c>
      <c r="B75" s="85" t="s">
        <v>11</v>
      </c>
      <c r="C75" s="85"/>
      <c r="D75" s="177">
        <v>0</v>
      </c>
      <c r="E75" s="123"/>
      <c r="F75" s="109"/>
      <c r="G75" s="109"/>
      <c r="H75" s="109"/>
    </row>
    <row r="76" spans="1:8" ht="15">
      <c r="A76" s="66"/>
      <c r="B76" s="66"/>
      <c r="C76" s="66"/>
      <c r="D76" s="90"/>
      <c r="E76" s="109"/>
      <c r="F76" s="109"/>
      <c r="G76" s="109"/>
      <c r="H76" s="109"/>
    </row>
    <row r="77" spans="1:14" s="1" customFormat="1" ht="12.75">
      <c r="A77"/>
      <c r="B77"/>
      <c r="C77"/>
      <c r="D77"/>
      <c r="H77" s="1" t="s">
        <v>26</v>
      </c>
      <c r="K77"/>
      <c r="L77"/>
      <c r="M77"/>
      <c r="N77"/>
    </row>
    <row r="78" spans="1:14" s="1" customFormat="1" ht="12.75">
      <c r="A78" t="s">
        <v>72</v>
      </c>
      <c r="B78"/>
      <c r="C78"/>
      <c r="D78"/>
      <c r="K78"/>
      <c r="L78"/>
      <c r="M78"/>
      <c r="N78"/>
    </row>
    <row r="79" spans="1:14" s="1" customFormat="1" ht="12.75">
      <c r="A79"/>
      <c r="B79"/>
      <c r="C79"/>
      <c r="D79"/>
      <c r="H79" s="1" t="s">
        <v>26</v>
      </c>
      <c r="K79"/>
      <c r="L79"/>
      <c r="M79"/>
      <c r="N79"/>
    </row>
    <row r="80" spans="1:14" s="1" customFormat="1" ht="12.75">
      <c r="A80" t="s">
        <v>73</v>
      </c>
      <c r="B80"/>
      <c r="C80"/>
      <c r="D80"/>
      <c r="K80"/>
      <c r="L80"/>
      <c r="M80"/>
      <c r="N80"/>
    </row>
    <row r="84" spans="1:14" s="1" customFormat="1" ht="12.75">
      <c r="A84"/>
      <c r="B84"/>
      <c r="C84"/>
      <c r="D84"/>
      <c r="E84" s="1" t="s">
        <v>26</v>
      </c>
      <c r="K84"/>
      <c r="L84"/>
      <c r="M84"/>
      <c r="N84"/>
    </row>
  </sheetData>
  <sheetProtection selectLockedCells="1" selectUnlockedCells="1"/>
  <mergeCells count="13">
    <mergeCell ref="A72:D72"/>
    <mergeCell ref="A14:D14"/>
    <mergeCell ref="A29:D29"/>
    <mergeCell ref="A42:D42"/>
    <mergeCell ref="A47:D47"/>
    <mergeCell ref="A54:D54"/>
    <mergeCell ref="A67:D67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3"/>
  <sheetViews>
    <sheetView zoomScale="112" zoomScaleNormal="112" zoomScalePageLayoutView="0" workbookViewId="0" topLeftCell="A41">
      <selection activeCell="D48" sqref="D48"/>
    </sheetView>
  </sheetViews>
  <sheetFormatPr defaultColWidth="11.57421875" defaultRowHeight="12.75"/>
  <cols>
    <col min="1" max="1" width="54.28125" style="0" customWidth="1"/>
    <col min="2" max="2" width="17.8515625" style="0" customWidth="1"/>
    <col min="3" max="3" width="24.57421875" style="0" customWidth="1"/>
    <col min="4" max="4" width="16.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560" t="s">
        <v>0</v>
      </c>
      <c r="B1" s="560"/>
      <c r="C1" s="560"/>
      <c r="D1" s="560"/>
    </row>
    <row r="2" spans="1:4" ht="15.75">
      <c r="A2" s="561" t="s">
        <v>220</v>
      </c>
      <c r="B2" s="562"/>
      <c r="C2" s="562"/>
      <c r="D2" s="562"/>
    </row>
    <row r="3" spans="1:4" ht="15.75">
      <c r="A3" s="562" t="s">
        <v>1</v>
      </c>
      <c r="B3" s="562"/>
      <c r="C3" s="562"/>
      <c r="D3" s="562"/>
    </row>
    <row r="4" spans="1:4" ht="12.75">
      <c r="A4" s="563" t="s">
        <v>137</v>
      </c>
      <c r="B4" s="563"/>
      <c r="C4" s="563"/>
      <c r="D4" s="563"/>
    </row>
    <row r="5" spans="1:4" ht="12.75">
      <c r="A5" s="564" t="s">
        <v>266</v>
      </c>
      <c r="B5" s="563"/>
      <c r="C5" s="563"/>
      <c r="D5" s="563"/>
    </row>
    <row r="6" ht="9" customHeight="1">
      <c r="A6" s="2"/>
    </row>
    <row r="7" spans="1:4" ht="32.25" customHeight="1">
      <c r="A7" s="565" t="s">
        <v>2</v>
      </c>
      <c r="B7" s="565"/>
      <c r="C7" s="565"/>
      <c r="D7" s="565"/>
    </row>
    <row r="8" spans="1:4" ht="12.75">
      <c r="A8" s="258" t="s">
        <v>167</v>
      </c>
      <c r="B8" s="178"/>
      <c r="C8" s="183"/>
      <c r="D8" s="178"/>
    </row>
    <row r="9" spans="1:5" ht="12.75">
      <c r="A9" s="184" t="s">
        <v>3</v>
      </c>
      <c r="B9" s="184" t="s">
        <v>4</v>
      </c>
      <c r="C9" s="184" t="s">
        <v>5</v>
      </c>
      <c r="D9" s="185"/>
      <c r="E9" s="109"/>
    </row>
    <row r="10" spans="1:8" ht="12.75">
      <c r="A10" s="186">
        <v>1</v>
      </c>
      <c r="B10" s="186">
        <v>2</v>
      </c>
      <c r="C10" s="186">
        <v>3</v>
      </c>
      <c r="D10" s="187">
        <v>4</v>
      </c>
      <c r="E10" s="109"/>
      <c r="F10" s="109"/>
      <c r="G10" s="109"/>
      <c r="H10" s="109"/>
    </row>
    <row r="11" spans="1:8" ht="12.75">
      <c r="A11" s="20" t="s">
        <v>6</v>
      </c>
      <c r="B11" s="188"/>
      <c r="C11" s="189" t="s">
        <v>262</v>
      </c>
      <c r="D11" s="190"/>
      <c r="E11" s="109"/>
      <c r="F11" s="109"/>
      <c r="G11" s="109"/>
      <c r="H11" s="109"/>
    </row>
    <row r="12" spans="1:8" ht="12.75">
      <c r="A12" s="20" t="s">
        <v>7</v>
      </c>
      <c r="B12" s="188"/>
      <c r="C12" s="189" t="s">
        <v>263</v>
      </c>
      <c r="D12" s="190"/>
      <c r="E12" s="109"/>
      <c r="F12" s="109"/>
      <c r="G12" s="109"/>
      <c r="H12" s="109"/>
    </row>
    <row r="13" spans="1:8" ht="12.75">
      <c r="A13" s="20" t="s">
        <v>8</v>
      </c>
      <c r="B13" s="188"/>
      <c r="C13" s="189" t="s">
        <v>267</v>
      </c>
      <c r="D13" s="190"/>
      <c r="E13" s="109"/>
      <c r="F13" s="109"/>
      <c r="G13" s="109"/>
      <c r="H13" s="109"/>
    </row>
    <row r="14" spans="1:8" ht="31.5" customHeight="1">
      <c r="A14" s="567" t="s">
        <v>9</v>
      </c>
      <c r="B14" s="567"/>
      <c r="C14" s="567"/>
      <c r="D14" s="567"/>
      <c r="E14" s="59"/>
      <c r="F14" s="109"/>
      <c r="G14" s="109"/>
      <c r="H14" s="109"/>
    </row>
    <row r="15" spans="1:8" ht="26.25">
      <c r="A15" s="17" t="s">
        <v>10</v>
      </c>
      <c r="B15" s="191" t="s">
        <v>11</v>
      </c>
      <c r="C15" s="194">
        <v>21163.32</v>
      </c>
      <c r="D15" s="193"/>
      <c r="E15" s="109"/>
      <c r="F15" s="109"/>
      <c r="G15" s="109"/>
      <c r="H15" s="109"/>
    </row>
    <row r="16" spans="1:8" ht="15.75">
      <c r="A16" s="20" t="s">
        <v>12</v>
      </c>
      <c r="B16" s="191" t="s">
        <v>11</v>
      </c>
      <c r="C16" s="192">
        <v>0</v>
      </c>
      <c r="D16" s="193"/>
      <c r="E16" s="59"/>
      <c r="F16" s="109"/>
      <c r="G16" s="109"/>
      <c r="H16" s="109"/>
    </row>
    <row r="17" spans="1:8" ht="15.75">
      <c r="A17" s="20" t="s">
        <v>13</v>
      </c>
      <c r="B17" s="191" t="s">
        <v>11</v>
      </c>
      <c r="C17" s="194">
        <v>48415.3</v>
      </c>
      <c r="D17" s="195"/>
      <c r="E17" s="109"/>
      <c r="F17" s="109"/>
      <c r="G17" s="109"/>
      <c r="H17" s="109"/>
    </row>
    <row r="18" spans="1:8" ht="31.5" customHeight="1">
      <c r="A18" s="17" t="s">
        <v>14</v>
      </c>
      <c r="B18" s="191" t="s">
        <v>11</v>
      </c>
      <c r="C18" s="194">
        <f>235915.68+12524.58</f>
        <v>248440.25999999998</v>
      </c>
      <c r="D18" s="195"/>
      <c r="E18" s="110">
        <f>C18-C20-12524.28</f>
        <v>191435.06399999998</v>
      </c>
      <c r="F18" s="109"/>
      <c r="G18" s="109"/>
      <c r="H18" s="109"/>
    </row>
    <row r="19" spans="1:8" ht="15.75">
      <c r="A19" s="20" t="s">
        <v>15</v>
      </c>
      <c r="B19" s="191" t="s">
        <v>11</v>
      </c>
      <c r="C19" s="194">
        <f>C18-C20-C21</f>
        <v>140350.11599999998</v>
      </c>
      <c r="D19" s="195"/>
      <c r="E19" s="110">
        <f>E18-E47</f>
        <v>0.0020000000076834112</v>
      </c>
      <c r="F19" s="109"/>
      <c r="G19" s="109"/>
      <c r="H19" s="109"/>
    </row>
    <row r="20" spans="1:8" ht="15.75">
      <c r="A20" s="20" t="s">
        <v>16</v>
      </c>
      <c r="B20" s="191" t="s">
        <v>11</v>
      </c>
      <c r="C20" s="194">
        <f>(2.68+3.18)*6*1265.1</f>
        <v>44480.916000000005</v>
      </c>
      <c r="D20" s="195"/>
      <c r="E20" s="111"/>
      <c r="F20" s="109"/>
      <c r="G20" s="109"/>
      <c r="H20" s="109"/>
    </row>
    <row r="21" spans="1:8" ht="15.75">
      <c r="A21" s="20" t="s">
        <v>17</v>
      </c>
      <c r="B21" s="191" t="s">
        <v>11</v>
      </c>
      <c r="C21" s="196">
        <f>1265.1*4.19*12</f>
        <v>63609.228</v>
      </c>
      <c r="D21" s="195"/>
      <c r="E21" s="109"/>
      <c r="F21" s="109"/>
      <c r="G21" s="109"/>
      <c r="H21" s="109"/>
    </row>
    <row r="22" spans="1:8" ht="15.75">
      <c r="A22" s="20" t="s">
        <v>18</v>
      </c>
      <c r="B22" s="191" t="s">
        <v>11</v>
      </c>
      <c r="C22" s="194">
        <f>C23+C24+C25+C26</f>
        <v>240142.35531599997</v>
      </c>
      <c r="D22" s="195" t="s">
        <v>19</v>
      </c>
      <c r="E22" s="110" t="e">
        <f>B24+B25+B26+#REF!+B27</f>
        <v>#VALUE!</v>
      </c>
      <c r="F22" s="109"/>
      <c r="G22" s="109"/>
      <c r="H22" s="109"/>
    </row>
    <row r="23" spans="1:8" ht="15.75">
      <c r="A23" s="20" t="s">
        <v>20</v>
      </c>
      <c r="B23" s="191" t="s">
        <v>11</v>
      </c>
      <c r="C23" s="194">
        <f>C18*0.9666</f>
        <v>240142.35531599997</v>
      </c>
      <c r="D23" s="195"/>
      <c r="E23" s="109"/>
      <c r="F23" s="109"/>
      <c r="G23" s="109"/>
      <c r="H23" s="109"/>
    </row>
    <row r="24" spans="1:8" ht="15.75">
      <c r="A24" s="20" t="s">
        <v>21</v>
      </c>
      <c r="B24" s="191" t="s">
        <v>11</v>
      </c>
      <c r="C24" s="194">
        <v>0</v>
      </c>
      <c r="D24" s="197">
        <v>65.21</v>
      </c>
      <c r="E24" s="111" t="e">
        <f>B24/#REF!*1</f>
        <v>#VALUE!</v>
      </c>
      <c r="F24" s="109"/>
      <c r="G24" s="109"/>
      <c r="H24" s="109" t="s">
        <v>22</v>
      </c>
    </row>
    <row r="25" spans="1:8" ht="15.75">
      <c r="A25" s="20" t="s">
        <v>23</v>
      </c>
      <c r="B25" s="191" t="s">
        <v>11</v>
      </c>
      <c r="C25" s="194">
        <v>0</v>
      </c>
      <c r="D25" s="197">
        <v>119.63</v>
      </c>
      <c r="E25" s="111" t="e">
        <f>B25/#REF!*1</f>
        <v>#VALUE!</v>
      </c>
      <c r="F25" s="109"/>
      <c r="G25" s="109"/>
      <c r="H25" s="109"/>
    </row>
    <row r="26" spans="1:8" ht="15.75">
      <c r="A26" s="188" t="s">
        <v>24</v>
      </c>
      <c r="B26" s="191" t="s">
        <v>11</v>
      </c>
      <c r="C26" s="194">
        <v>0</v>
      </c>
      <c r="D26" s="197"/>
      <c r="E26" s="111" t="e">
        <f>B26/#REF!*1</f>
        <v>#VALUE!</v>
      </c>
      <c r="F26" s="109"/>
      <c r="G26" s="109"/>
      <c r="H26" s="109"/>
    </row>
    <row r="27" spans="1:8" ht="15.75">
      <c r="A27" s="20" t="s">
        <v>25</v>
      </c>
      <c r="B27" s="191" t="s">
        <v>11</v>
      </c>
      <c r="C27" s="194">
        <f>C15+C22</f>
        <v>261305.67531599998</v>
      </c>
      <c r="D27" s="195" t="s">
        <v>26</v>
      </c>
      <c r="E27" s="111" t="e">
        <f>B27/#REF!*1</f>
        <v>#VALUE!</v>
      </c>
      <c r="F27" s="109"/>
      <c r="G27" s="109"/>
      <c r="H27" s="109"/>
    </row>
    <row r="28" spans="1:8" ht="35.25" customHeight="1">
      <c r="A28" s="568" t="s">
        <v>27</v>
      </c>
      <c r="B28" s="568"/>
      <c r="C28" s="568"/>
      <c r="D28" s="568"/>
      <c r="E28" s="109"/>
      <c r="F28" s="109"/>
      <c r="G28" s="109"/>
      <c r="H28" s="109"/>
    </row>
    <row r="29" spans="1:8" ht="51">
      <c r="A29" s="199" t="s">
        <v>28</v>
      </c>
      <c r="B29" s="200" t="s">
        <v>29</v>
      </c>
      <c r="C29" s="201" t="s">
        <v>30</v>
      </c>
      <c r="D29" s="202" t="s">
        <v>31</v>
      </c>
      <c r="E29" s="109"/>
      <c r="F29" s="109"/>
      <c r="G29" s="109"/>
      <c r="H29" s="109"/>
    </row>
    <row r="30" spans="1:8" ht="15.75">
      <c r="A30" s="203" t="s">
        <v>32</v>
      </c>
      <c r="B30" s="204" t="s">
        <v>33</v>
      </c>
      <c r="C30" s="205" t="s">
        <v>34</v>
      </c>
      <c r="D30" s="206">
        <f>0.81*12*1265.1</f>
        <v>12296.771999999999</v>
      </c>
      <c r="E30" s="109"/>
      <c r="F30" s="109"/>
      <c r="G30" s="109"/>
      <c r="H30" s="109"/>
    </row>
    <row r="31" spans="1:8" ht="15.75">
      <c r="A31" s="207" t="s">
        <v>75</v>
      </c>
      <c r="B31" s="208" t="s">
        <v>76</v>
      </c>
      <c r="C31" s="205" t="s">
        <v>34</v>
      </c>
      <c r="D31" s="210">
        <f>2.4*12*1265.1</f>
        <v>36434.88</v>
      </c>
      <c r="E31" s="109"/>
      <c r="F31" s="109"/>
      <c r="G31" s="109"/>
      <c r="H31" s="109"/>
    </row>
    <row r="32" spans="1:8" ht="15.75">
      <c r="A32" s="207" t="s">
        <v>237</v>
      </c>
      <c r="B32" s="208" t="s">
        <v>78</v>
      </c>
      <c r="C32" s="362" t="s">
        <v>301</v>
      </c>
      <c r="D32" s="211">
        <f>0.15*12*1265.1</f>
        <v>2277.18</v>
      </c>
      <c r="E32" s="109"/>
      <c r="F32" s="109"/>
      <c r="G32" s="109"/>
      <c r="H32" s="109"/>
    </row>
    <row r="33" spans="1:8" ht="15.75">
      <c r="A33" s="207" t="s">
        <v>36</v>
      </c>
      <c r="B33" s="208" t="s">
        <v>33</v>
      </c>
      <c r="C33" s="209" t="s">
        <v>37</v>
      </c>
      <c r="D33" s="210">
        <f>0.24*12*1265.1</f>
        <v>3643.488</v>
      </c>
      <c r="E33" s="109"/>
      <c r="F33" s="109"/>
      <c r="G33" s="109"/>
      <c r="H33" s="109"/>
    </row>
    <row r="34" spans="1:8" ht="15.75">
      <c r="A34" s="207" t="s">
        <v>79</v>
      </c>
      <c r="B34" s="363" t="s">
        <v>33</v>
      </c>
      <c r="C34" s="209" t="s">
        <v>34</v>
      </c>
      <c r="D34" s="210">
        <f>0.71*12*1265.1</f>
        <v>10778.651999999998</v>
      </c>
      <c r="E34" s="109"/>
      <c r="F34" s="109"/>
      <c r="G34" s="109"/>
      <c r="H34" s="109"/>
    </row>
    <row r="35" spans="1:8" ht="26.25">
      <c r="A35" s="317" t="s">
        <v>168</v>
      </c>
      <c r="B35" s="208" t="s">
        <v>33</v>
      </c>
      <c r="C35" s="209" t="s">
        <v>34</v>
      </c>
      <c r="D35" s="210">
        <f>1265.1*2.36*12</f>
        <v>35827.632</v>
      </c>
      <c r="E35" s="109"/>
      <c r="F35" s="109"/>
      <c r="G35" s="109"/>
      <c r="H35" s="109"/>
    </row>
    <row r="36" spans="1:8" ht="31.5">
      <c r="A36" s="207" t="s">
        <v>81</v>
      </c>
      <c r="B36" s="213" t="s">
        <v>82</v>
      </c>
      <c r="C36" s="209" t="s">
        <v>34</v>
      </c>
      <c r="D36" s="210">
        <f>1.33*12*1265.1</f>
        <v>20190.996</v>
      </c>
      <c r="E36" s="109"/>
      <c r="F36" s="109"/>
      <c r="G36" s="109"/>
      <c r="H36" s="109"/>
    </row>
    <row r="37" spans="1:8" ht="15.75">
      <c r="A37" s="207" t="s">
        <v>38</v>
      </c>
      <c r="B37" s="208" t="s">
        <v>35</v>
      </c>
      <c r="C37" s="362" t="s">
        <v>221</v>
      </c>
      <c r="D37" s="210">
        <f>4.19*1265.1*12</f>
        <v>63609.228</v>
      </c>
      <c r="E37" s="109"/>
      <c r="F37" s="109"/>
      <c r="G37" s="109"/>
      <c r="H37" s="109"/>
    </row>
    <row r="38" spans="1:8" ht="19.5" customHeight="1">
      <c r="A38" s="207" t="s">
        <v>85</v>
      </c>
      <c r="B38" s="208" t="s">
        <v>222</v>
      </c>
      <c r="C38" s="316" t="s">
        <v>37</v>
      </c>
      <c r="D38" s="210">
        <f>1265.1*12*0.42+0.13</f>
        <v>6376.2339999999995</v>
      </c>
      <c r="E38" s="109"/>
      <c r="F38" s="109"/>
      <c r="G38" s="109"/>
      <c r="H38" s="109"/>
    </row>
    <row r="39" spans="1:8" ht="19.5" customHeight="1">
      <c r="A39" s="207" t="s">
        <v>209</v>
      </c>
      <c r="B39" s="208"/>
      <c r="C39" s="316"/>
      <c r="D39" s="210"/>
      <c r="E39" s="109"/>
      <c r="F39" s="109"/>
      <c r="G39" s="109"/>
      <c r="H39" s="109"/>
    </row>
    <row r="40" spans="1:8" ht="27.75" customHeight="1">
      <c r="A40" s="207" t="s">
        <v>213</v>
      </c>
      <c r="B40" s="208" t="s">
        <v>35</v>
      </c>
      <c r="C40" s="316" t="s">
        <v>210</v>
      </c>
      <c r="D40" s="210">
        <v>1555.18</v>
      </c>
      <c r="E40" s="109"/>
      <c r="F40" s="109"/>
      <c r="G40" s="109"/>
      <c r="H40" s="109"/>
    </row>
    <row r="41" spans="1:8" ht="19.5" customHeight="1">
      <c r="A41" s="207" t="s">
        <v>211</v>
      </c>
      <c r="B41" s="208" t="s">
        <v>35</v>
      </c>
      <c r="C41" s="316" t="s">
        <v>212</v>
      </c>
      <c r="D41" s="210">
        <v>28472.29</v>
      </c>
      <c r="E41" s="109"/>
      <c r="F41" s="109"/>
      <c r="G41" s="109"/>
      <c r="H41" s="109"/>
    </row>
    <row r="42" spans="1:14" s="1" customFormat="1" ht="67.5" customHeight="1">
      <c r="A42" s="260" t="s">
        <v>201</v>
      </c>
      <c r="B42" s="215" t="s">
        <v>41</v>
      </c>
      <c r="C42" s="318"/>
      <c r="D42" s="381">
        <f>D43+D44+D45+D46</f>
        <v>19254</v>
      </c>
      <c r="E42" s="109"/>
      <c r="F42" s="109"/>
      <c r="G42" s="109"/>
      <c r="H42" s="109"/>
      <c r="K42"/>
      <c r="L42"/>
      <c r="M42"/>
      <c r="N42"/>
    </row>
    <row r="43" spans="1:14" s="1" customFormat="1" ht="23.25" customHeight="1">
      <c r="A43" s="220" t="s">
        <v>317</v>
      </c>
      <c r="B43" s="217" t="s">
        <v>159</v>
      </c>
      <c r="C43" s="209" t="s">
        <v>34</v>
      </c>
      <c r="D43" s="176">
        <v>2549</v>
      </c>
      <c r="E43" s="109"/>
      <c r="F43" s="109"/>
      <c r="G43" s="109"/>
      <c r="H43" s="109"/>
      <c r="K43"/>
      <c r="L43"/>
      <c r="M43"/>
      <c r="N43"/>
    </row>
    <row r="44" spans="1:14" s="1" customFormat="1" ht="30.75" customHeight="1">
      <c r="A44" s="220" t="s">
        <v>318</v>
      </c>
      <c r="B44" s="217" t="s">
        <v>152</v>
      </c>
      <c r="C44" s="387" t="s">
        <v>276</v>
      </c>
      <c r="D44" s="176">
        <v>9120</v>
      </c>
      <c r="E44" s="109"/>
      <c r="F44" s="109"/>
      <c r="G44" s="109"/>
      <c r="H44" s="109"/>
      <c r="K44"/>
      <c r="L44"/>
      <c r="M44"/>
      <c r="N44"/>
    </row>
    <row r="45" spans="1:14" s="1" customFormat="1" ht="18" customHeight="1">
      <c r="A45" s="220" t="s">
        <v>147</v>
      </c>
      <c r="B45" s="217" t="s">
        <v>152</v>
      </c>
      <c r="C45" s="387" t="s">
        <v>227</v>
      </c>
      <c r="D45" s="176">
        <v>7402</v>
      </c>
      <c r="E45" s="109"/>
      <c r="F45" s="109"/>
      <c r="G45" s="109"/>
      <c r="H45" s="109"/>
      <c r="K45"/>
      <c r="L45"/>
      <c r="M45"/>
      <c r="N45"/>
    </row>
    <row r="46" spans="1:14" s="1" customFormat="1" ht="20.25" customHeight="1">
      <c r="A46" s="220" t="s">
        <v>319</v>
      </c>
      <c r="B46" s="217" t="s">
        <v>149</v>
      </c>
      <c r="C46" s="209" t="s">
        <v>34</v>
      </c>
      <c r="D46" s="176">
        <v>183</v>
      </c>
      <c r="E46" s="319"/>
      <c r="F46" s="109"/>
      <c r="G46" s="109"/>
      <c r="H46" s="109"/>
      <c r="K46"/>
      <c r="L46"/>
      <c r="M46"/>
      <c r="N46"/>
    </row>
    <row r="47" spans="1:14" s="1" customFormat="1" ht="15.75">
      <c r="A47" s="37" t="s">
        <v>42</v>
      </c>
      <c r="B47" s="222"/>
      <c r="C47" s="223"/>
      <c r="D47" s="97">
        <f>D30+D31+D32+D33+D34+D35+D36+D37+D38+D40+D41+D42</f>
        <v>240716.53199999998</v>
      </c>
      <c r="E47" s="181">
        <f>D47-D42-D40-D41</f>
        <v>191435.06199999998</v>
      </c>
      <c r="F47" s="109"/>
      <c r="G47" s="109"/>
      <c r="H47" s="109"/>
      <c r="K47"/>
      <c r="L47"/>
      <c r="M47"/>
      <c r="N47"/>
    </row>
    <row r="48" spans="1:14" s="1" customFormat="1" ht="15.75">
      <c r="A48" s="40" t="s">
        <v>43</v>
      </c>
      <c r="B48" s="224" t="s">
        <v>11</v>
      </c>
      <c r="C48" s="225"/>
      <c r="D48" s="226">
        <f>C27-D47</f>
        <v>20589.143316</v>
      </c>
      <c r="E48" s="181"/>
      <c r="F48" s="109"/>
      <c r="G48" s="109"/>
      <c r="H48" s="109"/>
      <c r="K48"/>
      <c r="L48"/>
      <c r="M48"/>
      <c r="N48"/>
    </row>
    <row r="49" spans="1:14" s="1" customFormat="1" ht="15.75">
      <c r="A49" s="227" t="s">
        <v>12</v>
      </c>
      <c r="B49" s="228" t="s">
        <v>11</v>
      </c>
      <c r="C49" s="209"/>
      <c r="D49" s="193"/>
      <c r="E49" s="109"/>
      <c r="F49" s="109"/>
      <c r="G49" s="109"/>
      <c r="H49" s="109"/>
      <c r="K49"/>
      <c r="L49"/>
      <c r="M49"/>
      <c r="N49"/>
    </row>
    <row r="50" spans="1:14" s="1" customFormat="1" ht="15.75">
      <c r="A50" s="227" t="s">
        <v>13</v>
      </c>
      <c r="B50" s="228" t="s">
        <v>11</v>
      </c>
      <c r="C50" s="209"/>
      <c r="D50" s="195">
        <f>C17+C18-C23</f>
        <v>56713.204684000026</v>
      </c>
      <c r="E50" s="109"/>
      <c r="F50" s="109"/>
      <c r="G50" s="109"/>
      <c r="H50" s="109"/>
      <c r="K50"/>
      <c r="L50"/>
      <c r="M50"/>
      <c r="N50"/>
    </row>
    <row r="51" spans="1:14" s="1" customFormat="1" ht="24" customHeight="1">
      <c r="A51" s="569" t="s">
        <v>44</v>
      </c>
      <c r="B51" s="569"/>
      <c r="C51" s="569"/>
      <c r="D51" s="569"/>
      <c r="E51" s="109"/>
      <c r="F51" s="109"/>
      <c r="G51" s="109"/>
      <c r="H51" s="319"/>
      <c r="K51"/>
      <c r="L51"/>
      <c r="M51"/>
      <c r="N51"/>
    </row>
    <row r="52" spans="1:14" s="1" customFormat="1" ht="15.75">
      <c r="A52" s="227" t="s">
        <v>45</v>
      </c>
      <c r="B52" s="208" t="s">
        <v>46</v>
      </c>
      <c r="C52" s="209"/>
      <c r="D52" s="193">
        <v>0</v>
      </c>
      <c r="E52" s="109"/>
      <c r="F52" s="109"/>
      <c r="G52" s="109"/>
      <c r="H52" s="109"/>
      <c r="K52"/>
      <c r="L52"/>
      <c r="M52"/>
      <c r="N52"/>
    </row>
    <row r="53" spans="1:14" s="1" customFormat="1" ht="15.75">
      <c r="A53" s="227" t="s">
        <v>47</v>
      </c>
      <c r="B53" s="208" t="s">
        <v>46</v>
      </c>
      <c r="C53" s="209"/>
      <c r="D53" s="193">
        <v>0</v>
      </c>
      <c r="E53" s="109"/>
      <c r="F53" s="109"/>
      <c r="G53" s="109"/>
      <c r="H53" s="109"/>
      <c r="K53"/>
      <c r="L53"/>
      <c r="M53"/>
      <c r="N53"/>
    </row>
    <row r="54" spans="1:14" s="1" customFormat="1" ht="26.25">
      <c r="A54" s="229" t="s">
        <v>48</v>
      </c>
      <c r="B54" s="208" t="s">
        <v>46</v>
      </c>
      <c r="C54" s="209"/>
      <c r="D54" s="193">
        <v>0</v>
      </c>
      <c r="E54" s="109"/>
      <c r="F54" s="109"/>
      <c r="G54" s="109"/>
      <c r="H54" s="109"/>
      <c r="K54"/>
      <c r="L54"/>
      <c r="M54"/>
      <c r="N54"/>
    </row>
    <row r="55" spans="1:14" s="1" customFormat="1" ht="15.75">
      <c r="A55" s="227" t="s">
        <v>49</v>
      </c>
      <c r="B55" s="208" t="s">
        <v>11</v>
      </c>
      <c r="C55" s="209"/>
      <c r="D55" s="193">
        <v>0</v>
      </c>
      <c r="E55" s="109"/>
      <c r="F55" s="109"/>
      <c r="G55" s="109"/>
      <c r="H55" s="109"/>
      <c r="K55"/>
      <c r="L55"/>
      <c r="M55"/>
      <c r="N55"/>
    </row>
    <row r="56" spans="1:8" ht="20.25" customHeight="1">
      <c r="A56" s="570" t="s">
        <v>50</v>
      </c>
      <c r="B56" s="570"/>
      <c r="C56" s="570"/>
      <c r="D56" s="570"/>
      <c r="E56" s="109"/>
      <c r="F56" s="109"/>
      <c r="G56" s="109"/>
      <c r="H56" s="109"/>
    </row>
    <row r="57" spans="1:8" ht="26.25">
      <c r="A57" s="229" t="s">
        <v>51</v>
      </c>
      <c r="B57" s="208" t="s">
        <v>11</v>
      </c>
      <c r="C57" s="209"/>
      <c r="D57" s="193">
        <v>0</v>
      </c>
      <c r="E57" s="109"/>
      <c r="F57" s="109"/>
      <c r="G57" s="109"/>
      <c r="H57" s="109"/>
    </row>
    <row r="58" spans="1:8" ht="15.75">
      <c r="A58" s="227" t="s">
        <v>12</v>
      </c>
      <c r="B58" s="208" t="s">
        <v>11</v>
      </c>
      <c r="C58" s="209"/>
      <c r="D58" s="193">
        <v>0</v>
      </c>
      <c r="E58" s="109"/>
      <c r="F58" s="109"/>
      <c r="G58" s="109"/>
      <c r="H58" s="109"/>
    </row>
    <row r="59" spans="1:8" ht="15.75">
      <c r="A59" s="227" t="s">
        <v>13</v>
      </c>
      <c r="B59" s="208" t="s">
        <v>11</v>
      </c>
      <c r="C59" s="209"/>
      <c r="D59" s="230">
        <f>D62-D65-D66-D67-D68</f>
        <v>80884.252008</v>
      </c>
      <c r="E59" s="109"/>
      <c r="F59" s="109"/>
      <c r="G59" s="109"/>
      <c r="H59" s="113"/>
    </row>
    <row r="60" spans="1:8" ht="26.25">
      <c r="A60" s="231" t="s">
        <v>52</v>
      </c>
      <c r="B60" s="208" t="s">
        <v>11</v>
      </c>
      <c r="C60" s="232"/>
      <c r="D60" s="233">
        <v>0</v>
      </c>
      <c r="E60" s="109"/>
      <c r="F60" s="109"/>
      <c r="G60" s="109"/>
      <c r="H60" s="109"/>
    </row>
    <row r="61" spans="1:10" ht="17.25" customHeight="1">
      <c r="A61" s="254" t="s">
        <v>12</v>
      </c>
      <c r="B61" s="208" t="s">
        <v>11</v>
      </c>
      <c r="C61" s="209"/>
      <c r="D61" s="193">
        <v>0</v>
      </c>
      <c r="E61" s="109"/>
      <c r="F61" s="109"/>
      <c r="G61" s="109"/>
      <c r="H61" s="109"/>
      <c r="I61" s="49"/>
      <c r="J61" s="49"/>
    </row>
    <row r="62" spans="1:14" ht="15.75">
      <c r="A62" s="235" t="s">
        <v>13</v>
      </c>
      <c r="B62" s="208" t="s">
        <v>11</v>
      </c>
      <c r="C62" s="236"/>
      <c r="D62" s="237">
        <v>88026.17</v>
      </c>
      <c r="E62" s="109"/>
      <c r="F62" s="109"/>
      <c r="G62" s="109"/>
      <c r="H62" s="109" t="s">
        <v>26</v>
      </c>
      <c r="I62" s="60"/>
      <c r="J62" s="60"/>
      <c r="K62" s="61"/>
      <c r="L62" s="61"/>
      <c r="M62" s="61"/>
      <c r="N62" s="61"/>
    </row>
    <row r="63" spans="1:14" ht="18" customHeight="1">
      <c r="A63" s="571" t="s">
        <v>53</v>
      </c>
      <c r="B63" s="571"/>
      <c r="C63" s="571"/>
      <c r="D63" s="571"/>
      <c r="E63" s="114"/>
      <c r="F63" s="115"/>
      <c r="G63" s="116"/>
      <c r="H63" s="109"/>
      <c r="I63" s="65"/>
      <c r="J63" s="65"/>
      <c r="K63" s="66"/>
      <c r="L63" s="66"/>
      <c r="M63" s="66"/>
      <c r="N63" s="66"/>
    </row>
    <row r="64" spans="1:14" ht="38.25">
      <c r="A64" s="67" t="s">
        <v>54</v>
      </c>
      <c r="B64" s="68" t="s">
        <v>55</v>
      </c>
      <c r="C64" s="157" t="s">
        <v>56</v>
      </c>
      <c r="D64" s="158" t="s">
        <v>57</v>
      </c>
      <c r="E64" s="114"/>
      <c r="F64" s="115"/>
      <c r="G64" s="116"/>
      <c r="H64" s="109"/>
      <c r="I64" s="65"/>
      <c r="J64" s="71"/>
      <c r="K64" s="66"/>
      <c r="L64" s="66"/>
      <c r="M64" s="66"/>
      <c r="N64" s="66"/>
    </row>
    <row r="65" spans="1:14" ht="15.75">
      <c r="A65" s="238" t="s">
        <v>58</v>
      </c>
      <c r="B65" s="239">
        <v>27326.41</v>
      </c>
      <c r="C65" s="418">
        <f>B65*0.9666</f>
        <v>26413.707906</v>
      </c>
      <c r="D65" s="419">
        <f>B65-C65</f>
        <v>912.7020940000002</v>
      </c>
      <c r="E65" s="117"/>
      <c r="F65" s="115"/>
      <c r="G65" s="116"/>
      <c r="H65" s="109"/>
      <c r="I65" s="65"/>
      <c r="J65" s="65"/>
      <c r="K65" s="66"/>
      <c r="L65" s="66"/>
      <c r="M65" s="66"/>
      <c r="N65" s="66"/>
    </row>
    <row r="66" spans="1:14" ht="15.75">
      <c r="A66" s="238" t="s">
        <v>59</v>
      </c>
      <c r="B66" s="239">
        <v>22992.03</v>
      </c>
      <c r="C66" s="418">
        <f>B66*0.9666</f>
        <v>22224.096198</v>
      </c>
      <c r="D66" s="419">
        <f>B66-C66</f>
        <v>767.9338019999996</v>
      </c>
      <c r="E66" s="114"/>
      <c r="F66" s="115"/>
      <c r="G66" s="116"/>
      <c r="H66" s="109"/>
      <c r="I66" s="65"/>
      <c r="J66" s="65"/>
      <c r="K66" s="66"/>
      <c r="L66" s="66"/>
      <c r="M66" s="66"/>
      <c r="N66" s="66"/>
    </row>
    <row r="67" spans="1:14" ht="15.75">
      <c r="A67" s="238" t="s">
        <v>60</v>
      </c>
      <c r="B67" s="242">
        <v>93176.85</v>
      </c>
      <c r="C67" s="418">
        <f>B67*0.9666</f>
        <v>90064.74321</v>
      </c>
      <c r="D67" s="419">
        <f>B67-C67</f>
        <v>3112.1067900000053</v>
      </c>
      <c r="E67" s="114">
        <f>(2.07+1.8)*6*2301.2-0.37*2301.2*6</f>
        <v>48325.2</v>
      </c>
      <c r="F67" s="118"/>
      <c r="G67" s="119"/>
      <c r="H67" s="114"/>
      <c r="I67" s="65"/>
      <c r="J67" s="65"/>
      <c r="K67" s="66"/>
      <c r="L67" s="66"/>
      <c r="M67" s="66"/>
      <c r="N67" s="66"/>
    </row>
    <row r="68" spans="1:14" ht="16.5" thickBot="1">
      <c r="A68" s="261" t="s">
        <v>236</v>
      </c>
      <c r="B68" s="262">
        <v>70334.59</v>
      </c>
      <c r="C68" s="418">
        <f>B68*0.9666</f>
        <v>67985.41469399999</v>
      </c>
      <c r="D68" s="420">
        <f>B68-C68</f>
        <v>2349.1753060000046</v>
      </c>
      <c r="E68" s="114"/>
      <c r="F68" s="118"/>
      <c r="G68" s="119"/>
      <c r="H68" s="109"/>
      <c r="I68" s="65"/>
      <c r="J68" s="65"/>
      <c r="K68" s="66"/>
      <c r="L68" s="66"/>
      <c r="M68" s="66"/>
      <c r="N68" s="66"/>
    </row>
    <row r="69" spans="1:14" ht="63.75">
      <c r="A69" s="129" t="s">
        <v>62</v>
      </c>
      <c r="B69" s="130" t="s">
        <v>63</v>
      </c>
      <c r="C69" s="130" t="s">
        <v>64</v>
      </c>
      <c r="D69" s="159" t="s">
        <v>65</v>
      </c>
      <c r="E69" s="114"/>
      <c r="F69" s="118"/>
      <c r="G69" s="109"/>
      <c r="H69" s="120"/>
      <c r="I69" s="65"/>
      <c r="J69" s="65"/>
      <c r="K69" s="66"/>
      <c r="L69" s="66"/>
      <c r="M69" s="66"/>
      <c r="N69" s="66"/>
    </row>
    <row r="70" spans="1:14" ht="15.75">
      <c r="A70" s="265" t="s">
        <v>58</v>
      </c>
      <c r="B70" s="239">
        <v>27326.41</v>
      </c>
      <c r="C70" s="421">
        <f>B70</f>
        <v>27326.41</v>
      </c>
      <c r="D70" s="422">
        <f>B70-C70</f>
        <v>0</v>
      </c>
      <c r="E70" s="114"/>
      <c r="F70" s="118"/>
      <c r="G70" s="109"/>
      <c r="H70" s="120"/>
      <c r="I70" s="65"/>
      <c r="J70" s="65" t="s">
        <v>26</v>
      </c>
      <c r="K70" s="66"/>
      <c r="L70" s="66"/>
      <c r="M70" s="66"/>
      <c r="N70" s="66"/>
    </row>
    <row r="71" spans="1:14" ht="15.75">
      <c r="A71" s="265" t="s">
        <v>59</v>
      </c>
      <c r="B71" s="239">
        <v>22992.03</v>
      </c>
      <c r="C71" s="421">
        <f>B71</f>
        <v>22992.03</v>
      </c>
      <c r="D71" s="422">
        <f>B71-C71</f>
        <v>0</v>
      </c>
      <c r="E71" s="114"/>
      <c r="F71" s="118"/>
      <c r="G71" s="109"/>
      <c r="H71" s="120"/>
      <c r="I71" s="65"/>
      <c r="J71" s="65"/>
      <c r="K71" s="66"/>
      <c r="L71" s="66"/>
      <c r="M71" s="66"/>
      <c r="N71" s="66"/>
    </row>
    <row r="72" spans="1:14" ht="15.75">
      <c r="A72" s="265" t="s">
        <v>60</v>
      </c>
      <c r="B72" s="242">
        <v>93176.85</v>
      </c>
      <c r="C72" s="421">
        <f>B72</f>
        <v>93176.85</v>
      </c>
      <c r="D72" s="422">
        <f>B72-C72</f>
        <v>0</v>
      </c>
      <c r="E72" s="114"/>
      <c r="F72" s="118"/>
      <c r="G72" s="109"/>
      <c r="H72" s="120"/>
      <c r="I72" s="65"/>
      <c r="J72" s="65"/>
      <c r="K72" s="66"/>
      <c r="L72" s="66"/>
      <c r="M72" s="66"/>
      <c r="N72" s="66"/>
    </row>
    <row r="73" spans="1:14" ht="16.5" thickBot="1">
      <c r="A73" s="475" t="s">
        <v>236</v>
      </c>
      <c r="B73" s="476">
        <v>70334.59</v>
      </c>
      <c r="C73" s="477">
        <f>C68</f>
        <v>67985.41469399999</v>
      </c>
      <c r="D73" s="478">
        <v>0</v>
      </c>
      <c r="E73" s="114"/>
      <c r="F73" s="118"/>
      <c r="G73" s="109"/>
      <c r="H73" s="120" t="s">
        <v>26</v>
      </c>
      <c r="I73" s="65"/>
      <c r="J73" s="65"/>
      <c r="K73" s="66"/>
      <c r="L73" s="66"/>
      <c r="M73" s="66"/>
      <c r="N73" s="66"/>
    </row>
    <row r="74" spans="1:14" ht="15.75">
      <c r="A74" s="247"/>
      <c r="B74" s="303"/>
      <c r="C74" s="451"/>
      <c r="D74" s="452"/>
      <c r="E74" s="114"/>
      <c r="F74" s="118"/>
      <c r="G74" s="109"/>
      <c r="H74" s="120"/>
      <c r="I74" s="65"/>
      <c r="J74" s="65"/>
      <c r="K74" s="66"/>
      <c r="L74" s="66"/>
      <c r="M74" s="66"/>
      <c r="N74" s="66"/>
    </row>
    <row r="75" spans="1:14" ht="26.25">
      <c r="A75" s="251" t="s">
        <v>66</v>
      </c>
      <c r="B75" s="248" t="s">
        <v>11</v>
      </c>
      <c r="C75" s="427"/>
      <c r="D75" s="428">
        <v>0</v>
      </c>
      <c r="E75" s="114"/>
      <c r="F75" s="118"/>
      <c r="G75" s="109"/>
      <c r="H75" s="120"/>
      <c r="I75" s="65"/>
      <c r="J75" s="65" t="s">
        <v>26</v>
      </c>
      <c r="K75" s="66"/>
      <c r="L75" s="66"/>
      <c r="M75" s="66"/>
      <c r="N75" s="66"/>
    </row>
    <row r="76" spans="1:14" ht="17.25" customHeight="1">
      <c r="A76" s="572" t="s">
        <v>67</v>
      </c>
      <c r="B76" s="572"/>
      <c r="C76" s="572"/>
      <c r="D76" s="572"/>
      <c r="E76" s="121" t="e">
        <f>D76+B19</f>
        <v>#VALUE!</v>
      </c>
      <c r="F76" s="120"/>
      <c r="G76" s="109"/>
      <c r="H76" s="122" t="e">
        <f>E76-B18</f>
        <v>#VALUE!</v>
      </c>
      <c r="I76" s="65"/>
      <c r="J76" s="65"/>
      <c r="K76" s="66"/>
      <c r="L76" s="66"/>
      <c r="M76" s="66"/>
      <c r="N76" s="66"/>
    </row>
    <row r="77" spans="1:8" ht="21" customHeight="1">
      <c r="A77" s="86" t="s">
        <v>45</v>
      </c>
      <c r="B77" s="86" t="s">
        <v>46</v>
      </c>
      <c r="C77" s="86"/>
      <c r="D77" s="177">
        <v>0</v>
      </c>
      <c r="E77" s="123"/>
      <c r="F77" s="109"/>
      <c r="G77" s="109"/>
      <c r="H77" s="109"/>
    </row>
    <row r="78" spans="1:8" ht="21" customHeight="1">
      <c r="A78" s="86" t="s">
        <v>47</v>
      </c>
      <c r="B78" s="86" t="s">
        <v>46</v>
      </c>
      <c r="C78" s="86"/>
      <c r="D78" s="177">
        <v>0</v>
      </c>
      <c r="E78" s="123"/>
      <c r="F78" s="109"/>
      <c r="G78" s="109"/>
      <c r="H78" s="109"/>
    </row>
    <row r="79" spans="1:8" ht="18" customHeight="1">
      <c r="A79" s="86" t="s">
        <v>48</v>
      </c>
      <c r="B79" s="86" t="s">
        <v>46</v>
      </c>
      <c r="C79" s="86"/>
      <c r="D79" s="177">
        <v>0</v>
      </c>
      <c r="E79" s="123"/>
      <c r="F79" s="109"/>
      <c r="G79" s="109"/>
      <c r="H79" s="109"/>
    </row>
    <row r="80" spans="1:8" ht="16.5" customHeight="1">
      <c r="A80" s="86" t="s">
        <v>49</v>
      </c>
      <c r="B80" s="86" t="s">
        <v>11</v>
      </c>
      <c r="C80" s="86"/>
      <c r="D80" s="177">
        <v>0</v>
      </c>
      <c r="E80" s="123"/>
      <c r="F80" s="109"/>
      <c r="G80" s="109"/>
      <c r="H80" s="109"/>
    </row>
    <row r="81" spans="1:8" ht="15.75" customHeight="1">
      <c r="A81" s="566" t="s">
        <v>68</v>
      </c>
      <c r="B81" s="566"/>
      <c r="C81" s="566"/>
      <c r="D81" s="566"/>
      <c r="E81" s="123"/>
      <c r="F81" s="109"/>
      <c r="G81" s="109"/>
      <c r="H81" s="109"/>
    </row>
    <row r="82" spans="1:8" ht="18.75" customHeight="1">
      <c r="A82" s="86" t="s">
        <v>69</v>
      </c>
      <c r="B82" s="86" t="s">
        <v>46</v>
      </c>
      <c r="C82" s="86"/>
      <c r="D82" s="177">
        <v>1</v>
      </c>
      <c r="E82" s="123"/>
      <c r="F82" s="109"/>
      <c r="G82" s="109"/>
      <c r="H82" s="109"/>
    </row>
    <row r="83" spans="1:8" ht="21.75" customHeight="1">
      <c r="A83" s="86" t="s">
        <v>70</v>
      </c>
      <c r="B83" s="254" t="s">
        <v>46</v>
      </c>
      <c r="C83" s="254"/>
      <c r="D83" s="177">
        <v>2</v>
      </c>
      <c r="E83" s="123"/>
      <c r="F83" s="109"/>
      <c r="G83" s="109"/>
      <c r="H83" s="109"/>
    </row>
    <row r="84" spans="1:8" ht="36" customHeight="1">
      <c r="A84" s="255" t="s">
        <v>71</v>
      </c>
      <c r="B84" s="86" t="s">
        <v>11</v>
      </c>
      <c r="C84" s="86"/>
      <c r="D84" s="177">
        <v>28653.54</v>
      </c>
      <c r="E84" s="123"/>
      <c r="F84" s="109"/>
      <c r="G84" s="109"/>
      <c r="H84" s="109"/>
    </row>
    <row r="85" spans="1:8" ht="15.75">
      <c r="A85" s="256"/>
      <c r="B85" s="256"/>
      <c r="C85" s="256"/>
      <c r="D85" s="257"/>
      <c r="E85" s="109"/>
      <c r="F85" s="109"/>
      <c r="G85" s="109"/>
      <c r="H85" s="109"/>
    </row>
    <row r="86" spans="1:14" s="1" customFormat="1" ht="12.75">
      <c r="A86" s="178"/>
      <c r="B86" s="178"/>
      <c r="C86" s="178"/>
      <c r="D86" s="178"/>
      <c r="E86" s="109"/>
      <c r="F86" s="109"/>
      <c r="G86" s="109"/>
      <c r="H86" s="109" t="s">
        <v>26</v>
      </c>
      <c r="K86"/>
      <c r="L86"/>
      <c r="M86"/>
      <c r="N86"/>
    </row>
    <row r="87" spans="1:14" s="1" customFormat="1" ht="12.75">
      <c r="A87" s="178" t="s">
        <v>72</v>
      </c>
      <c r="B87" s="178"/>
      <c r="C87" s="178" t="s">
        <v>141</v>
      </c>
      <c r="D87" s="178"/>
      <c r="E87" s="109"/>
      <c r="F87" s="109"/>
      <c r="G87" s="109"/>
      <c r="H87" s="109"/>
      <c r="K87"/>
      <c r="L87"/>
      <c r="M87"/>
      <c r="N87"/>
    </row>
    <row r="88" spans="1:14" s="1" customFormat="1" ht="12.75">
      <c r="A88" s="178"/>
      <c r="B88" s="178"/>
      <c r="C88" s="178"/>
      <c r="D88" s="178"/>
      <c r="E88" s="109"/>
      <c r="F88" s="109"/>
      <c r="G88" s="109"/>
      <c r="H88" s="109" t="s">
        <v>26</v>
      </c>
      <c r="K88"/>
      <c r="L88"/>
      <c r="M88"/>
      <c r="N88"/>
    </row>
    <row r="89" spans="1:14" s="1" customFormat="1" ht="12.75">
      <c r="A89" s="178" t="s">
        <v>73</v>
      </c>
      <c r="B89" s="178"/>
      <c r="C89" s="178"/>
      <c r="D89" s="178"/>
      <c r="E89" s="109"/>
      <c r="F89" s="109"/>
      <c r="G89" s="109"/>
      <c r="H89" s="109"/>
      <c r="K89"/>
      <c r="L89"/>
      <c r="M89"/>
      <c r="N89"/>
    </row>
    <row r="90" spans="1:4" ht="12.75">
      <c r="A90" s="178"/>
      <c r="B90" s="178"/>
      <c r="C90" s="178"/>
      <c r="D90" s="178"/>
    </row>
    <row r="93" spans="1:14" s="1" customFormat="1" ht="12.75">
      <c r="A93"/>
      <c r="B93"/>
      <c r="C93"/>
      <c r="D93"/>
      <c r="E93" s="1" t="s">
        <v>26</v>
      </c>
      <c r="K93"/>
      <c r="L93"/>
      <c r="M93"/>
      <c r="N93"/>
    </row>
  </sheetData>
  <sheetProtection selectLockedCells="1" selectUnlockedCells="1"/>
  <mergeCells count="13">
    <mergeCell ref="A81:D81"/>
    <mergeCell ref="A14:D14"/>
    <mergeCell ref="A28:D28"/>
    <mergeCell ref="A51:D51"/>
    <mergeCell ref="A56:D56"/>
    <mergeCell ref="A63:D63"/>
    <mergeCell ref="A76:D76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600" verticalDpi="600" orientation="portrait" paperSize="12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="80" zoomScaleNormal="80" zoomScalePageLayoutView="0" workbookViewId="0" topLeftCell="A19">
      <selection activeCell="D40" sqref="D40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560" t="s">
        <v>0</v>
      </c>
      <c r="B1" s="560"/>
      <c r="C1" s="560"/>
      <c r="D1" s="560"/>
    </row>
    <row r="2" spans="1:4" ht="15.75">
      <c r="A2" s="561" t="s">
        <v>220</v>
      </c>
      <c r="B2" s="562"/>
      <c r="C2" s="562"/>
      <c r="D2" s="562"/>
    </row>
    <row r="3" spans="1:4" ht="15.75">
      <c r="A3" s="562" t="s">
        <v>1</v>
      </c>
      <c r="B3" s="562"/>
      <c r="C3" s="562"/>
      <c r="D3" s="562"/>
    </row>
    <row r="4" spans="1:4" ht="12.75">
      <c r="A4" s="563" t="s">
        <v>140</v>
      </c>
      <c r="B4" s="563"/>
      <c r="C4" s="563"/>
      <c r="D4" s="563"/>
    </row>
    <row r="5" spans="1:4" ht="12.75">
      <c r="A5" s="564" t="s">
        <v>266</v>
      </c>
      <c r="B5" s="563"/>
      <c r="C5" s="563"/>
      <c r="D5" s="563"/>
    </row>
    <row r="6" spans="1:4" ht="9" customHeight="1">
      <c r="A6" s="258"/>
      <c r="B6" s="178"/>
      <c r="C6" s="178"/>
      <c r="D6" s="178"/>
    </row>
    <row r="7" spans="1:4" ht="18" customHeight="1">
      <c r="A7" s="565" t="s">
        <v>2</v>
      </c>
      <c r="B7" s="565"/>
      <c r="C7" s="565"/>
      <c r="D7" s="565"/>
    </row>
    <row r="8" spans="1:4" ht="12.75">
      <c r="A8" s="258" t="s">
        <v>194</v>
      </c>
      <c r="B8" s="178"/>
      <c r="C8" s="183"/>
      <c r="D8" s="178"/>
    </row>
    <row r="9" spans="1:4" ht="12.75">
      <c r="A9" s="184" t="s">
        <v>3</v>
      </c>
      <c r="B9" s="184" t="s">
        <v>4</v>
      </c>
      <c r="C9" s="184" t="s">
        <v>5</v>
      </c>
      <c r="D9" s="185"/>
    </row>
    <row r="10" spans="1:8" ht="12.75">
      <c r="A10" s="186">
        <v>1</v>
      </c>
      <c r="B10" s="186">
        <v>2</v>
      </c>
      <c r="C10" s="186">
        <v>3</v>
      </c>
      <c r="D10" s="187">
        <v>4</v>
      </c>
      <c r="E10" s="109"/>
      <c r="F10" s="109"/>
      <c r="G10" s="109"/>
      <c r="H10" s="109"/>
    </row>
    <row r="11" spans="1:8" ht="12.75">
      <c r="A11" s="20" t="s">
        <v>6</v>
      </c>
      <c r="B11" s="188"/>
      <c r="C11" s="189" t="s">
        <v>262</v>
      </c>
      <c r="D11" s="190"/>
      <c r="E11" s="109"/>
      <c r="F11" s="109"/>
      <c r="G11" s="109"/>
      <c r="H11" s="109"/>
    </row>
    <row r="12" spans="1:8" ht="12.75">
      <c r="A12" s="20" t="s">
        <v>7</v>
      </c>
      <c r="B12" s="188"/>
      <c r="C12" s="189" t="s">
        <v>263</v>
      </c>
      <c r="D12" s="190"/>
      <c r="E12" s="109"/>
      <c r="F12" s="109"/>
      <c r="G12" s="109"/>
      <c r="H12" s="109"/>
    </row>
    <row r="13" spans="1:8" ht="12.75">
      <c r="A13" s="20" t="s">
        <v>8</v>
      </c>
      <c r="B13" s="188"/>
      <c r="C13" s="189" t="s">
        <v>267</v>
      </c>
      <c r="D13" s="190"/>
      <c r="E13" s="109"/>
      <c r="F13" s="109"/>
      <c r="G13" s="109"/>
      <c r="H13" s="109"/>
    </row>
    <row r="14" spans="1:8" ht="31.5" customHeight="1">
      <c r="A14" s="567" t="s">
        <v>9</v>
      </c>
      <c r="B14" s="567"/>
      <c r="C14" s="567"/>
      <c r="D14" s="567"/>
      <c r="E14" s="109"/>
      <c r="F14" s="109"/>
      <c r="G14" s="109"/>
      <c r="H14" s="109"/>
    </row>
    <row r="15" spans="1:8" ht="26.25">
      <c r="A15" s="17" t="s">
        <v>10</v>
      </c>
      <c r="B15" s="191" t="s">
        <v>11</v>
      </c>
      <c r="C15" s="194">
        <v>20143.36</v>
      </c>
      <c r="D15" s="193"/>
      <c r="E15" s="109"/>
      <c r="F15" s="109"/>
      <c r="G15" s="109"/>
      <c r="H15" s="109"/>
    </row>
    <row r="16" spans="1:8" ht="15.75">
      <c r="A16" s="20" t="s">
        <v>12</v>
      </c>
      <c r="B16" s="191" t="s">
        <v>11</v>
      </c>
      <c r="C16" s="192">
        <v>0</v>
      </c>
      <c r="D16" s="193"/>
      <c r="E16" s="59"/>
      <c r="F16" s="109"/>
      <c r="G16" s="109"/>
      <c r="H16" s="109"/>
    </row>
    <row r="17" spans="1:8" ht="15.75">
      <c r="A17" s="20" t="s">
        <v>13</v>
      </c>
      <c r="B17" s="191" t="s">
        <v>11</v>
      </c>
      <c r="C17" s="194">
        <v>767.49</v>
      </c>
      <c r="D17" s="195"/>
      <c r="E17" s="109"/>
      <c r="F17" s="109"/>
      <c r="G17" s="109"/>
      <c r="H17" s="109"/>
    </row>
    <row r="18" spans="1:8" ht="31.5" customHeight="1">
      <c r="A18" s="17" t="s">
        <v>14</v>
      </c>
      <c r="B18" s="191" t="s">
        <v>11</v>
      </c>
      <c r="C18" s="194">
        <f>16602.06+2206.44</f>
        <v>18808.5</v>
      </c>
      <c r="D18" s="195"/>
      <c r="E18" s="110">
        <f>C18-C20</f>
        <v>11633.844</v>
      </c>
      <c r="F18" s="109"/>
      <c r="G18" s="109"/>
      <c r="H18" s="109"/>
    </row>
    <row r="19" spans="1:8" ht="15.75">
      <c r="A19" s="20" t="s">
        <v>15</v>
      </c>
      <c r="B19" s="191" t="s">
        <v>11</v>
      </c>
      <c r="C19" s="194">
        <f>C18-C20-C21</f>
        <v>4830.959999999997</v>
      </c>
      <c r="D19" s="195"/>
      <c r="E19" s="110">
        <f>E18-E39</f>
        <v>-1980.002000000004</v>
      </c>
      <c r="F19" s="109"/>
      <c r="G19" s="109"/>
      <c r="H19" s="109"/>
    </row>
    <row r="20" spans="1:8" ht="15.75">
      <c r="A20" s="20" t="s">
        <v>16</v>
      </c>
      <c r="B20" s="191" t="s">
        <v>11</v>
      </c>
      <c r="C20" s="194">
        <f>(3+3.12)*6*135.3+2206.44</f>
        <v>7174.656000000001</v>
      </c>
      <c r="D20" s="195"/>
      <c r="E20" s="111"/>
      <c r="F20" s="109"/>
      <c r="G20" s="109"/>
      <c r="H20" s="109"/>
    </row>
    <row r="21" spans="1:8" ht="15.75">
      <c r="A21" s="20" t="s">
        <v>17</v>
      </c>
      <c r="B21" s="191" t="s">
        <v>11</v>
      </c>
      <c r="C21" s="196">
        <f>135.3*4.19*12</f>
        <v>6802.884000000002</v>
      </c>
      <c r="D21" s="195"/>
      <c r="E21" s="109"/>
      <c r="F21" s="109"/>
      <c r="G21" s="109"/>
      <c r="H21" s="109"/>
    </row>
    <row r="22" spans="1:8" ht="15.75">
      <c r="A22" s="20" t="s">
        <v>18</v>
      </c>
      <c r="B22" s="191" t="s">
        <v>11</v>
      </c>
      <c r="C22" s="194">
        <f>C23</f>
        <v>18847.99785</v>
      </c>
      <c r="D22" s="195" t="s">
        <v>19</v>
      </c>
      <c r="E22" s="110" t="e">
        <f>B24+B25+B26+B27+B28</f>
        <v>#VALUE!</v>
      </c>
      <c r="F22" s="109"/>
      <c r="G22" s="109"/>
      <c r="H22" s="109"/>
    </row>
    <row r="23" spans="1:8" ht="15.75">
      <c r="A23" s="20" t="s">
        <v>20</v>
      </c>
      <c r="B23" s="191" t="s">
        <v>11</v>
      </c>
      <c r="C23" s="194">
        <f>C18*1.0021</f>
        <v>18847.99785</v>
      </c>
      <c r="D23" s="195"/>
      <c r="E23" s="109"/>
      <c r="F23" s="109"/>
      <c r="G23" s="109"/>
      <c r="H23" s="109"/>
    </row>
    <row r="24" spans="1:8" ht="15.75">
      <c r="A24" s="20" t="s">
        <v>21</v>
      </c>
      <c r="B24" s="191" t="s">
        <v>11</v>
      </c>
      <c r="C24" s="194">
        <v>0</v>
      </c>
      <c r="D24" s="197">
        <v>65.21</v>
      </c>
      <c r="E24" s="111" t="e">
        <f>B24/#REF!*1</f>
        <v>#VALUE!</v>
      </c>
      <c r="F24" s="109"/>
      <c r="G24" s="109"/>
      <c r="H24" s="109" t="s">
        <v>22</v>
      </c>
    </row>
    <row r="25" spans="1:8" ht="15.75">
      <c r="A25" s="20" t="s">
        <v>23</v>
      </c>
      <c r="B25" s="191" t="s">
        <v>11</v>
      </c>
      <c r="C25" s="194">
        <v>0</v>
      </c>
      <c r="D25" s="197">
        <v>119.63</v>
      </c>
      <c r="E25" s="111" t="e">
        <f>B25/#REF!*1</f>
        <v>#VALUE!</v>
      </c>
      <c r="F25" s="109"/>
      <c r="G25" s="109"/>
      <c r="H25" s="109"/>
    </row>
    <row r="26" spans="1:8" ht="15.75">
      <c r="A26" s="188" t="s">
        <v>24</v>
      </c>
      <c r="B26" s="191" t="s">
        <v>11</v>
      </c>
      <c r="C26" s="194">
        <v>0</v>
      </c>
      <c r="D26" s="197"/>
      <c r="E26" s="111" t="e">
        <f>B26/#REF!*1</f>
        <v>#VALUE!</v>
      </c>
      <c r="F26" s="109"/>
      <c r="G26" s="109"/>
      <c r="H26" s="109"/>
    </row>
    <row r="27" spans="1:8" ht="16.5" customHeight="1">
      <c r="A27" s="198" t="s">
        <v>96</v>
      </c>
      <c r="B27" s="191" t="s">
        <v>11</v>
      </c>
      <c r="C27" s="194">
        <v>0</v>
      </c>
      <c r="D27" s="197">
        <v>139.18</v>
      </c>
      <c r="E27" s="111" t="e">
        <f>B27/#REF!*1</f>
        <v>#VALUE!</v>
      </c>
      <c r="F27" s="109"/>
      <c r="G27" s="109"/>
      <c r="H27" s="109"/>
    </row>
    <row r="28" spans="1:8" ht="15.75">
      <c r="A28" s="20" t="s">
        <v>25</v>
      </c>
      <c r="B28" s="191" t="s">
        <v>11</v>
      </c>
      <c r="C28" s="194">
        <f>C15+C22</f>
        <v>38991.35785</v>
      </c>
      <c r="D28" s="195" t="s">
        <v>26</v>
      </c>
      <c r="E28" s="111" t="e">
        <f>B28/#REF!*1</f>
        <v>#VALUE!</v>
      </c>
      <c r="F28" s="109"/>
      <c r="G28" s="109"/>
      <c r="H28" s="109"/>
    </row>
    <row r="29" spans="1:8" ht="35.25" customHeight="1">
      <c r="A29" s="568" t="s">
        <v>27</v>
      </c>
      <c r="B29" s="568"/>
      <c r="C29" s="568"/>
      <c r="D29" s="568"/>
      <c r="E29" s="109"/>
      <c r="F29" s="109"/>
      <c r="G29" s="109"/>
      <c r="H29" s="109"/>
    </row>
    <row r="30" spans="1:8" ht="63">
      <c r="A30" s="271" t="s">
        <v>28</v>
      </c>
      <c r="B30" s="307" t="s">
        <v>29</v>
      </c>
      <c r="C30" s="286" t="s">
        <v>30</v>
      </c>
      <c r="D30" s="308" t="s">
        <v>31</v>
      </c>
      <c r="E30" s="109"/>
      <c r="F30" s="109"/>
      <c r="G30" s="109"/>
      <c r="H30" s="109"/>
    </row>
    <row r="31" spans="1:8" ht="15.75">
      <c r="A31" s="203" t="s">
        <v>32</v>
      </c>
      <c r="B31" s="204" t="s">
        <v>33</v>
      </c>
      <c r="C31" s="205" t="s">
        <v>34</v>
      </c>
      <c r="D31" s="206">
        <f>(0.93+0.85)*6*135.3</f>
        <v>1445.0040000000001</v>
      </c>
      <c r="E31" s="109"/>
      <c r="F31" s="109"/>
      <c r="G31" s="109"/>
      <c r="H31" s="109"/>
    </row>
    <row r="32" spans="1:8" ht="15.75">
      <c r="A32" s="207" t="s">
        <v>36</v>
      </c>
      <c r="B32" s="208" t="s">
        <v>33</v>
      </c>
      <c r="C32" s="209" t="s">
        <v>37</v>
      </c>
      <c r="D32" s="210">
        <f>0.24*12*135.3</f>
        <v>389.66400000000004</v>
      </c>
      <c r="E32" s="109"/>
      <c r="F32" s="109"/>
      <c r="G32" s="109"/>
      <c r="H32" s="109"/>
    </row>
    <row r="33" spans="1:8" ht="15.75">
      <c r="A33" s="207" t="s">
        <v>106</v>
      </c>
      <c r="B33" s="208" t="s">
        <v>33</v>
      </c>
      <c r="C33" s="209" t="s">
        <v>34</v>
      </c>
      <c r="D33" s="210">
        <f>(1.29+1.04)*6*135.3</f>
        <v>1891.4940000000001</v>
      </c>
      <c r="E33" s="109"/>
      <c r="F33" s="109"/>
      <c r="G33" s="109"/>
      <c r="H33" s="109"/>
    </row>
    <row r="34" spans="1:8" ht="15.75">
      <c r="A34" s="207" t="s">
        <v>81</v>
      </c>
      <c r="B34" s="213" t="s">
        <v>82</v>
      </c>
      <c r="C34" s="209" t="s">
        <v>34</v>
      </c>
      <c r="D34" s="210">
        <f>1.33*12*135.3</f>
        <v>2159.3880000000004</v>
      </c>
      <c r="E34" s="109"/>
      <c r="F34" s="109"/>
      <c r="G34" s="109"/>
      <c r="H34" s="109"/>
    </row>
    <row r="35" spans="1:8" ht="15.75">
      <c r="A35" s="207" t="s">
        <v>38</v>
      </c>
      <c r="B35" s="208" t="s">
        <v>35</v>
      </c>
      <c r="C35" s="362" t="s">
        <v>221</v>
      </c>
      <c r="D35" s="210">
        <f>4.19*135.3*12</f>
        <v>6802.884000000002</v>
      </c>
      <c r="E35" s="109"/>
      <c r="F35" s="109"/>
      <c r="G35" s="109"/>
      <c r="H35" s="109"/>
    </row>
    <row r="36" spans="1:8" ht="15.75">
      <c r="A36" s="207" t="s">
        <v>85</v>
      </c>
      <c r="B36" s="208" t="s">
        <v>222</v>
      </c>
      <c r="C36" s="259" t="s">
        <v>37</v>
      </c>
      <c r="D36" s="210">
        <f>135.3*12*0.57-0.04</f>
        <v>925.412</v>
      </c>
      <c r="E36" s="109"/>
      <c r="F36" s="109"/>
      <c r="G36" s="109"/>
      <c r="H36" s="109"/>
    </row>
    <row r="37" spans="1:14" s="1" customFormat="1" ht="47.25">
      <c r="A37" s="294" t="s">
        <v>217</v>
      </c>
      <c r="B37" s="215" t="s">
        <v>41</v>
      </c>
      <c r="C37" s="318"/>
      <c r="D37" s="175">
        <f>D38</f>
        <v>1980</v>
      </c>
      <c r="E37" s="109"/>
      <c r="F37" s="109"/>
      <c r="G37" s="109"/>
      <c r="H37" s="109"/>
      <c r="K37"/>
      <c r="L37"/>
      <c r="M37"/>
      <c r="N37"/>
    </row>
    <row r="38" spans="1:14" s="1" customFormat="1" ht="15.75">
      <c r="A38" s="219" t="s">
        <v>316</v>
      </c>
      <c r="B38" s="217" t="s">
        <v>148</v>
      </c>
      <c r="C38" s="466"/>
      <c r="D38" s="176">
        <v>1980</v>
      </c>
      <c r="E38" s="109"/>
      <c r="F38" s="109"/>
      <c r="G38" s="109"/>
      <c r="H38" s="109"/>
      <c r="K38"/>
      <c r="L38"/>
      <c r="M38"/>
      <c r="N38"/>
    </row>
    <row r="39" spans="1:14" s="1" customFormat="1" ht="15.75">
      <c r="A39" s="37" t="s">
        <v>42</v>
      </c>
      <c r="B39" s="222"/>
      <c r="C39" s="223"/>
      <c r="D39" s="97">
        <f>SUM(D31:D37)</f>
        <v>15593.846000000003</v>
      </c>
      <c r="E39" s="112">
        <f>D39-D38</f>
        <v>13613.846000000003</v>
      </c>
      <c r="F39" s="109"/>
      <c r="G39" s="109"/>
      <c r="H39" s="109"/>
      <c r="K39"/>
      <c r="L39"/>
      <c r="M39"/>
      <c r="N39"/>
    </row>
    <row r="40" spans="1:14" s="1" customFormat="1" ht="15.75">
      <c r="A40" s="40" t="s">
        <v>43</v>
      </c>
      <c r="B40" s="224" t="s">
        <v>11</v>
      </c>
      <c r="C40" s="225"/>
      <c r="D40" s="226">
        <f>C28-D39</f>
        <v>23397.511849999995</v>
      </c>
      <c r="E40" s="112"/>
      <c r="F40" s="109"/>
      <c r="G40" s="109"/>
      <c r="H40" s="109"/>
      <c r="K40"/>
      <c r="L40"/>
      <c r="M40"/>
      <c r="N40"/>
    </row>
    <row r="41" spans="1:14" s="1" customFormat="1" ht="15.75">
      <c r="A41" s="227" t="s">
        <v>12</v>
      </c>
      <c r="B41" s="228" t="s">
        <v>11</v>
      </c>
      <c r="C41" s="209"/>
      <c r="D41" s="193"/>
      <c r="E41" s="109"/>
      <c r="F41" s="109"/>
      <c r="G41" s="109"/>
      <c r="H41" s="109"/>
      <c r="K41"/>
      <c r="L41"/>
      <c r="M41"/>
      <c r="N41"/>
    </row>
    <row r="42" spans="1:14" s="1" customFormat="1" ht="15.75">
      <c r="A42" s="227" t="s">
        <v>13</v>
      </c>
      <c r="B42" s="228" t="s">
        <v>11</v>
      </c>
      <c r="C42" s="209"/>
      <c r="D42" s="195">
        <f>C17+C18-C23</f>
        <v>727.9921500000019</v>
      </c>
      <c r="E42" s="109"/>
      <c r="F42" s="109"/>
      <c r="G42" s="109"/>
      <c r="H42" s="109"/>
      <c r="K42"/>
      <c r="L42"/>
      <c r="M42"/>
      <c r="N42"/>
    </row>
    <row r="43" spans="1:14" s="1" customFormat="1" ht="24" customHeight="1">
      <c r="A43" s="569" t="s">
        <v>44</v>
      </c>
      <c r="B43" s="569"/>
      <c r="C43" s="569"/>
      <c r="D43" s="569"/>
      <c r="E43" s="109"/>
      <c r="F43" s="109"/>
      <c r="G43" s="109"/>
      <c r="H43" s="109"/>
      <c r="K43"/>
      <c r="L43"/>
      <c r="M43"/>
      <c r="N43"/>
    </row>
    <row r="44" spans="1:14" s="1" customFormat="1" ht="15.75">
      <c r="A44" s="227" t="s">
        <v>45</v>
      </c>
      <c r="B44" s="208" t="s">
        <v>46</v>
      </c>
      <c r="C44" s="209">
        <v>0</v>
      </c>
      <c r="D44" s="193">
        <v>1</v>
      </c>
      <c r="E44" s="109"/>
      <c r="F44" s="109"/>
      <c r="G44" s="109"/>
      <c r="H44" s="109"/>
      <c r="K44"/>
      <c r="L44"/>
      <c r="M44"/>
      <c r="N44"/>
    </row>
    <row r="45" spans="1:14" s="1" customFormat="1" ht="15.75">
      <c r="A45" s="227" t="s">
        <v>47</v>
      </c>
      <c r="B45" s="208" t="s">
        <v>46</v>
      </c>
      <c r="C45" s="209">
        <v>0</v>
      </c>
      <c r="D45" s="193">
        <v>1</v>
      </c>
      <c r="E45" s="109"/>
      <c r="F45" s="109"/>
      <c r="G45" s="109"/>
      <c r="H45" s="109"/>
      <c r="K45"/>
      <c r="L45"/>
      <c r="M45"/>
      <c r="N45"/>
    </row>
    <row r="46" spans="1:14" s="1" customFormat="1" ht="15.75">
      <c r="A46" s="229" t="s">
        <v>48</v>
      </c>
      <c r="B46" s="208" t="s">
        <v>46</v>
      </c>
      <c r="C46" s="209">
        <v>0</v>
      </c>
      <c r="D46" s="193">
        <v>0</v>
      </c>
      <c r="E46" s="109"/>
      <c r="F46" s="109"/>
      <c r="G46" s="109"/>
      <c r="H46" s="109"/>
      <c r="K46"/>
      <c r="L46"/>
      <c r="M46"/>
      <c r="N46"/>
    </row>
    <row r="47" spans="1:14" s="1" customFormat="1" ht="15.75">
      <c r="A47" s="227" t="s">
        <v>49</v>
      </c>
      <c r="B47" s="208" t="s">
        <v>11</v>
      </c>
      <c r="C47" s="209">
        <v>0</v>
      </c>
      <c r="D47" s="193">
        <v>807.92</v>
      </c>
      <c r="E47" s="109"/>
      <c r="F47" s="109"/>
      <c r="G47" s="109"/>
      <c r="H47" s="109"/>
      <c r="K47"/>
      <c r="L47"/>
      <c r="M47"/>
      <c r="N47"/>
    </row>
    <row r="48" spans="1:8" ht="20.25" customHeight="1">
      <c r="A48" s="570" t="s">
        <v>50</v>
      </c>
      <c r="B48" s="570"/>
      <c r="C48" s="570"/>
      <c r="D48" s="570"/>
      <c r="E48" s="109"/>
      <c r="F48" s="109"/>
      <c r="G48" s="109"/>
      <c r="H48" s="109"/>
    </row>
    <row r="49" spans="1:8" ht="26.25">
      <c r="A49" s="229" t="s">
        <v>51</v>
      </c>
      <c r="B49" s="208" t="s">
        <v>11</v>
      </c>
      <c r="C49" s="209"/>
      <c r="D49" s="193">
        <v>0</v>
      </c>
      <c r="E49" s="109"/>
      <c r="F49" s="109"/>
      <c r="G49" s="109"/>
      <c r="H49" s="109"/>
    </row>
    <row r="50" spans="1:8" ht="15.75">
      <c r="A50" s="227" t="s">
        <v>12</v>
      </c>
      <c r="B50" s="208" t="s">
        <v>11</v>
      </c>
      <c r="C50" s="209"/>
      <c r="D50" s="193">
        <v>0</v>
      </c>
      <c r="E50" s="109"/>
      <c r="F50" s="109"/>
      <c r="G50" s="109"/>
      <c r="H50" s="109"/>
    </row>
    <row r="51" spans="1:8" ht="15.75">
      <c r="A51" s="227" t="s">
        <v>13</v>
      </c>
      <c r="B51" s="208" t="s">
        <v>11</v>
      </c>
      <c r="C51" s="209"/>
      <c r="D51" s="230">
        <f>D54-D57-D58-D59-D60</f>
        <v>1693.8347439999998</v>
      </c>
      <c r="E51" s="109"/>
      <c r="F51" s="109"/>
      <c r="G51" s="109"/>
      <c r="H51" s="113"/>
    </row>
    <row r="52" spans="1:8" ht="26.25">
      <c r="A52" s="231" t="s">
        <v>52</v>
      </c>
      <c r="B52" s="208" t="s">
        <v>11</v>
      </c>
      <c r="C52" s="232"/>
      <c r="D52" s="233">
        <v>0</v>
      </c>
      <c r="E52" s="109"/>
      <c r="F52" s="109"/>
      <c r="G52" s="109"/>
      <c r="H52" s="109"/>
    </row>
    <row r="53" spans="1:10" ht="17.25" customHeight="1">
      <c r="A53" s="254" t="s">
        <v>12</v>
      </c>
      <c r="B53" s="208" t="s">
        <v>11</v>
      </c>
      <c r="C53" s="276"/>
      <c r="D53" s="180"/>
      <c r="E53" s="109"/>
      <c r="F53" s="109"/>
      <c r="G53" s="109"/>
      <c r="H53" s="109"/>
      <c r="I53" s="49"/>
      <c r="J53" s="49"/>
    </row>
    <row r="54" spans="1:14" ht="15.75">
      <c r="A54" s="235" t="s">
        <v>13</v>
      </c>
      <c r="B54" s="208" t="s">
        <v>11</v>
      </c>
      <c r="C54" s="236"/>
      <c r="D54" s="237">
        <v>1665.58</v>
      </c>
      <c r="E54" s="109"/>
      <c r="F54" s="109"/>
      <c r="G54" s="109"/>
      <c r="H54" s="109" t="s">
        <v>26</v>
      </c>
      <c r="I54" s="60"/>
      <c r="J54" s="60"/>
      <c r="K54" s="61"/>
      <c r="L54" s="61"/>
      <c r="M54" s="61"/>
      <c r="N54" s="61"/>
    </row>
    <row r="55" spans="1:14" ht="18" customHeight="1">
      <c r="A55" s="571" t="s">
        <v>53</v>
      </c>
      <c r="B55" s="571"/>
      <c r="C55" s="571"/>
      <c r="D55" s="571"/>
      <c r="E55" s="114"/>
      <c r="F55" s="115"/>
      <c r="G55" s="116"/>
      <c r="H55" s="109"/>
      <c r="I55" s="65"/>
      <c r="J55" s="65"/>
      <c r="K55" s="66"/>
      <c r="L55" s="66"/>
      <c r="M55" s="66"/>
      <c r="N55" s="66"/>
    </row>
    <row r="56" spans="1:14" ht="47.25">
      <c r="A56" s="67" t="s">
        <v>54</v>
      </c>
      <c r="B56" s="68" t="s">
        <v>55</v>
      </c>
      <c r="C56" s="69" t="s">
        <v>56</v>
      </c>
      <c r="D56" s="70" t="s">
        <v>57</v>
      </c>
      <c r="E56" s="114"/>
      <c r="F56" s="115"/>
      <c r="G56" s="116"/>
      <c r="H56" s="109"/>
      <c r="I56" s="65"/>
      <c r="J56" s="71"/>
      <c r="K56" s="66"/>
      <c r="L56" s="66"/>
      <c r="M56" s="66"/>
      <c r="N56" s="66"/>
    </row>
    <row r="57" spans="1:14" ht="15.75">
      <c r="A57" s="238" t="s">
        <v>58</v>
      </c>
      <c r="B57" s="239">
        <v>988.94</v>
      </c>
      <c r="C57" s="240">
        <f>B57*1.0021</f>
        <v>991.016774</v>
      </c>
      <c r="D57" s="241">
        <f>B57-C57</f>
        <v>-2.0767740000000003</v>
      </c>
      <c r="E57" s="117"/>
      <c r="F57" s="115"/>
      <c r="G57" s="116"/>
      <c r="H57" s="109"/>
      <c r="I57" s="65"/>
      <c r="J57" s="65"/>
      <c r="K57" s="66"/>
      <c r="L57" s="66"/>
      <c r="M57" s="66"/>
      <c r="N57" s="66"/>
    </row>
    <row r="58" spans="1:14" ht="15.75">
      <c r="A58" s="238" t="s">
        <v>59</v>
      </c>
      <c r="B58" s="239">
        <v>0</v>
      </c>
      <c r="C58" s="240">
        <f>B58*1.0021</f>
        <v>0</v>
      </c>
      <c r="D58" s="241">
        <f>B58-C58</f>
        <v>0</v>
      </c>
      <c r="E58" s="114"/>
      <c r="F58" s="115"/>
      <c r="G58" s="116"/>
      <c r="H58" s="109"/>
      <c r="I58" s="65"/>
      <c r="J58" s="65"/>
      <c r="K58" s="66"/>
      <c r="L58" s="66"/>
      <c r="M58" s="66"/>
      <c r="N58" s="66"/>
    </row>
    <row r="59" spans="1:14" ht="15.75">
      <c r="A59" s="238" t="s">
        <v>60</v>
      </c>
      <c r="B59" s="242">
        <v>5310.5</v>
      </c>
      <c r="C59" s="240">
        <f>B59*1.0021</f>
        <v>5321.65205</v>
      </c>
      <c r="D59" s="241">
        <f>B59-C59</f>
        <v>-11.15204999999969</v>
      </c>
      <c r="E59" s="114">
        <f>(2.07+1.8)*6*2301.2-0.37*2301.2*6</f>
        <v>48325.2</v>
      </c>
      <c r="F59" s="118"/>
      <c r="G59" s="119"/>
      <c r="H59" s="114"/>
      <c r="I59" s="65"/>
      <c r="J59" s="65"/>
      <c r="K59" s="66"/>
      <c r="L59" s="66"/>
      <c r="M59" s="66"/>
      <c r="N59" s="66"/>
    </row>
    <row r="60" spans="1:14" ht="16.5" thickBot="1">
      <c r="A60" s="261" t="s">
        <v>236</v>
      </c>
      <c r="B60" s="262">
        <v>7155.2</v>
      </c>
      <c r="C60" s="240">
        <f>B60*1.0021</f>
        <v>7170.22592</v>
      </c>
      <c r="D60" s="264">
        <f>B60-C60</f>
        <v>-15.025920000000042</v>
      </c>
      <c r="E60" s="114"/>
      <c r="F60" s="118"/>
      <c r="G60" s="119"/>
      <c r="H60" s="109"/>
      <c r="I60" s="65"/>
      <c r="J60" s="65"/>
      <c r="K60" s="66"/>
      <c r="L60" s="66"/>
      <c r="M60" s="66"/>
      <c r="N60" s="66"/>
    </row>
    <row r="61" spans="1:14" ht="63">
      <c r="A61" s="129" t="s">
        <v>62</v>
      </c>
      <c r="B61" s="130" t="s">
        <v>63</v>
      </c>
      <c r="C61" s="131" t="s">
        <v>64</v>
      </c>
      <c r="D61" s="132" t="s">
        <v>65</v>
      </c>
      <c r="E61" s="114"/>
      <c r="F61" s="118"/>
      <c r="G61" s="109"/>
      <c r="H61" s="120"/>
      <c r="I61" s="65"/>
      <c r="J61" s="65"/>
      <c r="K61" s="66"/>
      <c r="L61" s="66"/>
      <c r="M61" s="66"/>
      <c r="N61" s="66"/>
    </row>
    <row r="62" spans="1:14" ht="15.75">
      <c r="A62" s="265" t="s">
        <v>58</v>
      </c>
      <c r="B62" s="244">
        <f>B57</f>
        <v>988.94</v>
      </c>
      <c r="C62" s="245">
        <f>C57</f>
        <v>991.016774</v>
      </c>
      <c r="D62" s="266">
        <f>B62-C62</f>
        <v>-2.0767740000000003</v>
      </c>
      <c r="E62" s="114"/>
      <c r="F62" s="118"/>
      <c r="G62" s="109"/>
      <c r="H62" s="120"/>
      <c r="I62" s="65"/>
      <c r="J62" s="65" t="s">
        <v>26</v>
      </c>
      <c r="K62" s="66"/>
      <c r="L62" s="66"/>
      <c r="M62" s="66"/>
      <c r="N62" s="66"/>
    </row>
    <row r="63" spans="1:14" ht="15.75">
      <c r="A63" s="265" t="s">
        <v>59</v>
      </c>
      <c r="B63" s="244">
        <f>B58</f>
        <v>0</v>
      </c>
      <c r="C63" s="245">
        <f>C58*1.0063</f>
        <v>0</v>
      </c>
      <c r="D63" s="266">
        <f>B63-C63</f>
        <v>0</v>
      </c>
      <c r="E63" s="62"/>
      <c r="F63" s="73"/>
      <c r="H63" s="65"/>
      <c r="I63" s="65"/>
      <c r="J63" s="65"/>
      <c r="K63" s="66"/>
      <c r="L63" s="66"/>
      <c r="M63" s="66"/>
      <c r="N63" s="66"/>
    </row>
    <row r="64" spans="1:14" ht="15.75">
      <c r="A64" s="265" t="s">
        <v>60</v>
      </c>
      <c r="B64" s="244">
        <f>B59</f>
        <v>5310.5</v>
      </c>
      <c r="C64" s="245">
        <f>C59</f>
        <v>5321.65205</v>
      </c>
      <c r="D64" s="266">
        <f>B64-C64</f>
        <v>-11.15204999999969</v>
      </c>
      <c r="E64" s="62"/>
      <c r="F64" s="73"/>
      <c r="H64" s="65"/>
      <c r="I64" s="65"/>
      <c r="J64" s="65"/>
      <c r="K64" s="66"/>
      <c r="L64" s="66"/>
      <c r="M64" s="66"/>
      <c r="N64" s="66"/>
    </row>
    <row r="65" spans="1:14" ht="16.5" thickBot="1">
      <c r="A65" s="267" t="s">
        <v>236</v>
      </c>
      <c r="B65" s="268">
        <f>B60</f>
        <v>7155.2</v>
      </c>
      <c r="C65" s="269">
        <f>C60</f>
        <v>7170.22592</v>
      </c>
      <c r="D65" s="270">
        <f>B65-C65</f>
        <v>-15.025920000000042</v>
      </c>
      <c r="E65" s="62"/>
      <c r="F65" s="73"/>
      <c r="H65" s="65" t="s">
        <v>26</v>
      </c>
      <c r="I65" s="65"/>
      <c r="J65" s="65"/>
      <c r="K65" s="66"/>
      <c r="L65" s="66"/>
      <c r="M65" s="66"/>
      <c r="N65" s="66"/>
    </row>
    <row r="66" spans="1:14" ht="15.75">
      <c r="A66" s="247"/>
      <c r="B66" s="248"/>
      <c r="C66" s="249"/>
      <c r="D66" s="250"/>
      <c r="E66" s="62"/>
      <c r="F66" s="73"/>
      <c r="H66" s="65"/>
      <c r="I66" s="65"/>
      <c r="J66" s="65"/>
      <c r="K66" s="66"/>
      <c r="L66" s="66"/>
      <c r="M66" s="66"/>
      <c r="N66" s="66"/>
    </row>
    <row r="67" spans="1:14" ht="26.25">
      <c r="A67" s="251" t="s">
        <v>66</v>
      </c>
      <c r="B67" s="248" t="s">
        <v>11</v>
      </c>
      <c r="C67" s="252"/>
      <c r="D67" s="253">
        <v>0</v>
      </c>
      <c r="E67" s="62"/>
      <c r="F67" s="73"/>
      <c r="H67" s="65"/>
      <c r="I67" s="65"/>
      <c r="J67" s="65" t="s">
        <v>26</v>
      </c>
      <c r="K67" s="66"/>
      <c r="L67" s="66"/>
      <c r="M67" s="66"/>
      <c r="N67" s="66"/>
    </row>
    <row r="68" spans="1:14" ht="17.25" customHeight="1">
      <c r="A68" s="572" t="s">
        <v>67</v>
      </c>
      <c r="B68" s="572"/>
      <c r="C68" s="572"/>
      <c r="D68" s="572"/>
      <c r="E68" s="83" t="e">
        <f>D68+B19</f>
        <v>#VALUE!</v>
      </c>
      <c r="F68" s="65"/>
      <c r="H68" s="84" t="e">
        <f>E68-B18</f>
        <v>#VALUE!</v>
      </c>
      <c r="I68" s="65"/>
      <c r="J68" s="65"/>
      <c r="K68" s="66"/>
      <c r="L68" s="66"/>
      <c r="M68" s="66"/>
      <c r="N68" s="66"/>
    </row>
    <row r="69" spans="1:5" ht="21" customHeight="1">
      <c r="A69" s="86" t="s">
        <v>45</v>
      </c>
      <c r="B69" s="86" t="s">
        <v>46</v>
      </c>
      <c r="C69" s="86"/>
      <c r="D69" s="177">
        <v>0</v>
      </c>
      <c r="E69" s="88"/>
    </row>
    <row r="70" spans="1:5" ht="21" customHeight="1">
      <c r="A70" s="86" t="s">
        <v>47</v>
      </c>
      <c r="B70" s="86" t="s">
        <v>46</v>
      </c>
      <c r="C70" s="86"/>
      <c r="D70" s="177">
        <v>0</v>
      </c>
      <c r="E70" s="88"/>
    </row>
    <row r="71" spans="1:5" ht="18" customHeight="1">
      <c r="A71" s="86" t="s">
        <v>48</v>
      </c>
      <c r="B71" s="86" t="s">
        <v>46</v>
      </c>
      <c r="C71" s="86"/>
      <c r="D71" s="177">
        <v>0</v>
      </c>
      <c r="E71" s="88"/>
    </row>
    <row r="72" spans="1:5" ht="16.5" customHeight="1">
      <c r="A72" s="86" t="s">
        <v>49</v>
      </c>
      <c r="B72" s="86" t="s">
        <v>11</v>
      </c>
      <c r="C72" s="86"/>
      <c r="D72" s="177">
        <v>0</v>
      </c>
      <c r="E72" s="88"/>
    </row>
    <row r="73" spans="1:5" ht="15.75" customHeight="1">
      <c r="A73" s="566" t="s">
        <v>68</v>
      </c>
      <c r="B73" s="566"/>
      <c r="C73" s="566"/>
      <c r="D73" s="566"/>
      <c r="E73" s="88"/>
    </row>
    <row r="74" spans="1:5" ht="18.75" customHeight="1">
      <c r="A74" s="86" t="s">
        <v>69</v>
      </c>
      <c r="B74" s="86" t="s">
        <v>46</v>
      </c>
      <c r="C74" s="86"/>
      <c r="D74" s="177">
        <v>0</v>
      </c>
      <c r="E74" s="88"/>
    </row>
    <row r="75" spans="1:5" ht="21.75" customHeight="1">
      <c r="A75" s="86" t="s">
        <v>70</v>
      </c>
      <c r="B75" s="254" t="s">
        <v>46</v>
      </c>
      <c r="C75" s="254"/>
      <c r="D75" s="177">
        <v>0</v>
      </c>
      <c r="E75" s="88"/>
    </row>
    <row r="76" spans="1:5" ht="36" customHeight="1">
      <c r="A76" s="255" t="s">
        <v>71</v>
      </c>
      <c r="B76" s="86" t="s">
        <v>11</v>
      </c>
      <c r="C76" s="86"/>
      <c r="D76" s="177">
        <v>0</v>
      </c>
      <c r="E76" s="88"/>
    </row>
    <row r="77" spans="1:4" ht="15.75">
      <c r="A77" s="256"/>
      <c r="B77" s="256"/>
      <c r="C77" s="256"/>
      <c r="D77" s="257"/>
    </row>
    <row r="78" spans="1:14" s="1" customFormat="1" ht="12.75">
      <c r="A78" s="178"/>
      <c r="B78" s="178"/>
      <c r="C78" s="178"/>
      <c r="D78" s="178"/>
      <c r="H78" s="1" t="s">
        <v>26</v>
      </c>
      <c r="K78"/>
      <c r="L78"/>
      <c r="M78"/>
      <c r="N78"/>
    </row>
    <row r="79" spans="1:14" s="1" customFormat="1" ht="12.75">
      <c r="A79" s="178" t="s">
        <v>72</v>
      </c>
      <c r="B79" s="178"/>
      <c r="C79" s="178"/>
      <c r="D79" s="178"/>
      <c r="K79"/>
      <c r="L79"/>
      <c r="M79"/>
      <c r="N79"/>
    </row>
    <row r="80" spans="1:14" s="1" customFormat="1" ht="12.75">
      <c r="A80" s="178"/>
      <c r="B80" s="178"/>
      <c r="C80" s="178"/>
      <c r="D80" s="178"/>
      <c r="H80" s="1" t="s">
        <v>26</v>
      </c>
      <c r="K80"/>
      <c r="L80"/>
      <c r="M80"/>
      <c r="N80"/>
    </row>
    <row r="81" spans="1:14" s="1" customFormat="1" ht="12.75">
      <c r="A81" s="178" t="s">
        <v>73</v>
      </c>
      <c r="B81" s="178"/>
      <c r="C81" s="178"/>
      <c r="D81" s="178"/>
      <c r="K81"/>
      <c r="L81"/>
      <c r="M81"/>
      <c r="N81"/>
    </row>
    <row r="82" spans="1:4" ht="12.75">
      <c r="A82" s="178"/>
      <c r="B82" s="178"/>
      <c r="C82" s="178"/>
      <c r="D82" s="178"/>
    </row>
    <row r="85" spans="1:14" s="1" customFormat="1" ht="12.75">
      <c r="A85"/>
      <c r="B85"/>
      <c r="C85"/>
      <c r="D85"/>
      <c r="E85" s="1" t="s">
        <v>26</v>
      </c>
      <c r="K85"/>
      <c r="L85"/>
      <c r="M85"/>
      <c r="N85"/>
    </row>
  </sheetData>
  <sheetProtection selectLockedCells="1" selectUnlockedCells="1"/>
  <mergeCells count="13">
    <mergeCell ref="A73:D73"/>
    <mergeCell ref="A14:D14"/>
    <mergeCell ref="A29:D29"/>
    <mergeCell ref="A43:D43"/>
    <mergeCell ref="A48:D48"/>
    <mergeCell ref="A55:D55"/>
    <mergeCell ref="A68:D68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D81"/>
  <sheetViews>
    <sheetView tabSelected="1" zoomScalePageLayoutView="0" workbookViewId="0" topLeftCell="A28">
      <selection activeCell="D40" sqref="D40"/>
    </sheetView>
  </sheetViews>
  <sheetFormatPr defaultColWidth="9.140625" defaultRowHeight="12.75"/>
  <cols>
    <col min="1" max="1" width="47.28125" style="0" customWidth="1"/>
    <col min="2" max="2" width="22.00390625" style="0" customWidth="1"/>
    <col min="3" max="3" width="24.140625" style="0" customWidth="1"/>
    <col min="4" max="4" width="31.57421875" style="0" customWidth="1"/>
  </cols>
  <sheetData>
    <row r="1" spans="1:4" ht="18">
      <c r="A1" s="573" t="s">
        <v>0</v>
      </c>
      <c r="B1" s="573"/>
      <c r="C1" s="573"/>
      <c r="D1" s="573"/>
    </row>
    <row r="2" spans="1:4" ht="15.75">
      <c r="A2" s="574" t="s">
        <v>220</v>
      </c>
      <c r="B2" s="575"/>
      <c r="C2" s="575"/>
      <c r="D2" s="575"/>
    </row>
    <row r="3" spans="1:4" ht="15.75">
      <c r="A3" s="575" t="s">
        <v>1</v>
      </c>
      <c r="B3" s="575"/>
      <c r="C3" s="575"/>
      <c r="D3" s="575"/>
    </row>
    <row r="4" spans="1:4" ht="12.75">
      <c r="A4" s="576" t="s">
        <v>139</v>
      </c>
      <c r="B4" s="576"/>
      <c r="C4" s="576"/>
      <c r="D4" s="576"/>
    </row>
    <row r="5" spans="1:4" ht="12.75">
      <c r="A5" s="577" t="s">
        <v>266</v>
      </c>
      <c r="B5" s="576"/>
      <c r="C5" s="576"/>
      <c r="D5" s="576"/>
    </row>
    <row r="6" spans="1:4" ht="12.75">
      <c r="A6" s="258"/>
      <c r="B6" s="178"/>
      <c r="C6" s="178"/>
      <c r="D6" s="178"/>
    </row>
    <row r="7" spans="1:4" ht="12.75">
      <c r="A7" s="578" t="s">
        <v>2</v>
      </c>
      <c r="B7" s="578"/>
      <c r="C7" s="578"/>
      <c r="D7" s="578"/>
    </row>
    <row r="8" spans="1:4" ht="12.75">
      <c r="A8" s="258" t="s">
        <v>193</v>
      </c>
      <c r="B8" s="178"/>
      <c r="C8" s="183"/>
      <c r="D8" s="178"/>
    </row>
    <row r="9" spans="1:4" ht="12.75">
      <c r="A9" s="184" t="s">
        <v>3</v>
      </c>
      <c r="B9" s="184" t="s">
        <v>4</v>
      </c>
      <c r="C9" s="184" t="s">
        <v>5</v>
      </c>
      <c r="D9" s="185"/>
    </row>
    <row r="10" spans="1:4" ht="12.75">
      <c r="A10" s="186">
        <v>1</v>
      </c>
      <c r="B10" s="186">
        <v>2</v>
      </c>
      <c r="C10" s="186">
        <v>3</v>
      </c>
      <c r="D10" s="187">
        <v>4</v>
      </c>
    </row>
    <row r="11" spans="1:4" ht="12.75">
      <c r="A11" s="20" t="s">
        <v>6</v>
      </c>
      <c r="B11" s="188"/>
      <c r="C11" s="189" t="s">
        <v>262</v>
      </c>
      <c r="D11" s="190"/>
    </row>
    <row r="12" spans="1:4" ht="12.75">
      <c r="A12" s="20" t="s">
        <v>7</v>
      </c>
      <c r="B12" s="188"/>
      <c r="C12" s="189" t="s">
        <v>263</v>
      </c>
      <c r="D12" s="190"/>
    </row>
    <row r="13" spans="1:4" ht="12.75">
      <c r="A13" s="20" t="s">
        <v>8</v>
      </c>
      <c r="B13" s="188"/>
      <c r="C13" s="189" t="s">
        <v>267</v>
      </c>
      <c r="D13" s="190"/>
    </row>
    <row r="14" spans="1:4" ht="15.75">
      <c r="A14" s="567" t="s">
        <v>9</v>
      </c>
      <c r="B14" s="567"/>
      <c r="C14" s="567"/>
      <c r="D14" s="567"/>
    </row>
    <row r="15" spans="1:4" ht="39">
      <c r="A15" s="17" t="s">
        <v>10</v>
      </c>
      <c r="B15" s="191" t="s">
        <v>11</v>
      </c>
      <c r="C15" s="194">
        <v>21589.63</v>
      </c>
      <c r="D15" s="193"/>
    </row>
    <row r="16" spans="1:4" ht="15.75">
      <c r="A16" s="20" t="s">
        <v>12</v>
      </c>
      <c r="B16" s="191" t="s">
        <v>11</v>
      </c>
      <c r="C16" s="192">
        <v>0</v>
      </c>
      <c r="D16" s="193"/>
    </row>
    <row r="17" spans="1:4" ht="15.75">
      <c r="A17" s="20" t="s">
        <v>13</v>
      </c>
      <c r="B17" s="191" t="s">
        <v>11</v>
      </c>
      <c r="C17" s="194">
        <v>1072.4</v>
      </c>
      <c r="D17" s="195"/>
    </row>
    <row r="18" spans="1:4" ht="26.25">
      <c r="A18" s="17" t="s">
        <v>14</v>
      </c>
      <c r="B18" s="191" t="s">
        <v>11</v>
      </c>
      <c r="C18" s="194">
        <v>-6869.74</v>
      </c>
      <c r="D18" s="195"/>
    </row>
    <row r="19" spans="1:4" ht="15.75">
      <c r="A19" s="20" t="s">
        <v>15</v>
      </c>
      <c r="B19" s="191" t="s">
        <v>11</v>
      </c>
      <c r="C19" s="194">
        <f>C18-C20-C21</f>
        <v>-16273.516000000001</v>
      </c>
      <c r="D19" s="195"/>
    </row>
    <row r="20" spans="1:4" ht="15.75">
      <c r="A20" s="20" t="s">
        <v>16</v>
      </c>
      <c r="B20" s="191" t="s">
        <v>11</v>
      </c>
      <c r="C20" s="194">
        <f>(4.36+4.54)*6*90.7</f>
        <v>4843.380000000001</v>
      </c>
      <c r="D20" s="195"/>
    </row>
    <row r="21" spans="1:4" ht="15.75">
      <c r="A21" s="20" t="s">
        <v>17</v>
      </c>
      <c r="B21" s="191" t="s">
        <v>11</v>
      </c>
      <c r="C21" s="196">
        <f>90.7*4.19*12</f>
        <v>4560.396000000001</v>
      </c>
      <c r="D21" s="195"/>
    </row>
    <row r="22" spans="1:4" ht="15.75">
      <c r="A22" s="20" t="s">
        <v>18</v>
      </c>
      <c r="B22" s="191" t="s">
        <v>11</v>
      </c>
      <c r="C22" s="194">
        <f>C23</f>
        <v>-6869.74</v>
      </c>
      <c r="D22" s="195" t="s">
        <v>19</v>
      </c>
    </row>
    <row r="23" spans="1:4" ht="15.75">
      <c r="A23" s="20" t="s">
        <v>20</v>
      </c>
      <c r="B23" s="191" t="s">
        <v>11</v>
      </c>
      <c r="C23" s="194">
        <f>C18*1</f>
        <v>-6869.74</v>
      </c>
      <c r="D23" s="195"/>
    </row>
    <row r="24" spans="1:4" ht="15.75">
      <c r="A24" s="20" t="s">
        <v>21</v>
      </c>
      <c r="B24" s="191" t="s">
        <v>11</v>
      </c>
      <c r="C24" s="194">
        <v>0</v>
      </c>
      <c r="D24" s="197">
        <v>65.21</v>
      </c>
    </row>
    <row r="25" spans="1:4" ht="15.75">
      <c r="A25" s="20" t="s">
        <v>23</v>
      </c>
      <c r="B25" s="191" t="s">
        <v>11</v>
      </c>
      <c r="C25" s="194">
        <v>0</v>
      </c>
      <c r="D25" s="197">
        <v>119.63</v>
      </c>
    </row>
    <row r="26" spans="1:4" ht="15.75">
      <c r="A26" s="188" t="s">
        <v>24</v>
      </c>
      <c r="B26" s="191" t="s">
        <v>11</v>
      </c>
      <c r="C26" s="194">
        <v>0</v>
      </c>
      <c r="D26" s="197"/>
    </row>
    <row r="27" spans="1:4" ht="15.75">
      <c r="A27" s="198" t="s">
        <v>96</v>
      </c>
      <c r="B27" s="191" t="s">
        <v>11</v>
      </c>
      <c r="C27" s="194">
        <v>0</v>
      </c>
      <c r="D27" s="197">
        <v>139.18</v>
      </c>
    </row>
    <row r="28" spans="1:4" ht="15.75">
      <c r="A28" s="20" t="s">
        <v>25</v>
      </c>
      <c r="B28" s="191" t="s">
        <v>11</v>
      </c>
      <c r="C28" s="194">
        <f>C15+C22</f>
        <v>14719.890000000001</v>
      </c>
      <c r="D28" s="195" t="s">
        <v>26</v>
      </c>
    </row>
    <row r="29" spans="1:4" ht="15.75">
      <c r="A29" s="579" t="s">
        <v>27</v>
      </c>
      <c r="B29" s="579"/>
      <c r="C29" s="579"/>
      <c r="D29" s="579"/>
    </row>
    <row r="30" spans="1:4" ht="63">
      <c r="A30" s="487" t="s">
        <v>28</v>
      </c>
      <c r="B30" s="488" t="s">
        <v>29</v>
      </c>
      <c r="C30" s="489" t="s">
        <v>30</v>
      </c>
      <c r="D30" s="308" t="s">
        <v>31</v>
      </c>
    </row>
    <row r="31" spans="1:4" ht="15.75">
      <c r="A31" s="490" t="s">
        <v>32</v>
      </c>
      <c r="B31" s="491" t="s">
        <v>33</v>
      </c>
      <c r="C31" s="492" t="s">
        <v>34</v>
      </c>
      <c r="D31" s="206">
        <f>(0.95+0.85)*6*90.7</f>
        <v>979.56</v>
      </c>
    </row>
    <row r="32" spans="1:4" ht="15.75">
      <c r="A32" s="493" t="s">
        <v>36</v>
      </c>
      <c r="B32" s="494" t="s">
        <v>33</v>
      </c>
      <c r="C32" s="495" t="s">
        <v>37</v>
      </c>
      <c r="D32" s="210">
        <f>0.24*12*90.7</f>
        <v>261.216</v>
      </c>
    </row>
    <row r="33" spans="1:4" ht="15.75">
      <c r="A33" s="496" t="s">
        <v>174</v>
      </c>
      <c r="B33" s="494" t="s">
        <v>33</v>
      </c>
      <c r="C33" s="495" t="s">
        <v>34</v>
      </c>
      <c r="D33" s="210">
        <f>90.7*(0.16+0.36)*6</f>
        <v>282.98400000000004</v>
      </c>
    </row>
    <row r="34" spans="1:4" ht="15.75">
      <c r="A34" s="493" t="s">
        <v>81</v>
      </c>
      <c r="B34" s="497" t="s">
        <v>82</v>
      </c>
      <c r="C34" s="495" t="s">
        <v>34</v>
      </c>
      <c r="D34" s="210">
        <f>1.33*12*90.7</f>
        <v>1447.5720000000001</v>
      </c>
    </row>
    <row r="35" spans="1:4" ht="15.75">
      <c r="A35" s="493" t="s">
        <v>38</v>
      </c>
      <c r="B35" s="494" t="s">
        <v>35</v>
      </c>
      <c r="C35" s="498" t="s">
        <v>221</v>
      </c>
      <c r="D35" s="210">
        <f>4.19*90.7*12</f>
        <v>4560.396000000001</v>
      </c>
    </row>
    <row r="36" spans="1:4" ht="15.75">
      <c r="A36" s="493" t="s">
        <v>85</v>
      </c>
      <c r="B36" s="494" t="s">
        <v>222</v>
      </c>
      <c r="C36" s="499" t="s">
        <v>37</v>
      </c>
      <c r="D36" s="210">
        <f>90.7*0.85*12+0.01</f>
        <v>925.15</v>
      </c>
    </row>
    <row r="37" spans="1:4" ht="47.25">
      <c r="A37" s="500" t="s">
        <v>40</v>
      </c>
      <c r="B37" s="501" t="s">
        <v>41</v>
      </c>
      <c r="C37" s="502" t="s">
        <v>138</v>
      </c>
      <c r="D37" s="381">
        <f>D38</f>
        <v>20170</v>
      </c>
    </row>
    <row r="38" spans="1:4" ht="15.75">
      <c r="A38" s="503" t="s">
        <v>320</v>
      </c>
      <c r="B38" s="504" t="s">
        <v>148</v>
      </c>
      <c r="C38" s="505"/>
      <c r="D38" s="176">
        <v>20170</v>
      </c>
    </row>
    <row r="39" spans="1:4" ht="15.75">
      <c r="A39" s="506" t="s">
        <v>42</v>
      </c>
      <c r="B39" s="507"/>
      <c r="C39" s="508"/>
      <c r="D39" s="97">
        <f>SUM(D31:D37)</f>
        <v>28626.878</v>
      </c>
    </row>
    <row r="40" spans="1:4" ht="15.75">
      <c r="A40" s="509" t="s">
        <v>43</v>
      </c>
      <c r="B40" s="510" t="s">
        <v>11</v>
      </c>
      <c r="C40" s="511"/>
      <c r="D40" s="226">
        <f>C28-D39</f>
        <v>-13906.988</v>
      </c>
    </row>
    <row r="41" spans="1:4" ht="15.75">
      <c r="A41" s="188" t="s">
        <v>12</v>
      </c>
      <c r="B41" s="512" t="s">
        <v>11</v>
      </c>
      <c r="C41" s="495"/>
      <c r="D41" s="193"/>
    </row>
    <row r="42" spans="1:4" ht="15.75">
      <c r="A42" s="188" t="s">
        <v>13</v>
      </c>
      <c r="B42" s="512" t="s">
        <v>11</v>
      </c>
      <c r="C42" s="495"/>
      <c r="D42" s="195">
        <v>0</v>
      </c>
    </row>
    <row r="43" spans="1:4" ht="15.75">
      <c r="A43" s="580" t="s">
        <v>44</v>
      </c>
      <c r="B43" s="580"/>
      <c r="C43" s="580"/>
      <c r="D43" s="580"/>
    </row>
    <row r="44" spans="1:4" ht="15.75">
      <c r="A44" s="188" t="s">
        <v>45</v>
      </c>
      <c r="B44" s="494" t="s">
        <v>46</v>
      </c>
      <c r="C44" s="495">
        <v>0</v>
      </c>
      <c r="D44" s="193">
        <v>0</v>
      </c>
    </row>
    <row r="45" spans="1:4" ht="15.75">
      <c r="A45" s="188" t="s">
        <v>47</v>
      </c>
      <c r="B45" s="494" t="s">
        <v>46</v>
      </c>
      <c r="C45" s="495">
        <v>0</v>
      </c>
      <c r="D45" s="193">
        <v>0</v>
      </c>
    </row>
    <row r="46" spans="1:4" ht="26.25">
      <c r="A46" s="198" t="s">
        <v>48</v>
      </c>
      <c r="B46" s="494" t="s">
        <v>46</v>
      </c>
      <c r="C46" s="495">
        <v>0</v>
      </c>
      <c r="D46" s="193">
        <v>0</v>
      </c>
    </row>
    <row r="47" spans="1:4" ht="15.75">
      <c r="A47" s="188" t="s">
        <v>49</v>
      </c>
      <c r="B47" s="494" t="s">
        <v>11</v>
      </c>
      <c r="C47" s="495">
        <v>0</v>
      </c>
      <c r="D47" s="193">
        <v>0</v>
      </c>
    </row>
    <row r="48" spans="1:4" ht="15.75">
      <c r="A48" s="581" t="s">
        <v>50</v>
      </c>
      <c r="B48" s="581"/>
      <c r="C48" s="581"/>
      <c r="D48" s="581"/>
    </row>
    <row r="49" spans="1:4" ht="26.25">
      <c r="A49" s="198" t="s">
        <v>51</v>
      </c>
      <c r="B49" s="494" t="s">
        <v>11</v>
      </c>
      <c r="C49" s="495"/>
      <c r="D49" s="193">
        <v>0</v>
      </c>
    </row>
    <row r="50" spans="1:4" ht="15.75">
      <c r="A50" s="188" t="s">
        <v>12</v>
      </c>
      <c r="B50" s="494" t="s">
        <v>11</v>
      </c>
      <c r="C50" s="495"/>
      <c r="D50" s="193">
        <v>0</v>
      </c>
    </row>
    <row r="51" spans="1:4" ht="15.75">
      <c r="A51" s="188" t="s">
        <v>13</v>
      </c>
      <c r="B51" s="494" t="s">
        <v>11</v>
      </c>
      <c r="C51" s="495"/>
      <c r="D51" s="237">
        <v>0</v>
      </c>
    </row>
    <row r="52" spans="1:4" ht="26.25">
      <c r="A52" s="513" t="s">
        <v>52</v>
      </c>
      <c r="B52" s="494" t="s">
        <v>11</v>
      </c>
      <c r="C52" s="514"/>
      <c r="D52" s="233">
        <v>0</v>
      </c>
    </row>
    <row r="53" spans="1:4" ht="15.75">
      <c r="A53" s="254" t="s">
        <v>12</v>
      </c>
      <c r="B53" s="494" t="s">
        <v>11</v>
      </c>
      <c r="C53" s="276"/>
      <c r="D53" s="55">
        <v>0</v>
      </c>
    </row>
    <row r="54" spans="1:4" ht="15.75">
      <c r="A54" s="235" t="s">
        <v>13</v>
      </c>
      <c r="B54" s="494" t="s">
        <v>11</v>
      </c>
      <c r="C54" s="236"/>
      <c r="D54" s="237">
        <v>0</v>
      </c>
    </row>
    <row r="55" spans="1:4" ht="16.5" thickBot="1">
      <c r="A55" s="571" t="s">
        <v>53</v>
      </c>
      <c r="B55" s="571"/>
      <c r="C55" s="571"/>
      <c r="D55" s="571"/>
    </row>
    <row r="56" spans="1:4" ht="47.25">
      <c r="A56" s="67" t="s">
        <v>54</v>
      </c>
      <c r="B56" s="68" t="s">
        <v>55</v>
      </c>
      <c r="C56" s="69" t="s">
        <v>56</v>
      </c>
      <c r="D56" s="70" t="s">
        <v>57</v>
      </c>
    </row>
    <row r="57" spans="1:4" ht="15.75">
      <c r="A57" s="238" t="s">
        <v>58</v>
      </c>
      <c r="B57" s="239">
        <v>1475.3</v>
      </c>
      <c r="C57" s="240">
        <f>B57*1</f>
        <v>1475.3</v>
      </c>
      <c r="D57" s="241">
        <f>B57-C57</f>
        <v>0</v>
      </c>
    </row>
    <row r="58" spans="1:4" ht="15.75">
      <c r="A58" s="238" t="s">
        <v>59</v>
      </c>
      <c r="B58" s="239">
        <v>0</v>
      </c>
      <c r="C58" s="240">
        <f>B58*1.0372</f>
        <v>0</v>
      </c>
      <c r="D58" s="241">
        <f>B58-C58</f>
        <v>0</v>
      </c>
    </row>
    <row r="59" spans="1:4" ht="15.75">
      <c r="A59" s="238" t="s">
        <v>60</v>
      </c>
      <c r="B59" s="242">
        <v>0</v>
      </c>
      <c r="C59" s="240">
        <f>B59*1.0372</f>
        <v>0</v>
      </c>
      <c r="D59" s="241">
        <f>B59-C59</f>
        <v>0</v>
      </c>
    </row>
    <row r="60" spans="1:4" ht="16.5" thickBot="1">
      <c r="A60" s="261" t="s">
        <v>236</v>
      </c>
      <c r="B60" s="262">
        <v>5080.94</v>
      </c>
      <c r="C60" s="263">
        <f>B60*1</f>
        <v>5080.94</v>
      </c>
      <c r="D60" s="264">
        <f>B60-C60</f>
        <v>0</v>
      </c>
    </row>
    <row r="61" spans="1:4" ht="63">
      <c r="A61" s="129" t="s">
        <v>62</v>
      </c>
      <c r="B61" s="130" t="s">
        <v>63</v>
      </c>
      <c r="C61" s="131" t="s">
        <v>64</v>
      </c>
      <c r="D61" s="132" t="s">
        <v>65</v>
      </c>
    </row>
    <row r="62" spans="1:4" ht="15.75">
      <c r="A62" s="265" t="s">
        <v>58</v>
      </c>
      <c r="B62" s="244">
        <f>B57</f>
        <v>1475.3</v>
      </c>
      <c r="C62" s="245">
        <f>C57</f>
        <v>1475.3</v>
      </c>
      <c r="D62" s="266">
        <f>B62-C62</f>
        <v>0</v>
      </c>
    </row>
    <row r="63" spans="1:4" ht="15.75">
      <c r="A63" s="265" t="s">
        <v>59</v>
      </c>
      <c r="B63" s="244">
        <v>0</v>
      </c>
      <c r="C63" s="245">
        <v>0</v>
      </c>
      <c r="D63" s="266">
        <f>B63-C63</f>
        <v>0</v>
      </c>
    </row>
    <row r="64" spans="1:4" ht="15.75">
      <c r="A64" s="265" t="s">
        <v>60</v>
      </c>
      <c r="B64" s="244">
        <v>0</v>
      </c>
      <c r="C64" s="245">
        <v>0</v>
      </c>
      <c r="D64" s="266">
        <f>B64-C64</f>
        <v>0</v>
      </c>
    </row>
    <row r="65" spans="1:4" ht="16.5" thickBot="1">
      <c r="A65" s="267" t="s">
        <v>236</v>
      </c>
      <c r="B65" s="268">
        <f>B60</f>
        <v>5080.94</v>
      </c>
      <c r="C65" s="269">
        <f>B65</f>
        <v>5080.94</v>
      </c>
      <c r="D65" s="270">
        <v>0</v>
      </c>
    </row>
    <row r="66" spans="1:4" ht="15.75">
      <c r="A66" s="247"/>
      <c r="B66" s="248"/>
      <c r="C66" s="249"/>
      <c r="D66" s="250"/>
    </row>
    <row r="67" spans="1:4" ht="26.25">
      <c r="A67" s="251" t="s">
        <v>66</v>
      </c>
      <c r="B67" s="248" t="s">
        <v>11</v>
      </c>
      <c r="C67" s="252"/>
      <c r="D67" s="253">
        <v>0</v>
      </c>
    </row>
    <row r="68" spans="1:4" ht="15.75">
      <c r="A68" s="572" t="s">
        <v>67</v>
      </c>
      <c r="B68" s="572"/>
      <c r="C68" s="572"/>
      <c r="D68" s="572"/>
    </row>
    <row r="69" spans="1:4" ht="15.75">
      <c r="A69" s="86" t="s">
        <v>45</v>
      </c>
      <c r="B69" s="86" t="s">
        <v>46</v>
      </c>
      <c r="C69" s="86"/>
      <c r="D69" s="177">
        <v>0</v>
      </c>
    </row>
    <row r="70" spans="1:4" ht="15.75">
      <c r="A70" s="86" t="s">
        <v>47</v>
      </c>
      <c r="B70" s="86" t="s">
        <v>46</v>
      </c>
      <c r="C70" s="86"/>
      <c r="D70" s="177">
        <v>0</v>
      </c>
    </row>
    <row r="71" spans="1:4" ht="15.75">
      <c r="A71" s="86" t="s">
        <v>48</v>
      </c>
      <c r="B71" s="86" t="s">
        <v>46</v>
      </c>
      <c r="C71" s="86"/>
      <c r="D71" s="177">
        <v>0</v>
      </c>
    </row>
    <row r="72" spans="1:4" ht="15.75">
      <c r="A72" s="86" t="s">
        <v>49</v>
      </c>
      <c r="B72" s="86" t="s">
        <v>11</v>
      </c>
      <c r="C72" s="86"/>
      <c r="D72" s="177">
        <v>0</v>
      </c>
    </row>
    <row r="73" spans="1:4" ht="12.75">
      <c r="A73" s="566" t="s">
        <v>68</v>
      </c>
      <c r="B73" s="566"/>
      <c r="C73" s="566"/>
      <c r="D73" s="566"/>
    </row>
    <row r="74" spans="1:4" ht="15.75">
      <c r="A74" s="86" t="s">
        <v>69</v>
      </c>
      <c r="B74" s="86" t="s">
        <v>46</v>
      </c>
      <c r="C74" s="86"/>
      <c r="D74" s="177">
        <v>0</v>
      </c>
    </row>
    <row r="75" spans="1:4" ht="15.75">
      <c r="A75" s="86" t="s">
        <v>70</v>
      </c>
      <c r="B75" s="254" t="s">
        <v>46</v>
      </c>
      <c r="C75" s="254"/>
      <c r="D75" s="177">
        <v>0</v>
      </c>
    </row>
    <row r="76" spans="1:4" ht="26.25">
      <c r="A76" s="255" t="s">
        <v>71</v>
      </c>
      <c r="B76" s="86" t="s">
        <v>11</v>
      </c>
      <c r="C76" s="86"/>
      <c r="D76" s="177">
        <v>0</v>
      </c>
    </row>
    <row r="77" spans="1:4" ht="15.75">
      <c r="A77" s="178"/>
      <c r="B77" s="178"/>
      <c r="C77" s="178"/>
      <c r="D77" s="515"/>
    </row>
    <row r="78" spans="1:4" ht="12.75">
      <c r="A78" s="178"/>
      <c r="B78" s="178"/>
      <c r="C78" s="178"/>
      <c r="D78" s="178"/>
    </row>
    <row r="79" spans="1:4" ht="12.75">
      <c r="A79" s="178" t="s">
        <v>72</v>
      </c>
      <c r="B79" s="178"/>
      <c r="C79" s="178"/>
      <c r="D79" s="178"/>
    </row>
    <row r="80" spans="1:4" ht="12.75">
      <c r="A80" s="178"/>
      <c r="B80" s="178"/>
      <c r="C80" s="178"/>
      <c r="D80" s="178"/>
    </row>
    <row r="81" spans="1:4" ht="12.75">
      <c r="A81" s="178" t="s">
        <v>73</v>
      </c>
      <c r="B81" s="178"/>
      <c r="C81" s="178"/>
      <c r="D81" s="178"/>
    </row>
  </sheetData>
  <sheetProtection selectLockedCells="1" selectUnlockedCells="1"/>
  <mergeCells count="13">
    <mergeCell ref="A73:D73"/>
    <mergeCell ref="A1:D1"/>
    <mergeCell ref="A2:D2"/>
    <mergeCell ref="A3:D3"/>
    <mergeCell ref="A4:D4"/>
    <mergeCell ref="A5:D5"/>
    <mergeCell ref="A7:D7"/>
    <mergeCell ref="A14:D14"/>
    <mergeCell ref="A29:D29"/>
    <mergeCell ref="A43:D43"/>
    <mergeCell ref="A48:D48"/>
    <mergeCell ref="A55:D55"/>
    <mergeCell ref="A68:D68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1"/>
  <sheetViews>
    <sheetView zoomScalePageLayoutView="0" workbookViewId="0" topLeftCell="A31">
      <selection activeCell="D45" sqref="D45"/>
    </sheetView>
  </sheetViews>
  <sheetFormatPr defaultColWidth="11.57421875" defaultRowHeight="12.75"/>
  <cols>
    <col min="1" max="1" width="49.8515625" style="0" customWidth="1"/>
    <col min="2" max="2" width="15.8515625" style="0" customWidth="1"/>
    <col min="3" max="3" width="25.57421875" style="0" customWidth="1"/>
    <col min="4" max="4" width="22.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560" t="s">
        <v>0</v>
      </c>
      <c r="B1" s="560"/>
      <c r="C1" s="560"/>
      <c r="D1" s="560"/>
    </row>
    <row r="2" spans="1:4" ht="15.75">
      <c r="A2" s="561" t="s">
        <v>220</v>
      </c>
      <c r="B2" s="562"/>
      <c r="C2" s="562"/>
      <c r="D2" s="562"/>
    </row>
    <row r="3" spans="1:4" ht="15.75">
      <c r="A3" s="562" t="s">
        <v>1</v>
      </c>
      <c r="B3" s="562"/>
      <c r="C3" s="562"/>
      <c r="D3" s="562"/>
    </row>
    <row r="4" spans="1:4" ht="12.75">
      <c r="A4" s="563" t="s">
        <v>87</v>
      </c>
      <c r="B4" s="563"/>
      <c r="C4" s="563"/>
      <c r="D4" s="563"/>
    </row>
    <row r="5" spans="1:4" ht="12.75">
      <c r="A5" s="564" t="s">
        <v>266</v>
      </c>
      <c r="B5" s="563"/>
      <c r="C5" s="563"/>
      <c r="D5" s="563"/>
    </row>
    <row r="6" ht="9" customHeight="1">
      <c r="A6" s="2"/>
    </row>
    <row r="7" spans="1:4" ht="29.25" customHeight="1">
      <c r="A7" s="565" t="s">
        <v>2</v>
      </c>
      <c r="B7" s="565"/>
      <c r="C7" s="565"/>
      <c r="D7" s="565"/>
    </row>
    <row r="8" spans="1:4" ht="12.75">
      <c r="A8" s="182" t="s">
        <v>321</v>
      </c>
      <c r="B8" s="178"/>
      <c r="C8" s="183"/>
      <c r="D8" s="178"/>
    </row>
    <row r="9" spans="1:4" ht="12.75">
      <c r="A9" s="184" t="s">
        <v>3</v>
      </c>
      <c r="B9" s="184" t="s">
        <v>4</v>
      </c>
      <c r="C9" s="184" t="s">
        <v>5</v>
      </c>
      <c r="D9" s="185"/>
    </row>
    <row r="10" spans="1:4" ht="12.75">
      <c r="A10" s="186">
        <v>1</v>
      </c>
      <c r="B10" s="186">
        <v>2</v>
      </c>
      <c r="C10" s="186">
        <v>3</v>
      </c>
      <c r="D10" s="187">
        <v>4</v>
      </c>
    </row>
    <row r="11" spans="1:8" ht="12.75">
      <c r="A11" s="20" t="s">
        <v>6</v>
      </c>
      <c r="B11" s="188"/>
      <c r="C11" s="189" t="s">
        <v>262</v>
      </c>
      <c r="D11" s="190"/>
      <c r="E11" s="109"/>
      <c r="F11" s="109"/>
      <c r="G11" s="109"/>
      <c r="H11" s="109"/>
    </row>
    <row r="12" spans="1:8" ht="12.75">
      <c r="A12" s="20" t="s">
        <v>7</v>
      </c>
      <c r="B12" s="188"/>
      <c r="C12" s="189" t="s">
        <v>263</v>
      </c>
      <c r="D12" s="190"/>
      <c r="E12" s="109"/>
      <c r="F12" s="109"/>
      <c r="G12" s="109"/>
      <c r="H12" s="109"/>
    </row>
    <row r="13" spans="1:8" ht="12.75">
      <c r="A13" s="20" t="s">
        <v>8</v>
      </c>
      <c r="B13" s="188"/>
      <c r="C13" s="189" t="s">
        <v>267</v>
      </c>
      <c r="D13" s="190"/>
      <c r="E13" s="109"/>
      <c r="F13" s="109"/>
      <c r="G13" s="109"/>
      <c r="H13" s="109"/>
    </row>
    <row r="14" spans="1:8" ht="31.5" customHeight="1">
      <c r="A14" s="567" t="s">
        <v>9</v>
      </c>
      <c r="B14" s="567"/>
      <c r="C14" s="567"/>
      <c r="D14" s="567"/>
      <c r="E14" s="109"/>
      <c r="F14" s="109"/>
      <c r="G14" s="109"/>
      <c r="H14" s="109"/>
    </row>
    <row r="15" spans="1:8" ht="39">
      <c r="A15" s="17" t="s">
        <v>10</v>
      </c>
      <c r="B15" s="191" t="s">
        <v>11</v>
      </c>
      <c r="C15" s="194">
        <v>-5325.38</v>
      </c>
      <c r="D15" s="193"/>
      <c r="E15" s="109"/>
      <c r="F15" s="109"/>
      <c r="G15" s="109"/>
      <c r="H15" s="109"/>
    </row>
    <row r="16" spans="1:8" ht="15.75">
      <c r="A16" s="20" t="s">
        <v>12</v>
      </c>
      <c r="B16" s="191" t="s">
        <v>11</v>
      </c>
      <c r="C16" s="192">
        <v>0</v>
      </c>
      <c r="D16" s="193"/>
      <c r="E16" s="109"/>
      <c r="F16" s="109"/>
      <c r="G16" s="109"/>
      <c r="H16" s="109"/>
    </row>
    <row r="17" spans="1:8" ht="15.75">
      <c r="A17" s="20" t="s">
        <v>13</v>
      </c>
      <c r="B17" s="191" t="s">
        <v>11</v>
      </c>
      <c r="C17" s="194">
        <v>6069.9</v>
      </c>
      <c r="D17" s="195"/>
      <c r="E17" s="109"/>
      <c r="F17" s="109"/>
      <c r="G17" s="109"/>
      <c r="H17" s="109"/>
    </row>
    <row r="18" spans="1:8" ht="31.5" customHeight="1">
      <c r="A18" s="17" t="s">
        <v>14</v>
      </c>
      <c r="B18" s="191" t="s">
        <v>11</v>
      </c>
      <c r="C18" s="194">
        <f>63205.08+5436</f>
        <v>68641.08</v>
      </c>
      <c r="D18" s="195"/>
      <c r="E18" s="110">
        <f>C18-C20-5436</f>
        <v>52194.828</v>
      </c>
      <c r="F18" s="109"/>
      <c r="G18" s="109"/>
      <c r="H18" s="109"/>
    </row>
    <row r="19" spans="1:8" ht="15.75">
      <c r="A19" s="20" t="s">
        <v>15</v>
      </c>
      <c r="B19" s="191" t="s">
        <v>11</v>
      </c>
      <c r="C19" s="194">
        <f>C18-C20-C21</f>
        <v>38328.335999999996</v>
      </c>
      <c r="D19" s="195"/>
      <c r="E19" s="110">
        <f>E44-E18</f>
        <v>-0.004000000000814907</v>
      </c>
      <c r="F19" s="109"/>
      <c r="G19" s="109"/>
      <c r="H19" s="109"/>
    </row>
    <row r="20" spans="1:8" ht="15.75">
      <c r="A20" s="20" t="s">
        <v>16</v>
      </c>
      <c r="B20" s="191" t="s">
        <v>11</v>
      </c>
      <c r="C20" s="194">
        <f>2.39*12*383.9</f>
        <v>11010.251999999999</v>
      </c>
      <c r="D20" s="195"/>
      <c r="E20" s="111"/>
      <c r="F20" s="109"/>
      <c r="G20" s="109"/>
      <c r="H20" s="109"/>
    </row>
    <row r="21" spans="1:8" ht="15.75">
      <c r="A21" s="20" t="s">
        <v>17</v>
      </c>
      <c r="B21" s="191" t="s">
        <v>11</v>
      </c>
      <c r="C21" s="196">
        <f>383.9*4.19*12</f>
        <v>19302.492000000002</v>
      </c>
      <c r="D21" s="195"/>
      <c r="E21" s="109"/>
      <c r="F21" s="109"/>
      <c r="G21" s="109"/>
      <c r="H21" s="109"/>
    </row>
    <row r="22" spans="1:8" ht="15.75">
      <c r="A22" s="20" t="s">
        <v>18</v>
      </c>
      <c r="B22" s="191" t="s">
        <v>11</v>
      </c>
      <c r="C22" s="194">
        <f>C23+C24+C25+C26</f>
        <v>68647.944108</v>
      </c>
      <c r="D22" s="195" t="s">
        <v>19</v>
      </c>
      <c r="E22" s="110"/>
      <c r="F22" s="109"/>
      <c r="G22" s="109"/>
      <c r="H22" s="109"/>
    </row>
    <row r="23" spans="1:8" ht="15.75">
      <c r="A23" s="20" t="s">
        <v>20</v>
      </c>
      <c r="B23" s="191" t="s">
        <v>11</v>
      </c>
      <c r="C23" s="194">
        <f>C18*1.0001</f>
        <v>68647.944108</v>
      </c>
      <c r="D23" s="195"/>
      <c r="E23" s="109"/>
      <c r="F23" s="109"/>
      <c r="G23" s="109"/>
      <c r="H23" s="109"/>
    </row>
    <row r="24" spans="1:8" ht="15.75">
      <c r="A24" s="20" t="s">
        <v>21</v>
      </c>
      <c r="B24" s="191" t="s">
        <v>11</v>
      </c>
      <c r="C24" s="194">
        <v>0</v>
      </c>
      <c r="D24" s="197">
        <v>65.21</v>
      </c>
      <c r="E24" s="111" t="e">
        <f>B24/#REF!*1</f>
        <v>#VALUE!</v>
      </c>
      <c r="F24" s="109"/>
      <c r="G24" s="109"/>
      <c r="H24" s="109" t="s">
        <v>22</v>
      </c>
    </row>
    <row r="25" spans="1:8" ht="15.75">
      <c r="A25" s="20" t="s">
        <v>23</v>
      </c>
      <c r="B25" s="191" t="s">
        <v>11</v>
      </c>
      <c r="C25" s="194">
        <v>0</v>
      </c>
      <c r="D25" s="197">
        <v>119.63</v>
      </c>
      <c r="E25" s="111" t="e">
        <f>B25/#REF!*1</f>
        <v>#VALUE!</v>
      </c>
      <c r="F25" s="109"/>
      <c r="G25" s="109"/>
      <c r="H25" s="109"/>
    </row>
    <row r="26" spans="1:8" ht="15.75">
      <c r="A26" s="188" t="s">
        <v>24</v>
      </c>
      <c r="B26" s="191" t="s">
        <v>11</v>
      </c>
      <c r="C26" s="194">
        <v>0</v>
      </c>
      <c r="D26" s="197"/>
      <c r="E26" s="111" t="e">
        <f>B26/#REF!*1</f>
        <v>#VALUE!</v>
      </c>
      <c r="F26" s="109"/>
      <c r="G26" s="109"/>
      <c r="H26" s="109"/>
    </row>
    <row r="27" spans="1:8" ht="15.75">
      <c r="A27" s="20" t="s">
        <v>25</v>
      </c>
      <c r="B27" s="191" t="s">
        <v>11</v>
      </c>
      <c r="C27" s="194">
        <f>C15+C22</f>
        <v>63322.564108</v>
      </c>
      <c r="D27" s="195" t="s">
        <v>26</v>
      </c>
      <c r="E27" s="111" t="e">
        <f>B27/#REF!*1</f>
        <v>#VALUE!</v>
      </c>
      <c r="F27" s="109"/>
      <c r="G27" s="109"/>
      <c r="H27" s="109"/>
    </row>
    <row r="28" spans="1:8" ht="35.25" customHeight="1">
      <c r="A28" s="568" t="s">
        <v>27</v>
      </c>
      <c r="B28" s="568"/>
      <c r="C28" s="568"/>
      <c r="D28" s="568"/>
      <c r="E28" s="109"/>
      <c r="F28" s="109"/>
      <c r="G28" s="109"/>
      <c r="H28" s="109"/>
    </row>
    <row r="29" spans="1:8" ht="51">
      <c r="A29" s="199" t="s">
        <v>28</v>
      </c>
      <c r="B29" s="200" t="s">
        <v>29</v>
      </c>
      <c r="C29" s="201" t="s">
        <v>30</v>
      </c>
      <c r="D29" s="202" t="s">
        <v>31</v>
      </c>
      <c r="E29" s="109"/>
      <c r="F29" s="109"/>
      <c r="G29" s="109"/>
      <c r="H29" s="109"/>
    </row>
    <row r="30" spans="1:8" ht="15.75">
      <c r="A30" s="203" t="s">
        <v>32</v>
      </c>
      <c r="B30" s="204" t="s">
        <v>33</v>
      </c>
      <c r="C30" s="205" t="s">
        <v>34</v>
      </c>
      <c r="D30" s="206">
        <f>383.9*0.6*12</f>
        <v>2764.08</v>
      </c>
      <c r="E30" s="109"/>
      <c r="F30" s="109"/>
      <c r="G30" s="109"/>
      <c r="H30" s="109"/>
    </row>
    <row r="31" spans="1:8" ht="15.75">
      <c r="A31" s="207" t="s">
        <v>75</v>
      </c>
      <c r="B31" s="208" t="s">
        <v>76</v>
      </c>
      <c r="C31" s="209" t="s">
        <v>34</v>
      </c>
      <c r="D31" s="210">
        <f>2.4*12*383.9</f>
        <v>11056.319999999998</v>
      </c>
      <c r="E31" s="109"/>
      <c r="F31" s="109"/>
      <c r="G31" s="109"/>
      <c r="H31" s="109"/>
    </row>
    <row r="32" spans="1:8" ht="15.75">
      <c r="A32" s="207" t="s">
        <v>36</v>
      </c>
      <c r="B32" s="208" t="s">
        <v>33</v>
      </c>
      <c r="C32" s="209" t="s">
        <v>37</v>
      </c>
      <c r="D32" s="210">
        <f>0.24*12*383.9</f>
        <v>1105.6319999999998</v>
      </c>
      <c r="E32" s="109"/>
      <c r="F32" s="109"/>
      <c r="G32" s="109"/>
      <c r="H32" s="109"/>
    </row>
    <row r="33" spans="1:8" ht="15.75">
      <c r="A33" s="207" t="s">
        <v>79</v>
      </c>
      <c r="B33" s="363" t="s">
        <v>33</v>
      </c>
      <c r="C33" s="209" t="s">
        <v>34</v>
      </c>
      <c r="D33" s="210">
        <f>0.73*12*383.9</f>
        <v>3362.964</v>
      </c>
      <c r="E33" s="109"/>
      <c r="F33" s="109"/>
      <c r="G33" s="109"/>
      <c r="H33" s="109"/>
    </row>
    <row r="34" spans="1:8" ht="26.25">
      <c r="A34" s="467" t="s">
        <v>80</v>
      </c>
      <c r="B34" s="208" t="s">
        <v>33</v>
      </c>
      <c r="C34" s="209" t="s">
        <v>34</v>
      </c>
      <c r="D34" s="211">
        <f>1.38*12*383.9</f>
        <v>6357.383999999999</v>
      </c>
      <c r="E34" s="109"/>
      <c r="F34" s="109"/>
      <c r="G34" s="109"/>
      <c r="H34" s="109"/>
    </row>
    <row r="35" spans="1:8" ht="31.5">
      <c r="A35" s="207" t="s">
        <v>81</v>
      </c>
      <c r="B35" s="213" t="s">
        <v>82</v>
      </c>
      <c r="C35" s="209" t="s">
        <v>34</v>
      </c>
      <c r="D35" s="210">
        <f>1.33*12*383.9</f>
        <v>6127.044</v>
      </c>
      <c r="E35" s="109"/>
      <c r="F35" s="109"/>
      <c r="G35" s="109"/>
      <c r="H35" s="109"/>
    </row>
    <row r="36" spans="1:8" ht="15.75">
      <c r="A36" s="207" t="s">
        <v>38</v>
      </c>
      <c r="B36" s="208" t="s">
        <v>35</v>
      </c>
      <c r="C36" s="362" t="s">
        <v>221</v>
      </c>
      <c r="D36" s="210">
        <f>383.9*4.19*12</f>
        <v>19302.492000000002</v>
      </c>
      <c r="E36" s="109"/>
      <c r="F36" s="109"/>
      <c r="G36" s="109"/>
      <c r="H36" s="109"/>
    </row>
    <row r="37" spans="1:8" ht="15.75">
      <c r="A37" s="207" t="s">
        <v>233</v>
      </c>
      <c r="B37" s="208" t="s">
        <v>222</v>
      </c>
      <c r="C37" s="275" t="s">
        <v>37</v>
      </c>
      <c r="D37" s="210">
        <f>383.9*0.46*12-0.22</f>
        <v>2118.908</v>
      </c>
      <c r="E37" s="109"/>
      <c r="F37" s="109"/>
      <c r="G37" s="109"/>
      <c r="H37" s="109"/>
    </row>
    <row r="38" spans="1:8" ht="15.75">
      <c r="A38" s="207" t="s">
        <v>209</v>
      </c>
      <c r="B38" s="208"/>
      <c r="C38" s="275"/>
      <c r="D38" s="210"/>
      <c r="E38" s="109"/>
      <c r="F38" s="109"/>
      <c r="G38" s="109"/>
      <c r="H38" s="109"/>
    </row>
    <row r="39" spans="1:8" ht="33" customHeight="1">
      <c r="A39" s="207" t="s">
        <v>213</v>
      </c>
      <c r="B39" s="208" t="s">
        <v>35</v>
      </c>
      <c r="C39" s="275" t="s">
        <v>210</v>
      </c>
      <c r="D39" s="210">
        <v>467.27</v>
      </c>
      <c r="E39" s="109"/>
      <c r="F39" s="109"/>
      <c r="G39" s="109"/>
      <c r="H39" s="109"/>
    </row>
    <row r="40" spans="1:8" ht="15.75">
      <c r="A40" s="207" t="s">
        <v>211</v>
      </c>
      <c r="B40" s="208" t="s">
        <v>35</v>
      </c>
      <c r="C40" s="275" t="s">
        <v>212</v>
      </c>
      <c r="D40" s="210">
        <v>10307.71</v>
      </c>
      <c r="E40" s="109"/>
      <c r="F40" s="109"/>
      <c r="G40" s="109"/>
      <c r="H40" s="109"/>
    </row>
    <row r="41" spans="1:14" s="1" customFormat="1" ht="78.75">
      <c r="A41" s="260" t="s">
        <v>204</v>
      </c>
      <c r="B41" s="215" t="s">
        <v>41</v>
      </c>
      <c r="C41" s="292"/>
      <c r="D41" s="381">
        <f>D42+D43</f>
        <v>1626.51</v>
      </c>
      <c r="E41" s="109"/>
      <c r="F41" s="109"/>
      <c r="G41" s="109"/>
      <c r="H41" s="109"/>
      <c r="K41"/>
      <c r="L41"/>
      <c r="M41"/>
      <c r="N41"/>
    </row>
    <row r="42" spans="1:14" s="1" customFormat="1" ht="15.75">
      <c r="A42" s="220" t="s">
        <v>271</v>
      </c>
      <c r="B42" s="217" t="s">
        <v>159</v>
      </c>
      <c r="C42" s="292" t="s">
        <v>34</v>
      </c>
      <c r="D42" s="176">
        <v>352</v>
      </c>
      <c r="E42" s="109"/>
      <c r="F42" s="109"/>
      <c r="G42" s="109"/>
      <c r="H42" s="109"/>
      <c r="K42"/>
      <c r="L42"/>
      <c r="M42"/>
      <c r="N42"/>
    </row>
    <row r="43" spans="1:14" s="1" customFormat="1" ht="18.75" customHeight="1">
      <c r="A43" s="220" t="s">
        <v>277</v>
      </c>
      <c r="B43" s="217" t="s">
        <v>159</v>
      </c>
      <c r="C43" s="275" t="s">
        <v>34</v>
      </c>
      <c r="D43" s="176">
        <v>1274.51</v>
      </c>
      <c r="E43" s="109"/>
      <c r="F43" s="109"/>
      <c r="G43" s="109"/>
      <c r="H43" s="109"/>
      <c r="K43"/>
      <c r="L43"/>
      <c r="M43"/>
      <c r="N43"/>
    </row>
    <row r="44" spans="1:14" s="1" customFormat="1" ht="15.75">
      <c r="A44" s="37" t="s">
        <v>42</v>
      </c>
      <c r="B44" s="222"/>
      <c r="C44" s="223"/>
      <c r="D44" s="97">
        <f>D30+D31+D32+D33+D34+D35+D36+D37+D39+D40+D41</f>
        <v>64596.314</v>
      </c>
      <c r="E44" s="112">
        <f>D44-D39-D40-D41</f>
        <v>52194.824</v>
      </c>
      <c r="F44" s="109"/>
      <c r="G44" s="109"/>
      <c r="H44" s="109"/>
      <c r="K44"/>
      <c r="L44"/>
      <c r="M44"/>
      <c r="N44"/>
    </row>
    <row r="45" spans="1:14" s="1" customFormat="1" ht="15.75">
      <c r="A45" s="40" t="s">
        <v>43</v>
      </c>
      <c r="B45" s="224" t="s">
        <v>11</v>
      </c>
      <c r="C45" s="225"/>
      <c r="D45" s="226">
        <f>C27-D44</f>
        <v>-1273.7498919999998</v>
      </c>
      <c r="E45" s="112"/>
      <c r="F45" s="109"/>
      <c r="G45" s="109"/>
      <c r="H45" s="109"/>
      <c r="K45"/>
      <c r="L45"/>
      <c r="M45"/>
      <c r="N45"/>
    </row>
    <row r="46" spans="1:14" s="1" customFormat="1" ht="15.75">
      <c r="A46" s="227" t="s">
        <v>12</v>
      </c>
      <c r="B46" s="228" t="s">
        <v>11</v>
      </c>
      <c r="C46" s="209"/>
      <c r="D46" s="193">
        <v>0</v>
      </c>
      <c r="E46" s="109"/>
      <c r="F46" s="109"/>
      <c r="G46" s="109"/>
      <c r="H46" s="109"/>
      <c r="K46"/>
      <c r="L46"/>
      <c r="M46"/>
      <c r="N46"/>
    </row>
    <row r="47" spans="1:14" s="1" customFormat="1" ht="15.75">
      <c r="A47" s="227" t="s">
        <v>13</v>
      </c>
      <c r="B47" s="228" t="s">
        <v>11</v>
      </c>
      <c r="C47" s="209"/>
      <c r="D47" s="195">
        <f>C17+C18-C23</f>
        <v>6063.035892</v>
      </c>
      <c r="E47" s="109"/>
      <c r="F47" s="109"/>
      <c r="G47" s="109"/>
      <c r="H47" s="109"/>
      <c r="K47"/>
      <c r="L47"/>
      <c r="M47"/>
      <c r="N47"/>
    </row>
    <row r="48" spans="1:14" s="1" customFormat="1" ht="24" customHeight="1">
      <c r="A48" s="569" t="s">
        <v>44</v>
      </c>
      <c r="B48" s="569"/>
      <c r="C48" s="569"/>
      <c r="D48" s="569"/>
      <c r="E48" s="109"/>
      <c r="F48" s="109"/>
      <c r="G48" s="109"/>
      <c r="H48" s="109"/>
      <c r="K48"/>
      <c r="L48"/>
      <c r="M48"/>
      <c r="N48"/>
    </row>
    <row r="49" spans="1:14" s="1" customFormat="1" ht="15.75">
      <c r="A49" s="227" t="s">
        <v>45</v>
      </c>
      <c r="B49" s="208" t="s">
        <v>46</v>
      </c>
      <c r="C49" s="209"/>
      <c r="D49" s="193">
        <v>0</v>
      </c>
      <c r="E49" s="109"/>
      <c r="F49" s="109"/>
      <c r="G49" s="109"/>
      <c r="H49" s="109"/>
      <c r="K49"/>
      <c r="L49"/>
      <c r="M49"/>
      <c r="N49"/>
    </row>
    <row r="50" spans="1:14" s="1" customFormat="1" ht="15.75">
      <c r="A50" s="227" t="s">
        <v>47</v>
      </c>
      <c r="B50" s="208" t="s">
        <v>46</v>
      </c>
      <c r="C50" s="209"/>
      <c r="D50" s="193">
        <v>0</v>
      </c>
      <c r="E50" s="109"/>
      <c r="F50" s="109"/>
      <c r="G50" s="109"/>
      <c r="H50" s="109"/>
      <c r="K50"/>
      <c r="L50"/>
      <c r="M50"/>
      <c r="N50"/>
    </row>
    <row r="51" spans="1:14" s="1" customFormat="1" ht="26.25">
      <c r="A51" s="229" t="s">
        <v>48</v>
      </c>
      <c r="B51" s="208" t="s">
        <v>46</v>
      </c>
      <c r="C51" s="209"/>
      <c r="D51" s="193">
        <v>0</v>
      </c>
      <c r="E51" s="109"/>
      <c r="F51" s="109"/>
      <c r="G51" s="109"/>
      <c r="H51" s="109"/>
      <c r="K51"/>
      <c r="L51"/>
      <c r="M51"/>
      <c r="N51"/>
    </row>
    <row r="52" spans="1:14" s="1" customFormat="1" ht="15.75">
      <c r="A52" s="227" t="s">
        <v>49</v>
      </c>
      <c r="B52" s="208" t="s">
        <v>11</v>
      </c>
      <c r="C52" s="209"/>
      <c r="D52" s="193">
        <v>0</v>
      </c>
      <c r="E52" s="109"/>
      <c r="F52" s="109"/>
      <c r="G52" s="109"/>
      <c r="H52" s="109"/>
      <c r="K52"/>
      <c r="L52"/>
      <c r="M52"/>
      <c r="N52"/>
    </row>
    <row r="53" spans="1:8" ht="20.25" customHeight="1">
      <c r="A53" s="570" t="s">
        <v>50</v>
      </c>
      <c r="B53" s="570"/>
      <c r="C53" s="570"/>
      <c r="D53" s="570"/>
      <c r="E53" s="109"/>
      <c r="F53" s="109"/>
      <c r="G53" s="109"/>
      <c r="H53" s="109"/>
    </row>
    <row r="54" spans="1:8" ht="26.25">
      <c r="A54" s="229" t="s">
        <v>51</v>
      </c>
      <c r="B54" s="208" t="s">
        <v>11</v>
      </c>
      <c r="C54" s="209"/>
      <c r="D54" s="193">
        <v>0</v>
      </c>
      <c r="E54" s="109"/>
      <c r="F54" s="109"/>
      <c r="G54" s="109"/>
      <c r="H54" s="109"/>
    </row>
    <row r="55" spans="1:8" ht="15.75">
      <c r="A55" s="227" t="s">
        <v>12</v>
      </c>
      <c r="B55" s="208" t="s">
        <v>11</v>
      </c>
      <c r="C55" s="209"/>
      <c r="D55" s="193">
        <v>0</v>
      </c>
      <c r="E55" s="109"/>
      <c r="F55" s="109"/>
      <c r="G55" s="109"/>
      <c r="H55" s="109"/>
    </row>
    <row r="56" spans="1:8" ht="15.75">
      <c r="A56" s="227" t="s">
        <v>13</v>
      </c>
      <c r="B56" s="208" t="s">
        <v>11</v>
      </c>
      <c r="C56" s="209"/>
      <c r="D56" s="237">
        <f>D59-D62-D63-D64</f>
        <v>2333.689699999997</v>
      </c>
      <c r="E56" s="109"/>
      <c r="F56" s="109"/>
      <c r="G56" s="109"/>
      <c r="H56" s="113"/>
    </row>
    <row r="57" spans="1:8" ht="26.25">
      <c r="A57" s="231" t="s">
        <v>52</v>
      </c>
      <c r="B57" s="208" t="s">
        <v>11</v>
      </c>
      <c r="C57" s="232"/>
      <c r="D57" s="233">
        <v>0</v>
      </c>
      <c r="E57" s="109"/>
      <c r="F57" s="109"/>
      <c r="G57" s="109"/>
      <c r="H57" s="109"/>
    </row>
    <row r="58" spans="1:10" ht="17.25" customHeight="1">
      <c r="A58" s="254" t="s">
        <v>12</v>
      </c>
      <c r="B58" s="208" t="s">
        <v>11</v>
      </c>
      <c r="C58" s="276"/>
      <c r="D58" s="55">
        <v>0</v>
      </c>
      <c r="E58" s="109"/>
      <c r="F58" s="109"/>
      <c r="G58" s="109"/>
      <c r="H58" s="109"/>
      <c r="I58" s="49"/>
      <c r="J58" s="49"/>
    </row>
    <row r="59" spans="1:14" ht="15.75">
      <c r="A59" s="235" t="s">
        <v>13</v>
      </c>
      <c r="B59" s="208" t="s">
        <v>11</v>
      </c>
      <c r="C59" s="236"/>
      <c r="D59" s="237">
        <v>2296.24</v>
      </c>
      <c r="E59" s="109"/>
      <c r="F59" s="109"/>
      <c r="G59" s="109"/>
      <c r="H59" s="109" t="s">
        <v>26</v>
      </c>
      <c r="I59" s="60"/>
      <c r="J59" s="60"/>
      <c r="K59" s="61"/>
      <c r="L59" s="61"/>
      <c r="M59" s="61"/>
      <c r="N59" s="61"/>
    </row>
    <row r="60" spans="1:14" ht="18" customHeight="1">
      <c r="A60" s="571" t="s">
        <v>53</v>
      </c>
      <c r="B60" s="571"/>
      <c r="C60" s="571"/>
      <c r="D60" s="571"/>
      <c r="E60" s="114"/>
      <c r="F60" s="115"/>
      <c r="G60" s="116"/>
      <c r="H60" s="109"/>
      <c r="I60" s="65"/>
      <c r="J60" s="65"/>
      <c r="K60" s="66"/>
      <c r="L60" s="66"/>
      <c r="M60" s="66"/>
      <c r="N60" s="66"/>
    </row>
    <row r="61" spans="1:14" ht="38.25">
      <c r="A61" s="67" t="s">
        <v>54</v>
      </c>
      <c r="B61" s="68" t="s">
        <v>55</v>
      </c>
      <c r="C61" s="157" t="s">
        <v>56</v>
      </c>
      <c r="D61" s="158" t="s">
        <v>57</v>
      </c>
      <c r="E61" s="114"/>
      <c r="F61" s="115"/>
      <c r="G61" s="116"/>
      <c r="H61" s="109"/>
      <c r="I61" s="65"/>
      <c r="J61" s="71"/>
      <c r="K61" s="66"/>
      <c r="L61" s="66"/>
      <c r="M61" s="66"/>
      <c r="N61" s="66"/>
    </row>
    <row r="62" spans="1:14" ht="15.75">
      <c r="A62" s="238" t="s">
        <v>58</v>
      </c>
      <c r="B62" s="277">
        <v>3316.47</v>
      </c>
      <c r="C62" s="430">
        <f>B62*1.001</f>
        <v>3319.7864699999996</v>
      </c>
      <c r="D62" s="431">
        <f>B62-C62</f>
        <v>-3.316469999999754</v>
      </c>
      <c r="E62" s="117"/>
      <c r="F62" s="115"/>
      <c r="G62" s="116"/>
      <c r="H62" s="109"/>
      <c r="I62" s="65"/>
      <c r="J62" s="65"/>
      <c r="K62" s="66"/>
      <c r="L62" s="66"/>
      <c r="M62" s="66"/>
      <c r="N62" s="66"/>
    </row>
    <row r="63" spans="1:14" ht="15.75">
      <c r="A63" s="238" t="s">
        <v>59</v>
      </c>
      <c r="B63" s="277">
        <v>3795.45</v>
      </c>
      <c r="C63" s="430">
        <f>B63*1.001</f>
        <v>3799.2454499999994</v>
      </c>
      <c r="D63" s="431">
        <f>B63-C63</f>
        <v>-3.7954499999996187</v>
      </c>
      <c r="E63" s="114"/>
      <c r="F63" s="115"/>
      <c r="G63" s="116"/>
      <c r="H63" s="109"/>
      <c r="I63" s="65"/>
      <c r="J63" s="65"/>
      <c r="K63" s="66"/>
      <c r="L63" s="66"/>
      <c r="M63" s="66"/>
      <c r="N63" s="66"/>
    </row>
    <row r="64" spans="1:14" ht="15.75">
      <c r="A64" s="238" t="s">
        <v>60</v>
      </c>
      <c r="B64" s="280">
        <v>30337.78</v>
      </c>
      <c r="C64" s="430">
        <f>B64*1.001</f>
        <v>30368.117779999997</v>
      </c>
      <c r="D64" s="431">
        <f>B64-C64</f>
        <v>-30.33777999999802</v>
      </c>
      <c r="E64" s="114">
        <f>(2.07+1.8)*6*2301.2-0.37*2301.2*6</f>
        <v>48325.2</v>
      </c>
      <c r="F64" s="118"/>
      <c r="G64" s="119"/>
      <c r="H64" s="114"/>
      <c r="I64" s="65"/>
      <c r="J64" s="65"/>
      <c r="K64" s="66"/>
      <c r="L64" s="66"/>
      <c r="M64" s="66"/>
      <c r="N64" s="66"/>
    </row>
    <row r="65" spans="1:14" ht="15.75">
      <c r="A65" s="243" t="s">
        <v>236</v>
      </c>
      <c r="B65" s="281">
        <v>21505.45</v>
      </c>
      <c r="C65" s="430">
        <f>B65*1.001</f>
        <v>21526.955449999998</v>
      </c>
      <c r="D65" s="432">
        <f>B65-C65</f>
        <v>-21.505449999996927</v>
      </c>
      <c r="E65" s="114"/>
      <c r="F65" s="118"/>
      <c r="G65" s="119"/>
      <c r="H65" s="109"/>
      <c r="I65" s="65"/>
      <c r="J65" s="65"/>
      <c r="K65" s="66"/>
      <c r="L65" s="66"/>
      <c r="M65" s="66"/>
      <c r="N65" s="66"/>
    </row>
    <row r="66" spans="1:14" ht="51">
      <c r="A66" s="75" t="s">
        <v>62</v>
      </c>
      <c r="B66" s="68" t="s">
        <v>63</v>
      </c>
      <c r="C66" s="157" t="s">
        <v>64</v>
      </c>
      <c r="D66" s="158" t="s">
        <v>65</v>
      </c>
      <c r="E66" s="114"/>
      <c r="F66" s="118"/>
      <c r="G66" s="109"/>
      <c r="H66" s="120"/>
      <c r="I66" s="65"/>
      <c r="J66" s="65"/>
      <c r="K66" s="66"/>
      <c r="L66" s="66"/>
      <c r="M66" s="66"/>
      <c r="N66" s="66"/>
    </row>
    <row r="67" spans="1:14" ht="15.75">
      <c r="A67" s="238" t="s">
        <v>58</v>
      </c>
      <c r="B67" s="248">
        <f aca="true" t="shared" si="0" ref="B67:C69">B62</f>
        <v>3316.47</v>
      </c>
      <c r="C67" s="433">
        <f t="shared" si="0"/>
        <v>3319.7864699999996</v>
      </c>
      <c r="D67" s="431">
        <f>B67-C67</f>
        <v>-3.316469999999754</v>
      </c>
      <c r="E67" s="114"/>
      <c r="F67" s="118"/>
      <c r="G67" s="109"/>
      <c r="H67" s="120"/>
      <c r="I67" s="65"/>
      <c r="J67" s="65"/>
      <c r="K67" s="66"/>
      <c r="L67" s="66"/>
      <c r="M67" s="66"/>
      <c r="N67" s="66"/>
    </row>
    <row r="68" spans="1:14" ht="15.75">
      <c r="A68" s="238" t="s">
        <v>59</v>
      </c>
      <c r="B68" s="248">
        <f t="shared" si="0"/>
        <v>3795.45</v>
      </c>
      <c r="C68" s="433">
        <f t="shared" si="0"/>
        <v>3799.2454499999994</v>
      </c>
      <c r="D68" s="431">
        <f>B68-C68</f>
        <v>-3.7954499999996187</v>
      </c>
      <c r="E68" s="114"/>
      <c r="F68" s="118"/>
      <c r="G68" s="109"/>
      <c r="H68" s="120"/>
      <c r="I68" s="65"/>
      <c r="J68" s="65"/>
      <c r="K68" s="66"/>
      <c r="L68" s="66"/>
      <c r="M68" s="66"/>
      <c r="N68" s="66"/>
    </row>
    <row r="69" spans="1:14" ht="15.75">
      <c r="A69" s="238" t="s">
        <v>60</v>
      </c>
      <c r="B69" s="248">
        <f t="shared" si="0"/>
        <v>30337.78</v>
      </c>
      <c r="C69" s="433">
        <f t="shared" si="0"/>
        <v>30368.117779999997</v>
      </c>
      <c r="D69" s="431">
        <f>B69-C69</f>
        <v>-30.33777999999802</v>
      </c>
      <c r="E69" s="114"/>
      <c r="F69" s="118"/>
      <c r="G69" s="109"/>
      <c r="H69" s="120"/>
      <c r="I69" s="65"/>
      <c r="J69" s="65"/>
      <c r="K69" s="66"/>
      <c r="L69" s="66"/>
      <c r="M69" s="66"/>
      <c r="N69" s="66"/>
    </row>
    <row r="70" spans="1:14" ht="15.75">
      <c r="A70" s="238" t="s">
        <v>236</v>
      </c>
      <c r="B70" s="248">
        <f>B65</f>
        <v>21505.45</v>
      </c>
      <c r="C70" s="468">
        <f>C65</f>
        <v>21526.955449999998</v>
      </c>
      <c r="D70" s="431">
        <f>C70-B70</f>
        <v>21.505449999996927</v>
      </c>
      <c r="E70" s="114"/>
      <c r="F70" s="118"/>
      <c r="G70" s="109"/>
      <c r="H70" s="120"/>
      <c r="I70" s="65"/>
      <c r="J70" s="65"/>
      <c r="K70" s="66"/>
      <c r="L70" s="66"/>
      <c r="M70" s="66"/>
      <c r="N70" s="66"/>
    </row>
    <row r="71" spans="1:14" ht="15.75">
      <c r="A71" s="247"/>
      <c r="B71" s="248"/>
      <c r="C71" s="425"/>
      <c r="D71" s="426"/>
      <c r="E71" s="114"/>
      <c r="F71" s="118"/>
      <c r="G71" s="109"/>
      <c r="H71" s="120"/>
      <c r="I71" s="65"/>
      <c r="J71" s="65"/>
      <c r="K71" s="66"/>
      <c r="L71" s="66"/>
      <c r="M71" s="66"/>
      <c r="N71" s="66"/>
    </row>
    <row r="72" spans="1:14" ht="26.25">
      <c r="A72" s="251" t="s">
        <v>66</v>
      </c>
      <c r="B72" s="248" t="s">
        <v>11</v>
      </c>
      <c r="C72" s="427"/>
      <c r="D72" s="428">
        <v>0</v>
      </c>
      <c r="E72" s="114"/>
      <c r="F72" s="118"/>
      <c r="G72" s="109"/>
      <c r="H72" s="120"/>
      <c r="I72" s="65"/>
      <c r="J72" s="65" t="s">
        <v>26</v>
      </c>
      <c r="K72" s="66"/>
      <c r="L72" s="66"/>
      <c r="M72" s="66"/>
      <c r="N72" s="66"/>
    </row>
    <row r="73" spans="1:14" ht="17.25" customHeight="1">
      <c r="A73" s="572" t="s">
        <v>67</v>
      </c>
      <c r="B73" s="572"/>
      <c r="C73" s="572"/>
      <c r="D73" s="572"/>
      <c r="E73" s="121" t="e">
        <f>D73+B19</f>
        <v>#VALUE!</v>
      </c>
      <c r="F73" s="65"/>
      <c r="H73" s="84" t="e">
        <f>E73-B18</f>
        <v>#VALUE!</v>
      </c>
      <c r="I73" s="65"/>
      <c r="J73" s="65"/>
      <c r="K73" s="66"/>
      <c r="L73" s="66"/>
      <c r="M73" s="66"/>
      <c r="N73" s="66"/>
    </row>
    <row r="74" spans="1:5" ht="21" customHeight="1">
      <c r="A74" s="86" t="s">
        <v>45</v>
      </c>
      <c r="B74" s="86" t="s">
        <v>46</v>
      </c>
      <c r="C74" s="86"/>
      <c r="D74" s="177"/>
      <c r="E74" s="123"/>
    </row>
    <row r="75" spans="1:5" ht="21" customHeight="1">
      <c r="A75" s="86" t="s">
        <v>47</v>
      </c>
      <c r="B75" s="86" t="s">
        <v>46</v>
      </c>
      <c r="C75" s="86"/>
      <c r="D75" s="177">
        <v>1</v>
      </c>
      <c r="E75" s="123"/>
    </row>
    <row r="76" spans="1:5" ht="18" customHeight="1">
      <c r="A76" s="86" t="s">
        <v>48</v>
      </c>
      <c r="B76" s="86" t="s">
        <v>46</v>
      </c>
      <c r="C76" s="86"/>
      <c r="D76" s="177">
        <v>0</v>
      </c>
      <c r="E76" s="123"/>
    </row>
    <row r="77" spans="1:5" ht="16.5" customHeight="1">
      <c r="A77" s="86" t="s">
        <v>49</v>
      </c>
      <c r="B77" s="86" t="s">
        <v>11</v>
      </c>
      <c r="C77" s="86"/>
      <c r="D77" s="177">
        <v>0</v>
      </c>
      <c r="E77" s="123"/>
    </row>
    <row r="78" spans="1:5" ht="15.75" customHeight="1">
      <c r="A78" s="566" t="s">
        <v>68</v>
      </c>
      <c r="B78" s="566"/>
      <c r="C78" s="566"/>
      <c r="D78" s="566"/>
      <c r="E78" s="123"/>
    </row>
    <row r="79" spans="1:5" ht="18.75" customHeight="1">
      <c r="A79" s="86" t="s">
        <v>69</v>
      </c>
      <c r="B79" s="86" t="s">
        <v>46</v>
      </c>
      <c r="C79" s="86"/>
      <c r="D79" s="177">
        <v>0</v>
      </c>
      <c r="E79" s="123"/>
    </row>
    <row r="80" spans="1:5" ht="21.75" customHeight="1">
      <c r="A80" s="86" t="s">
        <v>70</v>
      </c>
      <c r="B80" s="254" t="s">
        <v>46</v>
      </c>
      <c r="C80" s="254"/>
      <c r="D80" s="177">
        <v>0</v>
      </c>
      <c r="E80" s="123"/>
    </row>
    <row r="81" spans="1:5" ht="36" customHeight="1">
      <c r="A81" s="255" t="s">
        <v>71</v>
      </c>
      <c r="B81" s="86" t="s">
        <v>11</v>
      </c>
      <c r="C81" s="86"/>
      <c r="D81" s="177">
        <v>0</v>
      </c>
      <c r="E81" s="123"/>
    </row>
    <row r="82" spans="1:5" ht="15.75">
      <c r="A82" s="256"/>
      <c r="B82" s="256"/>
      <c r="C82" s="256"/>
      <c r="D82" s="257"/>
      <c r="E82" s="109"/>
    </row>
    <row r="83" spans="1:14" s="1" customFormat="1" ht="12.75">
      <c r="A83" s="178"/>
      <c r="B83" s="178"/>
      <c r="C83" s="178"/>
      <c r="D83" s="178"/>
      <c r="E83" s="109"/>
      <c r="H83" s="1" t="s">
        <v>26</v>
      </c>
      <c r="K83"/>
      <c r="L83"/>
      <c r="M83"/>
      <c r="N83"/>
    </row>
    <row r="84" spans="1:14" s="1" customFormat="1" ht="12.75">
      <c r="A84" s="178" t="s">
        <v>72</v>
      </c>
      <c r="B84" s="178"/>
      <c r="C84" s="178" t="s">
        <v>141</v>
      </c>
      <c r="D84" s="178"/>
      <c r="E84" s="109"/>
      <c r="K84"/>
      <c r="L84"/>
      <c r="M84"/>
      <c r="N84"/>
    </row>
    <row r="85" spans="1:14" s="1" customFormat="1" ht="12.75">
      <c r="A85" s="178"/>
      <c r="B85" s="178"/>
      <c r="C85" s="178"/>
      <c r="D85" s="178"/>
      <c r="E85" s="109"/>
      <c r="H85" s="1" t="s">
        <v>26</v>
      </c>
      <c r="K85"/>
      <c r="L85"/>
      <c r="M85"/>
      <c r="N85"/>
    </row>
    <row r="86" spans="1:14" s="1" customFormat="1" ht="12.75">
      <c r="A86" s="178" t="s">
        <v>73</v>
      </c>
      <c r="B86" s="178"/>
      <c r="C86" s="178"/>
      <c r="D86" s="178"/>
      <c r="E86" s="109"/>
      <c r="K86"/>
      <c r="L86"/>
      <c r="M86"/>
      <c r="N86"/>
    </row>
    <row r="87" spans="1:5" ht="12.75">
      <c r="A87" s="178"/>
      <c r="B87" s="178"/>
      <c r="C87" s="178"/>
      <c r="D87" s="178"/>
      <c r="E87" s="109"/>
    </row>
    <row r="88" spans="1:5" ht="12.75">
      <c r="A88" s="178"/>
      <c r="B88" s="178"/>
      <c r="C88" s="178"/>
      <c r="D88" s="178"/>
      <c r="E88" s="109"/>
    </row>
    <row r="89" spans="1:5" ht="12.75">
      <c r="A89" s="178"/>
      <c r="B89" s="178"/>
      <c r="C89" s="178"/>
      <c r="D89" s="178"/>
      <c r="E89" s="109"/>
    </row>
    <row r="90" spans="1:14" s="1" customFormat="1" ht="12.75">
      <c r="A90" s="178"/>
      <c r="B90" s="178"/>
      <c r="C90" s="178"/>
      <c r="D90" s="178"/>
      <c r="E90" s="1" t="s">
        <v>26</v>
      </c>
      <c r="K90"/>
      <c r="L90"/>
      <c r="M90"/>
      <c r="N90"/>
    </row>
    <row r="91" spans="1:4" ht="12.75">
      <c r="A91" s="178"/>
      <c r="B91" s="178"/>
      <c r="C91" s="178"/>
      <c r="D91" s="178"/>
    </row>
  </sheetData>
  <sheetProtection selectLockedCells="1" selectUnlockedCells="1"/>
  <mergeCells count="13">
    <mergeCell ref="A78:D78"/>
    <mergeCell ref="A14:D14"/>
    <mergeCell ref="A28:D28"/>
    <mergeCell ref="A48:D48"/>
    <mergeCell ref="A53:D53"/>
    <mergeCell ref="A60:D60"/>
    <mergeCell ref="A73:D73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600" verticalDpi="600" orientation="portrait" paperSize="1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6"/>
  <sheetViews>
    <sheetView zoomScale="106" zoomScaleNormal="106" zoomScalePageLayoutView="0" workbookViewId="0" topLeftCell="A43">
      <selection activeCell="C23" sqref="C23"/>
    </sheetView>
  </sheetViews>
  <sheetFormatPr defaultColWidth="11.57421875" defaultRowHeight="12.75"/>
  <cols>
    <col min="1" max="1" width="53.140625" style="0" customWidth="1"/>
    <col min="2" max="2" width="14.421875" style="0" customWidth="1"/>
    <col min="3" max="3" width="27.57421875" style="0" customWidth="1"/>
    <col min="4" max="4" width="18.2812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560" t="s">
        <v>0</v>
      </c>
      <c r="B1" s="560"/>
      <c r="C1" s="560"/>
      <c r="D1" s="560"/>
    </row>
    <row r="2" spans="1:4" ht="15.75">
      <c r="A2" s="561" t="s">
        <v>220</v>
      </c>
      <c r="B2" s="562"/>
      <c r="C2" s="562"/>
      <c r="D2" s="562"/>
    </row>
    <row r="3" spans="1:4" ht="15.75">
      <c r="A3" s="562" t="s">
        <v>1</v>
      </c>
      <c r="B3" s="562"/>
      <c r="C3" s="562"/>
      <c r="D3" s="562"/>
    </row>
    <row r="4" spans="1:4" ht="12.75">
      <c r="A4" s="563" t="s">
        <v>88</v>
      </c>
      <c r="B4" s="563"/>
      <c r="C4" s="563"/>
      <c r="D4" s="563"/>
    </row>
    <row r="5" spans="1:4" ht="12.75">
      <c r="A5" s="564" t="s">
        <v>266</v>
      </c>
      <c r="B5" s="563"/>
      <c r="C5" s="563"/>
      <c r="D5" s="563"/>
    </row>
    <row r="6" spans="1:4" ht="17.25" customHeight="1">
      <c r="A6" s="258" t="s">
        <v>155</v>
      </c>
      <c r="B6" s="178"/>
      <c r="C6" s="178"/>
      <c r="D6" s="178"/>
    </row>
    <row r="7" spans="1:4" ht="31.5" customHeight="1">
      <c r="A7" s="565" t="s">
        <v>2</v>
      </c>
      <c r="B7" s="565"/>
      <c r="C7" s="565"/>
      <c r="D7" s="565"/>
    </row>
    <row r="8" spans="1:4" ht="12.75">
      <c r="A8" s="258"/>
      <c r="B8" s="178"/>
      <c r="C8" s="183"/>
      <c r="D8" s="178"/>
    </row>
    <row r="9" spans="1:5" ht="12.75">
      <c r="A9" s="184" t="s">
        <v>3</v>
      </c>
      <c r="B9" s="184" t="s">
        <v>4</v>
      </c>
      <c r="C9" s="184" t="s">
        <v>5</v>
      </c>
      <c r="D9" s="185"/>
      <c r="E9" s="470"/>
    </row>
    <row r="10" spans="1:5" ht="12.75">
      <c r="A10" s="186">
        <v>1</v>
      </c>
      <c r="B10" s="186">
        <v>2</v>
      </c>
      <c r="C10" s="186">
        <v>3</v>
      </c>
      <c r="D10" s="187">
        <v>4</v>
      </c>
      <c r="E10" s="470"/>
    </row>
    <row r="11" spans="1:5" ht="12.75">
      <c r="A11" s="20" t="s">
        <v>6</v>
      </c>
      <c r="B11" s="188"/>
      <c r="C11" s="189" t="s">
        <v>262</v>
      </c>
      <c r="D11" s="190"/>
      <c r="E11" s="470"/>
    </row>
    <row r="12" spans="1:5" ht="12.75">
      <c r="A12" s="20" t="s">
        <v>7</v>
      </c>
      <c r="B12" s="188"/>
      <c r="C12" s="189" t="s">
        <v>263</v>
      </c>
      <c r="D12" s="190"/>
      <c r="E12" s="470"/>
    </row>
    <row r="13" spans="1:5" ht="12.75">
      <c r="A13" s="20" t="s">
        <v>8</v>
      </c>
      <c r="B13" s="188"/>
      <c r="C13" s="189" t="s">
        <v>267</v>
      </c>
      <c r="D13" s="190"/>
      <c r="E13" s="470"/>
    </row>
    <row r="14" spans="1:8" ht="31.5" customHeight="1">
      <c r="A14" s="567" t="s">
        <v>9</v>
      </c>
      <c r="B14" s="567"/>
      <c r="C14" s="567"/>
      <c r="D14" s="567"/>
      <c r="E14" s="470"/>
      <c r="F14" s="109"/>
      <c r="G14" s="109"/>
      <c r="H14" s="109"/>
    </row>
    <row r="15" spans="1:8" ht="26.25">
      <c r="A15" s="17" t="s">
        <v>10</v>
      </c>
      <c r="B15" s="191" t="s">
        <v>11</v>
      </c>
      <c r="C15" s="194">
        <v>106510.05</v>
      </c>
      <c r="D15" s="193"/>
      <c r="E15" s="470"/>
      <c r="F15" s="109"/>
      <c r="G15" s="109"/>
      <c r="H15" s="109"/>
    </row>
    <row r="16" spans="1:8" ht="15.75">
      <c r="A16" s="20" t="s">
        <v>12</v>
      </c>
      <c r="B16" s="191" t="s">
        <v>11</v>
      </c>
      <c r="C16" s="192">
        <v>0</v>
      </c>
      <c r="D16" s="193"/>
      <c r="E16" s="470"/>
      <c r="F16" s="109"/>
      <c r="G16" s="109"/>
      <c r="H16" s="109"/>
    </row>
    <row r="17" spans="1:8" ht="15.75">
      <c r="A17" s="20" t="s">
        <v>13</v>
      </c>
      <c r="B17" s="191" t="s">
        <v>11</v>
      </c>
      <c r="C17" s="194">
        <v>37478.7</v>
      </c>
      <c r="D17" s="195"/>
      <c r="E17" s="470"/>
      <c r="F17" s="109"/>
      <c r="G17" s="109"/>
      <c r="H17" s="109"/>
    </row>
    <row r="18" spans="1:8" ht="31.5" customHeight="1">
      <c r="A18" s="17" t="s">
        <v>14</v>
      </c>
      <c r="B18" s="191" t="s">
        <v>11</v>
      </c>
      <c r="C18" s="194">
        <f>253012.44+12338.1</f>
        <v>265350.54</v>
      </c>
      <c r="D18" s="195"/>
      <c r="E18" s="481">
        <f>C18-C20-12338.1</f>
        <v>199653.85199999998</v>
      </c>
      <c r="F18" s="109"/>
      <c r="G18" s="109"/>
      <c r="H18" s="109"/>
    </row>
    <row r="19" spans="1:8" ht="15.75">
      <c r="A19" s="20" t="s">
        <v>15</v>
      </c>
      <c r="B19" s="191" t="s">
        <v>11</v>
      </c>
      <c r="C19" s="194">
        <f>C18-C20-C21</f>
        <v>144853.06799999997</v>
      </c>
      <c r="D19" s="195"/>
      <c r="E19" s="481">
        <f>E18-E51</f>
        <v>-0.003999999957159162</v>
      </c>
      <c r="F19" s="109"/>
      <c r="G19" s="109"/>
      <c r="H19" s="109"/>
    </row>
    <row r="20" spans="1:8" ht="15.75">
      <c r="A20" s="20" t="s">
        <v>16</v>
      </c>
      <c r="B20" s="191" t="s">
        <v>11</v>
      </c>
      <c r="C20" s="194">
        <f>3.33*12*1335.3</f>
        <v>53358.587999999996</v>
      </c>
      <c r="D20" s="195"/>
      <c r="E20" s="482"/>
      <c r="F20" s="109"/>
      <c r="G20" s="109"/>
      <c r="H20" s="109"/>
    </row>
    <row r="21" spans="1:8" ht="15.75">
      <c r="A21" s="20" t="s">
        <v>17</v>
      </c>
      <c r="B21" s="191" t="s">
        <v>11</v>
      </c>
      <c r="C21" s="196">
        <f>1335.3*4.19*12</f>
        <v>67138.884</v>
      </c>
      <c r="D21" s="195"/>
      <c r="E21" s="470"/>
      <c r="F21" s="109"/>
      <c r="G21" s="109"/>
      <c r="H21" s="109"/>
    </row>
    <row r="22" spans="1:8" ht="15.75">
      <c r="A22" s="20" t="s">
        <v>18</v>
      </c>
      <c r="B22" s="191" t="s">
        <v>11</v>
      </c>
      <c r="C22" s="194">
        <f>C23+C24+C25+C26</f>
        <v>270763.691016</v>
      </c>
      <c r="D22" s="195" t="s">
        <v>19</v>
      </c>
      <c r="E22" s="481"/>
      <c r="F22" s="109"/>
      <c r="G22" s="109"/>
      <c r="H22" s="109"/>
    </row>
    <row r="23" spans="1:8" ht="15.75">
      <c r="A23" s="20" t="s">
        <v>20</v>
      </c>
      <c r="B23" s="191" t="s">
        <v>11</v>
      </c>
      <c r="C23" s="194">
        <f>C18*1.0204</f>
        <v>270763.691016</v>
      </c>
      <c r="D23" s="195"/>
      <c r="E23" s="470"/>
      <c r="F23" s="109"/>
      <c r="G23" s="109"/>
      <c r="H23" s="109"/>
    </row>
    <row r="24" spans="1:8" ht="15.75">
      <c r="A24" s="20" t="s">
        <v>21</v>
      </c>
      <c r="B24" s="191" t="s">
        <v>11</v>
      </c>
      <c r="C24" s="194">
        <v>0</v>
      </c>
      <c r="D24" s="197">
        <v>65.21</v>
      </c>
      <c r="E24" s="482"/>
      <c r="F24" s="109"/>
      <c r="G24" s="109"/>
      <c r="H24" s="109" t="s">
        <v>22</v>
      </c>
    </row>
    <row r="25" spans="1:8" ht="15.75">
      <c r="A25" s="20" t="s">
        <v>23</v>
      </c>
      <c r="B25" s="191" t="s">
        <v>11</v>
      </c>
      <c r="C25" s="194">
        <v>0</v>
      </c>
      <c r="D25" s="197">
        <v>119.63</v>
      </c>
      <c r="E25" s="482"/>
      <c r="F25" s="109"/>
      <c r="G25" s="109"/>
      <c r="H25" s="109"/>
    </row>
    <row r="26" spans="1:8" ht="15.75">
      <c r="A26" s="188" t="s">
        <v>24</v>
      </c>
      <c r="B26" s="191" t="s">
        <v>11</v>
      </c>
      <c r="C26" s="194">
        <v>0</v>
      </c>
      <c r="D26" s="197"/>
      <c r="E26" s="482"/>
      <c r="F26" s="109"/>
      <c r="G26" s="109"/>
      <c r="H26" s="109"/>
    </row>
    <row r="27" spans="1:8" ht="15.75">
      <c r="A27" s="20" t="s">
        <v>25</v>
      </c>
      <c r="B27" s="191" t="s">
        <v>11</v>
      </c>
      <c r="C27" s="194">
        <f>C15+C22</f>
        <v>377273.741016</v>
      </c>
      <c r="D27" s="195" t="s">
        <v>26</v>
      </c>
      <c r="E27" s="482"/>
      <c r="F27" s="109"/>
      <c r="G27" s="109"/>
      <c r="H27" s="109"/>
    </row>
    <row r="28" spans="1:8" ht="35.25" customHeight="1">
      <c r="A28" s="568" t="s">
        <v>27</v>
      </c>
      <c r="B28" s="568"/>
      <c r="C28" s="568"/>
      <c r="D28" s="568"/>
      <c r="E28" s="470"/>
      <c r="F28" s="109"/>
      <c r="G28" s="109"/>
      <c r="H28" s="109"/>
    </row>
    <row r="29" spans="1:8" ht="51">
      <c r="A29" s="271" t="s">
        <v>28</v>
      </c>
      <c r="B29" s="272" t="s">
        <v>29</v>
      </c>
      <c r="C29" s="201" t="s">
        <v>30</v>
      </c>
      <c r="D29" s="273" t="s">
        <v>31</v>
      </c>
      <c r="E29" s="470"/>
      <c r="F29" s="109"/>
      <c r="G29" s="109"/>
      <c r="H29" s="109"/>
    </row>
    <row r="30" spans="1:8" ht="15.75">
      <c r="A30" s="203" t="s">
        <v>32</v>
      </c>
      <c r="B30" s="204" t="s">
        <v>33</v>
      </c>
      <c r="C30" s="393" t="s">
        <v>241</v>
      </c>
      <c r="D30" s="206">
        <f>0.6*12*1335.3</f>
        <v>9614.159999999998</v>
      </c>
      <c r="E30" s="470"/>
      <c r="F30" s="109"/>
      <c r="G30" s="109"/>
      <c r="H30" s="109"/>
    </row>
    <row r="31" spans="1:8" ht="15.75">
      <c r="A31" s="207" t="s">
        <v>75</v>
      </c>
      <c r="B31" s="208" t="s">
        <v>76</v>
      </c>
      <c r="C31" s="209" t="s">
        <v>34</v>
      </c>
      <c r="D31" s="210">
        <f>2.4*12*1335.3</f>
        <v>38456.63999999999</v>
      </c>
      <c r="E31" s="470"/>
      <c r="F31" s="109"/>
      <c r="G31" s="109"/>
      <c r="H31" s="109"/>
    </row>
    <row r="32" spans="1:8" ht="15.75">
      <c r="A32" s="207" t="s">
        <v>240</v>
      </c>
      <c r="B32" s="208" t="s">
        <v>78</v>
      </c>
      <c r="C32" s="209" t="s">
        <v>301</v>
      </c>
      <c r="D32" s="394">
        <f>1335.3*12*0.15</f>
        <v>2403.5399999999995</v>
      </c>
      <c r="E32" s="470"/>
      <c r="F32" s="109"/>
      <c r="G32" s="109"/>
      <c r="H32" s="109"/>
    </row>
    <row r="33" spans="1:8" ht="15.75">
      <c r="A33" s="207" t="s">
        <v>36</v>
      </c>
      <c r="B33" s="208" t="s">
        <v>33</v>
      </c>
      <c r="C33" s="209" t="s">
        <v>37</v>
      </c>
      <c r="D33" s="210">
        <f>0.24*12*1335.3</f>
        <v>3845.6639999999998</v>
      </c>
      <c r="E33" s="470"/>
      <c r="F33" s="109"/>
      <c r="G33" s="109"/>
      <c r="H33" s="109"/>
    </row>
    <row r="34" spans="1:8" ht="15.75">
      <c r="A34" s="207" t="s">
        <v>79</v>
      </c>
      <c r="B34" s="363" t="s">
        <v>33</v>
      </c>
      <c r="C34" s="209" t="s">
        <v>34</v>
      </c>
      <c r="D34" s="210">
        <f>0.8*12*1335.3</f>
        <v>12818.880000000001</v>
      </c>
      <c r="E34" s="470"/>
      <c r="F34" s="109"/>
      <c r="G34" s="109"/>
      <c r="H34" s="109"/>
    </row>
    <row r="35" spans="1:8" ht="15.75">
      <c r="A35" s="207" t="s">
        <v>80</v>
      </c>
      <c r="B35" s="208" t="s">
        <v>33</v>
      </c>
      <c r="C35" s="209" t="s">
        <v>34</v>
      </c>
      <c r="D35" s="210">
        <f>1335.3*2.29*12</f>
        <v>36694.044</v>
      </c>
      <c r="E35" s="470"/>
      <c r="F35" s="109"/>
      <c r="G35" s="109"/>
      <c r="H35" s="109"/>
    </row>
    <row r="36" spans="1:8" ht="31.5">
      <c r="A36" s="207" t="s">
        <v>81</v>
      </c>
      <c r="B36" s="213" t="s">
        <v>82</v>
      </c>
      <c r="C36" s="209" t="s">
        <v>34</v>
      </c>
      <c r="D36" s="210">
        <f>1.33*12*1335.3</f>
        <v>21311.388</v>
      </c>
      <c r="E36" s="470"/>
      <c r="F36" s="109"/>
      <c r="G36" s="109"/>
      <c r="H36" s="109"/>
    </row>
    <row r="37" spans="1:8" ht="15.75">
      <c r="A37" s="207" t="s">
        <v>38</v>
      </c>
      <c r="B37" s="208" t="s">
        <v>35</v>
      </c>
      <c r="C37" s="362" t="s">
        <v>221</v>
      </c>
      <c r="D37" s="210">
        <f>4.19*1335.3*12</f>
        <v>67138.884</v>
      </c>
      <c r="E37" s="470"/>
      <c r="F37" s="109"/>
      <c r="G37" s="109"/>
      <c r="H37" s="109"/>
    </row>
    <row r="38" spans="1:8" ht="15.75">
      <c r="A38" s="207" t="s">
        <v>233</v>
      </c>
      <c r="B38" s="208" t="s">
        <v>222</v>
      </c>
      <c r="C38" s="275" t="s">
        <v>37</v>
      </c>
      <c r="D38" s="210">
        <f>0.46*12*1335.3-0.2</f>
        <v>7370.656000000001</v>
      </c>
      <c r="E38" s="470"/>
      <c r="F38" s="109"/>
      <c r="G38" s="109"/>
      <c r="H38" s="109"/>
    </row>
    <row r="39" spans="1:8" ht="15.75">
      <c r="A39" s="293" t="s">
        <v>214</v>
      </c>
      <c r="B39" s="208"/>
      <c r="C39" s="214"/>
      <c r="D39" s="210"/>
      <c r="E39" s="470"/>
      <c r="F39" s="109"/>
      <c r="G39" s="109"/>
      <c r="H39" s="109"/>
    </row>
    <row r="40" spans="1:8" ht="15.75">
      <c r="A40" s="293" t="s">
        <v>213</v>
      </c>
      <c r="B40" s="208" t="s">
        <v>35</v>
      </c>
      <c r="C40" s="214" t="s">
        <v>210</v>
      </c>
      <c r="D40" s="210">
        <v>48745.24</v>
      </c>
      <c r="E40" s="470"/>
      <c r="F40" s="109"/>
      <c r="G40" s="109"/>
      <c r="H40" s="109"/>
    </row>
    <row r="41" spans="1:8" ht="15.75">
      <c r="A41" s="207" t="s">
        <v>211</v>
      </c>
      <c r="B41" s="208" t="s">
        <v>35</v>
      </c>
      <c r="C41" s="214" t="s">
        <v>212</v>
      </c>
      <c r="D41" s="210">
        <v>16166.78</v>
      </c>
      <c r="E41" s="470"/>
      <c r="F41" s="109"/>
      <c r="G41" s="109"/>
      <c r="H41" s="109"/>
    </row>
    <row r="42" spans="1:14" s="1" customFormat="1" ht="78.75">
      <c r="A42" s="294" t="s">
        <v>205</v>
      </c>
      <c r="B42" s="215" t="s">
        <v>41</v>
      </c>
      <c r="C42" s="209"/>
      <c r="D42" s="381">
        <f>D43+D44+D45+D46+D47+D48+D49+D50</f>
        <v>119929.54000000001</v>
      </c>
      <c r="E42" s="470"/>
      <c r="F42" s="109"/>
      <c r="G42" s="109"/>
      <c r="H42" s="109"/>
      <c r="K42"/>
      <c r="L42"/>
      <c r="M42"/>
      <c r="N42"/>
    </row>
    <row r="43" spans="1:14" s="1" customFormat="1" ht="15.75">
      <c r="A43" s="219" t="s">
        <v>271</v>
      </c>
      <c r="B43" s="217" t="s">
        <v>159</v>
      </c>
      <c r="C43" s="209" t="s">
        <v>34</v>
      </c>
      <c r="D43" s="176">
        <v>352</v>
      </c>
      <c r="E43" s="470"/>
      <c r="F43" s="109"/>
      <c r="G43" s="109"/>
      <c r="H43" s="109"/>
      <c r="K43"/>
      <c r="L43"/>
      <c r="M43"/>
      <c r="N43"/>
    </row>
    <row r="44" spans="1:14" s="1" customFormat="1" ht="15.75">
      <c r="A44" s="219" t="s">
        <v>277</v>
      </c>
      <c r="B44" s="217" t="s">
        <v>159</v>
      </c>
      <c r="C44" s="209" t="s">
        <v>34</v>
      </c>
      <c r="D44" s="176">
        <v>3823.54</v>
      </c>
      <c r="E44" s="470"/>
      <c r="F44" s="109"/>
      <c r="G44" s="109"/>
      <c r="H44" s="109"/>
      <c r="K44"/>
      <c r="L44"/>
      <c r="M44"/>
      <c r="N44"/>
    </row>
    <row r="45" spans="1:14" s="1" customFormat="1" ht="15.75">
      <c r="A45" s="219" t="s">
        <v>279</v>
      </c>
      <c r="B45" s="217" t="s">
        <v>146</v>
      </c>
      <c r="C45" s="209" t="s">
        <v>227</v>
      </c>
      <c r="D45" s="176">
        <v>33609</v>
      </c>
      <c r="E45" s="470"/>
      <c r="F45" s="109"/>
      <c r="G45" s="109"/>
      <c r="H45" s="109"/>
      <c r="K45"/>
      <c r="L45"/>
      <c r="M45"/>
      <c r="N45"/>
    </row>
    <row r="46" spans="1:14" s="1" customFormat="1" ht="28.5" customHeight="1">
      <c r="A46" s="220" t="s">
        <v>280</v>
      </c>
      <c r="B46" s="217" t="s">
        <v>148</v>
      </c>
      <c r="C46" s="209" t="s">
        <v>34</v>
      </c>
      <c r="D46" s="176">
        <v>2285</v>
      </c>
      <c r="E46" s="470"/>
      <c r="F46" s="109"/>
      <c r="G46" s="109"/>
      <c r="H46" s="109"/>
      <c r="K46"/>
      <c r="L46"/>
      <c r="M46"/>
      <c r="N46"/>
    </row>
    <row r="47" spans="1:14" s="1" customFormat="1" ht="15.75">
      <c r="A47" s="219" t="s">
        <v>230</v>
      </c>
      <c r="B47" s="217" t="s">
        <v>148</v>
      </c>
      <c r="C47" s="209" t="s">
        <v>34</v>
      </c>
      <c r="D47" s="176">
        <v>1174</v>
      </c>
      <c r="E47" s="470"/>
      <c r="F47" s="109"/>
      <c r="G47" s="109"/>
      <c r="H47" s="109"/>
      <c r="K47"/>
      <c r="L47"/>
      <c r="M47"/>
      <c r="N47"/>
    </row>
    <row r="48" spans="1:14" s="1" customFormat="1" ht="15.75">
      <c r="A48" s="219" t="s">
        <v>281</v>
      </c>
      <c r="B48" s="217" t="s">
        <v>161</v>
      </c>
      <c r="C48" s="209" t="s">
        <v>282</v>
      </c>
      <c r="D48" s="176">
        <v>14083</v>
      </c>
      <c r="E48" s="470"/>
      <c r="F48" s="109"/>
      <c r="G48" s="109"/>
      <c r="H48" s="109"/>
      <c r="K48"/>
      <c r="L48"/>
      <c r="M48"/>
      <c r="N48"/>
    </row>
    <row r="49" spans="1:14" s="1" customFormat="1" ht="15.75">
      <c r="A49" s="219" t="s">
        <v>226</v>
      </c>
      <c r="B49" s="217" t="s">
        <v>161</v>
      </c>
      <c r="C49" s="209" t="s">
        <v>227</v>
      </c>
      <c r="D49" s="176">
        <v>63912</v>
      </c>
      <c r="E49" s="470"/>
      <c r="F49" s="109"/>
      <c r="G49" s="109"/>
      <c r="H49" s="109"/>
      <c r="K49"/>
      <c r="L49"/>
      <c r="M49"/>
      <c r="N49"/>
    </row>
    <row r="50" spans="1:14" s="1" customFormat="1" ht="31.5" customHeight="1">
      <c r="A50" s="220" t="s">
        <v>283</v>
      </c>
      <c r="B50" s="295" t="s">
        <v>149</v>
      </c>
      <c r="C50" s="209" t="s">
        <v>34</v>
      </c>
      <c r="D50" s="176">
        <v>691</v>
      </c>
      <c r="E50" s="470"/>
      <c r="F50" s="109"/>
      <c r="G50" s="109"/>
      <c r="H50" s="109"/>
      <c r="K50"/>
      <c r="L50"/>
      <c r="M50"/>
      <c r="N50"/>
    </row>
    <row r="51" spans="1:14" s="1" customFormat="1" ht="15.75">
      <c r="A51" s="37" t="s">
        <v>42</v>
      </c>
      <c r="B51" s="222"/>
      <c r="C51" s="223"/>
      <c r="D51" s="97">
        <f>D30+D31+D32+D33+D34+D35+D36+D37+D38+D40+D41+D42</f>
        <v>384495.41599999997</v>
      </c>
      <c r="E51" s="469">
        <f>D51-D42-D40-D41</f>
        <v>199653.85599999994</v>
      </c>
      <c r="F51" s="109"/>
      <c r="G51" s="109"/>
      <c r="H51" s="109"/>
      <c r="K51"/>
      <c r="L51"/>
      <c r="M51"/>
      <c r="N51"/>
    </row>
    <row r="52" spans="1:14" s="1" customFormat="1" ht="26.25">
      <c r="A52" s="156" t="s">
        <v>43</v>
      </c>
      <c r="B52" s="224" t="s">
        <v>11</v>
      </c>
      <c r="C52" s="225"/>
      <c r="D52" s="226">
        <f>C27-D51</f>
        <v>-7221.674983999983</v>
      </c>
      <c r="E52" s="470"/>
      <c r="F52" s="109"/>
      <c r="G52" s="109"/>
      <c r="H52" s="109"/>
      <c r="K52"/>
      <c r="L52"/>
      <c r="M52"/>
      <c r="N52"/>
    </row>
    <row r="53" spans="1:14" s="1" customFormat="1" ht="15.75">
      <c r="A53" s="227" t="s">
        <v>12</v>
      </c>
      <c r="B53" s="228" t="s">
        <v>11</v>
      </c>
      <c r="C53" s="209"/>
      <c r="D53" s="193">
        <v>0</v>
      </c>
      <c r="E53" s="470"/>
      <c r="F53" s="109"/>
      <c r="G53" s="109"/>
      <c r="H53" s="109"/>
      <c r="K53"/>
      <c r="L53"/>
      <c r="M53"/>
      <c r="N53"/>
    </row>
    <row r="54" spans="1:14" s="1" customFormat="1" ht="24" customHeight="1">
      <c r="A54" s="227" t="s">
        <v>13</v>
      </c>
      <c r="B54" s="228" t="s">
        <v>11</v>
      </c>
      <c r="C54" s="209"/>
      <c r="D54" s="195">
        <v>37478.7</v>
      </c>
      <c r="E54" s="470"/>
      <c r="F54" s="109"/>
      <c r="G54" s="109"/>
      <c r="H54" s="109"/>
      <c r="K54"/>
      <c r="L54"/>
      <c r="M54"/>
      <c r="N54"/>
    </row>
    <row r="55" spans="1:14" s="1" customFormat="1" ht="15.75">
      <c r="A55" s="569" t="s">
        <v>44</v>
      </c>
      <c r="B55" s="569"/>
      <c r="C55" s="569"/>
      <c r="D55" s="569"/>
      <c r="E55" s="470"/>
      <c r="F55" s="109"/>
      <c r="G55" s="109"/>
      <c r="H55" s="109"/>
      <c r="K55"/>
      <c r="L55"/>
      <c r="M55"/>
      <c r="N55"/>
    </row>
    <row r="56" spans="1:14" s="1" customFormat="1" ht="15.75">
      <c r="A56" s="227" t="s">
        <v>45</v>
      </c>
      <c r="B56" s="208" t="s">
        <v>46</v>
      </c>
      <c r="C56" s="209"/>
      <c r="D56" s="193">
        <v>0</v>
      </c>
      <c r="E56" s="470"/>
      <c r="F56" s="109"/>
      <c r="G56" s="109"/>
      <c r="H56" s="109"/>
      <c r="K56"/>
      <c r="L56"/>
      <c r="M56"/>
      <c r="N56"/>
    </row>
    <row r="57" spans="1:14" s="1" customFormat="1" ht="15.75">
      <c r="A57" s="227" t="s">
        <v>47</v>
      </c>
      <c r="B57" s="208" t="s">
        <v>46</v>
      </c>
      <c r="C57" s="209"/>
      <c r="D57" s="193">
        <v>0</v>
      </c>
      <c r="E57" s="470"/>
      <c r="F57" s="109"/>
      <c r="G57" s="109"/>
      <c r="H57" s="109"/>
      <c r="K57"/>
      <c r="L57"/>
      <c r="M57"/>
      <c r="N57"/>
    </row>
    <row r="58" spans="1:14" s="1" customFormat="1" ht="26.25">
      <c r="A58" s="229" t="s">
        <v>48</v>
      </c>
      <c r="B58" s="208" t="s">
        <v>46</v>
      </c>
      <c r="C58" s="209"/>
      <c r="D58" s="193">
        <v>0</v>
      </c>
      <c r="E58" s="470"/>
      <c r="F58" s="109"/>
      <c r="G58" s="109"/>
      <c r="H58" s="109"/>
      <c r="K58"/>
      <c r="L58"/>
      <c r="M58"/>
      <c r="N58"/>
    </row>
    <row r="59" spans="1:8" ht="20.25" customHeight="1">
      <c r="A59" s="227" t="s">
        <v>49</v>
      </c>
      <c r="B59" s="208" t="s">
        <v>11</v>
      </c>
      <c r="C59" s="209"/>
      <c r="D59" s="193">
        <v>0</v>
      </c>
      <c r="E59" s="470"/>
      <c r="F59" s="109"/>
      <c r="G59" s="109"/>
      <c r="H59" s="109"/>
    </row>
    <row r="60" spans="1:8" ht="15.75">
      <c r="A60" s="570" t="s">
        <v>50</v>
      </c>
      <c r="B60" s="570"/>
      <c r="C60" s="570"/>
      <c r="D60" s="570"/>
      <c r="E60" s="470"/>
      <c r="F60" s="109"/>
      <c r="G60" s="109"/>
      <c r="H60" s="109"/>
    </row>
    <row r="61" spans="1:8" ht="26.25">
      <c r="A61" s="229" t="s">
        <v>51</v>
      </c>
      <c r="B61" s="208" t="s">
        <v>11</v>
      </c>
      <c r="C61" s="209"/>
      <c r="D61" s="193">
        <v>0</v>
      </c>
      <c r="E61" s="470"/>
      <c r="F61" s="109"/>
      <c r="G61" s="109"/>
      <c r="H61" s="109"/>
    </row>
    <row r="62" spans="1:8" ht="15.75">
      <c r="A62" s="227" t="s">
        <v>12</v>
      </c>
      <c r="B62" s="208" t="s">
        <v>11</v>
      </c>
      <c r="C62" s="209"/>
      <c r="D62" s="193">
        <v>0</v>
      </c>
      <c r="E62" s="470"/>
      <c r="F62" s="109"/>
      <c r="G62" s="109"/>
      <c r="H62" s="113"/>
    </row>
    <row r="63" spans="1:8" ht="15.75">
      <c r="A63" s="227" t="s">
        <v>13</v>
      </c>
      <c r="B63" s="208" t="s">
        <v>11</v>
      </c>
      <c r="C63" s="209"/>
      <c r="D63" s="237"/>
      <c r="E63" s="470"/>
      <c r="F63" s="109"/>
      <c r="G63" s="109"/>
      <c r="H63" s="109"/>
    </row>
    <row r="64" spans="1:10" ht="17.25" customHeight="1">
      <c r="A64" s="231" t="s">
        <v>52</v>
      </c>
      <c r="B64" s="208" t="s">
        <v>11</v>
      </c>
      <c r="C64" s="232"/>
      <c r="D64" s="376">
        <f>D66-D69-D70-D71-D72</f>
        <v>39543.59418399999</v>
      </c>
      <c r="E64" s="470"/>
      <c r="F64" s="109"/>
      <c r="G64" s="109"/>
      <c r="H64" s="109"/>
      <c r="I64" s="49"/>
      <c r="J64" s="49"/>
    </row>
    <row r="65" spans="1:14" ht="15.75">
      <c r="A65" s="254" t="s">
        <v>12</v>
      </c>
      <c r="B65" s="208" t="s">
        <v>11</v>
      </c>
      <c r="C65" s="209"/>
      <c r="D65" s="193">
        <v>0</v>
      </c>
      <c r="E65" s="470"/>
      <c r="F65" s="109"/>
      <c r="G65" s="109"/>
      <c r="H65" s="109" t="s">
        <v>26</v>
      </c>
      <c r="I65" s="60"/>
      <c r="J65" s="60"/>
      <c r="K65" s="61"/>
      <c r="L65" s="61"/>
      <c r="M65" s="61"/>
      <c r="N65" s="61"/>
    </row>
    <row r="66" spans="1:14" ht="18" customHeight="1">
      <c r="A66" s="235" t="s">
        <v>13</v>
      </c>
      <c r="B66" s="208" t="s">
        <v>11</v>
      </c>
      <c r="C66" s="236"/>
      <c r="D66" s="237">
        <v>35136.43</v>
      </c>
      <c r="E66" s="483"/>
      <c r="F66" s="115"/>
      <c r="G66" s="116"/>
      <c r="H66" s="109"/>
      <c r="I66" s="65"/>
      <c r="J66" s="65"/>
      <c r="K66" s="66"/>
      <c r="L66" s="66"/>
      <c r="M66" s="66"/>
      <c r="N66" s="66"/>
    </row>
    <row r="67" spans="1:14" ht="16.5" thickBot="1">
      <c r="A67" s="571" t="s">
        <v>53</v>
      </c>
      <c r="B67" s="571"/>
      <c r="C67" s="571"/>
      <c r="D67" s="571"/>
      <c r="E67" s="483"/>
      <c r="F67" s="115"/>
      <c r="G67" s="116"/>
      <c r="H67" s="109"/>
      <c r="I67" s="65"/>
      <c r="J67" s="71"/>
      <c r="K67" s="66"/>
      <c r="L67" s="66"/>
      <c r="M67" s="66"/>
      <c r="N67" s="66"/>
    </row>
    <row r="68" spans="1:14" ht="38.25">
      <c r="A68" s="67" t="s">
        <v>54</v>
      </c>
      <c r="B68" s="68" t="s">
        <v>55</v>
      </c>
      <c r="C68" s="157" t="s">
        <v>56</v>
      </c>
      <c r="D68" s="158" t="s">
        <v>57</v>
      </c>
      <c r="E68" s="484"/>
      <c r="F68" s="115"/>
      <c r="G68" s="116"/>
      <c r="H68" s="109"/>
      <c r="I68" s="65"/>
      <c r="J68" s="65"/>
      <c r="K68" s="66"/>
      <c r="L68" s="66"/>
      <c r="M68" s="66"/>
      <c r="N68" s="66"/>
    </row>
    <row r="69" spans="1:14" ht="15.75">
      <c r="A69" s="238" t="s">
        <v>58</v>
      </c>
      <c r="B69" s="239">
        <v>15306.59</v>
      </c>
      <c r="C69" s="418">
        <f>B69*1.0204</f>
        <v>15618.844436</v>
      </c>
      <c r="D69" s="419">
        <f>B69-C69</f>
        <v>-312.25443599999926</v>
      </c>
      <c r="E69" s="483"/>
      <c r="F69" s="115"/>
      <c r="G69" s="116"/>
      <c r="H69" s="109"/>
      <c r="I69" s="65"/>
      <c r="J69" s="65"/>
      <c r="K69" s="66"/>
      <c r="L69" s="66"/>
      <c r="M69" s="66"/>
      <c r="N69" s="66"/>
    </row>
    <row r="70" spans="1:14" ht="15.75">
      <c r="A70" s="238" t="s">
        <v>59</v>
      </c>
      <c r="B70" s="239">
        <v>14546.8</v>
      </c>
      <c r="C70" s="418">
        <f>B70*1.0204</f>
        <v>14843.554719999998</v>
      </c>
      <c r="D70" s="419">
        <f>B70-C70</f>
        <v>-296.754719999999</v>
      </c>
      <c r="E70" s="483"/>
      <c r="F70" s="118"/>
      <c r="G70" s="119"/>
      <c r="H70" s="114"/>
      <c r="I70" s="65"/>
      <c r="J70" s="65"/>
      <c r="K70" s="66"/>
      <c r="L70" s="66"/>
      <c r="M70" s="66"/>
      <c r="N70" s="66"/>
    </row>
    <row r="71" spans="1:14" ht="15.75">
      <c r="A71" s="238" t="s">
        <v>60</v>
      </c>
      <c r="B71" s="242">
        <v>111881.11</v>
      </c>
      <c r="C71" s="418">
        <f>B71*1.0204</f>
        <v>114163.484644</v>
      </c>
      <c r="D71" s="419">
        <f>B71-C71</f>
        <v>-2282.374643999996</v>
      </c>
      <c r="E71" s="483"/>
      <c r="F71" s="118"/>
      <c r="G71" s="119"/>
      <c r="H71" s="109"/>
      <c r="I71" s="65"/>
      <c r="J71" s="65"/>
      <c r="K71" s="66"/>
      <c r="L71" s="66"/>
      <c r="M71" s="66"/>
      <c r="N71" s="66"/>
    </row>
    <row r="72" spans="1:14" ht="21" customHeight="1" thickBot="1">
      <c r="A72" s="261" t="s">
        <v>236</v>
      </c>
      <c r="B72" s="262">
        <v>74302.96</v>
      </c>
      <c r="C72" s="418">
        <f>B72*1.0204</f>
        <v>75818.740384</v>
      </c>
      <c r="D72" s="420">
        <f>B72-C72</f>
        <v>-1515.7803839999979</v>
      </c>
      <c r="E72" s="483"/>
      <c r="F72" s="118"/>
      <c r="G72" s="109"/>
      <c r="H72" s="120"/>
      <c r="I72" s="65"/>
      <c r="J72" s="65"/>
      <c r="K72" s="66"/>
      <c r="L72" s="66"/>
      <c r="M72" s="66"/>
      <c r="N72" s="66"/>
    </row>
    <row r="73" spans="1:14" ht="63.75">
      <c r="A73" s="150" t="s">
        <v>62</v>
      </c>
      <c r="B73" s="151" t="s">
        <v>63</v>
      </c>
      <c r="C73" s="151" t="s">
        <v>64</v>
      </c>
      <c r="D73" s="159" t="s">
        <v>65</v>
      </c>
      <c r="E73" s="483"/>
      <c r="F73" s="118"/>
      <c r="G73" s="109"/>
      <c r="H73" s="120"/>
      <c r="I73" s="65"/>
      <c r="J73" s="65" t="s">
        <v>26</v>
      </c>
      <c r="K73" s="66"/>
      <c r="L73" s="66"/>
      <c r="M73" s="66"/>
      <c r="N73" s="66"/>
    </row>
    <row r="74" spans="1:14" ht="15.75">
      <c r="A74" s="296" t="s">
        <v>58</v>
      </c>
      <c r="B74" s="297">
        <v>25530.96</v>
      </c>
      <c r="C74" s="453">
        <v>40245.96</v>
      </c>
      <c r="D74" s="454">
        <f>B74-C74</f>
        <v>-14715</v>
      </c>
      <c r="E74" s="483"/>
      <c r="F74" s="118"/>
      <c r="G74" s="109"/>
      <c r="H74" s="120"/>
      <c r="I74" s="65"/>
      <c r="J74" s="65"/>
      <c r="K74" s="66"/>
      <c r="L74" s="66"/>
      <c r="M74" s="66"/>
      <c r="N74" s="66"/>
    </row>
    <row r="75" spans="1:14" ht="15.75">
      <c r="A75" s="296" t="s">
        <v>59</v>
      </c>
      <c r="B75" s="297">
        <v>29218.32</v>
      </c>
      <c r="C75" s="453">
        <v>43077.66</v>
      </c>
      <c r="D75" s="454">
        <f>B75-C75</f>
        <v>-13859.340000000004</v>
      </c>
      <c r="E75" s="483"/>
      <c r="F75" s="118"/>
      <c r="G75" s="109"/>
      <c r="H75" s="120"/>
      <c r="I75" s="65"/>
      <c r="J75" s="65"/>
      <c r="K75" s="66"/>
      <c r="L75" s="66"/>
      <c r="M75" s="66"/>
      <c r="N75" s="66"/>
    </row>
    <row r="76" spans="1:14" ht="15.75">
      <c r="A76" s="296" t="s">
        <v>60</v>
      </c>
      <c r="B76" s="297">
        <v>111880.04</v>
      </c>
      <c r="C76" s="453">
        <v>207533</v>
      </c>
      <c r="D76" s="454">
        <f>B76-C76</f>
        <v>-95652.96</v>
      </c>
      <c r="E76" s="483"/>
      <c r="F76" s="118"/>
      <c r="G76" s="109"/>
      <c r="H76" s="120" t="s">
        <v>26</v>
      </c>
      <c r="I76" s="65"/>
      <c r="J76" s="65"/>
      <c r="K76" s="66"/>
      <c r="L76" s="66"/>
      <c r="M76" s="66"/>
      <c r="N76" s="66"/>
    </row>
    <row r="77" spans="1:14" ht="16.5" thickBot="1">
      <c r="A77" s="396" t="s">
        <v>236</v>
      </c>
      <c r="B77" s="397">
        <f>B72</f>
        <v>74302.96</v>
      </c>
      <c r="C77" s="423">
        <f>C72</f>
        <v>75818.740384</v>
      </c>
      <c r="D77" s="455">
        <f>B77-C77</f>
        <v>-1515.7803839999979</v>
      </c>
      <c r="E77" s="483"/>
      <c r="F77" s="73"/>
      <c r="H77" s="65"/>
      <c r="I77" s="65"/>
      <c r="J77" s="65"/>
      <c r="K77" s="66"/>
      <c r="L77" s="66"/>
      <c r="M77" s="66"/>
      <c r="N77" s="66"/>
    </row>
    <row r="78" spans="1:14" ht="11.25" customHeight="1">
      <c r="A78" s="426"/>
      <c r="B78" s="395"/>
      <c r="C78" s="456"/>
      <c r="D78" s="426"/>
      <c r="E78" s="483"/>
      <c r="F78" s="73"/>
      <c r="H78" s="65"/>
      <c r="I78" s="65"/>
      <c r="J78" s="65" t="s">
        <v>26</v>
      </c>
      <c r="K78" s="66"/>
      <c r="L78" s="66"/>
      <c r="M78" s="66"/>
      <c r="N78" s="66"/>
    </row>
    <row r="79" spans="1:14" ht="25.5" customHeight="1">
      <c r="A79" s="251" t="s">
        <v>66</v>
      </c>
      <c r="B79" s="248" t="s">
        <v>11</v>
      </c>
      <c r="C79" s="427"/>
      <c r="D79" s="428">
        <v>0</v>
      </c>
      <c r="E79" s="485"/>
      <c r="F79" s="65"/>
      <c r="H79" s="84" t="e">
        <f>E79-B18</f>
        <v>#VALUE!</v>
      </c>
      <c r="I79" s="65"/>
      <c r="J79" s="65"/>
      <c r="K79" s="66"/>
      <c r="L79" s="66"/>
      <c r="M79" s="66"/>
      <c r="N79" s="66"/>
    </row>
    <row r="80" spans="1:5" ht="21" customHeight="1">
      <c r="A80" s="572" t="s">
        <v>67</v>
      </c>
      <c r="B80" s="572"/>
      <c r="C80" s="572"/>
      <c r="D80" s="572"/>
      <c r="E80" s="486"/>
    </row>
    <row r="81" spans="1:5" ht="21" customHeight="1">
      <c r="A81" s="86" t="s">
        <v>45</v>
      </c>
      <c r="B81" s="86" t="s">
        <v>46</v>
      </c>
      <c r="C81" s="86"/>
      <c r="D81" s="177">
        <v>1</v>
      </c>
      <c r="E81" s="486"/>
    </row>
    <row r="82" spans="1:5" ht="18" customHeight="1">
      <c r="A82" s="86" t="s">
        <v>47</v>
      </c>
      <c r="B82" s="86" t="s">
        <v>46</v>
      </c>
      <c r="C82" s="86"/>
      <c r="D82" s="177">
        <v>1</v>
      </c>
      <c r="E82" s="486"/>
    </row>
    <row r="83" spans="1:5" ht="16.5" customHeight="1">
      <c r="A83" s="86" t="s">
        <v>48</v>
      </c>
      <c r="B83" s="86" t="s">
        <v>46</v>
      </c>
      <c r="C83" s="86"/>
      <c r="D83" s="177">
        <v>0</v>
      </c>
      <c r="E83" s="486"/>
    </row>
    <row r="84" spans="1:5" ht="15.75" customHeight="1">
      <c r="A84" s="86" t="s">
        <v>49</v>
      </c>
      <c r="B84" s="86" t="s">
        <v>11</v>
      </c>
      <c r="C84" s="86"/>
      <c r="D84" s="177">
        <v>600.32</v>
      </c>
      <c r="E84" s="486"/>
    </row>
    <row r="85" spans="1:5" ht="18.75" customHeight="1">
      <c r="A85" s="566" t="s">
        <v>68</v>
      </c>
      <c r="B85" s="566"/>
      <c r="C85" s="566"/>
      <c r="D85" s="566"/>
      <c r="E85" s="486"/>
    </row>
    <row r="86" spans="1:5" ht="21.75" customHeight="1">
      <c r="A86" s="86" t="s">
        <v>69</v>
      </c>
      <c r="B86" s="86" t="s">
        <v>46</v>
      </c>
      <c r="C86" s="86"/>
      <c r="D86" s="177">
        <v>6</v>
      </c>
      <c r="E86" s="486"/>
    </row>
    <row r="87" spans="1:5" ht="36" customHeight="1">
      <c r="A87" s="86" t="s">
        <v>70</v>
      </c>
      <c r="B87" s="254" t="s">
        <v>46</v>
      </c>
      <c r="C87" s="299"/>
      <c r="D87" s="177">
        <v>0</v>
      </c>
      <c r="E87" s="486"/>
    </row>
    <row r="88" spans="1:5" ht="26.25">
      <c r="A88" s="255" t="s">
        <v>71</v>
      </c>
      <c r="B88" s="86" t="s">
        <v>11</v>
      </c>
      <c r="C88" s="86"/>
      <c r="D88" s="177">
        <v>29836.21</v>
      </c>
      <c r="E88" s="470"/>
    </row>
    <row r="89" spans="1:14" s="1" customFormat="1" ht="15.75">
      <c r="A89" s="256"/>
      <c r="B89" s="256"/>
      <c r="C89" s="256"/>
      <c r="D89" s="257"/>
      <c r="E89" s="470"/>
      <c r="H89" s="1" t="s">
        <v>26</v>
      </c>
      <c r="K89"/>
      <c r="L89"/>
      <c r="M89"/>
      <c r="N89"/>
    </row>
    <row r="90" spans="1:14" s="1" customFormat="1" ht="12.75">
      <c r="A90" s="178"/>
      <c r="B90" s="178"/>
      <c r="C90" s="178"/>
      <c r="D90" s="178"/>
      <c r="E90" s="470"/>
      <c r="K90"/>
      <c r="L90"/>
      <c r="M90"/>
      <c r="N90"/>
    </row>
    <row r="91" spans="1:14" s="1" customFormat="1" ht="12.75">
      <c r="A91" s="178" t="s">
        <v>72</v>
      </c>
      <c r="B91" s="178"/>
      <c r="C91" s="178" t="s">
        <v>195</v>
      </c>
      <c r="D91" s="178"/>
      <c r="E91" s="470"/>
      <c r="H91" s="1" t="s">
        <v>26</v>
      </c>
      <c r="K91"/>
      <c r="L91"/>
      <c r="M91"/>
      <c r="N91"/>
    </row>
    <row r="92" spans="1:14" s="1" customFormat="1" ht="12.75">
      <c r="A92" s="178"/>
      <c r="B92" s="178"/>
      <c r="C92" s="178"/>
      <c r="D92" s="178"/>
      <c r="E92" s="470"/>
      <c r="K92"/>
      <c r="L92"/>
      <c r="M92"/>
      <c r="N92"/>
    </row>
    <row r="93" spans="1:5" ht="12.75">
      <c r="A93" s="178" t="s">
        <v>73</v>
      </c>
      <c r="B93" s="178"/>
      <c r="C93" s="178"/>
      <c r="D93" s="178"/>
      <c r="E93" s="470"/>
    </row>
    <row r="94" spans="1:5" ht="12.75">
      <c r="A94" s="178"/>
      <c r="B94" s="178"/>
      <c r="C94" s="178"/>
      <c r="D94" s="178"/>
      <c r="E94" s="470"/>
    </row>
    <row r="95" ht="12.75">
      <c r="E95" s="470"/>
    </row>
    <row r="96" spans="1:14" s="1" customFormat="1" ht="12.75">
      <c r="A96"/>
      <c r="B96"/>
      <c r="C96"/>
      <c r="D96"/>
      <c r="E96" s="470" t="s">
        <v>26</v>
      </c>
      <c r="K96"/>
      <c r="L96"/>
      <c r="M96"/>
      <c r="N96"/>
    </row>
  </sheetData>
  <sheetProtection selectLockedCells="1" selectUnlockedCells="1"/>
  <mergeCells count="13">
    <mergeCell ref="A85:D85"/>
    <mergeCell ref="A14:D14"/>
    <mergeCell ref="A28:D28"/>
    <mergeCell ref="A55:D55"/>
    <mergeCell ref="A60:D60"/>
    <mergeCell ref="A67:D67"/>
    <mergeCell ref="A80:D80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600" verticalDpi="600" orientation="portrait" paperSize="1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6"/>
  <sheetViews>
    <sheetView zoomScale="112" zoomScaleNormal="112" zoomScalePageLayoutView="0" workbookViewId="0" topLeftCell="A43">
      <selection activeCell="C23" sqref="C23"/>
    </sheetView>
  </sheetViews>
  <sheetFormatPr defaultColWidth="11.57421875" defaultRowHeight="12.75"/>
  <cols>
    <col min="1" max="1" width="51.57421875" style="0" customWidth="1"/>
    <col min="2" max="2" width="13.7109375" style="0" customWidth="1"/>
    <col min="3" max="3" width="24.421875" style="0" customWidth="1"/>
    <col min="4" max="4" width="20.2812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560" t="s">
        <v>26</v>
      </c>
      <c r="B1" s="560"/>
      <c r="C1" s="560"/>
      <c r="D1" s="560"/>
    </row>
    <row r="2" spans="1:4" ht="15.75">
      <c r="A2" s="561" t="s">
        <v>220</v>
      </c>
      <c r="B2" s="562"/>
      <c r="C2" s="562"/>
      <c r="D2" s="562"/>
    </row>
    <row r="3" spans="1:4" ht="15.75">
      <c r="A3" s="562" t="s">
        <v>1</v>
      </c>
      <c r="B3" s="562"/>
      <c r="C3" s="562"/>
      <c r="D3" s="562"/>
    </row>
    <row r="4" spans="1:4" ht="12.75">
      <c r="A4" s="563" t="s">
        <v>89</v>
      </c>
      <c r="B4" s="563"/>
      <c r="C4" s="563"/>
      <c r="D4" s="563"/>
    </row>
    <row r="5" spans="1:4" ht="12.75">
      <c r="A5" s="564" t="s">
        <v>266</v>
      </c>
      <c r="B5" s="563"/>
      <c r="C5" s="563"/>
      <c r="D5" s="563"/>
    </row>
    <row r="6" ht="9" customHeight="1">
      <c r="A6" s="2"/>
    </row>
    <row r="7" spans="1:4" ht="30" customHeight="1">
      <c r="A7" s="565" t="s">
        <v>2</v>
      </c>
      <c r="B7" s="565"/>
      <c r="C7" s="565"/>
      <c r="D7" s="565"/>
    </row>
    <row r="8" spans="1:4" ht="19.5" customHeight="1">
      <c r="A8" s="258" t="s">
        <v>157</v>
      </c>
      <c r="B8" s="178"/>
      <c r="C8" s="183"/>
      <c r="D8" s="178"/>
    </row>
    <row r="9" spans="1:5" ht="12.75">
      <c r="A9" s="184" t="s">
        <v>3</v>
      </c>
      <c r="B9" s="184" t="s">
        <v>4</v>
      </c>
      <c r="C9" s="184" t="s">
        <v>5</v>
      </c>
      <c r="D9" s="185"/>
      <c r="E9" s="109"/>
    </row>
    <row r="10" spans="1:5" ht="12.75">
      <c r="A10" s="186">
        <v>1</v>
      </c>
      <c r="B10" s="186">
        <v>2</v>
      </c>
      <c r="C10" s="186">
        <v>3</v>
      </c>
      <c r="D10" s="187">
        <v>4</v>
      </c>
      <c r="E10" s="109"/>
    </row>
    <row r="11" spans="1:5" ht="12.75">
      <c r="A11" s="20" t="s">
        <v>6</v>
      </c>
      <c r="B11" s="188"/>
      <c r="C11" s="189" t="s">
        <v>262</v>
      </c>
      <c r="D11" s="190"/>
      <c r="E11" s="109"/>
    </row>
    <row r="12" spans="1:5" ht="12.75">
      <c r="A12" s="20" t="s">
        <v>7</v>
      </c>
      <c r="B12" s="188"/>
      <c r="C12" s="189" t="s">
        <v>263</v>
      </c>
      <c r="D12" s="190"/>
      <c r="E12" s="109"/>
    </row>
    <row r="13" spans="1:5" ht="12.75">
      <c r="A13" s="20" t="s">
        <v>8</v>
      </c>
      <c r="B13" s="188"/>
      <c r="C13" s="189" t="s">
        <v>267</v>
      </c>
      <c r="D13" s="190"/>
      <c r="E13" s="109"/>
    </row>
    <row r="14" spans="1:5" ht="31.5" customHeight="1">
      <c r="A14" s="567" t="s">
        <v>9</v>
      </c>
      <c r="B14" s="567"/>
      <c r="C14" s="567"/>
      <c r="D14" s="567"/>
      <c r="E14" s="109"/>
    </row>
    <row r="15" spans="1:5" ht="39">
      <c r="A15" s="17" t="s">
        <v>10</v>
      </c>
      <c r="B15" s="191" t="s">
        <v>11</v>
      </c>
      <c r="C15" s="192">
        <v>26154.41</v>
      </c>
      <c r="D15" s="193"/>
      <c r="E15" s="109"/>
    </row>
    <row r="16" spans="1:5" ht="15.75">
      <c r="A16" s="20" t="s">
        <v>12</v>
      </c>
      <c r="B16" s="191" t="s">
        <v>11</v>
      </c>
      <c r="C16" s="192">
        <v>0</v>
      </c>
      <c r="D16" s="193"/>
      <c r="E16" s="109"/>
    </row>
    <row r="17" spans="1:5" ht="15.75">
      <c r="A17" s="20" t="s">
        <v>13</v>
      </c>
      <c r="B17" s="191" t="s">
        <v>11</v>
      </c>
      <c r="C17" s="194">
        <v>103591.9</v>
      </c>
      <c r="D17" s="195"/>
      <c r="E17" s="109"/>
    </row>
    <row r="18" spans="1:8" ht="31.5" customHeight="1">
      <c r="A18" s="17" t="s">
        <v>14</v>
      </c>
      <c r="B18" s="191" t="s">
        <v>11</v>
      </c>
      <c r="C18" s="194">
        <f>242168.4+17735.3</f>
        <v>259903.69999999998</v>
      </c>
      <c r="D18" s="195"/>
      <c r="E18" s="110">
        <f>C18-C20-17735.3</f>
        <v>197647.788</v>
      </c>
      <c r="F18" s="109"/>
      <c r="G18" s="109"/>
      <c r="H18" s="109"/>
    </row>
    <row r="19" spans="1:8" ht="15.75">
      <c r="A19" s="20" t="s">
        <v>15</v>
      </c>
      <c r="B19" s="191" t="s">
        <v>11</v>
      </c>
      <c r="C19" s="194">
        <f>C18-C20-C21</f>
        <v>131732.25199999998</v>
      </c>
      <c r="D19" s="195"/>
      <c r="E19" s="110">
        <f>E18-E50</f>
        <v>-0.0020000000076834112</v>
      </c>
      <c r="F19" s="109"/>
      <c r="G19" s="109"/>
      <c r="H19" s="379"/>
    </row>
    <row r="20" spans="1:8" ht="15.75">
      <c r="A20" s="20" t="s">
        <v>16</v>
      </c>
      <c r="B20" s="191" t="s">
        <v>11</v>
      </c>
      <c r="C20" s="194">
        <f>1663.7*12*2.23</f>
        <v>44520.612</v>
      </c>
      <c r="D20" s="195"/>
      <c r="E20" s="111"/>
      <c r="F20" s="109"/>
      <c r="G20" s="109"/>
      <c r="H20" s="109"/>
    </row>
    <row r="21" spans="1:8" ht="15.75">
      <c r="A21" s="20" t="s">
        <v>17</v>
      </c>
      <c r="B21" s="191" t="s">
        <v>11</v>
      </c>
      <c r="C21" s="196">
        <f>1663.7*4.19*12</f>
        <v>83650.83600000001</v>
      </c>
      <c r="D21" s="195"/>
      <c r="E21" s="109"/>
      <c r="F21" s="109"/>
      <c r="G21" s="109"/>
      <c r="H21" s="109"/>
    </row>
    <row r="22" spans="1:5" ht="15.75">
      <c r="A22" s="20" t="s">
        <v>18</v>
      </c>
      <c r="B22" s="191" t="s">
        <v>11</v>
      </c>
      <c r="C22" s="194">
        <f>C23+C24+C25+C26</f>
        <v>253795.96305</v>
      </c>
      <c r="D22" s="195" t="s">
        <v>19</v>
      </c>
      <c r="E22" s="110"/>
    </row>
    <row r="23" spans="1:5" ht="15.75">
      <c r="A23" s="20" t="s">
        <v>20</v>
      </c>
      <c r="B23" s="191" t="s">
        <v>11</v>
      </c>
      <c r="C23" s="194">
        <f>C18*0.9765</f>
        <v>253795.96305</v>
      </c>
      <c r="D23" s="195"/>
      <c r="E23" s="109"/>
    </row>
    <row r="24" spans="1:8" ht="15.75">
      <c r="A24" s="20" t="s">
        <v>21</v>
      </c>
      <c r="B24" s="191" t="s">
        <v>11</v>
      </c>
      <c r="C24" s="194">
        <v>0</v>
      </c>
      <c r="D24" s="197">
        <v>65.21</v>
      </c>
      <c r="E24" s="111"/>
      <c r="H24" s="1" t="s">
        <v>22</v>
      </c>
    </row>
    <row r="25" spans="1:5" ht="15.75">
      <c r="A25" s="20" t="s">
        <v>23</v>
      </c>
      <c r="B25" s="191" t="s">
        <v>11</v>
      </c>
      <c r="C25" s="194">
        <v>0</v>
      </c>
      <c r="D25" s="197">
        <v>119.63</v>
      </c>
      <c r="E25" s="111"/>
    </row>
    <row r="26" spans="1:5" ht="15.75">
      <c r="A26" s="188" t="s">
        <v>24</v>
      </c>
      <c r="B26" s="191" t="s">
        <v>11</v>
      </c>
      <c r="C26" s="194">
        <v>0</v>
      </c>
      <c r="D26" s="197"/>
      <c r="E26" s="111"/>
    </row>
    <row r="27" spans="1:5" ht="15.75">
      <c r="A27" s="20" t="s">
        <v>25</v>
      </c>
      <c r="B27" s="191" t="s">
        <v>11</v>
      </c>
      <c r="C27" s="194">
        <f>C15+C22</f>
        <v>279950.37305</v>
      </c>
      <c r="D27" s="195" t="s">
        <v>26</v>
      </c>
      <c r="E27" s="111"/>
    </row>
    <row r="28" spans="1:5" ht="35.25" customHeight="1">
      <c r="A28" s="568" t="s">
        <v>27</v>
      </c>
      <c r="B28" s="568"/>
      <c r="C28" s="568"/>
      <c r="D28" s="568"/>
      <c r="E28" s="109"/>
    </row>
    <row r="29" spans="1:5" ht="51">
      <c r="A29" s="271" t="s">
        <v>28</v>
      </c>
      <c r="B29" s="272" t="s">
        <v>29</v>
      </c>
      <c r="C29" s="201" t="s">
        <v>30</v>
      </c>
      <c r="D29" s="273" t="s">
        <v>31</v>
      </c>
      <c r="E29" s="109"/>
    </row>
    <row r="30" spans="1:5" ht="31.5">
      <c r="A30" s="203" t="s">
        <v>32</v>
      </c>
      <c r="B30" s="204" t="s">
        <v>33</v>
      </c>
      <c r="C30" s="393" t="s">
        <v>241</v>
      </c>
      <c r="D30" s="206">
        <f>0.32*12*1663.7</f>
        <v>6388.608</v>
      </c>
      <c r="E30" s="109"/>
    </row>
    <row r="31" spans="1:5" ht="15.75">
      <c r="A31" s="207" t="s">
        <v>75</v>
      </c>
      <c r="B31" s="208" t="s">
        <v>76</v>
      </c>
      <c r="C31" s="209" t="s">
        <v>34</v>
      </c>
      <c r="D31" s="210">
        <f>2.4*12*1663.7</f>
        <v>47914.56</v>
      </c>
      <c r="E31" s="109"/>
    </row>
    <row r="32" spans="1:5" ht="15.75">
      <c r="A32" s="207" t="s">
        <v>237</v>
      </c>
      <c r="B32" s="208" t="s">
        <v>78</v>
      </c>
      <c r="C32" s="209" t="s">
        <v>301</v>
      </c>
      <c r="D32" s="210">
        <f>1663.7*12*0.15</f>
        <v>2994.6600000000003</v>
      </c>
      <c r="E32" s="109"/>
    </row>
    <row r="33" spans="1:5" ht="15.75">
      <c r="A33" s="207" t="s">
        <v>36</v>
      </c>
      <c r="B33" s="208" t="s">
        <v>78</v>
      </c>
      <c r="C33" s="209" t="s">
        <v>37</v>
      </c>
      <c r="D33" s="210">
        <f>1663.7*12*0.48</f>
        <v>9582.912</v>
      </c>
      <c r="E33" s="109"/>
    </row>
    <row r="34" spans="1:5" ht="15.75">
      <c r="A34" s="207" t="s">
        <v>79</v>
      </c>
      <c r="B34" s="363" t="s">
        <v>33</v>
      </c>
      <c r="C34" s="209" t="s">
        <v>34</v>
      </c>
      <c r="D34" s="210">
        <f>1.04*12*1663.7</f>
        <v>20762.976000000002</v>
      </c>
      <c r="E34" s="109"/>
    </row>
    <row r="35" spans="1:5" ht="15.75">
      <c r="A35" s="207" t="s">
        <v>90</v>
      </c>
      <c r="B35" s="208" t="s">
        <v>33</v>
      </c>
      <c r="C35" s="209" t="s">
        <v>34</v>
      </c>
      <c r="D35" s="211">
        <f>0.44*12*1663.7</f>
        <v>8784.336000000001</v>
      </c>
      <c r="E35" s="109"/>
    </row>
    <row r="36" spans="1:5" ht="31.5">
      <c r="A36" s="207" t="s">
        <v>81</v>
      </c>
      <c r="B36" s="213" t="s">
        <v>82</v>
      </c>
      <c r="C36" s="209" t="s">
        <v>34</v>
      </c>
      <c r="D36" s="210">
        <f>0.4*12*1663.7</f>
        <v>7985.760000000001</v>
      </c>
      <c r="E36" s="109"/>
    </row>
    <row r="37" spans="1:5" ht="15.75">
      <c r="A37" s="207" t="s">
        <v>38</v>
      </c>
      <c r="B37" s="208" t="s">
        <v>35</v>
      </c>
      <c r="C37" s="362" t="s">
        <v>221</v>
      </c>
      <c r="D37" s="210">
        <f>4.19*1663.7*12</f>
        <v>83650.83600000001</v>
      </c>
      <c r="E37" s="109"/>
    </row>
    <row r="38" spans="1:5" ht="15.75">
      <c r="A38" s="207" t="s">
        <v>85</v>
      </c>
      <c r="B38" s="363" t="s">
        <v>222</v>
      </c>
      <c r="C38" s="209" t="s">
        <v>37</v>
      </c>
      <c r="D38" s="394">
        <f>1663.7*0.48*12+0.23</f>
        <v>9583.142</v>
      </c>
      <c r="E38" s="109"/>
    </row>
    <row r="39" spans="1:5" ht="15.75">
      <c r="A39" s="207" t="s">
        <v>214</v>
      </c>
      <c r="B39" s="208"/>
      <c r="C39" s="275"/>
      <c r="D39" s="210"/>
      <c r="E39" s="109"/>
    </row>
    <row r="40" spans="1:5" ht="26.25" customHeight="1">
      <c r="A40" s="207" t="s">
        <v>213</v>
      </c>
      <c r="B40" s="208" t="s">
        <v>35</v>
      </c>
      <c r="C40" s="275" t="s">
        <v>210</v>
      </c>
      <c r="D40" s="210">
        <v>20960.5</v>
      </c>
      <c r="E40" s="109"/>
    </row>
    <row r="41" spans="1:5" ht="15.75">
      <c r="A41" s="207" t="s">
        <v>211</v>
      </c>
      <c r="B41" s="208" t="s">
        <v>35</v>
      </c>
      <c r="C41" s="275" t="s">
        <v>212</v>
      </c>
      <c r="D41" s="210">
        <v>15121.57</v>
      </c>
      <c r="E41" s="109"/>
    </row>
    <row r="42" spans="1:14" s="1" customFormat="1" ht="78.75">
      <c r="A42" s="260" t="s">
        <v>206</v>
      </c>
      <c r="B42" s="215" t="s">
        <v>41</v>
      </c>
      <c r="C42" s="221"/>
      <c r="D42" s="381">
        <f>D43+D44+D45+D46+D47+D48+D49</f>
        <v>43788.54</v>
      </c>
      <c r="E42" s="109"/>
      <c r="K42"/>
      <c r="L42"/>
      <c r="M42"/>
      <c r="N42"/>
    </row>
    <row r="43" spans="1:14" s="1" customFormat="1" ht="15.75">
      <c r="A43" s="220" t="s">
        <v>271</v>
      </c>
      <c r="B43" s="217" t="s">
        <v>159</v>
      </c>
      <c r="C43" s="221" t="s">
        <v>34</v>
      </c>
      <c r="D43" s="176">
        <v>352</v>
      </c>
      <c r="E43" s="109"/>
      <c r="F43" s="109"/>
      <c r="G43" s="109"/>
      <c r="H43" s="109"/>
      <c r="K43"/>
      <c r="L43"/>
      <c r="M43"/>
      <c r="N43"/>
    </row>
    <row r="44" spans="1:14" s="1" customFormat="1" ht="15.75">
      <c r="A44" s="220" t="s">
        <v>277</v>
      </c>
      <c r="B44" s="217" t="s">
        <v>159</v>
      </c>
      <c r="C44" s="221" t="s">
        <v>34</v>
      </c>
      <c r="D44" s="176">
        <v>3823.54</v>
      </c>
      <c r="E44" s="109"/>
      <c r="F44" s="109"/>
      <c r="G44" s="109"/>
      <c r="H44" s="109"/>
      <c r="K44"/>
      <c r="L44"/>
      <c r="M44"/>
      <c r="N44"/>
    </row>
    <row r="45" spans="1:14" s="1" customFormat="1" ht="15.75">
      <c r="A45" s="220" t="s">
        <v>284</v>
      </c>
      <c r="B45" s="217" t="s">
        <v>144</v>
      </c>
      <c r="C45" s="221" t="s">
        <v>34</v>
      </c>
      <c r="D45" s="176">
        <v>6338</v>
      </c>
      <c r="E45" s="109"/>
      <c r="F45" s="109"/>
      <c r="G45" s="109"/>
      <c r="H45" s="109"/>
      <c r="K45"/>
      <c r="L45"/>
      <c r="M45"/>
      <c r="N45"/>
    </row>
    <row r="46" spans="1:14" s="1" customFormat="1" ht="15.75">
      <c r="A46" s="220" t="s">
        <v>285</v>
      </c>
      <c r="B46" s="217" t="s">
        <v>146</v>
      </c>
      <c r="C46" s="221" t="s">
        <v>34</v>
      </c>
      <c r="D46" s="176">
        <v>2564</v>
      </c>
      <c r="E46" s="109"/>
      <c r="F46" s="109"/>
      <c r="G46" s="109"/>
      <c r="H46" s="109"/>
      <c r="K46"/>
      <c r="L46"/>
      <c r="M46"/>
      <c r="N46"/>
    </row>
    <row r="47" spans="1:14" s="1" customFormat="1" ht="15.75">
      <c r="A47" s="220" t="s">
        <v>286</v>
      </c>
      <c r="B47" s="217" t="s">
        <v>149</v>
      </c>
      <c r="C47" s="221" t="s">
        <v>34</v>
      </c>
      <c r="D47" s="176">
        <v>4366</v>
      </c>
      <c r="E47" s="109"/>
      <c r="F47" s="109"/>
      <c r="G47" s="109"/>
      <c r="H47" s="109"/>
      <c r="K47"/>
      <c r="L47"/>
      <c r="M47"/>
      <c r="N47"/>
    </row>
    <row r="48" spans="1:14" s="1" customFormat="1" ht="31.5" customHeight="1">
      <c r="A48" s="220" t="s">
        <v>287</v>
      </c>
      <c r="B48" s="217" t="s">
        <v>149</v>
      </c>
      <c r="C48" s="221" t="s">
        <v>34</v>
      </c>
      <c r="D48" s="176">
        <v>2045</v>
      </c>
      <c r="E48" s="109"/>
      <c r="F48" s="109"/>
      <c r="G48" s="109"/>
      <c r="H48" s="109"/>
      <c r="K48"/>
      <c r="L48"/>
      <c r="M48"/>
      <c r="N48"/>
    </row>
    <row r="49" spans="1:14" s="1" customFormat="1" ht="47.25">
      <c r="A49" s="220" t="s">
        <v>288</v>
      </c>
      <c r="B49" s="217" t="s">
        <v>145</v>
      </c>
      <c r="C49" s="221" t="s">
        <v>276</v>
      </c>
      <c r="D49" s="176">
        <v>24300</v>
      </c>
      <c r="E49" s="109"/>
      <c r="F49" s="109"/>
      <c r="G49" s="109"/>
      <c r="H49" s="109"/>
      <c r="K49"/>
      <c r="L49"/>
      <c r="M49"/>
      <c r="N49"/>
    </row>
    <row r="50" spans="1:14" s="1" customFormat="1" ht="15.75">
      <c r="A50" s="37" t="s">
        <v>42</v>
      </c>
      <c r="B50" s="222"/>
      <c r="C50" s="223"/>
      <c r="D50" s="97">
        <f>D30+D31+D32+D33+D34+D35+D36+D37+D38+D40+D41+D42</f>
        <v>277518.4</v>
      </c>
      <c r="E50" s="112">
        <f>D50-D40-D41-D42</f>
        <v>197647.79</v>
      </c>
      <c r="F50" s="109"/>
      <c r="G50" s="109"/>
      <c r="H50" s="109"/>
      <c r="K50"/>
      <c r="L50"/>
      <c r="M50"/>
      <c r="N50"/>
    </row>
    <row r="51" spans="1:14" s="1" customFormat="1" ht="15.75">
      <c r="A51" s="40" t="s">
        <v>43</v>
      </c>
      <c r="B51" s="224" t="s">
        <v>11</v>
      </c>
      <c r="C51" s="225"/>
      <c r="D51" s="226">
        <f>C27-D50</f>
        <v>2431.9730499999714</v>
      </c>
      <c r="E51" s="112"/>
      <c r="F51" s="109"/>
      <c r="G51" s="109"/>
      <c r="H51" s="109"/>
      <c r="K51"/>
      <c r="L51"/>
      <c r="M51"/>
      <c r="N51"/>
    </row>
    <row r="52" spans="1:14" s="1" customFormat="1" ht="15.75">
      <c r="A52" s="227" t="s">
        <v>12</v>
      </c>
      <c r="B52" s="228" t="s">
        <v>11</v>
      </c>
      <c r="C52" s="209"/>
      <c r="D52" s="193">
        <v>0</v>
      </c>
      <c r="E52" s="109"/>
      <c r="F52" s="109"/>
      <c r="G52" s="109"/>
      <c r="H52" s="109"/>
      <c r="K52"/>
      <c r="L52"/>
      <c r="M52"/>
      <c r="N52"/>
    </row>
    <row r="53" spans="1:14" s="1" customFormat="1" ht="15.75">
      <c r="A53" s="227" t="s">
        <v>13</v>
      </c>
      <c r="B53" s="228" t="s">
        <v>11</v>
      </c>
      <c r="C53" s="209"/>
      <c r="D53" s="195">
        <f>C17+C18-C23</f>
        <v>109699.63694999999</v>
      </c>
      <c r="E53" s="109"/>
      <c r="F53" s="109"/>
      <c r="G53" s="109"/>
      <c r="H53" s="109"/>
      <c r="K53"/>
      <c r="L53"/>
      <c r="M53"/>
      <c r="N53"/>
    </row>
    <row r="54" spans="1:14" s="1" customFormat="1" ht="24" customHeight="1">
      <c r="A54" s="569" t="s">
        <v>44</v>
      </c>
      <c r="B54" s="569"/>
      <c r="C54" s="569"/>
      <c r="D54" s="569"/>
      <c r="E54" s="109"/>
      <c r="F54" s="109"/>
      <c r="G54" s="109"/>
      <c r="H54" s="109"/>
      <c r="K54"/>
      <c r="L54"/>
      <c r="M54"/>
      <c r="N54"/>
    </row>
    <row r="55" spans="1:14" s="1" customFormat="1" ht="15.75">
      <c r="A55" s="227" t="s">
        <v>45</v>
      </c>
      <c r="B55" s="208" t="s">
        <v>46</v>
      </c>
      <c r="C55" s="209"/>
      <c r="D55" s="193">
        <v>0</v>
      </c>
      <c r="E55" s="109"/>
      <c r="F55" s="109"/>
      <c r="G55" s="109"/>
      <c r="H55" s="109"/>
      <c r="K55"/>
      <c r="L55"/>
      <c r="M55"/>
      <c r="N55"/>
    </row>
    <row r="56" spans="1:14" s="1" customFormat="1" ht="15.75">
      <c r="A56" s="227" t="s">
        <v>47</v>
      </c>
      <c r="B56" s="208" t="s">
        <v>46</v>
      </c>
      <c r="C56" s="209"/>
      <c r="D56" s="193">
        <v>0</v>
      </c>
      <c r="E56" s="109"/>
      <c r="F56" s="109"/>
      <c r="G56" s="109"/>
      <c r="H56" s="109"/>
      <c r="K56"/>
      <c r="L56"/>
      <c r="M56"/>
      <c r="N56"/>
    </row>
    <row r="57" spans="1:14" s="1" customFormat="1" ht="26.25">
      <c r="A57" s="229" t="s">
        <v>48</v>
      </c>
      <c r="B57" s="208" t="s">
        <v>46</v>
      </c>
      <c r="C57" s="209"/>
      <c r="D57" s="193">
        <v>0</v>
      </c>
      <c r="E57" s="109"/>
      <c r="F57" s="109"/>
      <c r="G57" s="109"/>
      <c r="H57" s="109"/>
      <c r="K57"/>
      <c r="L57"/>
      <c r="M57"/>
      <c r="N57"/>
    </row>
    <row r="58" spans="1:14" s="1" customFormat="1" ht="15.75">
      <c r="A58" s="227" t="s">
        <v>49</v>
      </c>
      <c r="B58" s="208" t="s">
        <v>11</v>
      </c>
      <c r="C58" s="209"/>
      <c r="D58" s="193">
        <v>0</v>
      </c>
      <c r="E58" s="109"/>
      <c r="F58" s="109"/>
      <c r="G58" s="109"/>
      <c r="H58" s="109"/>
      <c r="K58"/>
      <c r="L58"/>
      <c r="M58"/>
      <c r="N58"/>
    </row>
    <row r="59" spans="1:8" ht="20.25" customHeight="1">
      <c r="A59" s="570" t="s">
        <v>50</v>
      </c>
      <c r="B59" s="570"/>
      <c r="C59" s="570"/>
      <c r="D59" s="570"/>
      <c r="E59" s="109"/>
      <c r="F59" s="109"/>
      <c r="G59" s="109"/>
      <c r="H59" s="109"/>
    </row>
    <row r="60" spans="1:8" ht="26.25">
      <c r="A60" s="229" t="s">
        <v>51</v>
      </c>
      <c r="B60" s="208" t="s">
        <v>11</v>
      </c>
      <c r="C60" s="209"/>
      <c r="D60" s="193">
        <v>0</v>
      </c>
      <c r="E60" s="109"/>
      <c r="F60" s="109"/>
      <c r="G60" s="109"/>
      <c r="H60" s="109"/>
    </row>
    <row r="61" spans="1:8" ht="15.75">
      <c r="A61" s="227" t="s">
        <v>12</v>
      </c>
      <c r="B61" s="208" t="s">
        <v>11</v>
      </c>
      <c r="C61" s="209"/>
      <c r="D61" s="193">
        <v>0</v>
      </c>
      <c r="E61" s="109"/>
      <c r="F61" s="109"/>
      <c r="G61" s="109"/>
      <c r="H61" s="109"/>
    </row>
    <row r="62" spans="1:8" ht="15.75">
      <c r="A62" s="227" t="s">
        <v>13</v>
      </c>
      <c r="B62" s="208" t="s">
        <v>11</v>
      </c>
      <c r="C62" s="209"/>
      <c r="D62" s="237">
        <f>D65-D68-D69-D70-D71</f>
        <v>210730.098665</v>
      </c>
      <c r="E62" s="109"/>
      <c r="F62" s="109"/>
      <c r="G62" s="109"/>
      <c r="H62" s="113"/>
    </row>
    <row r="63" spans="1:8" ht="26.25">
      <c r="A63" s="231" t="s">
        <v>52</v>
      </c>
      <c r="B63" s="208" t="s">
        <v>11</v>
      </c>
      <c r="C63" s="232"/>
      <c r="D63" s="233">
        <v>0</v>
      </c>
      <c r="E63" s="109"/>
      <c r="F63" s="109"/>
      <c r="G63" s="109"/>
      <c r="H63" s="109"/>
    </row>
    <row r="64" spans="1:10" ht="17.25" customHeight="1">
      <c r="A64" s="254" t="s">
        <v>12</v>
      </c>
      <c r="B64" s="208" t="s">
        <v>11</v>
      </c>
      <c r="C64" s="209"/>
      <c r="D64" s="193">
        <v>0</v>
      </c>
      <c r="E64" s="109"/>
      <c r="F64" s="109"/>
      <c r="G64" s="109"/>
      <c r="H64" s="109"/>
      <c r="I64" s="49"/>
      <c r="J64" s="49"/>
    </row>
    <row r="65" spans="1:14" ht="15.75">
      <c r="A65" s="235" t="s">
        <v>13</v>
      </c>
      <c r="B65" s="208" t="s">
        <v>11</v>
      </c>
      <c r="C65" s="236"/>
      <c r="D65" s="237">
        <v>219278.05</v>
      </c>
      <c r="E65" s="109"/>
      <c r="F65" s="109"/>
      <c r="G65" s="109"/>
      <c r="H65" s="109" t="s">
        <v>26</v>
      </c>
      <c r="I65" s="60"/>
      <c r="J65" s="60"/>
      <c r="K65" s="61"/>
      <c r="L65" s="61"/>
      <c r="M65" s="61"/>
      <c r="N65" s="61"/>
    </row>
    <row r="66" spans="1:14" ht="18" customHeight="1">
      <c r="A66" s="571" t="s">
        <v>53</v>
      </c>
      <c r="B66" s="571"/>
      <c r="C66" s="571"/>
      <c r="D66" s="571"/>
      <c r="E66" s="114"/>
      <c r="F66" s="115"/>
      <c r="G66" s="116"/>
      <c r="H66" s="109"/>
      <c r="I66" s="65"/>
      <c r="J66" s="65"/>
      <c r="K66" s="66"/>
      <c r="L66" s="66"/>
      <c r="M66" s="66"/>
      <c r="N66" s="66"/>
    </row>
    <row r="67" spans="1:14" ht="38.25">
      <c r="A67" s="67" t="s">
        <v>54</v>
      </c>
      <c r="B67" s="68" t="s">
        <v>55</v>
      </c>
      <c r="C67" s="157" t="s">
        <v>56</v>
      </c>
      <c r="D67" s="158" t="s">
        <v>57</v>
      </c>
      <c r="E67" s="114"/>
      <c r="F67" s="115"/>
      <c r="G67" s="116"/>
      <c r="H67" s="109"/>
      <c r="I67" s="65"/>
      <c r="J67" s="71"/>
      <c r="K67" s="66"/>
      <c r="L67" s="66"/>
      <c r="M67" s="66"/>
      <c r="N67" s="66"/>
    </row>
    <row r="68" spans="1:14" ht="15.75">
      <c r="A68" s="238" t="s">
        <v>58</v>
      </c>
      <c r="B68" s="239">
        <v>21381.87</v>
      </c>
      <c r="C68" s="418">
        <f>B68*0.9765</f>
        <v>20879.396055</v>
      </c>
      <c r="D68" s="419">
        <f>B68-C68</f>
        <v>502.4739449999979</v>
      </c>
      <c r="E68" s="117"/>
      <c r="F68" s="115"/>
      <c r="G68" s="116"/>
      <c r="H68" s="109"/>
      <c r="I68" s="65"/>
      <c r="J68" s="65"/>
      <c r="K68" s="66"/>
      <c r="L68" s="66"/>
      <c r="M68" s="66"/>
      <c r="N68" s="66"/>
    </row>
    <row r="69" spans="1:14" ht="15.75">
      <c r="A69" s="238" t="s">
        <v>59</v>
      </c>
      <c r="B69" s="239">
        <v>22792.12</v>
      </c>
      <c r="C69" s="418">
        <f>B69*0.9765</f>
        <v>22256.50518</v>
      </c>
      <c r="D69" s="419">
        <f>B69-C69</f>
        <v>535.6148199999989</v>
      </c>
      <c r="E69" s="114"/>
      <c r="F69" s="115"/>
      <c r="G69" s="116"/>
      <c r="H69" s="109"/>
      <c r="I69" s="65"/>
      <c r="J69" s="65"/>
      <c r="K69" s="66"/>
      <c r="L69" s="66"/>
      <c r="M69" s="66"/>
      <c r="N69" s="66"/>
    </row>
    <row r="70" spans="1:14" ht="15.75">
      <c r="A70" s="238" t="s">
        <v>236</v>
      </c>
      <c r="B70" s="242">
        <v>91664.13</v>
      </c>
      <c r="C70" s="418">
        <f>B70*0.9765</f>
        <v>89510.022945</v>
      </c>
      <c r="D70" s="419">
        <f>B70-C70</f>
        <v>2154.1070550000004</v>
      </c>
      <c r="E70" s="114"/>
      <c r="F70" s="118"/>
      <c r="G70" s="119"/>
      <c r="H70" s="114"/>
      <c r="I70" s="65"/>
      <c r="J70" s="65"/>
      <c r="K70" s="66"/>
      <c r="L70" s="66"/>
      <c r="M70" s="66"/>
      <c r="N70" s="66"/>
    </row>
    <row r="71" spans="1:14" ht="16.5" thickBot="1">
      <c r="A71" s="261" t="s">
        <v>61</v>
      </c>
      <c r="B71" s="262">
        <v>227904.49</v>
      </c>
      <c r="C71" s="418">
        <f>B71*0.9765</f>
        <v>222548.734485</v>
      </c>
      <c r="D71" s="420">
        <f>B71-C71</f>
        <v>5355.755514999997</v>
      </c>
      <c r="E71" s="114"/>
      <c r="F71" s="118"/>
      <c r="G71" s="119"/>
      <c r="H71" s="109"/>
      <c r="I71" s="65"/>
      <c r="J71" s="65"/>
      <c r="K71" s="66"/>
      <c r="L71" s="66"/>
      <c r="M71" s="66"/>
      <c r="N71" s="66"/>
    </row>
    <row r="72" spans="1:14" ht="63.75">
      <c r="A72" s="129" t="s">
        <v>62</v>
      </c>
      <c r="B72" s="130" t="s">
        <v>63</v>
      </c>
      <c r="C72" s="130" t="s">
        <v>64</v>
      </c>
      <c r="D72" s="159" t="s">
        <v>65</v>
      </c>
      <c r="E72" s="114"/>
      <c r="F72" s="118"/>
      <c r="G72" s="109"/>
      <c r="H72" s="120"/>
      <c r="I72" s="65"/>
      <c r="J72" s="65"/>
      <c r="K72" s="66"/>
      <c r="L72" s="66"/>
      <c r="M72" s="66"/>
      <c r="N72" s="66"/>
    </row>
    <row r="73" spans="1:14" ht="15.75">
      <c r="A73" s="265" t="s">
        <v>58</v>
      </c>
      <c r="B73" s="300">
        <v>27327.3</v>
      </c>
      <c r="C73" s="418">
        <v>43044.66</v>
      </c>
      <c r="D73" s="422">
        <f>B73-C73</f>
        <v>-15717.360000000004</v>
      </c>
      <c r="E73" s="114"/>
      <c r="F73" s="118"/>
      <c r="G73" s="109"/>
      <c r="H73" s="120"/>
      <c r="I73" s="65"/>
      <c r="J73" s="65" t="s">
        <v>26</v>
      </c>
      <c r="K73" s="66"/>
      <c r="L73" s="66"/>
      <c r="M73" s="66"/>
      <c r="N73" s="66"/>
    </row>
    <row r="74" spans="1:14" ht="15.75">
      <c r="A74" s="265" t="s">
        <v>59</v>
      </c>
      <c r="B74" s="300">
        <v>31274.1</v>
      </c>
      <c r="C74" s="418">
        <v>49299.24</v>
      </c>
      <c r="D74" s="422">
        <f>B74-C74</f>
        <v>-18025.14</v>
      </c>
      <c r="E74" s="114"/>
      <c r="F74" s="118"/>
      <c r="G74" s="109"/>
      <c r="H74" s="120"/>
      <c r="I74" s="65"/>
      <c r="J74" s="65"/>
      <c r="K74" s="66"/>
      <c r="L74" s="66"/>
      <c r="M74" s="66"/>
      <c r="N74" s="66"/>
    </row>
    <row r="75" spans="1:14" ht="15.75">
      <c r="A75" s="265" t="s">
        <v>236</v>
      </c>
      <c r="B75" s="300">
        <f>B70</f>
        <v>91664.13</v>
      </c>
      <c r="C75" s="418">
        <v>89510.022945</v>
      </c>
      <c r="D75" s="422">
        <f>B75-C75</f>
        <v>2154.1070550000004</v>
      </c>
      <c r="E75" s="114"/>
      <c r="F75" s="118"/>
      <c r="G75" s="109"/>
      <c r="H75" s="120"/>
      <c r="I75" s="65"/>
      <c r="J75" s="65"/>
      <c r="K75" s="66"/>
      <c r="L75" s="66"/>
      <c r="M75" s="66"/>
      <c r="N75" s="66"/>
    </row>
    <row r="76" spans="1:14" ht="16.5" thickBot="1">
      <c r="A76" s="267" t="s">
        <v>61</v>
      </c>
      <c r="B76" s="302">
        <v>227910.94</v>
      </c>
      <c r="C76" s="450">
        <f>B76</f>
        <v>227910.94</v>
      </c>
      <c r="D76" s="424">
        <f>B76-C76</f>
        <v>0</v>
      </c>
      <c r="E76" s="114"/>
      <c r="F76" s="118"/>
      <c r="G76" s="109"/>
      <c r="H76" s="120" t="s">
        <v>26</v>
      </c>
      <c r="I76" s="65"/>
      <c r="J76" s="65"/>
      <c r="K76" s="66"/>
      <c r="L76" s="66"/>
      <c r="M76" s="66"/>
      <c r="N76" s="66"/>
    </row>
    <row r="77" spans="1:14" ht="15.75">
      <c r="A77" s="247"/>
      <c r="B77" s="244"/>
      <c r="C77" s="451"/>
      <c r="D77" s="452"/>
      <c r="E77" s="114"/>
      <c r="F77" s="118"/>
      <c r="G77" s="109"/>
      <c r="H77" s="120"/>
      <c r="I77" s="65"/>
      <c r="J77" s="65"/>
      <c r="K77" s="66"/>
      <c r="L77" s="66"/>
      <c r="M77" s="66"/>
      <c r="N77" s="66"/>
    </row>
    <row r="78" spans="1:14" ht="26.25">
      <c r="A78" s="251" t="s">
        <v>66</v>
      </c>
      <c r="B78" s="248" t="s">
        <v>11</v>
      </c>
      <c r="C78" s="427"/>
      <c r="D78" s="428">
        <v>0</v>
      </c>
      <c r="E78" s="114"/>
      <c r="F78" s="118"/>
      <c r="G78" s="109"/>
      <c r="H78" s="120"/>
      <c r="I78" s="65"/>
      <c r="J78" s="65" t="s">
        <v>26</v>
      </c>
      <c r="K78" s="66"/>
      <c r="L78" s="66"/>
      <c r="M78" s="66"/>
      <c r="N78" s="66"/>
    </row>
    <row r="79" spans="1:14" ht="17.25" customHeight="1">
      <c r="A79" s="572" t="s">
        <v>67</v>
      </c>
      <c r="B79" s="572"/>
      <c r="C79" s="572"/>
      <c r="D79" s="572"/>
      <c r="E79" s="121" t="e">
        <f>D79+B19</f>
        <v>#VALUE!</v>
      </c>
      <c r="F79" s="120"/>
      <c r="G79" s="109"/>
      <c r="H79" s="122" t="e">
        <f>E79-B18</f>
        <v>#VALUE!</v>
      </c>
      <c r="I79" s="65"/>
      <c r="J79" s="65"/>
      <c r="K79" s="66"/>
      <c r="L79" s="66"/>
      <c r="M79" s="66"/>
      <c r="N79" s="66"/>
    </row>
    <row r="80" spans="1:8" ht="21" customHeight="1">
      <c r="A80" s="86" t="s">
        <v>45</v>
      </c>
      <c r="B80" s="86" t="s">
        <v>46</v>
      </c>
      <c r="C80" s="86"/>
      <c r="D80" s="177">
        <v>0</v>
      </c>
      <c r="E80" s="123"/>
      <c r="F80" s="109"/>
      <c r="G80" s="109"/>
      <c r="H80" s="109"/>
    </row>
    <row r="81" spans="1:8" ht="21" customHeight="1">
      <c r="A81" s="86" t="s">
        <v>47</v>
      </c>
      <c r="B81" s="86" t="s">
        <v>46</v>
      </c>
      <c r="C81" s="86"/>
      <c r="D81" s="177">
        <v>0</v>
      </c>
      <c r="E81" s="123"/>
      <c r="F81" s="109"/>
      <c r="G81" s="109"/>
      <c r="H81" s="109"/>
    </row>
    <row r="82" spans="1:8" ht="18" customHeight="1">
      <c r="A82" s="86" t="s">
        <v>48</v>
      </c>
      <c r="B82" s="86" t="s">
        <v>46</v>
      </c>
      <c r="C82" s="86"/>
      <c r="D82" s="177">
        <v>0</v>
      </c>
      <c r="E82" s="123"/>
      <c r="F82" s="109"/>
      <c r="G82" s="109"/>
      <c r="H82" s="109"/>
    </row>
    <row r="83" spans="1:8" ht="16.5" customHeight="1">
      <c r="A83" s="86" t="s">
        <v>49</v>
      </c>
      <c r="B83" s="86" t="s">
        <v>11</v>
      </c>
      <c r="C83" s="86"/>
      <c r="D83" s="177">
        <v>0</v>
      </c>
      <c r="E83" s="123"/>
      <c r="F83" s="109"/>
      <c r="G83" s="109"/>
      <c r="H83" s="109"/>
    </row>
    <row r="84" spans="1:8" ht="15.75" customHeight="1">
      <c r="A84" s="566" t="s">
        <v>68</v>
      </c>
      <c r="B84" s="566"/>
      <c r="C84" s="566"/>
      <c r="D84" s="566"/>
      <c r="E84" s="123"/>
      <c r="F84" s="109"/>
      <c r="G84" s="109"/>
      <c r="H84" s="109"/>
    </row>
    <row r="85" spans="1:8" ht="18.75" customHeight="1">
      <c r="A85" s="86" t="s">
        <v>69</v>
      </c>
      <c r="B85" s="86" t="s">
        <v>46</v>
      </c>
      <c r="C85" s="86"/>
      <c r="D85" s="177">
        <v>1</v>
      </c>
      <c r="E85" s="123"/>
      <c r="F85" s="109"/>
      <c r="G85" s="109"/>
      <c r="H85" s="109"/>
    </row>
    <row r="86" spans="1:8" ht="21.75" customHeight="1">
      <c r="A86" s="86" t="s">
        <v>70</v>
      </c>
      <c r="B86" s="254" t="s">
        <v>46</v>
      </c>
      <c r="C86" s="254"/>
      <c r="D86" s="177">
        <v>3</v>
      </c>
      <c r="E86" s="123"/>
      <c r="F86" s="109"/>
      <c r="G86" s="109"/>
      <c r="H86" s="109"/>
    </row>
    <row r="87" spans="1:8" ht="36" customHeight="1">
      <c r="A87" s="255" t="s">
        <v>71</v>
      </c>
      <c r="B87" s="86" t="s">
        <v>11</v>
      </c>
      <c r="C87" s="86"/>
      <c r="D87" s="177">
        <v>0</v>
      </c>
      <c r="E87" s="123"/>
      <c r="F87" s="109"/>
      <c r="G87" s="109"/>
      <c r="H87" s="109"/>
    </row>
    <row r="88" spans="1:8" ht="15.75">
      <c r="A88" s="256"/>
      <c r="B88" s="256"/>
      <c r="C88" s="256"/>
      <c r="D88" s="257"/>
      <c r="E88" s="109"/>
      <c r="F88" s="109"/>
      <c r="G88" s="109"/>
      <c r="H88" s="109"/>
    </row>
    <row r="89" spans="1:14" s="1" customFormat="1" ht="12.75">
      <c r="A89" s="178"/>
      <c r="B89" s="178"/>
      <c r="C89" s="178"/>
      <c r="D89" s="178"/>
      <c r="E89" s="109"/>
      <c r="F89" s="109"/>
      <c r="G89" s="109"/>
      <c r="H89" s="109" t="s">
        <v>26</v>
      </c>
      <c r="K89"/>
      <c r="L89"/>
      <c r="M89"/>
      <c r="N89"/>
    </row>
    <row r="90" spans="1:14" s="1" customFormat="1" ht="12.75">
      <c r="A90" s="182" t="s">
        <v>196</v>
      </c>
      <c r="B90" s="178"/>
      <c r="C90" s="178"/>
      <c r="D90" s="178"/>
      <c r="E90" s="109"/>
      <c r="F90" s="109"/>
      <c r="G90" s="109"/>
      <c r="H90" s="109"/>
      <c r="K90"/>
      <c r="L90"/>
      <c r="M90"/>
      <c r="N90"/>
    </row>
    <row r="91" spans="1:14" s="1" customFormat="1" ht="12.75">
      <c r="A91" s="178"/>
      <c r="B91" s="178"/>
      <c r="C91" s="178"/>
      <c r="D91" s="178"/>
      <c r="E91" s="109"/>
      <c r="F91" s="109"/>
      <c r="G91" s="109"/>
      <c r="H91" s="109" t="s">
        <v>26</v>
      </c>
      <c r="K91"/>
      <c r="L91"/>
      <c r="M91"/>
      <c r="N91"/>
    </row>
    <row r="92" spans="1:14" s="1" customFormat="1" ht="12.75">
      <c r="A92" s="178" t="s">
        <v>73</v>
      </c>
      <c r="B92" s="178"/>
      <c r="C92" s="178"/>
      <c r="D92" s="178"/>
      <c r="E92" s="109"/>
      <c r="F92" s="109"/>
      <c r="G92" s="109"/>
      <c r="H92" s="109"/>
      <c r="K92"/>
      <c r="L92"/>
      <c r="M92"/>
      <c r="N92"/>
    </row>
    <row r="93" spans="5:8" ht="12.75">
      <c r="E93" s="109"/>
      <c r="F93" s="109"/>
      <c r="G93" s="109"/>
      <c r="H93" s="109"/>
    </row>
    <row r="94" spans="5:8" ht="12.75">
      <c r="E94" s="109"/>
      <c r="F94" s="109"/>
      <c r="G94" s="109"/>
      <c r="H94" s="109"/>
    </row>
    <row r="95" spans="5:8" ht="12.75">
      <c r="E95" s="109"/>
      <c r="F95" s="109"/>
      <c r="G95" s="109"/>
      <c r="H95" s="109"/>
    </row>
    <row r="96" spans="1:14" s="1" customFormat="1" ht="12.75">
      <c r="A96"/>
      <c r="B96"/>
      <c r="C96"/>
      <c r="D96"/>
      <c r="E96" s="1" t="s">
        <v>26</v>
      </c>
      <c r="K96"/>
      <c r="L96"/>
      <c r="M96"/>
      <c r="N96"/>
    </row>
  </sheetData>
  <sheetProtection selectLockedCells="1" selectUnlockedCells="1"/>
  <mergeCells count="13">
    <mergeCell ref="A84:D84"/>
    <mergeCell ref="A14:D14"/>
    <mergeCell ref="A28:D28"/>
    <mergeCell ref="A54:D54"/>
    <mergeCell ref="A59:D59"/>
    <mergeCell ref="A66:D66"/>
    <mergeCell ref="A79:D79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600" verticalDpi="600" orientation="portrait" paperSize="1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6"/>
  <sheetViews>
    <sheetView zoomScale="118" zoomScaleNormal="118" zoomScalePageLayoutView="0" workbookViewId="0" topLeftCell="A46">
      <selection activeCell="C23" sqref="C23"/>
    </sheetView>
  </sheetViews>
  <sheetFormatPr defaultColWidth="11.57421875" defaultRowHeight="12.75"/>
  <cols>
    <col min="1" max="1" width="50.57421875" style="0" customWidth="1"/>
    <col min="2" max="2" width="15.8515625" style="0" customWidth="1"/>
    <col min="3" max="3" width="24.28125" style="0" customWidth="1"/>
    <col min="4" max="4" width="19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560" t="s">
        <v>0</v>
      </c>
      <c r="B1" s="560"/>
      <c r="C1" s="560"/>
      <c r="D1" s="560"/>
    </row>
    <row r="2" spans="1:4" ht="15.75">
      <c r="A2" s="561" t="s">
        <v>220</v>
      </c>
      <c r="B2" s="562"/>
      <c r="C2" s="562"/>
      <c r="D2" s="562"/>
    </row>
    <row r="3" spans="1:4" ht="15.75">
      <c r="A3" s="562" t="s">
        <v>1</v>
      </c>
      <c r="B3" s="562"/>
      <c r="C3" s="562"/>
      <c r="D3" s="562"/>
    </row>
    <row r="4" spans="1:4" ht="12.75">
      <c r="A4" s="563" t="s">
        <v>91</v>
      </c>
      <c r="B4" s="563"/>
      <c r="C4" s="563"/>
      <c r="D4" s="563"/>
    </row>
    <row r="5" spans="1:5" ht="12.75">
      <c r="A5" s="564" t="s">
        <v>266</v>
      </c>
      <c r="B5" s="563"/>
      <c r="C5" s="563"/>
      <c r="D5" s="563"/>
      <c r="E5" s="109"/>
    </row>
    <row r="6" spans="1:5" ht="9" customHeight="1">
      <c r="A6" s="2"/>
      <c r="E6" s="109"/>
    </row>
    <row r="7" spans="1:5" ht="27.75" customHeight="1">
      <c r="A7" s="565" t="s">
        <v>2</v>
      </c>
      <c r="B7" s="565"/>
      <c r="C7" s="565"/>
      <c r="D7" s="565"/>
      <c r="E7" s="109"/>
    </row>
    <row r="8" spans="1:5" ht="20.25" customHeight="1">
      <c r="A8" s="182" t="s">
        <v>158</v>
      </c>
      <c r="B8" s="178"/>
      <c r="C8" s="183"/>
      <c r="D8" s="178"/>
      <c r="E8" s="109"/>
    </row>
    <row r="9" spans="1:5" ht="12.75">
      <c r="A9" s="184" t="s">
        <v>3</v>
      </c>
      <c r="B9" s="184" t="s">
        <v>4</v>
      </c>
      <c r="C9" s="184" t="s">
        <v>5</v>
      </c>
      <c r="D9" s="185"/>
      <c r="E9" s="109"/>
    </row>
    <row r="10" spans="1:5" ht="12.75">
      <c r="A10" s="186">
        <v>1</v>
      </c>
      <c r="B10" s="186">
        <v>2</v>
      </c>
      <c r="C10" s="186">
        <v>3</v>
      </c>
      <c r="D10" s="187">
        <v>4</v>
      </c>
      <c r="E10" s="109"/>
    </row>
    <row r="11" spans="1:5" ht="12.75">
      <c r="A11" s="20" t="s">
        <v>6</v>
      </c>
      <c r="B11" s="188"/>
      <c r="C11" s="189" t="s">
        <v>262</v>
      </c>
      <c r="D11" s="190"/>
      <c r="E11" s="109"/>
    </row>
    <row r="12" spans="1:5" ht="12.75">
      <c r="A12" s="20" t="s">
        <v>7</v>
      </c>
      <c r="B12" s="188"/>
      <c r="C12" s="189" t="s">
        <v>263</v>
      </c>
      <c r="D12" s="190"/>
      <c r="E12" s="109"/>
    </row>
    <row r="13" spans="1:5" ht="12.75">
      <c r="A13" s="20" t="s">
        <v>8</v>
      </c>
      <c r="B13" s="188"/>
      <c r="C13" s="189" t="s">
        <v>267</v>
      </c>
      <c r="D13" s="190"/>
      <c r="E13" s="109"/>
    </row>
    <row r="14" spans="1:5" ht="31.5" customHeight="1">
      <c r="A14" s="567" t="s">
        <v>9</v>
      </c>
      <c r="B14" s="567"/>
      <c r="C14" s="567"/>
      <c r="D14" s="567"/>
      <c r="E14" s="109"/>
    </row>
    <row r="15" spans="1:5" ht="39">
      <c r="A15" s="17" t="s">
        <v>10</v>
      </c>
      <c r="B15" s="191" t="s">
        <v>11</v>
      </c>
      <c r="C15" s="194">
        <v>-54831.15</v>
      </c>
      <c r="D15" s="193"/>
      <c r="E15" s="109"/>
    </row>
    <row r="16" spans="1:10" ht="15.75">
      <c r="A16" s="20" t="s">
        <v>12</v>
      </c>
      <c r="B16" s="191" t="s">
        <v>11</v>
      </c>
      <c r="C16" s="192">
        <v>0</v>
      </c>
      <c r="D16" s="193"/>
      <c r="E16" s="109"/>
      <c r="F16" s="109"/>
      <c r="G16" s="109"/>
      <c r="H16" s="109"/>
      <c r="I16" s="109"/>
      <c r="J16" s="109"/>
    </row>
    <row r="17" spans="1:10" ht="15.75">
      <c r="A17" s="20" t="s">
        <v>13</v>
      </c>
      <c r="B17" s="191" t="s">
        <v>11</v>
      </c>
      <c r="C17" s="194">
        <v>113612.8</v>
      </c>
      <c r="D17" s="195"/>
      <c r="E17" s="109"/>
      <c r="F17" s="109"/>
      <c r="G17" s="109"/>
      <c r="H17" s="109"/>
      <c r="I17" s="109"/>
      <c r="J17" s="109"/>
    </row>
    <row r="18" spans="1:10" ht="31.5" customHeight="1">
      <c r="A18" s="17" t="s">
        <v>14</v>
      </c>
      <c r="B18" s="191" t="s">
        <v>11</v>
      </c>
      <c r="C18" s="194">
        <f>243187.2+30523.59</f>
        <v>273710.79000000004</v>
      </c>
      <c r="D18" s="195"/>
      <c r="E18" s="110">
        <f>C18-C20-30523.59</f>
        <v>217124.28000000003</v>
      </c>
      <c r="F18" s="109"/>
      <c r="G18" s="109"/>
      <c r="H18" s="109"/>
      <c r="I18" s="109"/>
      <c r="J18" s="109"/>
    </row>
    <row r="19" spans="1:10" ht="15.75">
      <c r="A19" s="20" t="s">
        <v>15</v>
      </c>
      <c r="B19" s="191" t="s">
        <v>11</v>
      </c>
      <c r="C19" s="194">
        <f>C18-C20-C21</f>
        <v>163645.07400000002</v>
      </c>
      <c r="D19" s="195"/>
      <c r="E19" s="110">
        <f>E18-E50</f>
        <v>-0.00199999992037192</v>
      </c>
      <c r="F19" s="109"/>
      <c r="G19" s="109"/>
      <c r="H19" s="109" t="s">
        <v>242</v>
      </c>
      <c r="I19" s="109"/>
      <c r="J19" s="109"/>
    </row>
    <row r="20" spans="1:10" ht="15.75">
      <c r="A20" s="20" t="s">
        <v>16</v>
      </c>
      <c r="B20" s="191" t="s">
        <v>11</v>
      </c>
      <c r="C20" s="194">
        <f>1.3*12*1670.7</f>
        <v>26062.920000000002</v>
      </c>
      <c r="D20" s="195"/>
      <c r="E20" s="111"/>
      <c r="F20" s="109"/>
      <c r="G20" s="109"/>
      <c r="H20" s="109" t="s">
        <v>243</v>
      </c>
      <c r="I20" s="109"/>
      <c r="J20" s="109"/>
    </row>
    <row r="21" spans="1:10" ht="15.75">
      <c r="A21" s="20" t="s">
        <v>17</v>
      </c>
      <c r="B21" s="191" t="s">
        <v>11</v>
      </c>
      <c r="C21" s="196">
        <f>1670.7*4.19*12</f>
        <v>84002.79600000002</v>
      </c>
      <c r="D21" s="195"/>
      <c r="E21" s="109"/>
      <c r="F21" s="109"/>
      <c r="G21" s="109"/>
      <c r="H21" s="109"/>
      <c r="I21" s="109"/>
      <c r="J21" s="109"/>
    </row>
    <row r="22" spans="1:10" ht="15.75">
      <c r="A22" s="20" t="s">
        <v>18</v>
      </c>
      <c r="B22" s="191" t="s">
        <v>11</v>
      </c>
      <c r="C22" s="194">
        <f>C23+C24+C25+C26</f>
        <v>323881.97780700005</v>
      </c>
      <c r="D22" s="195" t="s">
        <v>19</v>
      </c>
      <c r="E22" s="110"/>
      <c r="F22" s="109"/>
      <c r="G22" s="109"/>
      <c r="H22" s="109"/>
      <c r="I22" s="109"/>
      <c r="J22" s="109"/>
    </row>
    <row r="23" spans="1:10" ht="15.75">
      <c r="A23" s="20" t="s">
        <v>20</v>
      </c>
      <c r="B23" s="191" t="s">
        <v>11</v>
      </c>
      <c r="C23" s="194">
        <f>C18*1.1833</f>
        <v>323881.97780700005</v>
      </c>
      <c r="D23" s="195"/>
      <c r="E23" s="109"/>
      <c r="F23" s="109"/>
      <c r="G23" s="109"/>
      <c r="H23" s="109"/>
      <c r="I23" s="109"/>
      <c r="J23" s="109"/>
    </row>
    <row r="24" spans="1:10" ht="15.75">
      <c r="A24" s="20" t="s">
        <v>21</v>
      </c>
      <c r="B24" s="191" t="s">
        <v>11</v>
      </c>
      <c r="C24" s="194">
        <v>0</v>
      </c>
      <c r="D24" s="197">
        <v>65.21</v>
      </c>
      <c r="E24" s="111"/>
      <c r="F24" s="109"/>
      <c r="G24" s="109"/>
      <c r="H24" s="109" t="s">
        <v>22</v>
      </c>
      <c r="I24" s="109"/>
      <c r="J24" s="109"/>
    </row>
    <row r="25" spans="1:10" ht="15.75">
      <c r="A25" s="20" t="s">
        <v>23</v>
      </c>
      <c r="B25" s="191" t="s">
        <v>11</v>
      </c>
      <c r="C25" s="194">
        <v>0</v>
      </c>
      <c r="D25" s="197">
        <v>119.63</v>
      </c>
      <c r="E25" s="111"/>
      <c r="F25" s="109"/>
      <c r="G25" s="109"/>
      <c r="H25" s="109"/>
      <c r="I25" s="109"/>
      <c r="J25" s="109"/>
    </row>
    <row r="26" spans="1:10" ht="15.75">
      <c r="A26" s="189" t="s">
        <v>24</v>
      </c>
      <c r="B26" s="191" t="s">
        <v>11</v>
      </c>
      <c r="C26" s="194">
        <v>0</v>
      </c>
      <c r="D26" s="197"/>
      <c r="E26" s="111"/>
      <c r="F26" s="109"/>
      <c r="G26" s="109"/>
      <c r="H26" s="109"/>
      <c r="I26" s="109"/>
      <c r="J26" s="109"/>
    </row>
    <row r="27" spans="1:10" ht="15.75">
      <c r="A27" s="20" t="s">
        <v>25</v>
      </c>
      <c r="B27" s="191" t="s">
        <v>11</v>
      </c>
      <c r="C27" s="194">
        <f>C15+C22</f>
        <v>269050.827807</v>
      </c>
      <c r="D27" s="195" t="s">
        <v>26</v>
      </c>
      <c r="E27" s="111"/>
      <c r="F27" s="109"/>
      <c r="G27" s="109"/>
      <c r="H27" s="109"/>
      <c r="I27" s="109"/>
      <c r="J27" s="109"/>
    </row>
    <row r="28" spans="1:10" ht="35.25" customHeight="1">
      <c r="A28" s="568" t="s">
        <v>27</v>
      </c>
      <c r="B28" s="568"/>
      <c r="C28" s="568"/>
      <c r="D28" s="568"/>
      <c r="E28" s="109"/>
      <c r="F28" s="109"/>
      <c r="G28" s="109"/>
      <c r="H28" s="109"/>
      <c r="I28" s="109"/>
      <c r="J28" s="109"/>
    </row>
    <row r="29" spans="1:10" ht="51">
      <c r="A29" s="199" t="s">
        <v>28</v>
      </c>
      <c r="B29" s="200" t="s">
        <v>29</v>
      </c>
      <c r="C29" s="201" t="s">
        <v>30</v>
      </c>
      <c r="D29" s="202" t="s">
        <v>31</v>
      </c>
      <c r="E29" s="109"/>
      <c r="F29" s="109"/>
      <c r="G29" s="109"/>
      <c r="H29" s="109"/>
      <c r="I29" s="109"/>
      <c r="J29" s="109"/>
    </row>
    <row r="30" spans="1:10" ht="15.75">
      <c r="A30" s="203" t="s">
        <v>32</v>
      </c>
      <c r="B30" s="204" t="s">
        <v>33</v>
      </c>
      <c r="C30" s="209" t="s">
        <v>34</v>
      </c>
      <c r="D30" s="206">
        <f>0.32*12*1670.7</f>
        <v>6415.488</v>
      </c>
      <c r="E30" s="109"/>
      <c r="F30" s="109"/>
      <c r="G30" s="109"/>
      <c r="H30" s="109"/>
      <c r="I30" s="109"/>
      <c r="J30" s="109"/>
    </row>
    <row r="31" spans="1:10" ht="15.75">
      <c r="A31" s="207" t="s">
        <v>75</v>
      </c>
      <c r="B31" s="208" t="s">
        <v>76</v>
      </c>
      <c r="C31" s="209" t="s">
        <v>34</v>
      </c>
      <c r="D31" s="210">
        <f>2.4*12*1670.7</f>
        <v>48116.159999999996</v>
      </c>
      <c r="E31" s="109"/>
      <c r="F31" s="109"/>
      <c r="G31" s="109"/>
      <c r="H31" s="109"/>
      <c r="I31" s="109"/>
      <c r="J31" s="109"/>
    </row>
    <row r="32" spans="1:10" ht="15.75">
      <c r="A32" s="207" t="s">
        <v>237</v>
      </c>
      <c r="B32" s="208" t="s">
        <v>78</v>
      </c>
      <c r="C32" s="362" t="s">
        <v>301</v>
      </c>
      <c r="D32" s="210">
        <f>1670.7*0.15*12</f>
        <v>3007.2599999999998</v>
      </c>
      <c r="E32" s="109"/>
      <c r="F32" s="109"/>
      <c r="G32" s="109"/>
      <c r="H32" s="109"/>
      <c r="I32" s="109"/>
      <c r="J32" s="109"/>
    </row>
    <row r="33" spans="1:10" ht="15.75">
      <c r="A33" s="207" t="s">
        <v>36</v>
      </c>
      <c r="B33" s="208" t="s">
        <v>78</v>
      </c>
      <c r="C33" s="209" t="s">
        <v>37</v>
      </c>
      <c r="D33" s="210">
        <f>0.48*12*1670.7</f>
        <v>9623.232</v>
      </c>
      <c r="E33" s="109"/>
      <c r="F33" s="109"/>
      <c r="G33" s="109"/>
      <c r="H33" s="109"/>
      <c r="I33" s="109"/>
      <c r="J33" s="109"/>
    </row>
    <row r="34" spans="1:10" ht="15.75">
      <c r="A34" s="207" t="s">
        <v>79</v>
      </c>
      <c r="B34" s="363" t="s">
        <v>33</v>
      </c>
      <c r="C34" s="209" t="s">
        <v>34</v>
      </c>
      <c r="D34" s="210">
        <f>1.04*12*1670.7</f>
        <v>20850.336000000003</v>
      </c>
      <c r="E34" s="109"/>
      <c r="F34" s="109"/>
      <c r="G34" s="109"/>
      <c r="H34" s="109"/>
      <c r="I34" s="109"/>
      <c r="J34" s="109"/>
    </row>
    <row r="35" spans="1:10" ht="15.75">
      <c r="A35" s="207" t="s">
        <v>92</v>
      </c>
      <c r="B35" s="208" t="s">
        <v>33</v>
      </c>
      <c r="C35" s="209" t="s">
        <v>34</v>
      </c>
      <c r="D35" s="211">
        <f>1670.7*0.46*12</f>
        <v>9222.264000000001</v>
      </c>
      <c r="E35" s="109"/>
      <c r="F35" s="109"/>
      <c r="G35" s="109"/>
      <c r="H35" s="109"/>
      <c r="I35" s="109"/>
      <c r="J35" s="109"/>
    </row>
    <row r="36" spans="1:10" ht="31.5">
      <c r="A36" s="207" t="s">
        <v>81</v>
      </c>
      <c r="B36" s="213" t="s">
        <v>82</v>
      </c>
      <c r="C36" s="209" t="s">
        <v>34</v>
      </c>
      <c r="D36" s="210">
        <f>1.33*12*1670.7</f>
        <v>26664.372000000003</v>
      </c>
      <c r="E36" s="109"/>
      <c r="F36" s="109"/>
      <c r="G36" s="109"/>
      <c r="H36" s="109"/>
      <c r="I36" s="109"/>
      <c r="J36" s="109"/>
    </row>
    <row r="37" spans="1:10" ht="15.75">
      <c r="A37" s="207" t="s">
        <v>38</v>
      </c>
      <c r="B37" s="208" t="s">
        <v>35</v>
      </c>
      <c r="C37" s="362" t="s">
        <v>221</v>
      </c>
      <c r="D37" s="210">
        <f>4.19*1670.7*12</f>
        <v>84002.79600000002</v>
      </c>
      <c r="E37" s="109"/>
      <c r="F37" s="109"/>
      <c r="G37" s="109"/>
      <c r="H37" s="109"/>
      <c r="I37" s="109"/>
      <c r="J37" s="109"/>
    </row>
    <row r="38" spans="1:10" ht="21" customHeight="1">
      <c r="A38" s="207" t="s">
        <v>85</v>
      </c>
      <c r="B38" s="363" t="s">
        <v>222</v>
      </c>
      <c r="C38" s="275" t="s">
        <v>37</v>
      </c>
      <c r="D38" s="210">
        <f>1670.7*0.46*12+0.11</f>
        <v>9222.374000000002</v>
      </c>
      <c r="E38" s="109"/>
      <c r="F38" s="109"/>
      <c r="G38" s="109"/>
      <c r="H38" s="109"/>
      <c r="I38" s="109"/>
      <c r="J38" s="109"/>
    </row>
    <row r="39" spans="1:10" ht="21" customHeight="1">
      <c r="A39" s="207" t="s">
        <v>214</v>
      </c>
      <c r="B39" s="208"/>
      <c r="C39" s="275"/>
      <c r="D39" s="210"/>
      <c r="E39" s="109"/>
      <c r="F39" s="109"/>
      <c r="G39" s="109"/>
      <c r="H39" s="109"/>
      <c r="I39" s="109"/>
      <c r="J39" s="109"/>
    </row>
    <row r="40" spans="1:10" ht="29.25" customHeight="1">
      <c r="A40" s="207" t="s">
        <v>213</v>
      </c>
      <c r="B40" s="208" t="s">
        <v>35</v>
      </c>
      <c r="C40" s="275" t="s">
        <v>210</v>
      </c>
      <c r="D40" s="210">
        <v>8460.09</v>
      </c>
      <c r="E40" s="109"/>
      <c r="F40" s="109"/>
      <c r="G40" s="109"/>
      <c r="H40" s="109"/>
      <c r="I40" s="109"/>
      <c r="J40" s="109"/>
    </row>
    <row r="41" spans="1:10" ht="21" customHeight="1">
      <c r="A41" s="207" t="s">
        <v>211</v>
      </c>
      <c r="B41" s="208" t="s">
        <v>35</v>
      </c>
      <c r="C41" s="275" t="s">
        <v>212</v>
      </c>
      <c r="D41" s="210">
        <v>28349.66</v>
      </c>
      <c r="E41" s="109"/>
      <c r="F41" s="109"/>
      <c r="G41" s="109"/>
      <c r="H41" s="109"/>
      <c r="I41" s="109"/>
      <c r="J41" s="109"/>
    </row>
    <row r="42" spans="1:14" s="1" customFormat="1" ht="78.75">
      <c r="A42" s="260" t="s">
        <v>208</v>
      </c>
      <c r="B42" s="215" t="s">
        <v>41</v>
      </c>
      <c r="C42" s="304"/>
      <c r="D42" s="383">
        <f>D43+D44+D45+D46+D47+D48+D49</f>
        <v>25736.54</v>
      </c>
      <c r="E42" s="109"/>
      <c r="F42" s="109"/>
      <c r="G42" s="109"/>
      <c r="H42" s="109"/>
      <c r="I42" s="109"/>
      <c r="J42" s="109"/>
      <c r="K42"/>
      <c r="L42"/>
      <c r="M42"/>
      <c r="N42"/>
    </row>
    <row r="43" spans="1:14" s="1" customFormat="1" ht="15.75">
      <c r="A43" s="220" t="s">
        <v>289</v>
      </c>
      <c r="B43" s="217" t="s">
        <v>225</v>
      </c>
      <c r="C43" s="209" t="s">
        <v>34</v>
      </c>
      <c r="D43" s="174">
        <v>159</v>
      </c>
      <c r="E43" s="109"/>
      <c r="F43" s="109"/>
      <c r="G43" s="109"/>
      <c r="H43" s="109"/>
      <c r="I43" s="109"/>
      <c r="J43" s="109"/>
      <c r="K43"/>
      <c r="L43"/>
      <c r="M43"/>
      <c r="N43"/>
    </row>
    <row r="44" spans="1:14" s="1" customFormat="1" ht="15.75">
      <c r="A44" s="220" t="s">
        <v>271</v>
      </c>
      <c r="B44" s="217" t="s">
        <v>159</v>
      </c>
      <c r="C44" s="275" t="s">
        <v>34</v>
      </c>
      <c r="D44" s="174">
        <v>352</v>
      </c>
      <c r="E44" s="109"/>
      <c r="F44" s="109"/>
      <c r="G44" s="109"/>
      <c r="H44" s="109"/>
      <c r="I44" s="109"/>
      <c r="J44" s="109"/>
      <c r="K44"/>
      <c r="L44"/>
      <c r="M44"/>
      <c r="N44"/>
    </row>
    <row r="45" spans="1:14" s="1" customFormat="1" ht="15.75">
      <c r="A45" s="220" t="s">
        <v>277</v>
      </c>
      <c r="B45" s="217" t="s">
        <v>159</v>
      </c>
      <c r="C45" s="304" t="s">
        <v>34</v>
      </c>
      <c r="D45" s="174">
        <v>3823.54</v>
      </c>
      <c r="E45" s="109"/>
      <c r="F45" s="109"/>
      <c r="G45" s="109"/>
      <c r="H45" s="109"/>
      <c r="I45" s="109"/>
      <c r="J45" s="109"/>
      <c r="K45"/>
      <c r="L45"/>
      <c r="M45"/>
      <c r="N45"/>
    </row>
    <row r="46" spans="1:14" s="1" customFormat="1" ht="15.75">
      <c r="A46" s="220" t="s">
        <v>290</v>
      </c>
      <c r="B46" s="217" t="s">
        <v>154</v>
      </c>
      <c r="C46" s="304" t="s">
        <v>34</v>
      </c>
      <c r="D46" s="174">
        <v>2583</v>
      </c>
      <c r="E46" s="109"/>
      <c r="F46" s="109"/>
      <c r="G46" s="109"/>
      <c r="H46" s="109"/>
      <c r="I46" s="109"/>
      <c r="J46" s="109"/>
      <c r="K46"/>
      <c r="L46"/>
      <c r="M46"/>
      <c r="N46"/>
    </row>
    <row r="47" spans="1:14" s="1" customFormat="1" ht="25.5">
      <c r="A47" s="220" t="s">
        <v>291</v>
      </c>
      <c r="B47" s="217" t="s">
        <v>154</v>
      </c>
      <c r="C47" s="304" t="s">
        <v>34</v>
      </c>
      <c r="D47" s="174">
        <v>569</v>
      </c>
      <c r="E47" s="109"/>
      <c r="F47" s="109"/>
      <c r="G47" s="109"/>
      <c r="H47" s="109"/>
      <c r="I47" s="109"/>
      <c r="J47" s="109"/>
      <c r="K47"/>
      <c r="L47"/>
      <c r="M47"/>
      <c r="N47"/>
    </row>
    <row r="48" spans="1:14" s="1" customFormat="1" ht="15.75">
      <c r="A48" s="384" t="s">
        <v>292</v>
      </c>
      <c r="B48" s="217" t="s">
        <v>148</v>
      </c>
      <c r="C48" s="304" t="s">
        <v>34</v>
      </c>
      <c r="D48" s="174">
        <v>12568</v>
      </c>
      <c r="E48" s="109"/>
      <c r="F48" s="109"/>
      <c r="G48" s="109"/>
      <c r="H48" s="109"/>
      <c r="I48" s="109"/>
      <c r="J48" s="109"/>
      <c r="K48"/>
      <c r="L48"/>
      <c r="M48"/>
      <c r="N48"/>
    </row>
    <row r="49" spans="1:14" s="1" customFormat="1" ht="15.75">
      <c r="A49" s="220" t="s">
        <v>293</v>
      </c>
      <c r="B49" s="217" t="s">
        <v>161</v>
      </c>
      <c r="C49" s="304" t="s">
        <v>34</v>
      </c>
      <c r="D49" s="174">
        <v>5682</v>
      </c>
      <c r="E49" s="109"/>
      <c r="F49" s="109"/>
      <c r="G49" s="109"/>
      <c r="H49" s="109"/>
      <c r="I49" s="109"/>
      <c r="J49" s="109"/>
      <c r="K49"/>
      <c r="L49"/>
      <c r="M49"/>
      <c r="N49"/>
    </row>
    <row r="50" spans="1:14" s="1" customFormat="1" ht="15.75">
      <c r="A50" s="37" t="s">
        <v>42</v>
      </c>
      <c r="B50" s="222"/>
      <c r="C50" s="223"/>
      <c r="D50" s="97">
        <f>D30+D31+D32+D33++D34+D35+D36+D37+D38+D40+D41+D42</f>
        <v>279670.572</v>
      </c>
      <c r="E50" s="112">
        <f>D50-D40-D41-D42</f>
        <v>217124.28199999995</v>
      </c>
      <c r="F50" s="109"/>
      <c r="G50" s="109"/>
      <c r="H50" s="109"/>
      <c r="I50" s="109"/>
      <c r="J50" s="109"/>
      <c r="K50"/>
      <c r="L50"/>
      <c r="M50"/>
      <c r="N50"/>
    </row>
    <row r="51" spans="1:14" s="1" customFormat="1" ht="15.75">
      <c r="A51" s="40" t="s">
        <v>43</v>
      </c>
      <c r="B51" s="224" t="s">
        <v>11</v>
      </c>
      <c r="C51" s="225"/>
      <c r="D51" s="226">
        <f>C27-D50</f>
        <v>-10619.744192999962</v>
      </c>
      <c r="E51" s="112"/>
      <c r="F51" s="109"/>
      <c r="G51" s="109"/>
      <c r="H51" s="109"/>
      <c r="I51" s="109"/>
      <c r="J51" s="109"/>
      <c r="K51"/>
      <c r="L51"/>
      <c r="M51"/>
      <c r="N51"/>
    </row>
    <row r="52" spans="1:14" s="1" customFormat="1" ht="15.75">
      <c r="A52" s="227" t="s">
        <v>12</v>
      </c>
      <c r="B52" s="228" t="s">
        <v>11</v>
      </c>
      <c r="C52" s="209"/>
      <c r="D52" s="193">
        <v>0</v>
      </c>
      <c r="E52" s="109"/>
      <c r="F52" s="109"/>
      <c r="G52" s="109"/>
      <c r="H52" s="109"/>
      <c r="I52" s="109"/>
      <c r="J52" s="109"/>
      <c r="K52"/>
      <c r="L52"/>
      <c r="M52"/>
      <c r="N52"/>
    </row>
    <row r="53" spans="1:14" s="1" customFormat="1" ht="15.75">
      <c r="A53" s="227" t="s">
        <v>13</v>
      </c>
      <c r="B53" s="228" t="s">
        <v>11</v>
      </c>
      <c r="C53" s="209"/>
      <c r="D53" s="195">
        <f>C17+C18-C23</f>
        <v>63441.61219299998</v>
      </c>
      <c r="E53" s="109"/>
      <c r="F53" s="109"/>
      <c r="G53" s="109"/>
      <c r="H53" s="109"/>
      <c r="I53" s="109"/>
      <c r="J53" s="109"/>
      <c r="K53"/>
      <c r="L53"/>
      <c r="M53"/>
      <c r="N53"/>
    </row>
    <row r="54" spans="1:14" s="1" customFormat="1" ht="24" customHeight="1">
      <c r="A54" s="569" t="s">
        <v>44</v>
      </c>
      <c r="B54" s="569"/>
      <c r="C54" s="569"/>
      <c r="D54" s="569"/>
      <c r="E54" s="109"/>
      <c r="F54" s="109"/>
      <c r="G54" s="109"/>
      <c r="H54" s="109"/>
      <c r="I54" s="109"/>
      <c r="J54" s="109"/>
      <c r="K54"/>
      <c r="L54"/>
      <c r="M54"/>
      <c r="N54"/>
    </row>
    <row r="55" spans="1:14" s="1" customFormat="1" ht="15.75">
      <c r="A55" s="227" t="s">
        <v>45</v>
      </c>
      <c r="B55" s="208" t="s">
        <v>46</v>
      </c>
      <c r="C55" s="209"/>
      <c r="D55" s="193">
        <v>0</v>
      </c>
      <c r="E55" s="109"/>
      <c r="F55" s="109"/>
      <c r="G55" s="109"/>
      <c r="H55" s="109"/>
      <c r="I55" s="109"/>
      <c r="J55" s="109"/>
      <c r="K55"/>
      <c r="L55"/>
      <c r="M55"/>
      <c r="N55"/>
    </row>
    <row r="56" spans="1:14" s="1" customFormat="1" ht="15.75">
      <c r="A56" s="227" t="s">
        <v>47</v>
      </c>
      <c r="B56" s="208" t="s">
        <v>46</v>
      </c>
      <c r="C56" s="209"/>
      <c r="D56" s="193">
        <v>0</v>
      </c>
      <c r="E56" s="109"/>
      <c r="F56" s="109"/>
      <c r="G56" s="109"/>
      <c r="H56" s="109"/>
      <c r="I56" s="109"/>
      <c r="J56" s="109"/>
      <c r="K56"/>
      <c r="L56"/>
      <c r="M56"/>
      <c r="N56"/>
    </row>
    <row r="57" spans="1:14" s="1" customFormat="1" ht="26.25">
      <c r="A57" s="229" t="s">
        <v>48</v>
      </c>
      <c r="B57" s="208" t="s">
        <v>46</v>
      </c>
      <c r="C57" s="209"/>
      <c r="D57" s="193">
        <v>0</v>
      </c>
      <c r="E57" s="109"/>
      <c r="F57" s="109"/>
      <c r="G57" s="109"/>
      <c r="H57" s="109"/>
      <c r="I57" s="109"/>
      <c r="J57" s="109"/>
      <c r="K57"/>
      <c r="L57"/>
      <c r="M57"/>
      <c r="N57"/>
    </row>
    <row r="58" spans="1:14" s="1" customFormat="1" ht="15.75">
      <c r="A58" s="227" t="s">
        <v>49</v>
      </c>
      <c r="B58" s="208" t="s">
        <v>11</v>
      </c>
      <c r="C58" s="209"/>
      <c r="D58" s="193">
        <v>0</v>
      </c>
      <c r="E58" s="109"/>
      <c r="F58" s="109"/>
      <c r="G58" s="109"/>
      <c r="H58" s="109"/>
      <c r="I58" s="109"/>
      <c r="J58" s="109"/>
      <c r="K58"/>
      <c r="L58"/>
      <c r="M58"/>
      <c r="N58"/>
    </row>
    <row r="59" spans="1:10" ht="20.25" customHeight="1">
      <c r="A59" s="570" t="s">
        <v>50</v>
      </c>
      <c r="B59" s="570"/>
      <c r="C59" s="570"/>
      <c r="D59" s="570"/>
      <c r="E59" s="109"/>
      <c r="F59" s="109"/>
      <c r="G59" s="109"/>
      <c r="H59" s="109"/>
      <c r="I59" s="109"/>
      <c r="J59" s="109"/>
    </row>
    <row r="60" spans="1:10" ht="26.25">
      <c r="A60" s="229" t="s">
        <v>51</v>
      </c>
      <c r="B60" s="208" t="s">
        <v>11</v>
      </c>
      <c r="C60" s="209"/>
      <c r="D60" s="193">
        <v>0</v>
      </c>
      <c r="E60" s="109"/>
      <c r="F60" s="109"/>
      <c r="G60" s="109"/>
      <c r="H60" s="109"/>
      <c r="I60" s="109"/>
      <c r="J60" s="109"/>
    </row>
    <row r="61" spans="1:10" ht="15.75">
      <c r="A61" s="227" t="s">
        <v>12</v>
      </c>
      <c r="B61" s="208" t="s">
        <v>11</v>
      </c>
      <c r="C61" s="209"/>
      <c r="D61" s="193">
        <v>0</v>
      </c>
      <c r="E61" s="109"/>
      <c r="F61" s="109"/>
      <c r="G61" s="109"/>
      <c r="H61" s="109"/>
      <c r="I61" s="109"/>
      <c r="J61" s="109"/>
    </row>
    <row r="62" spans="1:10" ht="15.75">
      <c r="A62" s="227" t="s">
        <v>13</v>
      </c>
      <c r="B62" s="208" t="s">
        <v>11</v>
      </c>
      <c r="C62" s="209"/>
      <c r="D62" s="237">
        <f>D65-D68-D69-D70-D71</f>
        <v>282776.947752</v>
      </c>
      <c r="E62" s="109"/>
      <c r="F62" s="109"/>
      <c r="G62" s="109"/>
      <c r="H62" s="113"/>
      <c r="I62" s="109"/>
      <c r="J62" s="109"/>
    </row>
    <row r="63" spans="1:10" ht="26.25">
      <c r="A63" s="231" t="s">
        <v>52</v>
      </c>
      <c r="B63" s="208" t="s">
        <v>11</v>
      </c>
      <c r="C63" s="232"/>
      <c r="D63" s="233">
        <v>0</v>
      </c>
      <c r="E63" s="109"/>
      <c r="F63" s="109"/>
      <c r="G63" s="109"/>
      <c r="H63" s="109"/>
      <c r="I63" s="109"/>
      <c r="J63" s="109"/>
    </row>
    <row r="64" spans="1:10" ht="17.25" customHeight="1">
      <c r="A64" s="254" t="s">
        <v>12</v>
      </c>
      <c r="B64" s="208" t="s">
        <v>11</v>
      </c>
      <c r="C64" s="209"/>
      <c r="D64" s="193">
        <v>0</v>
      </c>
      <c r="E64" s="109"/>
      <c r="F64" s="109"/>
      <c r="G64" s="109"/>
      <c r="H64" s="109"/>
      <c r="I64" s="113"/>
      <c r="J64" s="113"/>
    </row>
    <row r="65" spans="1:14" ht="15.75">
      <c r="A65" s="235" t="s">
        <v>13</v>
      </c>
      <c r="B65" s="208" t="s">
        <v>11</v>
      </c>
      <c r="C65" s="236"/>
      <c r="D65" s="237">
        <v>214756.62</v>
      </c>
      <c r="E65" s="109"/>
      <c r="F65" s="109"/>
      <c r="G65" s="109"/>
      <c r="H65" s="109" t="s">
        <v>26</v>
      </c>
      <c r="I65" s="124"/>
      <c r="J65" s="124"/>
      <c r="K65" s="61"/>
      <c r="L65" s="61"/>
      <c r="M65" s="61"/>
      <c r="N65" s="61"/>
    </row>
    <row r="66" spans="1:14" ht="18" customHeight="1" thickBot="1">
      <c r="A66" s="571" t="s">
        <v>53</v>
      </c>
      <c r="B66" s="571"/>
      <c r="C66" s="571"/>
      <c r="D66" s="571"/>
      <c r="E66" s="114"/>
      <c r="F66" s="115"/>
      <c r="G66" s="116"/>
      <c r="H66" s="109"/>
      <c r="I66" s="120"/>
      <c r="J66" s="120"/>
      <c r="K66" s="66"/>
      <c r="L66" s="66"/>
      <c r="M66" s="66"/>
      <c r="N66" s="66"/>
    </row>
    <row r="67" spans="1:14" ht="38.25">
      <c r="A67" s="160" t="s">
        <v>54</v>
      </c>
      <c r="B67" s="68" t="s">
        <v>55</v>
      </c>
      <c r="C67" s="157" t="s">
        <v>56</v>
      </c>
      <c r="D67" s="158" t="s">
        <v>57</v>
      </c>
      <c r="E67" s="114"/>
      <c r="F67" s="115"/>
      <c r="G67" s="116"/>
      <c r="H67" s="109"/>
      <c r="I67" s="120"/>
      <c r="J67" s="173"/>
      <c r="K67" s="66"/>
      <c r="L67" s="66"/>
      <c r="M67" s="66"/>
      <c r="N67" s="66"/>
    </row>
    <row r="68" spans="1:14" ht="15.75">
      <c r="A68" s="238" t="s">
        <v>58</v>
      </c>
      <c r="B68" s="277">
        <v>28583.25</v>
      </c>
      <c r="C68" s="430">
        <f>B68*1.1833</f>
        <v>33822.559725</v>
      </c>
      <c r="D68" s="431">
        <f>B68-C68</f>
        <v>-5239.309724999999</v>
      </c>
      <c r="E68" s="117"/>
      <c r="F68" s="115"/>
      <c r="G68" s="116"/>
      <c r="H68" s="109"/>
      <c r="I68" s="120"/>
      <c r="J68" s="120"/>
      <c r="K68" s="66"/>
      <c r="L68" s="66"/>
      <c r="M68" s="66"/>
      <c r="N68" s="66"/>
    </row>
    <row r="69" spans="1:14" ht="15.75">
      <c r="A69" s="238" t="s">
        <v>59</v>
      </c>
      <c r="B69" s="277">
        <v>28636.63</v>
      </c>
      <c r="C69" s="430">
        <f>B69*1.1833</f>
        <v>33885.724279</v>
      </c>
      <c r="D69" s="431">
        <f>B69-C69</f>
        <v>-5249.094279000001</v>
      </c>
      <c r="E69" s="114"/>
      <c r="F69" s="115"/>
      <c r="G69" s="116"/>
      <c r="H69" s="109"/>
      <c r="I69" s="120"/>
      <c r="J69" s="120"/>
      <c r="K69" s="66"/>
      <c r="L69" s="66"/>
      <c r="M69" s="66"/>
      <c r="N69" s="66"/>
    </row>
    <row r="70" spans="1:14" ht="15.75">
      <c r="A70" s="238" t="s">
        <v>236</v>
      </c>
      <c r="B70" s="280">
        <v>90852.67</v>
      </c>
      <c r="C70" s="430">
        <f>B70*1.1833</f>
        <v>107505.964411</v>
      </c>
      <c r="D70" s="431">
        <f>B70-C70</f>
        <v>-16653.294410999995</v>
      </c>
      <c r="E70" s="114"/>
      <c r="F70" s="118"/>
      <c r="G70" s="119"/>
      <c r="H70" s="114"/>
      <c r="I70" s="120"/>
      <c r="J70" s="120"/>
      <c r="K70" s="66"/>
      <c r="L70" s="66"/>
      <c r="M70" s="66"/>
      <c r="N70" s="66"/>
    </row>
    <row r="71" spans="1:14" ht="16.5" thickBot="1">
      <c r="A71" s="261" t="s">
        <v>61</v>
      </c>
      <c r="B71" s="288">
        <v>223014.89</v>
      </c>
      <c r="C71" s="430">
        <f>B71*1.1833</f>
        <v>263893.51933700003</v>
      </c>
      <c r="D71" s="436">
        <f>B71-C71</f>
        <v>-40878.62933700002</v>
      </c>
      <c r="E71" s="114"/>
      <c r="F71" s="118"/>
      <c r="G71" s="119"/>
      <c r="H71" s="109"/>
      <c r="I71" s="120"/>
      <c r="J71" s="120"/>
      <c r="K71" s="66"/>
      <c r="L71" s="66"/>
      <c r="M71" s="66"/>
      <c r="N71" s="66"/>
    </row>
    <row r="72" spans="1:14" ht="67.5" customHeight="1">
      <c r="A72" s="129" t="s">
        <v>62</v>
      </c>
      <c r="B72" s="141" t="s">
        <v>63</v>
      </c>
      <c r="C72" s="161" t="s">
        <v>64</v>
      </c>
      <c r="D72" s="162" t="s">
        <v>65</v>
      </c>
      <c r="E72" s="114"/>
      <c r="F72" s="118"/>
      <c r="G72" s="109"/>
      <c r="H72" s="120"/>
      <c r="I72" s="120"/>
      <c r="J72" s="120"/>
      <c r="K72" s="66"/>
      <c r="L72" s="66"/>
      <c r="M72" s="66"/>
      <c r="N72" s="66"/>
    </row>
    <row r="73" spans="1:14" ht="16.5" customHeight="1">
      <c r="A73" s="265" t="s">
        <v>58</v>
      </c>
      <c r="B73" s="301">
        <v>31302.18</v>
      </c>
      <c r="C73" s="430">
        <v>49343.5</v>
      </c>
      <c r="D73" s="437">
        <f>B73-C73</f>
        <v>-18041.32</v>
      </c>
      <c r="E73" s="114"/>
      <c r="F73" s="118"/>
      <c r="G73" s="109"/>
      <c r="H73" s="120"/>
      <c r="I73" s="120"/>
      <c r="J73" s="120" t="s">
        <v>26</v>
      </c>
      <c r="K73" s="66"/>
      <c r="L73" s="66"/>
      <c r="M73" s="66"/>
      <c r="N73" s="66"/>
    </row>
    <row r="74" spans="1:14" ht="15.75">
      <c r="A74" s="265" t="s">
        <v>59</v>
      </c>
      <c r="B74" s="305">
        <v>35823.06</v>
      </c>
      <c r="C74" s="430">
        <v>56470.04</v>
      </c>
      <c r="D74" s="437">
        <f>B74-C74</f>
        <v>-20646.980000000003</v>
      </c>
      <c r="E74" s="114"/>
      <c r="F74" s="118"/>
      <c r="G74" s="109"/>
      <c r="H74" s="120"/>
      <c r="I74" s="120"/>
      <c r="J74" s="120"/>
      <c r="K74" s="66"/>
      <c r="L74" s="66"/>
      <c r="M74" s="66"/>
      <c r="N74" s="66"/>
    </row>
    <row r="75" spans="1:14" ht="15.75">
      <c r="A75" s="265" t="s">
        <v>236</v>
      </c>
      <c r="B75" s="305">
        <f>B70</f>
        <v>90852.67</v>
      </c>
      <c r="C75" s="430">
        <f>C70</f>
        <v>107505.964411</v>
      </c>
      <c r="D75" s="447">
        <f>B75-C75</f>
        <v>-16653.294410999995</v>
      </c>
      <c r="E75" s="114"/>
      <c r="F75" s="118"/>
      <c r="G75" s="109"/>
      <c r="H75" s="120"/>
      <c r="I75" s="120"/>
      <c r="J75" s="120"/>
      <c r="K75" s="66"/>
      <c r="L75" s="66"/>
      <c r="M75" s="66"/>
      <c r="N75" s="66"/>
    </row>
    <row r="76" spans="1:14" ht="16.5" thickBot="1">
      <c r="A76" s="267" t="s">
        <v>61</v>
      </c>
      <c r="B76" s="306">
        <v>223012.39</v>
      </c>
      <c r="C76" s="449">
        <f>B76</f>
        <v>223012.39</v>
      </c>
      <c r="D76" s="448">
        <f>B76-C76</f>
        <v>0</v>
      </c>
      <c r="E76" s="114"/>
      <c r="F76" s="118"/>
      <c r="G76" s="109"/>
      <c r="H76" s="120" t="s">
        <v>26</v>
      </c>
      <c r="I76" s="120"/>
      <c r="J76" s="120"/>
      <c r="K76" s="66"/>
      <c r="L76" s="66"/>
      <c r="M76" s="66"/>
      <c r="N76" s="66"/>
    </row>
    <row r="77" spans="1:14" ht="15.75">
      <c r="A77" s="247"/>
      <c r="B77" s="248"/>
      <c r="C77" s="425"/>
      <c r="D77" s="426"/>
      <c r="E77" s="114"/>
      <c r="F77" s="118"/>
      <c r="G77" s="109"/>
      <c r="H77" s="120"/>
      <c r="I77" s="120"/>
      <c r="J77" s="120"/>
      <c r="K77" s="66"/>
      <c r="L77" s="66"/>
      <c r="M77" s="66"/>
      <c r="N77" s="66"/>
    </row>
    <row r="78" spans="1:14" ht="26.25">
      <c r="A78" s="251" t="s">
        <v>66</v>
      </c>
      <c r="B78" s="248" t="s">
        <v>11</v>
      </c>
      <c r="C78" s="427"/>
      <c r="D78" s="428">
        <v>0</v>
      </c>
      <c r="E78" s="114"/>
      <c r="F78" s="118"/>
      <c r="G78" s="109"/>
      <c r="H78" s="120"/>
      <c r="I78" s="120"/>
      <c r="J78" s="120" t="s">
        <v>26</v>
      </c>
      <c r="K78" s="66"/>
      <c r="L78" s="66"/>
      <c r="M78" s="66"/>
      <c r="N78" s="66"/>
    </row>
    <row r="79" spans="1:14" ht="17.25" customHeight="1">
      <c r="A79" s="572" t="s">
        <v>67</v>
      </c>
      <c r="B79" s="572"/>
      <c r="C79" s="572"/>
      <c r="D79" s="572"/>
      <c r="E79" s="121"/>
      <c r="F79" s="120"/>
      <c r="G79" s="109"/>
      <c r="H79" s="122" t="e">
        <f>E79-B18</f>
        <v>#VALUE!</v>
      </c>
      <c r="I79" s="120"/>
      <c r="J79" s="120"/>
      <c r="K79" s="66"/>
      <c r="L79" s="66"/>
      <c r="M79" s="66"/>
      <c r="N79" s="66"/>
    </row>
    <row r="80" spans="1:10" ht="21" customHeight="1">
      <c r="A80" s="86" t="s">
        <v>45</v>
      </c>
      <c r="B80" s="86" t="s">
        <v>46</v>
      </c>
      <c r="C80" s="86"/>
      <c r="D80" s="177">
        <v>0</v>
      </c>
      <c r="E80" s="123"/>
      <c r="F80" s="109"/>
      <c r="G80" s="109"/>
      <c r="H80" s="109"/>
      <c r="I80" s="109"/>
      <c r="J80" s="109"/>
    </row>
    <row r="81" spans="1:10" ht="21" customHeight="1">
      <c r="A81" s="86" t="s">
        <v>47</v>
      </c>
      <c r="B81" s="86" t="s">
        <v>46</v>
      </c>
      <c r="C81" s="86"/>
      <c r="D81" s="177">
        <v>0</v>
      </c>
      <c r="E81" s="123"/>
      <c r="F81" s="109"/>
      <c r="G81" s="109"/>
      <c r="H81" s="109"/>
      <c r="I81" s="109"/>
      <c r="J81" s="109"/>
    </row>
    <row r="82" spans="1:5" ht="18" customHeight="1">
      <c r="A82" s="86" t="s">
        <v>48</v>
      </c>
      <c r="B82" s="86" t="s">
        <v>46</v>
      </c>
      <c r="C82" s="86"/>
      <c r="D82" s="177">
        <v>0</v>
      </c>
      <c r="E82" s="123"/>
    </row>
    <row r="83" spans="1:5" ht="16.5" customHeight="1">
      <c r="A83" s="86" t="s">
        <v>49</v>
      </c>
      <c r="B83" s="86" t="s">
        <v>11</v>
      </c>
      <c r="C83" s="86"/>
      <c r="D83" s="177">
        <v>0</v>
      </c>
      <c r="E83" s="123"/>
    </row>
    <row r="84" spans="1:5" ht="15.75" customHeight="1">
      <c r="A84" s="566" t="s">
        <v>68</v>
      </c>
      <c r="B84" s="566"/>
      <c r="C84" s="566"/>
      <c r="D84" s="566"/>
      <c r="E84" s="123"/>
    </row>
    <row r="85" spans="1:5" ht="18.75" customHeight="1">
      <c r="A85" s="86" t="s">
        <v>69</v>
      </c>
      <c r="B85" s="86" t="s">
        <v>46</v>
      </c>
      <c r="C85" s="86"/>
      <c r="D85" s="177">
        <v>4</v>
      </c>
      <c r="E85" s="123"/>
    </row>
    <row r="86" spans="1:5" ht="21.75" customHeight="1">
      <c r="A86" s="86" t="s">
        <v>70</v>
      </c>
      <c r="B86" s="254" t="s">
        <v>46</v>
      </c>
      <c r="C86" s="254"/>
      <c r="D86" s="177">
        <v>5</v>
      </c>
      <c r="E86" s="123"/>
    </row>
    <row r="87" spans="1:5" ht="36" customHeight="1">
      <c r="A87" s="255" t="s">
        <v>71</v>
      </c>
      <c r="B87" s="86" t="s">
        <v>11</v>
      </c>
      <c r="C87" s="86"/>
      <c r="D87" s="177">
        <v>162645.44</v>
      </c>
      <c r="E87" s="123"/>
    </row>
    <row r="88" spans="1:5" ht="15.75">
      <c r="A88" s="256"/>
      <c r="B88" s="256"/>
      <c r="C88" s="256"/>
      <c r="D88" s="257"/>
      <c r="E88" s="109"/>
    </row>
    <row r="89" spans="1:14" s="1" customFormat="1" ht="12.75">
      <c r="A89" s="178"/>
      <c r="B89" s="178"/>
      <c r="C89" s="178"/>
      <c r="D89" s="178"/>
      <c r="E89" s="109"/>
      <c r="H89" s="1" t="s">
        <v>26</v>
      </c>
      <c r="K89"/>
      <c r="L89"/>
      <c r="M89"/>
      <c r="N89"/>
    </row>
    <row r="90" spans="1:14" s="1" customFormat="1" ht="12.75">
      <c r="A90" s="182" t="s">
        <v>197</v>
      </c>
      <c r="B90" s="178"/>
      <c r="C90" s="178"/>
      <c r="D90" s="178"/>
      <c r="E90" s="109"/>
      <c r="K90"/>
      <c r="L90"/>
      <c r="M90"/>
      <c r="N90"/>
    </row>
    <row r="91" spans="1:14" s="1" customFormat="1" ht="12.75">
      <c r="A91" s="178"/>
      <c r="B91" s="178"/>
      <c r="C91" s="178"/>
      <c r="D91" s="178"/>
      <c r="E91" s="109"/>
      <c r="H91" s="1" t="s">
        <v>26</v>
      </c>
      <c r="K91"/>
      <c r="L91"/>
      <c r="M91"/>
      <c r="N91"/>
    </row>
    <row r="92" spans="1:14" s="1" customFormat="1" ht="12.75">
      <c r="A92" s="178" t="s">
        <v>73</v>
      </c>
      <c r="B92" s="178"/>
      <c r="C92" s="178"/>
      <c r="D92" s="178"/>
      <c r="E92" s="109"/>
      <c r="K92"/>
      <c r="L92"/>
      <c r="M92"/>
      <c r="N92"/>
    </row>
    <row r="93" ht="12.75">
      <c r="E93" s="109"/>
    </row>
    <row r="94" ht="12.75">
      <c r="E94" s="109"/>
    </row>
    <row r="96" spans="1:14" s="1" customFormat="1" ht="12.75">
      <c r="A96"/>
      <c r="B96"/>
      <c r="C96"/>
      <c r="D96"/>
      <c r="E96" s="1" t="s">
        <v>26</v>
      </c>
      <c r="K96"/>
      <c r="L96"/>
      <c r="M96"/>
      <c r="N96"/>
    </row>
  </sheetData>
  <sheetProtection selectLockedCells="1" selectUnlockedCells="1"/>
  <mergeCells count="13">
    <mergeCell ref="A84:D84"/>
    <mergeCell ref="A14:D14"/>
    <mergeCell ref="A28:D28"/>
    <mergeCell ref="A54:D54"/>
    <mergeCell ref="A59:D59"/>
    <mergeCell ref="A66:D66"/>
    <mergeCell ref="A79:D79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600" verticalDpi="6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ChiefEngineer</dc:creator>
  <cp:keywords/>
  <dc:description/>
  <cp:lastModifiedBy>ChiefEngineer</cp:lastModifiedBy>
  <cp:lastPrinted>2021-03-17T11:39:51Z</cp:lastPrinted>
  <dcterms:created xsi:type="dcterms:W3CDTF">2016-10-21T05:17:14Z</dcterms:created>
  <dcterms:modified xsi:type="dcterms:W3CDTF">2021-03-29T07:47:00Z</dcterms:modified>
  <cp:category/>
  <cp:version/>
  <cp:contentType/>
  <cp:contentStatus/>
</cp:coreProperties>
</file>