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784" firstSheet="35" activeTab="45"/>
  </bookViews>
  <sheets>
    <sheet name="Пл. 1 Мая 1" sheetId="1" r:id="rId1"/>
    <sheet name="Пл. 1 Мая 2" sheetId="2" r:id="rId2"/>
    <sheet name="Гидростроительная 10а " sheetId="3" r:id="rId3"/>
    <sheet name="Гидростроительная 12" sheetId="4" r:id="rId4"/>
    <sheet name="Гидростроительная 14" sheetId="5" r:id="rId5"/>
    <sheet name="Гидростроительная 16" sheetId="6" r:id="rId6"/>
    <sheet name="Гидростроительная 18" sheetId="7" r:id="rId7"/>
    <sheet name="Гидростроительная 20" sheetId="8" r:id="rId8"/>
    <sheet name="Гидростроительная 26" sheetId="9" r:id="rId9"/>
    <sheet name="Школьная 1" sheetId="10" r:id="rId10"/>
    <sheet name="Гостиная 2" sheetId="11" r:id="rId11"/>
    <sheet name="Гостиная 9" sheetId="12" r:id="rId12"/>
    <sheet name="Гостиная 11" sheetId="13" r:id="rId13"/>
    <sheet name="Гостиная 13" sheetId="14" r:id="rId14"/>
    <sheet name="Гостиная 15" sheetId="15" r:id="rId15"/>
    <sheet name="Гостиная 18" sheetId="16" r:id="rId16"/>
    <sheet name="Лист1" sheetId="17" r:id="rId17"/>
    <sheet name="Дамбовая 4" sheetId="18" r:id="rId18"/>
    <sheet name="Клубная 1а" sheetId="19" r:id="rId19"/>
    <sheet name="Кржижановского 2" sheetId="20" r:id="rId20"/>
    <sheet name="Кржижановского 3" sheetId="21" r:id="rId21"/>
    <sheet name="Овражная 2" sheetId="22" r:id="rId22"/>
    <sheet name="пер. Энергетиков 1" sheetId="23" r:id="rId23"/>
    <sheet name="пер. Энергетиков 2" sheetId="24" r:id="rId24"/>
    <sheet name="пер. Энергетиков 3" sheetId="25" r:id="rId25"/>
    <sheet name="пер. Энергетиков 5" sheetId="26" r:id="rId26"/>
    <sheet name="Первомайская 4" sheetId="27" r:id="rId27"/>
    <sheet name="Первомайская 6" sheetId="28" r:id="rId28"/>
    <sheet name="Первомайская 10" sheetId="29" r:id="rId29"/>
    <sheet name="Первомайская 11" sheetId="30" r:id="rId30"/>
    <sheet name="Первомайская 14" sheetId="31" r:id="rId31"/>
    <sheet name="Первомайская 7" sheetId="32" r:id="rId32"/>
    <sheet name="Первомайская 18" sheetId="33" r:id="rId33"/>
    <sheet name="Плотничная 3" sheetId="34" r:id="rId34"/>
    <sheet name="Плотничная 4" sheetId="35" r:id="rId35"/>
    <sheet name="Рабочая 2" sheetId="36" r:id="rId36"/>
    <sheet name="Рабочая 12" sheetId="37" r:id="rId37"/>
    <sheet name="Рабочая 14" sheetId="38" r:id="rId38"/>
    <sheet name="Рабочая 16" sheetId="39" r:id="rId39"/>
    <sheet name="Рабочая 20" sheetId="40" r:id="rId40"/>
    <sheet name="С.Ковалевской 3" sheetId="41" r:id="rId41"/>
    <sheet name="С.Ковалевской 6" sheetId="42" r:id="rId42"/>
    <sheet name="Северная 2" sheetId="43" r:id="rId43"/>
    <sheet name="Северная 3" sheetId="44" r:id="rId44"/>
    <sheet name="Семашко 5" sheetId="45" r:id="rId45"/>
    <sheet name="Семашко 20" sheetId="46" r:id="rId46"/>
    <sheet name="Учительская 28" sheetId="47" r:id="rId47"/>
    <sheet name="Семашко,23" sheetId="48" r:id="rId48"/>
    <sheet name="Лист17" sheetId="49" r:id="rId49"/>
    <sheet name="Лист2" sheetId="50" r:id="rId50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<sst xmlns="http://schemas.openxmlformats.org/spreadsheetml/2006/main" count="6018" uniqueCount="316">
  <si>
    <t xml:space="preserve"> ОТЧЕТ    </t>
  </si>
  <si>
    <t>ДОГОВОРА УПРАВЛЕНИЯ МНОГОКВАРТИРНЫМ ДОМОМ</t>
  </si>
  <si>
    <t>Ф2.8 согласно приказа №882/пр. от 22.12.2014г. Министерства строительства и жилищно-коммунального хозяйства РФ</t>
  </si>
  <si>
    <t>Наименование параметра</t>
  </si>
  <si>
    <t>ед. изм.</t>
  </si>
  <si>
    <t>значение</t>
  </si>
  <si>
    <t xml:space="preserve"> Дата заполнения/внесения изменений</t>
  </si>
  <si>
    <t xml:space="preserve"> Начало отчетного периода</t>
  </si>
  <si>
    <t>Дата конца отчетного периода.</t>
  </si>
  <si>
    <t>1.'Общая информация о выполняемых работах (оказываемых услугах) по содержанию и текущему ремонту общего имущества</t>
  </si>
  <si>
    <t xml:space="preserve">Переходящие остатки денежных средств (на начало периода) по содержанию и  текущему ремонту </t>
  </si>
  <si>
    <t>руб.</t>
  </si>
  <si>
    <t>переплата потребителями</t>
  </si>
  <si>
    <t>задолженность потребителей</t>
  </si>
  <si>
    <t xml:space="preserve">.'Начислено за работы (услуги) по содержанию и текущему ремонту,в том числе:      </t>
  </si>
  <si>
    <t>за содержание дома</t>
  </si>
  <si>
    <t>за текущий ремонт</t>
  </si>
  <si>
    <t>за услуги управления</t>
  </si>
  <si>
    <t xml:space="preserve"> Получено денежных средств, в т.ч.:    </t>
  </si>
  <si>
    <t>х</t>
  </si>
  <si>
    <t xml:space="preserve"> денежных средств от потребителей</t>
  </si>
  <si>
    <t>целевых взносов от потребителей</t>
  </si>
  <si>
    <t>.</t>
  </si>
  <si>
    <t>субсидий</t>
  </si>
  <si>
    <t>денежных средств от использования общего имущества</t>
  </si>
  <si>
    <t>Всего денежных средств средств с учетом остатков</t>
  </si>
  <si>
    <t xml:space="preserve"> </t>
  </si>
  <si>
    <t>2.'Выполненные работы (оказанные услуги) по содержанию общего имущества и текущему ремонту в отчетном периоде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</si>
  <si>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</si>
  <si>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</si>
  <si>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>Исполнитель услуги</t>
  </si>
  <si>
    <t>Расходы по содержанию жилья за год (руб)</t>
  </si>
  <si>
    <t xml:space="preserve">Обслуживание общестроит.конструкций </t>
  </si>
  <si>
    <t>2 раза в год</t>
  </si>
  <si>
    <t>ООО "ВДС-Сервис"</t>
  </si>
  <si>
    <t>ежедневно</t>
  </si>
  <si>
    <t xml:space="preserve">Проверка дымоходов и вентканалов </t>
  </si>
  <si>
    <t>ООО "Патриот"</t>
  </si>
  <si>
    <t xml:space="preserve">Управление многоквартирным домом </t>
  </si>
  <si>
    <t>ООО "ДУК"</t>
  </si>
  <si>
    <t>Текущий ремонт</t>
  </si>
  <si>
    <t>Согласно плана и по мере необходимости</t>
  </si>
  <si>
    <t>ИТОГО:</t>
  </si>
  <si>
    <t>Переходящие остатки денежных средств (на конец периода) :</t>
  </si>
  <si>
    <t>3. 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</si>
  <si>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</si>
  <si>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</si>
  <si>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</si>
  <si>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</si>
  <si>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</si>
  <si>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4.Общая информация по предоставленным коммунальным услугам</t>
  </si>
  <si>
    <t>Пеоеходящие остатки денежных средств (на начало периода), втом числе:</t>
  </si>
  <si>
    <t>Переходящие остатки денежных средств (на конец,периода)в том числе:</t>
  </si>
  <si>
    <t>5,Информация о предоставленных коммунальных услугах</t>
  </si>
  <si>
    <t>Вид коммунальной услуги, ед.изм., общий объем потребления</t>
  </si>
  <si>
    <t>Начислено потребителям (руб.)</t>
  </si>
  <si>
    <t>Оплачено потребителями (руб.)</t>
  </si>
  <si>
    <t>Задолженность потребителей            (руб.)</t>
  </si>
  <si>
    <t xml:space="preserve">электроснабжение               </t>
  </si>
  <si>
    <t>Вид коммунальной услуги</t>
  </si>
  <si>
    <t>Начислено поставщиком коммунального ресурса (руб.)</t>
  </si>
  <si>
    <t>Оплачено поставщику коммунального ресурса (руб.)</t>
  </si>
  <si>
    <t>Задолженность перед поставщиком коммунального ресурса (руб.)</t>
  </si>
  <si>
    <t>Сумма пени и штрафов, уплаченные поставщику коммунального ресурса</t>
  </si>
  <si>
    <t>6. Информация о наличии претензий по качеству предоставленных коммунальных услуг</t>
  </si>
  <si>
    <t>7. 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</si>
  <si>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</si>
  <si>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</si>
  <si>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</si>
  <si>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Руководитель управляющей организации /____________________________________/_____________________________________________</t>
  </si>
  <si>
    <t>М.П.</t>
  </si>
  <si>
    <t>ПО АДРЕСУ г. Заволжье, ул. Гидростроительная д.10а</t>
  </si>
  <si>
    <t xml:space="preserve">Содержание придомовой территории </t>
  </si>
  <si>
    <t>5 раз в неделю</t>
  </si>
  <si>
    <t>ООО "Жилищные услуги"</t>
  </si>
  <si>
    <t>4 раза в год</t>
  </si>
  <si>
    <t>Обслуживание систем электроснабжения</t>
  </si>
  <si>
    <t>Обслуживание внутридомовых систем  (ХВС, ВО, отопления)</t>
  </si>
  <si>
    <t xml:space="preserve">Аварийно-диспетчерское обслуживание  </t>
  </si>
  <si>
    <t>круглосуточно</t>
  </si>
  <si>
    <t>ё</t>
  </si>
  <si>
    <t>ПО АДРЕСУ г. Заволжье, ул. Гидростроительная д.12</t>
  </si>
  <si>
    <t xml:space="preserve">Обслуживание газового оборудования </t>
  </si>
  <si>
    <t>ПО АДРЕСУ г. Заволжье, ул. Гидростроительная д.14</t>
  </si>
  <si>
    <t>ПО АДРЕСУ г. Заволжье, ул. Гидростроительная д.16</t>
  </si>
  <si>
    <t>ПО АДРЕСУ г. Заволжье, ул. Гидростроительная д.18</t>
  </si>
  <si>
    <t>ПО АДРЕСУ г. Заволжье, ул. Гидростроительная д.20</t>
  </si>
  <si>
    <t>Обслуживание внутридомовых систем  (ХВС, ВО, )</t>
  </si>
  <si>
    <t>ПО АДРЕСУ г. Заволжье, ул. Гидростроительная д.26</t>
  </si>
  <si>
    <t>ПО АДРЕСУ г. Заволжье, ул. Школьная 1</t>
  </si>
  <si>
    <t>ПО АДРЕСУ г. Заволжье, ул. Гостиная 2</t>
  </si>
  <si>
    <t xml:space="preserve">прочие поступления </t>
  </si>
  <si>
    <t>Обслуживание внутридомовых систем  (ХВС, отопления)</t>
  </si>
  <si>
    <t>ПО АДРЕСУ г. Заволжье, ул. Гостиная 9</t>
  </si>
  <si>
    <t>Обслуживание внутридомовых систем  (ХВС)</t>
  </si>
  <si>
    <t>ПО АДРЕСУ г. Заволжье, ул. Гостиная 11</t>
  </si>
  <si>
    <t>ПО АДРЕСУ г. Заволжье, ул. Гостиная 13</t>
  </si>
  <si>
    <t>ПО АДРЕСУ г. Заволжье, ул. Гостиная 15</t>
  </si>
  <si>
    <t>ПО АДРЕСУ г. Заволжье, ул. Гостиная 18</t>
  </si>
  <si>
    <t>ПО АДРЕСУ г. Заволжье, ул. Дамбовая 4</t>
  </si>
  <si>
    <t>ПО АДРЕСУ г. Заволжье, ул. Клубная 1а</t>
  </si>
  <si>
    <t>Обслуживание внутридомовых систем  (ХВС,  отопления)</t>
  </si>
  <si>
    <t>ПО АДРЕСУ г. Заволжье, ул. Кржижановского 2</t>
  </si>
  <si>
    <t>ПО АДРЕСУ г. Заволжье, ул. Кржижановского 3</t>
  </si>
  <si>
    <t>ПО АДРЕСУ г. Заволжье, ул. Овражная 2</t>
  </si>
  <si>
    <t>ПО АДРЕСУ г. Заволжье, пер. Энергетиков, 1</t>
  </si>
  <si>
    <t>ПО АДРЕСУ г. Заволжье, пер. Энергетиков, 2</t>
  </si>
  <si>
    <t>ПО АДРЕСУ г. Заволжье, пер. Энергетиков, 3</t>
  </si>
  <si>
    <t>ПО АДРЕСУ г. Заволжье, пер. Энергетиков, 5</t>
  </si>
  <si>
    <t>ПО АДРЕСУ г. Заволжье, пер. Первомайская 4</t>
  </si>
  <si>
    <t>ПО АДРЕСУ г. Заволжье, пер. Первомайская 10</t>
  </si>
  <si>
    <t>ПО АДРЕСУ г. Заволжье, пер. Первомайская 11</t>
  </si>
  <si>
    <t>ПО АДРЕСУ г. Заволжье, пер. Первомайская 14</t>
  </si>
  <si>
    <t>ПО АДРЕСУ г. Заволжье, Пл. 1 Мая 1</t>
  </si>
  <si>
    <t>ПО АДРЕСУ г. Заволжье, Пл. 1 Мая 2</t>
  </si>
  <si>
    <t xml:space="preserve">ПО АДРЕСУ г. Заволжье, Плотничная 3 </t>
  </si>
  <si>
    <t>ПО АДРЕСУ г. Заволжье, Плотничная 4</t>
  </si>
  <si>
    <t>ПО АДРЕСУ г. Заволжье, Рабочая 2</t>
  </si>
  <si>
    <t>ПО АДРЕСУ г. Заволжье, Рабочая 12</t>
  </si>
  <si>
    <t>ПО АДРЕСУ г. Заволжье, Рабочая 14</t>
  </si>
  <si>
    <t>ПО АДРЕСУ г. Заволжье, Рабочая 16</t>
  </si>
  <si>
    <t>ПО АДРЕСУ г. Заволжье, Рабочая 20</t>
  </si>
  <si>
    <t>ПО АДРЕСУ г. Заволжье, С.Ковалевской 3</t>
  </si>
  <si>
    <t>ПО АДРЕСУ г. Заволжье, С.Ковалевской 6</t>
  </si>
  <si>
    <t>ПО АДРЕСУ г. Заволжье, Северная 2</t>
  </si>
  <si>
    <t>ПО АДРЕСУ г. Заволжье, Северная 3</t>
  </si>
  <si>
    <t>ПО АДРЕСУ г. Заволжье, Семашко 5</t>
  </si>
  <si>
    <t>ПО АДРЕСУ г. Заволжье, Семашко 20</t>
  </si>
  <si>
    <t>ООО "ВДС-Сервис" ООО "Электроник"</t>
  </si>
  <si>
    <t>ПО АДРЕСУ г. Заволжье, Семашко 23</t>
  </si>
  <si>
    <t>ПО АДРЕСУ г. Заволжье, Учительская 28</t>
  </si>
  <si>
    <t>Кузьмичев Е.М./</t>
  </si>
  <si>
    <t>Sдома (279,7м2)</t>
  </si>
  <si>
    <t>Sдома=466,9м2</t>
  </si>
  <si>
    <t>май</t>
  </si>
  <si>
    <t>август</t>
  </si>
  <si>
    <t>ремонт кровли</t>
  </si>
  <si>
    <t>сентябрь</t>
  </si>
  <si>
    <t>ноябрь</t>
  </si>
  <si>
    <t>S=611,10м2</t>
  </si>
  <si>
    <t>июнь</t>
  </si>
  <si>
    <t>июль</t>
  </si>
  <si>
    <t>Sдома =387,05м2</t>
  </si>
  <si>
    <t>апрель</t>
  </si>
  <si>
    <t>Sдома=1335,3м2</t>
  </si>
  <si>
    <t>Sдома=102,25м2</t>
  </si>
  <si>
    <t>Sдома=1663,70м2</t>
  </si>
  <si>
    <t>Sдома=1934,30м2</t>
  </si>
  <si>
    <t>октябрь</t>
  </si>
  <si>
    <t>Sдома=123,2м2</t>
  </si>
  <si>
    <t>Sдома=103,1м2</t>
  </si>
  <si>
    <t>Sдома=107,3м2</t>
  </si>
  <si>
    <t>Sдома=377м2</t>
  </si>
  <si>
    <t>Обслуживание внутридомовых систем  (ХВС,  отопления,водоотведения)</t>
  </si>
  <si>
    <t>Sдома=99,70м2</t>
  </si>
  <si>
    <t>Sдома=162,6м2</t>
  </si>
  <si>
    <t xml:space="preserve">Обслуживание внутридомовых систем  </t>
  </si>
  <si>
    <t>Sдома=163,50м2</t>
  </si>
  <si>
    <t>Sдома=87,6м2</t>
  </si>
  <si>
    <t>Обслуживание внутридомовых систем  (ХВС, )</t>
  </si>
  <si>
    <t>Sдома=105м2</t>
  </si>
  <si>
    <t>Обслуживание внутридомовых систем  (ХВС,  )</t>
  </si>
  <si>
    <t>Sдома=105,4м2</t>
  </si>
  <si>
    <t>S=127,1м2</t>
  </si>
  <si>
    <t>Sдома=84,8м2</t>
  </si>
  <si>
    <t>Sдома=78,8м2</t>
  </si>
  <si>
    <t>Sдома=120,8м2</t>
  </si>
  <si>
    <t>Sдома=129,7м2</t>
  </si>
  <si>
    <t>Sдома=102,3м2</t>
  </si>
  <si>
    <t>Sдома=94,7м2</t>
  </si>
  <si>
    <t>Sдома=90,7м2</t>
  </si>
  <si>
    <t>Sдома=135,3м2</t>
  </si>
  <si>
    <t>Кузьмичев Е.М.</t>
  </si>
  <si>
    <t>Руководитель управляющей организации /____________________________________/_Кузьмичев Е.М.________________</t>
  </si>
  <si>
    <t>Руководитель управляющей организации /____________________________________/Кузьмичев Е.М.__________________</t>
  </si>
  <si>
    <t>переплата потребителей</t>
  </si>
  <si>
    <t>Руководитель управляющей организации /____________________________________/     Кузьмичев Е.М./</t>
  </si>
  <si>
    <t>Текущий ремонт и подготовка к сезонной эксплуатации, в том числе</t>
  </si>
  <si>
    <t>Текущий ремонт и подготовка к сезонной эксплуатации , в том числе</t>
  </si>
  <si>
    <t xml:space="preserve">Текущий ремонт и подготовка к сезонной эксплуатации, в том числе </t>
  </si>
  <si>
    <t>Текущий ремонт и подготовка к сезонной эксплуатации ,в том числе</t>
  </si>
  <si>
    <t>Текущий ремонт и подготовка к сезонной эксплуатации</t>
  </si>
  <si>
    <t>Текущий ремонт и подготовка к сезонной эксплуатации в том числе:</t>
  </si>
  <si>
    <t>Текущий ремонт и подготовка к сезонной эксплуатации, в том числе:</t>
  </si>
  <si>
    <t>Использование энергоресурсов в целях содержания общего имущества, в том числе:</t>
  </si>
  <si>
    <t>МУП "Тепловодоканал"</t>
  </si>
  <si>
    <t>ХВ</t>
  </si>
  <si>
    <t>Использование энергоресурсов в целях содержания общего имущества:</t>
  </si>
  <si>
    <t>Текущий ремонт в том числе</t>
  </si>
  <si>
    <t>Текущий ремонт,в том числе</t>
  </si>
  <si>
    <t xml:space="preserve">Текущий ремонт </t>
  </si>
  <si>
    <t>текущий ремонт</t>
  </si>
  <si>
    <t>Текущий ремонт (в том числе)</t>
  </si>
  <si>
    <t>УПРАВЛЯЮЩЕЙ ОРГАНИЗАЦИИ ООО «Прибрежье» О ВЫПОЛНЕНИИ</t>
  </si>
  <si>
    <t>ООО "Прибрежье"</t>
  </si>
  <si>
    <t>1 раз в год</t>
  </si>
  <si>
    <t>Sдома=140,2м2</t>
  </si>
  <si>
    <t>УПРАВЛЯЮЩЕЙ ОРГАНИЗАЦИИ ООО «Проибрежье» О ВЫПОЛНЕНИИ</t>
  </si>
  <si>
    <t>февраль</t>
  </si>
  <si>
    <t>Итого</t>
  </si>
  <si>
    <t>Обслуживание газового оборудования</t>
  </si>
  <si>
    <t>Текущий ремонт и подготовка к  сезонной эксплуатации,  в том числе:</t>
  </si>
  <si>
    <t>обращение с ТКО</t>
  </si>
  <si>
    <t>Дератизация и дезинсекция</t>
  </si>
  <si>
    <t>4 раза вгод</t>
  </si>
  <si>
    <t>S=443,48м2</t>
  </si>
  <si>
    <t>Дезинсекция и дератизация</t>
  </si>
  <si>
    <t xml:space="preserve">ООО "ВДС-Сервис"; </t>
  </si>
  <si>
    <t>Sдома=1121,96м2</t>
  </si>
  <si>
    <t>(ВОЗВРАТ МАТЕРИАЛОВ)</t>
  </si>
  <si>
    <t>Sдома=144,4м2</t>
  </si>
  <si>
    <t>(возврат мат-в)</t>
  </si>
  <si>
    <t>Sдома=157,4м2</t>
  </si>
  <si>
    <t xml:space="preserve">Обслуживание внутридомовых систем </t>
  </si>
  <si>
    <t>Sдома=145,8м2</t>
  </si>
  <si>
    <t>Sдома=119,5м2</t>
  </si>
  <si>
    <t>Sдома=104,2м2</t>
  </si>
  <si>
    <t>*(возврат материалов)</t>
  </si>
  <si>
    <t>субсидий (возврат ден. средств от администрации г. Заволжья)</t>
  </si>
  <si>
    <t>ПО АДРЕСУ г. Заволжье, пер. Первомайская 18</t>
  </si>
  <si>
    <t>Sдома=100,5м2</t>
  </si>
  <si>
    <t>ООО "ДезСервис"</t>
  </si>
  <si>
    <t>дез800</t>
  </si>
  <si>
    <t>Sдома=131,9м2</t>
  </si>
  <si>
    <t>Обслуживание внутридомовых систем  (ХВС,  отопления,В/О)</t>
  </si>
  <si>
    <t>2520 сч. Э*э</t>
  </si>
  <si>
    <t>ПО АДРЕСУ г. Заволжье, пер. Первомайская 6</t>
  </si>
  <si>
    <t>31.12.2022г.</t>
  </si>
  <si>
    <t>4. Информация о наличии претензий по качеству предоставленных коммунальных услуг</t>
  </si>
  <si>
    <t>5. Информация о ведении претензионно-исковой работы в отношении потребителей должников</t>
  </si>
  <si>
    <t>4,Информация о предоставленных коммунальных услугах</t>
  </si>
  <si>
    <t>5. Информация о наличии претензий по качеству предоставленных коммунальных услуг</t>
  </si>
  <si>
    <t>6. Информация о ведении претензионно-исковой работы в отношении потребителей должников</t>
  </si>
  <si>
    <t>4.Информация о предоставленных коммунальных услугах</t>
  </si>
  <si>
    <t>Sдома=972,8 м2</t>
  </si>
  <si>
    <t>6.Информация о предоставленных коммунальных услугах</t>
  </si>
  <si>
    <t>6,Информация о предоставленных коммунальных услугах</t>
  </si>
  <si>
    <t>Sдома=85,6м2</t>
  </si>
  <si>
    <t>ЗА 2022 ГОД</t>
  </si>
  <si>
    <t>1 квартал 2023г.</t>
  </si>
  <si>
    <t>01.01.2022г.</t>
  </si>
  <si>
    <t>ИП Ватагин А.А.</t>
  </si>
  <si>
    <t>01.01.2023г.</t>
  </si>
  <si>
    <t>31.12.2023г.</t>
  </si>
  <si>
    <t>ЗА 2023 ГОД</t>
  </si>
  <si>
    <t>Sдома=71,5м2</t>
  </si>
  <si>
    <t>Ремонт кровли</t>
  </si>
  <si>
    <t>Sдома=205,2м2</t>
  </si>
  <si>
    <t>декабрь</t>
  </si>
  <si>
    <t>оплата КР, потребляемых при СОИ (ХВ)</t>
  </si>
  <si>
    <t>оплата КР, потребляемых при СОИ (ХВ0</t>
  </si>
  <si>
    <t>за 2023</t>
  </si>
  <si>
    <t>1 квартал 2024г.</t>
  </si>
  <si>
    <t>ремонт септика</t>
  </si>
  <si>
    <t>ИП Ватагин</t>
  </si>
  <si>
    <t xml:space="preserve">стоиость а/вышки для ремонта кровли </t>
  </si>
  <si>
    <t>ИП Галкова О.А.</t>
  </si>
  <si>
    <t>установка урн</t>
  </si>
  <si>
    <t>смена крана на чердаке</t>
  </si>
  <si>
    <t>ИП Ватагин А.а.</t>
  </si>
  <si>
    <t>смена крана в кв.8 (ХВС)</t>
  </si>
  <si>
    <t>смена кранов на батареях отопления</t>
  </si>
  <si>
    <t>установка досок объявление на под-х</t>
  </si>
  <si>
    <t>смена светильников в 3 под-де</t>
  </si>
  <si>
    <t>установка кранов на радиаторы отопл. В кв.23</t>
  </si>
  <si>
    <t>ремонт конвектора во 2м подъезде</t>
  </si>
  <si>
    <t>январь</t>
  </si>
  <si>
    <t>установка кранов для уборщицы</t>
  </si>
  <si>
    <t>август,декабрь</t>
  </si>
  <si>
    <t>смена светильников в 1-3 под-х, в тамбуре 1го подъезда</t>
  </si>
  <si>
    <t>смена конвектора в 3м под-де</t>
  </si>
  <si>
    <t>смена счетчика ХВС</t>
  </si>
  <si>
    <t>смена участка канализации в кв.7</t>
  </si>
  <si>
    <t>ремонт кровли козырька 1 под-да</t>
  </si>
  <si>
    <t>смена участка ХВС кв.11</t>
  </si>
  <si>
    <t>смена выключателя во 2м под-де</t>
  </si>
  <si>
    <t>смена участка отопления</t>
  </si>
  <si>
    <t>ремонт кровли (кв.1)</t>
  </si>
  <si>
    <t>Ремонт завалинки</t>
  </si>
  <si>
    <t>ЗА 2024 ГОД</t>
  </si>
  <si>
    <t>1 квартал 2024 г.</t>
  </si>
  <si>
    <t>01.01.2023 г.</t>
  </si>
  <si>
    <t>31.12.2023 г.</t>
  </si>
  <si>
    <t>смена вводного пакетного выключателя у кв. 17</t>
  </si>
  <si>
    <t>смена участка канализации в подвале</t>
  </si>
  <si>
    <t>установка крана для уборщицы</t>
  </si>
  <si>
    <t>смена кранов ХВС в кв. 16,20 и в 1,2 подъездах</t>
  </si>
  <si>
    <t>ноябрь-декабрь</t>
  </si>
  <si>
    <t>смена светильников в 1м под-де. Монтаж прожектора</t>
  </si>
  <si>
    <t>установка и стоимость двери домофон в 3м под-де</t>
  </si>
  <si>
    <t>ООО"МегаполисПрофЛидер"</t>
  </si>
  <si>
    <t>1 квартал 2024.</t>
  </si>
  <si>
    <t>31.12.2024г.</t>
  </si>
  <si>
    <t>ремонт завалинки (кв.2)</t>
  </si>
  <si>
    <t>ремонт завалинки</t>
  </si>
  <si>
    <t>смена уч-ка хвс в кв.2</t>
  </si>
  <si>
    <t>Ип Ватагин А.А.</t>
  </si>
  <si>
    <t>ремонт кровли над. Кв.1</t>
  </si>
  <si>
    <t>31.12.2023.</t>
  </si>
  <si>
    <t>ЗА 2023ГОД</t>
  </si>
  <si>
    <t>смена крана в кв.2</t>
  </si>
  <si>
    <t>смена участка хвс в кв.4</t>
  </si>
  <si>
    <t xml:space="preserve">ремонт кровли </t>
  </si>
  <si>
    <t>феврвль,май,ноябрь</t>
  </si>
  <si>
    <t>установка 'крана для уборщицы</t>
  </si>
  <si>
    <t>смена светильника в 1подъезде на 2м этаже</t>
  </si>
  <si>
    <t>Sдома=383,04м2</t>
  </si>
  <si>
    <t>Sдома=140м2</t>
  </si>
  <si>
    <t>уборка снега</t>
  </si>
  <si>
    <t>Уборка лестничных клеток</t>
  </si>
  <si>
    <t>1 раз в неделю</t>
  </si>
  <si>
    <t>5682,48,48</t>
  </si>
  <si>
    <t>ПО АДРЕСУ г. Заволжье, пер. Первомайская 7</t>
  </si>
  <si>
    <t>Sдома=57,7м2</t>
  </si>
  <si>
    <t>Sдома=194,6м2</t>
  </si>
  <si>
    <t>возврат материалов по ремонту завалинки кв.2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</si>
</sst>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#.00"/>
    <numFmt numFmtId="174" formatCode="0.000"/>
    <numFmt numFmtId="175" formatCode="0.0000"/>
    <numFmt numFmtId="176" formatCode="0.00000"/>
    <numFmt numFmtId="177" formatCode="#,##0.0"/>
    <numFmt numFmtId="178" formatCode="0.000000"/>
    <numFmt numFmtId="179" formatCode="#,###.0"/>
    <numFmt numFmtId="180" formatCode="#,###"/>
    <numFmt numFmtId="181" formatCode="#,###.000"/>
    <numFmt numFmtId="182" formatCode="0.0"/>
    <numFmt numFmtId="183" formatCode="#,##0.0;\-#,##0.0"/>
    <numFmt numFmtId="184" formatCode="#,##0.0_ ;\-#,##0.0\ "/>
    <numFmt numFmtId="185" formatCode="#,##0_ ;\-#,##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5"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Border="1" applyAlignment="1">
      <alignment vertical="top"/>
    </xf>
    <xf numFmtId="0" fontId="4" fillId="0" borderId="19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4" fontId="0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39" fontId="3" fillId="33" borderId="25" xfId="0" applyNumberFormat="1" applyFont="1" applyFill="1" applyBorder="1" applyAlignment="1">
      <alignment horizontal="center" vertical="center" wrapText="1"/>
    </xf>
    <xf numFmtId="39" fontId="3" fillId="33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2" fontId="8" fillId="33" borderId="22" xfId="0" applyNumberFormat="1" applyFont="1" applyFill="1" applyBorder="1" applyAlignment="1">
      <alignment horizontal="center"/>
    </xf>
    <xf numFmtId="39" fontId="8" fillId="33" borderId="22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0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73" fontId="3" fillId="33" borderId="27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3" borderId="23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wrapText="1"/>
    </xf>
    <xf numFmtId="2" fontId="6" fillId="0" borderId="2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29" xfId="0" applyFont="1" applyFill="1" applyBorder="1" applyAlignment="1">
      <alignment horizontal="left" vertical="top"/>
    </xf>
    <xf numFmtId="4" fontId="6" fillId="0" borderId="30" xfId="0" applyNumberFormat="1" applyFont="1" applyFill="1" applyBorder="1" applyAlignment="1">
      <alignment vertical="top" wrapText="1"/>
    </xf>
    <xf numFmtId="2" fontId="6" fillId="0" borderId="31" xfId="0" applyNumberFormat="1" applyFont="1" applyBorder="1" applyAlignment="1">
      <alignment vertical="top"/>
    </xf>
    <xf numFmtId="2" fontId="3" fillId="0" borderId="3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8" fillId="33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59" fillId="0" borderId="0" xfId="0" applyFont="1" applyBorder="1" applyAlignment="1">
      <alignment/>
    </xf>
    <xf numFmtId="172" fontId="59" fillId="0" borderId="0" xfId="0" applyNumberFormat="1" applyFont="1" applyFill="1" applyAlignment="1">
      <alignment/>
    </xf>
    <xf numFmtId="2" fontId="59" fillId="0" borderId="0" xfId="0" applyNumberFormat="1" applyFont="1" applyBorder="1" applyAlignment="1">
      <alignment/>
    </xf>
    <xf numFmtId="173" fontId="59" fillId="0" borderId="0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 horizontal="center"/>
    </xf>
    <xf numFmtId="4" fontId="8" fillId="33" borderId="35" xfId="0" applyNumberFormat="1" applyFont="1" applyFill="1" applyBorder="1" applyAlignment="1">
      <alignment horizontal="right"/>
    </xf>
    <xf numFmtId="0" fontId="4" fillId="33" borderId="36" xfId="0" applyFont="1" applyFill="1" applyBorder="1" applyAlignment="1">
      <alignment horizontal="center" vertical="center"/>
    </xf>
    <xf numFmtId="4" fontId="4" fillId="33" borderId="37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left"/>
    </xf>
    <xf numFmtId="4" fontId="0" fillId="33" borderId="40" xfId="0" applyNumberFormat="1" applyFont="1" applyFill="1" applyBorder="1" applyAlignment="1">
      <alignment/>
    </xf>
    <xf numFmtId="4" fontId="8" fillId="33" borderId="41" xfId="0" applyNumberFormat="1" applyFont="1" applyFill="1" applyBorder="1" applyAlignment="1">
      <alignment horizontal="center"/>
    </xf>
    <xf numFmtId="4" fontId="8" fillId="33" borderId="42" xfId="0" applyNumberFormat="1" applyFont="1" applyFill="1" applyBorder="1" applyAlignment="1">
      <alignment horizontal="right"/>
    </xf>
    <xf numFmtId="4" fontId="9" fillId="33" borderId="41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39" fontId="3" fillId="33" borderId="37" xfId="0" applyNumberFormat="1" applyFont="1" applyFill="1" applyBorder="1" applyAlignment="1">
      <alignment horizontal="center" vertical="center" wrapText="1"/>
    </xf>
    <xf numFmtId="39" fontId="3" fillId="33" borderId="3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31" xfId="0" applyFont="1" applyBorder="1" applyAlignment="1">
      <alignment vertical="top"/>
    </xf>
    <xf numFmtId="0" fontId="0" fillId="0" borderId="17" xfId="0" applyFont="1" applyFill="1" applyBorder="1" applyAlignment="1" quotePrefix="1">
      <alignment horizontal="left" vertical="top"/>
    </xf>
    <xf numFmtId="0" fontId="0" fillId="0" borderId="29" xfId="0" applyFont="1" applyFill="1" applyBorder="1" applyAlignment="1" quotePrefix="1">
      <alignment horizontal="left" vertical="top"/>
    </xf>
    <xf numFmtId="0" fontId="0" fillId="0" borderId="0" xfId="0" applyNumberFormat="1" applyFont="1" applyAlignment="1">
      <alignment/>
    </xf>
    <xf numFmtId="0" fontId="4" fillId="34" borderId="36" xfId="0" applyFont="1" applyFill="1" applyBorder="1" applyAlignment="1">
      <alignment horizontal="center" vertical="center"/>
    </xf>
    <xf numFmtId="4" fontId="4" fillId="34" borderId="37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2" fontId="6" fillId="0" borderId="18" xfId="0" applyNumberFormat="1" applyFont="1" applyBorder="1" applyAlignment="1">
      <alignment vertical="top"/>
    </xf>
    <xf numFmtId="0" fontId="4" fillId="0" borderId="21" xfId="0" applyFont="1" applyFill="1" applyBorder="1" applyAlignment="1">
      <alignment horizontal="left" wrapText="1"/>
    </xf>
    <xf numFmtId="39" fontId="4" fillId="33" borderId="25" xfId="0" applyNumberFormat="1" applyFont="1" applyFill="1" applyBorder="1" applyAlignment="1">
      <alignment horizontal="center" vertical="center" wrapText="1"/>
    </xf>
    <xf numFmtId="39" fontId="4" fillId="33" borderId="26" xfId="0" applyNumberFormat="1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39" fontId="4" fillId="33" borderId="37" xfId="0" applyNumberFormat="1" applyFont="1" applyFill="1" applyBorder="1" applyAlignment="1">
      <alignment horizontal="center" vertical="center" wrapText="1"/>
    </xf>
    <xf numFmtId="39" fontId="4" fillId="33" borderId="38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4" fontId="4" fillId="33" borderId="44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wrapText="1"/>
    </xf>
    <xf numFmtId="0" fontId="4" fillId="33" borderId="46" xfId="0" applyFont="1" applyFill="1" applyBorder="1" applyAlignment="1">
      <alignment horizontal="center" vertical="center" wrapText="1"/>
    </xf>
    <xf numFmtId="39" fontId="3" fillId="33" borderId="46" xfId="0" applyNumberFormat="1" applyFont="1" applyFill="1" applyBorder="1" applyAlignment="1">
      <alignment horizontal="center" vertical="center" wrapText="1"/>
    </xf>
    <xf numFmtId="39" fontId="3" fillId="33" borderId="4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72" fontId="59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3" fontId="3" fillId="33" borderId="27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2" fontId="59" fillId="35" borderId="0" xfId="0" applyNumberFormat="1" applyFont="1" applyFill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2" fontId="3" fillId="0" borderId="28" xfId="0" applyNumberFormat="1" applyFont="1" applyBorder="1" applyAlignment="1">
      <alignment/>
    </xf>
    <xf numFmtId="0" fontId="4" fillId="0" borderId="17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left" vertical="top"/>
    </xf>
    <xf numFmtId="4" fontId="3" fillId="0" borderId="30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4" fillId="0" borderId="29" xfId="0" applyFont="1" applyFill="1" applyBorder="1" applyAlignment="1" quotePrefix="1">
      <alignment horizontal="left" vertical="top"/>
    </xf>
    <xf numFmtId="0" fontId="4" fillId="0" borderId="29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wrapText="1"/>
    </xf>
    <xf numFmtId="4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2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/>
    </xf>
    <xf numFmtId="0" fontId="3" fillId="0" borderId="48" xfId="0" applyFont="1" applyBorder="1" applyAlignment="1">
      <alignment/>
    </xf>
    <xf numFmtId="0" fontId="4" fillId="0" borderId="22" xfId="0" applyFont="1" applyBorder="1" applyAlignment="1" quotePrefix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72" fontId="3" fillId="0" borderId="22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right"/>
    </xf>
    <xf numFmtId="0" fontId="4" fillId="33" borderId="50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2" fontId="12" fillId="33" borderId="22" xfId="0" applyNumberFormat="1" applyFont="1" applyFill="1" applyBorder="1" applyAlignment="1">
      <alignment horizontal="center"/>
    </xf>
    <xf numFmtId="39" fontId="12" fillId="33" borderId="2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horizontal="center"/>
    </xf>
    <xf numFmtId="39" fontId="12" fillId="33" borderId="11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3" fillId="0" borderId="21" xfId="0" applyFont="1" applyFill="1" applyBorder="1" applyAlignment="1">
      <alignment horizontal="left"/>
    </xf>
    <xf numFmtId="0" fontId="4" fillId="0" borderId="17" xfId="0" applyFont="1" applyFill="1" applyBorder="1" applyAlignment="1" quotePrefix="1">
      <alignment horizontal="left" vertical="top" wrapText="1"/>
    </xf>
    <xf numFmtId="0" fontId="4" fillId="33" borderId="33" xfId="0" applyFont="1" applyFill="1" applyBorder="1" applyAlignment="1">
      <alignment/>
    </xf>
    <xf numFmtId="4" fontId="3" fillId="33" borderId="34" xfId="0" applyNumberFormat="1" applyFont="1" applyFill="1" applyBorder="1" applyAlignment="1">
      <alignment/>
    </xf>
    <xf numFmtId="4" fontId="12" fillId="33" borderId="3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4" fontId="12" fillId="33" borderId="52" xfId="0" applyNumberFormat="1" applyFont="1" applyFill="1" applyBorder="1" applyAlignment="1">
      <alignment horizontal="right"/>
    </xf>
    <xf numFmtId="0" fontId="4" fillId="33" borderId="39" xfId="0" applyFont="1" applyFill="1" applyBorder="1" applyAlignment="1">
      <alignment horizontal="left"/>
    </xf>
    <xf numFmtId="4" fontId="4" fillId="33" borderId="40" xfId="0" applyNumberFormat="1" applyFont="1" applyFill="1" applyBorder="1" applyAlignment="1">
      <alignment/>
    </xf>
    <xf numFmtId="4" fontId="12" fillId="33" borderId="41" xfId="0" applyNumberFormat="1" applyFont="1" applyFill="1" applyBorder="1" applyAlignment="1">
      <alignment horizontal="center"/>
    </xf>
    <xf numFmtId="4" fontId="12" fillId="33" borderId="4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39" fontId="12" fillId="33" borderId="10" xfId="0" applyNumberFormat="1" applyFont="1" applyFill="1" applyBorder="1" applyAlignment="1">
      <alignment horizontal="center"/>
    </xf>
    <xf numFmtId="0" fontId="3" fillId="33" borderId="53" xfId="0" applyFont="1" applyFill="1" applyBorder="1" applyAlignment="1">
      <alignment/>
    </xf>
    <xf numFmtId="174" fontId="3" fillId="0" borderId="18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33" borderId="34" xfId="0" applyFont="1" applyFill="1" applyBorder="1" applyAlignment="1">
      <alignment/>
    </xf>
    <xf numFmtId="39" fontId="12" fillId="33" borderId="35" xfId="0" applyNumberFormat="1" applyFont="1" applyFill="1" applyBorder="1" applyAlignment="1">
      <alignment horizontal="right"/>
    </xf>
    <xf numFmtId="39" fontId="12" fillId="33" borderId="4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 quotePrefix="1">
      <alignment horizontal="left"/>
    </xf>
    <xf numFmtId="0" fontId="4" fillId="0" borderId="17" xfId="0" applyFont="1" applyFill="1" applyBorder="1" applyAlignment="1" quotePrefix="1">
      <alignment horizontal="left" vertical="top"/>
    </xf>
    <xf numFmtId="4" fontId="13" fillId="34" borderId="41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4" fontId="3" fillId="33" borderId="21" xfId="0" applyNumberFormat="1" applyFont="1" applyFill="1" applyBorder="1" applyAlignment="1">
      <alignment/>
    </xf>
    <xf numFmtId="4" fontId="3" fillId="33" borderId="41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left" wrapText="1"/>
    </xf>
    <xf numFmtId="4" fontId="3" fillId="0" borderId="13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2" fontId="3" fillId="0" borderId="31" xfId="0" applyNumberFormat="1" applyFont="1" applyBorder="1" applyAlignment="1">
      <alignment/>
    </xf>
    <xf numFmtId="0" fontId="4" fillId="33" borderId="54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4" fontId="3" fillId="33" borderId="56" xfId="0" applyNumberFormat="1" applyFont="1" applyFill="1" applyBorder="1" applyAlignment="1">
      <alignment/>
    </xf>
    <xf numFmtId="4" fontId="4" fillId="33" borderId="44" xfId="0" applyNumberFormat="1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4" fillId="0" borderId="17" xfId="0" applyFont="1" applyFill="1" applyBorder="1" applyAlignment="1" quotePrefix="1">
      <alignment horizontal="left" wrapText="1"/>
    </xf>
    <xf numFmtId="0" fontId="3" fillId="0" borderId="16" xfId="0" applyFont="1" applyFill="1" applyBorder="1" applyAlignment="1">
      <alignment vertical="top" wrapText="1"/>
    </xf>
    <xf numFmtId="0" fontId="59" fillId="35" borderId="0" xfId="0" applyFont="1" applyFill="1" applyAlignment="1">
      <alignment/>
    </xf>
    <xf numFmtId="4" fontId="59" fillId="35" borderId="0" xfId="0" applyNumberFormat="1" applyFont="1" applyFill="1" applyAlignment="1">
      <alignment/>
    </xf>
    <xf numFmtId="0" fontId="59" fillId="35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/>
    </xf>
    <xf numFmtId="0" fontId="4" fillId="0" borderId="1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/>
    </xf>
    <xf numFmtId="4" fontId="3" fillId="0" borderId="30" xfId="0" applyNumberFormat="1" applyFont="1" applyFill="1" applyBorder="1" applyAlignment="1">
      <alignment wrapText="1"/>
    </xf>
    <xf numFmtId="0" fontId="3" fillId="0" borderId="3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174" fontId="3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 quotePrefix="1">
      <alignment horizontal="left"/>
    </xf>
    <xf numFmtId="0" fontId="60" fillId="0" borderId="18" xfId="0" applyFont="1" applyBorder="1" applyAlignment="1">
      <alignment vertical="top"/>
    </xf>
    <xf numFmtId="174" fontId="3" fillId="0" borderId="11" xfId="0" applyNumberFormat="1" applyFont="1" applyBorder="1" applyAlignment="1">
      <alignment/>
    </xf>
    <xf numFmtId="0" fontId="59" fillId="0" borderId="0" xfId="0" applyFont="1" applyAlignment="1" quotePrefix="1">
      <alignment horizontal="left"/>
    </xf>
    <xf numFmtId="2" fontId="61" fillId="0" borderId="31" xfId="0" applyNumberFormat="1" applyFont="1" applyBorder="1" applyAlignment="1">
      <alignment vertical="top"/>
    </xf>
    <xf numFmtId="0" fontId="61" fillId="0" borderId="18" xfId="0" applyFont="1" applyBorder="1" applyAlignment="1">
      <alignment vertical="top"/>
    </xf>
    <xf numFmtId="0" fontId="61" fillId="0" borderId="31" xfId="0" applyFont="1" applyBorder="1" applyAlignment="1">
      <alignment vertical="top"/>
    </xf>
    <xf numFmtId="0" fontId="3" fillId="0" borderId="57" xfId="0" applyFont="1" applyFill="1" applyBorder="1" applyAlignment="1" quotePrefix="1">
      <alignment horizontal="right" wrapText="1"/>
    </xf>
    <xf numFmtId="0" fontId="6" fillId="0" borderId="34" xfId="0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center"/>
    </xf>
    <xf numFmtId="0" fontId="4" fillId="33" borderId="58" xfId="0" applyFont="1" applyFill="1" applyBorder="1" applyAlignment="1">
      <alignment/>
    </xf>
    <xf numFmtId="0" fontId="4" fillId="33" borderId="59" xfId="0" applyFont="1" applyFill="1" applyBorder="1" applyAlignment="1">
      <alignment/>
    </xf>
    <xf numFmtId="0" fontId="3" fillId="0" borderId="16" xfId="0" applyFont="1" applyFill="1" applyBorder="1" applyAlignment="1" quotePrefix="1">
      <alignment horizontal="left" wrapText="1"/>
    </xf>
    <xf numFmtId="2" fontId="3" fillId="0" borderId="18" xfId="0" applyNumberFormat="1" applyFont="1" applyBorder="1" applyAlignment="1" quotePrefix="1">
      <alignment horizontal="right"/>
    </xf>
    <xf numFmtId="0" fontId="4" fillId="33" borderId="39" xfId="0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12" fillId="33" borderId="6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/>
    </xf>
    <xf numFmtId="0" fontId="3" fillId="33" borderId="48" xfId="0" applyFont="1" applyFill="1" applyBorder="1" applyAlignment="1">
      <alignment horizontal="left"/>
    </xf>
    <xf numFmtId="0" fontId="3" fillId="0" borderId="18" xfId="0" applyFont="1" applyBorder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4" fillId="33" borderId="62" xfId="0" applyFont="1" applyFill="1" applyBorder="1" applyAlignment="1">
      <alignment horizontal="left"/>
    </xf>
    <xf numFmtId="2" fontId="12" fillId="33" borderId="63" xfId="0" applyNumberFormat="1" applyFont="1" applyFill="1" applyBorder="1" applyAlignment="1">
      <alignment horizontal="center"/>
    </xf>
    <xf numFmtId="39" fontId="12" fillId="33" borderId="64" xfId="0" applyNumberFormat="1" applyFont="1" applyFill="1" applyBorder="1" applyAlignment="1">
      <alignment horizontal="right"/>
    </xf>
    <xf numFmtId="4" fontId="12" fillId="33" borderId="35" xfId="0" applyNumberFormat="1" applyFont="1" applyFill="1" applyBorder="1" applyAlignment="1">
      <alignment horizontal="center"/>
    </xf>
    <xf numFmtId="4" fontId="12" fillId="33" borderId="42" xfId="0" applyNumberFormat="1" applyFont="1" applyFill="1" applyBorder="1" applyAlignment="1">
      <alignment horizontal="center"/>
    </xf>
    <xf numFmtId="4" fontId="4" fillId="34" borderId="65" xfId="0" applyNumberFormat="1" applyFont="1" applyFill="1" applyBorder="1" applyAlignment="1">
      <alignment horizontal="right" vertical="center" wrapText="1"/>
    </xf>
    <xf numFmtId="0" fontId="4" fillId="33" borderId="66" xfId="0" applyFont="1" applyFill="1" applyBorder="1" applyAlignment="1">
      <alignment horizontal="left"/>
    </xf>
    <xf numFmtId="39" fontId="3" fillId="33" borderId="21" xfId="0" applyNumberFormat="1" applyFont="1" applyFill="1" applyBorder="1" applyAlignment="1">
      <alignment horizontal="center" vertical="center" wrapText="1"/>
    </xf>
    <xf numFmtId="39" fontId="3" fillId="33" borderId="67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68" xfId="0" applyNumberFormat="1" applyFont="1" applyFill="1" applyBorder="1" applyAlignment="1">
      <alignment horizontal="right"/>
    </xf>
    <xf numFmtId="4" fontId="3" fillId="33" borderId="35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center"/>
    </xf>
    <xf numFmtId="4" fontId="3" fillId="33" borderId="52" xfId="0" applyNumberFormat="1" applyFont="1" applyFill="1" applyBorder="1" applyAlignment="1">
      <alignment horizontal="right"/>
    </xf>
    <xf numFmtId="4" fontId="3" fillId="34" borderId="41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39" fontId="3" fillId="33" borderId="11" xfId="0" applyNumberFormat="1" applyFont="1" applyFill="1" applyBorder="1" applyAlignment="1">
      <alignment horizontal="right"/>
    </xf>
    <xf numFmtId="0" fontId="4" fillId="0" borderId="10" xfId="0" applyFont="1" applyBorder="1" applyAlignment="1" quotePrefix="1">
      <alignment horizontal="left" wrapText="1"/>
    </xf>
    <xf numFmtId="39" fontId="3" fillId="33" borderId="10" xfId="0" applyNumberFormat="1" applyFont="1" applyFill="1" applyBorder="1" applyAlignment="1">
      <alignment horizontal="center"/>
    </xf>
    <xf numFmtId="39" fontId="3" fillId="33" borderId="68" xfId="0" applyNumberFormat="1" applyFont="1" applyFill="1" applyBorder="1" applyAlignment="1">
      <alignment horizontal="right"/>
    </xf>
    <xf numFmtId="39" fontId="3" fillId="33" borderId="69" xfId="0" applyNumberFormat="1" applyFont="1" applyFill="1" applyBorder="1" applyAlignment="1">
      <alignment horizontal="right"/>
    </xf>
    <xf numFmtId="37" fontId="3" fillId="33" borderId="11" xfId="0" applyNumberFormat="1" applyFont="1" applyFill="1" applyBorder="1" applyAlignment="1">
      <alignment horizontal="right"/>
    </xf>
    <xf numFmtId="2" fontId="12" fillId="33" borderId="41" xfId="0" applyNumberFormat="1" applyFont="1" applyFill="1" applyBorder="1" applyAlignment="1">
      <alignment horizontal="center"/>
    </xf>
    <xf numFmtId="39" fontId="3" fillId="33" borderId="35" xfId="0" applyNumberFormat="1" applyFont="1" applyFill="1" applyBorder="1" applyAlignment="1">
      <alignment horizontal="right"/>
    </xf>
    <xf numFmtId="2" fontId="3" fillId="33" borderId="70" xfId="0" applyNumberFormat="1" applyFont="1" applyFill="1" applyBorder="1" applyAlignment="1">
      <alignment horizontal="center"/>
    </xf>
    <xf numFmtId="39" fontId="3" fillId="33" borderId="71" xfId="0" applyNumberFormat="1" applyFont="1" applyFill="1" applyBorder="1" applyAlignment="1">
      <alignment horizontal="right"/>
    </xf>
    <xf numFmtId="4" fontId="3" fillId="33" borderId="57" xfId="0" applyNumberFormat="1" applyFont="1" applyFill="1" applyBorder="1" applyAlignment="1">
      <alignment horizontal="right"/>
    </xf>
    <xf numFmtId="4" fontId="3" fillId="33" borderId="72" xfId="0" applyNumberFormat="1" applyFont="1" applyFill="1" applyBorder="1" applyAlignment="1">
      <alignment horizontal="right"/>
    </xf>
    <xf numFmtId="4" fontId="3" fillId="33" borderId="44" xfId="0" applyNumberFormat="1" applyFont="1" applyFill="1" applyBorder="1" applyAlignment="1">
      <alignment horizontal="right"/>
    </xf>
    <xf numFmtId="4" fontId="3" fillId="33" borderId="60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/>
    </xf>
    <xf numFmtId="39" fontId="3" fillId="33" borderId="11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0" fillId="33" borderId="73" xfId="0" applyFont="1" applyFill="1" applyBorder="1" applyAlignment="1">
      <alignment/>
    </xf>
    <xf numFmtId="4" fontId="6" fillId="33" borderId="60" xfId="0" applyNumberFormat="1" applyFont="1" applyFill="1" applyBorder="1" applyAlignment="1">
      <alignment/>
    </xf>
    <xf numFmtId="0" fontId="4" fillId="33" borderId="73" xfId="0" applyFont="1" applyFill="1" applyBorder="1" applyAlignment="1">
      <alignment/>
    </xf>
    <xf numFmtId="4" fontId="3" fillId="33" borderId="60" xfId="0" applyNumberFormat="1" applyFont="1" applyFill="1" applyBorder="1" applyAlignment="1">
      <alignment/>
    </xf>
    <xf numFmtId="4" fontId="14" fillId="33" borderId="60" xfId="0" applyNumberFormat="1" applyFont="1" applyFill="1" applyBorder="1" applyAlignment="1">
      <alignment horizontal="center"/>
    </xf>
    <xf numFmtId="4" fontId="3" fillId="33" borderId="74" xfId="0" applyNumberFormat="1" applyFont="1" applyFill="1" applyBorder="1" applyAlignment="1">
      <alignment horizontal="right"/>
    </xf>
    <xf numFmtId="0" fontId="6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39" fontId="62" fillId="0" borderId="0" xfId="0" applyNumberFormat="1" applyFont="1" applyFill="1" applyAlignment="1">
      <alignment/>
    </xf>
    <xf numFmtId="173" fontId="62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4" fontId="3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3" fillId="33" borderId="60" xfId="0" applyFont="1" applyFill="1" applyBorder="1" applyAlignment="1">
      <alignment horizontal="right"/>
    </xf>
    <xf numFmtId="2" fontId="3" fillId="33" borderId="41" xfId="0" applyNumberFormat="1" applyFont="1" applyFill="1" applyBorder="1" applyAlignment="1">
      <alignment horizontal="center"/>
    </xf>
    <xf numFmtId="39" fontId="3" fillId="33" borderId="74" xfId="0" applyNumberFormat="1" applyFont="1" applyFill="1" applyBorder="1" applyAlignment="1">
      <alignment horizontal="right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/>
    </xf>
    <xf numFmtId="174" fontId="15" fillId="34" borderId="23" xfId="0" applyNumberFormat="1" applyFont="1" applyFill="1" applyBorder="1" applyAlignment="1">
      <alignment horizontal="left" wrapText="1"/>
    </xf>
    <xf numFmtId="174" fontId="15" fillId="34" borderId="75" xfId="0" applyNumberFormat="1" applyFont="1" applyFill="1" applyBorder="1" applyAlignment="1">
      <alignment horizontal="left" wrapText="1"/>
    </xf>
    <xf numFmtId="174" fontId="15" fillId="34" borderId="23" xfId="0" applyNumberFormat="1" applyFont="1" applyFill="1" applyBorder="1" applyAlignment="1">
      <alignment horizontal="left"/>
    </xf>
    <xf numFmtId="0" fontId="4" fillId="35" borderId="44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0" fillId="0" borderId="31" xfId="0" applyFont="1" applyBorder="1" applyAlignment="1">
      <alignment vertical="top"/>
    </xf>
    <xf numFmtId="185" fontId="3" fillId="0" borderId="22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/>
    </xf>
    <xf numFmtId="0" fontId="4" fillId="33" borderId="61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 wrapText="1"/>
    </xf>
    <xf numFmtId="2" fontId="3" fillId="0" borderId="18" xfId="0" applyNumberFormat="1" applyFont="1" applyBorder="1" applyAlignment="1">
      <alignment vertical="top"/>
    </xf>
    <xf numFmtId="0" fontId="6" fillId="0" borderId="29" xfId="0" applyFont="1" applyFill="1" applyBorder="1" applyAlignment="1">
      <alignment horizontal="left" vertical="top"/>
    </xf>
    <xf numFmtId="0" fontId="63" fillId="35" borderId="0" xfId="0" applyFont="1" applyFill="1" applyAlignment="1">
      <alignment/>
    </xf>
    <xf numFmtId="4" fontId="63" fillId="35" borderId="0" xfId="0" applyNumberFormat="1" applyFont="1" applyFill="1" applyAlignment="1">
      <alignment/>
    </xf>
    <xf numFmtId="0" fontId="63" fillId="35" borderId="0" xfId="0" applyNumberFormat="1" applyFont="1" applyFill="1" applyAlignment="1">
      <alignment/>
    </xf>
    <xf numFmtId="4" fontId="63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59" fillId="0" borderId="0" xfId="0" applyNumberFormat="1" applyFont="1" applyAlignment="1">
      <alignment horizontal="left"/>
    </xf>
    <xf numFmtId="2" fontId="59" fillId="0" borderId="0" xfId="0" applyNumberFormat="1" applyFont="1" applyAlignment="1">
      <alignment horizontal="left"/>
    </xf>
    <xf numFmtId="4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4" fillId="33" borderId="6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33" borderId="4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33" borderId="48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7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3" borderId="61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 wrapText="1"/>
    </xf>
    <xf numFmtId="0" fontId="3" fillId="0" borderId="48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89" zoomScaleNormal="89" zoomScalePageLayoutView="0" workbookViewId="0" topLeftCell="A25">
      <selection activeCell="D43" sqref="D43"/>
    </sheetView>
  </sheetViews>
  <sheetFormatPr defaultColWidth="11.57421875" defaultRowHeight="12.75"/>
  <cols>
    <col min="1" max="1" width="55.7109375" style="0" customWidth="1"/>
    <col min="2" max="2" width="13.8515625" style="0" customWidth="1"/>
    <col min="3" max="3" width="25.140625" style="0" customWidth="1"/>
    <col min="4" max="4" width="18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113</v>
      </c>
      <c r="B4" s="448"/>
      <c r="C4" s="448"/>
      <c r="D4" s="448"/>
    </row>
    <row r="5" spans="1:4" ht="12.75">
      <c r="A5" s="449" t="s">
        <v>251</v>
      </c>
      <c r="B5" s="448"/>
      <c r="C5" s="448"/>
      <c r="D5" s="448"/>
    </row>
    <row r="6" ht="9" customHeight="1">
      <c r="A6" s="2"/>
    </row>
    <row r="7" spans="1:4" ht="33.75" customHeight="1">
      <c r="A7" s="450" t="s">
        <v>2</v>
      </c>
      <c r="B7" s="450"/>
      <c r="C7" s="450"/>
      <c r="D7" s="450"/>
    </row>
    <row r="8" spans="1:4" ht="12.75">
      <c r="A8" s="152" t="s">
        <v>132</v>
      </c>
      <c r="B8" s="150"/>
      <c r="C8" s="153"/>
      <c r="D8" s="150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10" ht="26.25">
      <c r="A15" s="17" t="s">
        <v>10</v>
      </c>
      <c r="B15" s="161" t="s">
        <v>11</v>
      </c>
      <c r="C15" s="164">
        <v>-49054.69</v>
      </c>
      <c r="D15" s="163"/>
      <c r="E15" s="88"/>
      <c r="F15" s="88"/>
      <c r="G15" s="88"/>
      <c r="H15" s="88"/>
      <c r="I15" s="88"/>
      <c r="J15" s="88"/>
    </row>
    <row r="16" spans="1:10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  <c r="J16" s="88"/>
    </row>
    <row r="17" spans="1:10" ht="15.75">
      <c r="A17" s="20" t="s">
        <v>13</v>
      </c>
      <c r="B17" s="161" t="s">
        <v>11</v>
      </c>
      <c r="C17" s="164">
        <v>241007.65</v>
      </c>
      <c r="D17" s="165"/>
      <c r="E17" s="88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51034.08</v>
      </c>
      <c r="D18" s="165"/>
      <c r="E18" s="89">
        <f>C18-C20</f>
        <v>43482.18</v>
      </c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28176.996</v>
      </c>
      <c r="D19" s="165"/>
      <c r="E19" s="89">
        <f>E18-E42</f>
        <v>0.01800000001094304</v>
      </c>
      <c r="F19" s="88"/>
      <c r="G19" s="88"/>
      <c r="H19" s="88"/>
      <c r="I19" s="88"/>
      <c r="J19" s="88"/>
    </row>
    <row r="20" spans="1:10" ht="15.75">
      <c r="A20" s="20" t="s">
        <v>16</v>
      </c>
      <c r="B20" s="161" t="s">
        <v>11</v>
      </c>
      <c r="C20" s="164">
        <f>(2.31+2.19)*6*279.7</f>
        <v>7551.9</v>
      </c>
      <c r="D20" s="165"/>
      <c r="E20" s="90"/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279.7*(4.44+4.68)*6</f>
        <v>15305.184000000001</v>
      </c>
      <c r="D21" s="165"/>
      <c r="E21" s="88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C23+C24+C25+C26+C27</f>
        <v>74964.63144000001</v>
      </c>
      <c r="D22" s="165" t="s">
        <v>19</v>
      </c>
      <c r="E22" s="89"/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C18*1.368</f>
        <v>69814.62144</v>
      </c>
      <c r="D23" s="165"/>
      <c r="E23" s="88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  <c r="J25" s="88"/>
    </row>
    <row r="26" spans="1:10" ht="15.75">
      <c r="A26" s="158" t="s">
        <v>24</v>
      </c>
      <c r="B26" s="161" t="s">
        <v>11</v>
      </c>
      <c r="C26" s="164">
        <f>179.55*6*(2.31+2.19)</f>
        <v>4847.85</v>
      </c>
      <c r="D26" s="167"/>
      <c r="E26" s="90" t="e">
        <f>B26/#REF!*1</f>
        <v>#VALUE!</v>
      </c>
      <c r="F26" s="88"/>
      <c r="G26" s="88"/>
      <c r="H26" s="88"/>
      <c r="I26" s="88"/>
      <c r="J26" s="88"/>
    </row>
    <row r="27" spans="1:10" ht="16.5" customHeight="1">
      <c r="A27" s="168" t="s">
        <v>249</v>
      </c>
      <c r="B27" s="161" t="s">
        <v>11</v>
      </c>
      <c r="C27" s="164">
        <v>302.16</v>
      </c>
      <c r="D27" s="167">
        <v>139.18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15.75">
      <c r="A28" s="20" t="s">
        <v>25</v>
      </c>
      <c r="B28" s="161" t="s">
        <v>11</v>
      </c>
      <c r="C28" s="164">
        <f>C15+C22</f>
        <v>25909.94144000001</v>
      </c>
      <c r="D28" s="165" t="s">
        <v>26</v>
      </c>
      <c r="E28" s="90" t="e">
        <f>B28/#REF!*1</f>
        <v>#VALUE!</v>
      </c>
      <c r="F28" s="88"/>
      <c r="G28" s="88"/>
      <c r="H28" s="88"/>
      <c r="I28" s="88"/>
      <c r="J28" s="88"/>
    </row>
    <row r="29" spans="1:10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  <c r="J29" s="88"/>
    </row>
    <row r="30" spans="1:10" ht="51">
      <c r="A30" s="169" t="s">
        <v>28</v>
      </c>
      <c r="B30" s="170" t="s">
        <v>29</v>
      </c>
      <c r="C30" s="171" t="s">
        <v>30</v>
      </c>
      <c r="D30" s="172" t="s">
        <v>31</v>
      </c>
      <c r="E30" s="88"/>
      <c r="F30" s="88"/>
      <c r="G30" s="88"/>
      <c r="H30" s="88"/>
      <c r="I30" s="88"/>
      <c r="J30" s="88"/>
    </row>
    <row r="31" spans="1:10" ht="15.75">
      <c r="A31" s="173" t="s">
        <v>32</v>
      </c>
      <c r="B31" s="174" t="s">
        <v>33</v>
      </c>
      <c r="C31" s="175" t="s">
        <v>34</v>
      </c>
      <c r="D31" s="176">
        <f>(0.94+0.89)*6*279.7</f>
        <v>3071.1059999999998</v>
      </c>
      <c r="E31" s="88"/>
      <c r="F31" s="88"/>
      <c r="G31" s="88"/>
      <c r="H31" s="88"/>
      <c r="I31" s="88"/>
      <c r="J31" s="88"/>
    </row>
    <row r="32" spans="1:10" ht="15.75">
      <c r="A32" s="177" t="s">
        <v>72</v>
      </c>
      <c r="B32" s="178" t="s">
        <v>73</v>
      </c>
      <c r="C32" s="179" t="s">
        <v>34</v>
      </c>
      <c r="D32" s="180">
        <f>(2.59+2.73)*6*279.7</f>
        <v>8928.024</v>
      </c>
      <c r="E32" s="88"/>
      <c r="F32" s="88"/>
      <c r="G32" s="88"/>
      <c r="H32" s="88"/>
      <c r="I32" s="88"/>
      <c r="J32" s="88"/>
    </row>
    <row r="33" spans="1:10" ht="15.75">
      <c r="A33" s="177" t="s">
        <v>36</v>
      </c>
      <c r="B33" s="178" t="s">
        <v>33</v>
      </c>
      <c r="C33" s="179" t="s">
        <v>37</v>
      </c>
      <c r="D33" s="180">
        <f>(0.26+0.27)*6*279.7</f>
        <v>889.446</v>
      </c>
      <c r="E33" s="88"/>
      <c r="F33" s="88"/>
      <c r="G33" s="88"/>
      <c r="H33" s="88"/>
      <c r="I33" s="88"/>
      <c r="J33" s="88"/>
    </row>
    <row r="34" spans="1:10" ht="15.75">
      <c r="A34" s="177" t="s">
        <v>76</v>
      </c>
      <c r="B34" s="305" t="s">
        <v>33</v>
      </c>
      <c r="C34" s="179" t="s">
        <v>34</v>
      </c>
      <c r="D34" s="180">
        <f>(1+0.95)*6*279.7</f>
        <v>3272.49</v>
      </c>
      <c r="E34" s="88"/>
      <c r="F34" s="88"/>
      <c r="G34" s="88"/>
      <c r="H34" s="88"/>
      <c r="I34" s="88"/>
      <c r="J34" s="88"/>
    </row>
    <row r="35" spans="1:10" ht="26.25">
      <c r="A35" s="370" t="s">
        <v>224</v>
      </c>
      <c r="B35" s="178" t="s">
        <v>33</v>
      </c>
      <c r="C35" s="179" t="s">
        <v>34</v>
      </c>
      <c r="D35" s="180">
        <f>(1.55+1.64)*6*279.7</f>
        <v>5353.458</v>
      </c>
      <c r="E35" s="88"/>
      <c r="F35" s="88"/>
      <c r="G35" s="88"/>
      <c r="H35" s="88"/>
      <c r="I35" s="88"/>
      <c r="J35" s="88"/>
    </row>
    <row r="36" spans="1:10" ht="31.5">
      <c r="A36" s="177" t="s">
        <v>78</v>
      </c>
      <c r="B36" s="183" t="s">
        <v>79</v>
      </c>
      <c r="C36" s="179" t="s">
        <v>34</v>
      </c>
      <c r="D36" s="180">
        <f>(1.44+1.52)*6*279.7</f>
        <v>4967.471999999999</v>
      </c>
      <c r="E36" s="88"/>
      <c r="F36" s="88"/>
      <c r="G36" s="88"/>
      <c r="H36" s="88"/>
      <c r="I36" s="88"/>
      <c r="J36" s="88"/>
    </row>
    <row r="37" spans="1:10" ht="15.75">
      <c r="A37" s="177" t="s">
        <v>38</v>
      </c>
      <c r="B37" s="178" t="s">
        <v>35</v>
      </c>
      <c r="C37" s="304" t="s">
        <v>194</v>
      </c>
      <c r="D37" s="180">
        <f>(4.44+4.68)*279.7*6</f>
        <v>15305.184000000001</v>
      </c>
      <c r="E37" s="88"/>
      <c r="F37" s="88"/>
      <c r="G37" s="88"/>
      <c r="H37" s="88"/>
      <c r="I37" s="88"/>
      <c r="J37" s="88"/>
    </row>
    <row r="38" spans="1:14" s="1" customFormat="1" ht="15.75">
      <c r="A38" s="186" t="s">
        <v>184</v>
      </c>
      <c r="B38" s="187"/>
      <c r="C38" s="188"/>
      <c r="D38" s="148"/>
      <c r="E38" s="88"/>
      <c r="F38" s="88"/>
      <c r="G38" s="88"/>
      <c r="H38" s="88"/>
      <c r="I38" s="88"/>
      <c r="J38" s="88"/>
      <c r="K38"/>
      <c r="L38"/>
      <c r="M38"/>
      <c r="N38"/>
    </row>
    <row r="39" spans="1:14" s="1" customFormat="1" ht="31.5">
      <c r="A39" s="189" t="s">
        <v>186</v>
      </c>
      <c r="B39" s="187" t="s">
        <v>35</v>
      </c>
      <c r="C39" s="188" t="s">
        <v>185</v>
      </c>
      <c r="D39" s="148">
        <v>396.73</v>
      </c>
      <c r="E39" s="410">
        <v>251.58</v>
      </c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189" t="s">
        <v>200</v>
      </c>
      <c r="B40" s="187" t="s">
        <v>195</v>
      </c>
      <c r="C40" s="179" t="s">
        <v>37</v>
      </c>
      <c r="D40" s="146">
        <f>(0.52+0.49)*6*279.7</f>
        <v>1694.982</v>
      </c>
      <c r="E40" s="88"/>
      <c r="F40" s="88"/>
      <c r="G40" s="88"/>
      <c r="H40" s="88"/>
      <c r="I40" s="88"/>
      <c r="J40" s="88"/>
      <c r="K40"/>
      <c r="L40"/>
      <c r="M40"/>
      <c r="N40"/>
    </row>
    <row r="41" spans="1:14" s="1" customFormat="1" ht="78.75">
      <c r="A41" s="190" t="s">
        <v>201</v>
      </c>
      <c r="B41" s="187" t="s">
        <v>41</v>
      </c>
      <c r="C41" s="175"/>
      <c r="D41" s="318">
        <v>0</v>
      </c>
      <c r="E41" s="88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37" t="s">
        <v>42</v>
      </c>
      <c r="B42" s="192"/>
      <c r="C42" s="193"/>
      <c r="D42" s="84">
        <f>D31+D32+D33+D34+D35+D36+D37+D39+D40+D41</f>
        <v>43878.89199999999</v>
      </c>
      <c r="E42" s="151">
        <f>D42-D39-D41</f>
        <v>43482.16199999999</v>
      </c>
      <c r="F42" s="88"/>
      <c r="G42" s="88"/>
      <c r="H42" s="88"/>
      <c r="I42" s="88"/>
      <c r="J42" s="88"/>
      <c r="K42"/>
      <c r="L42"/>
      <c r="M42"/>
      <c r="N42"/>
    </row>
    <row r="43" spans="1:14" s="1" customFormat="1" ht="26.25">
      <c r="A43" s="129" t="s">
        <v>43</v>
      </c>
      <c r="B43" s="194" t="s">
        <v>11</v>
      </c>
      <c r="C43" s="195"/>
      <c r="D43" s="196">
        <f>C28-D42</f>
        <v>-17968.950559999983</v>
      </c>
      <c r="E43" s="91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12</v>
      </c>
      <c r="B44" s="198" t="s">
        <v>11</v>
      </c>
      <c r="C44" s="179"/>
      <c r="D44" s="163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7" t="s">
        <v>13</v>
      </c>
      <c r="B45" s="198" t="s">
        <v>11</v>
      </c>
      <c r="C45" s="179"/>
      <c r="D45" s="165">
        <v>214567.67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24" customHeight="1">
      <c r="A46" s="443" t="s">
        <v>44</v>
      </c>
      <c r="B46" s="443"/>
      <c r="C46" s="443"/>
      <c r="D46" s="443"/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15.75">
      <c r="A47" s="197" t="s">
        <v>45</v>
      </c>
      <c r="B47" s="178" t="s">
        <v>46</v>
      </c>
      <c r="C47" s="179">
        <v>0</v>
      </c>
      <c r="D47" s="163">
        <v>0</v>
      </c>
      <c r="E47" s="88"/>
      <c r="F47" s="88"/>
      <c r="G47" s="88"/>
      <c r="H47" s="88"/>
      <c r="I47" s="88"/>
      <c r="J47" s="88"/>
      <c r="K47"/>
      <c r="L47"/>
      <c r="M47"/>
      <c r="N47"/>
    </row>
    <row r="48" spans="1:14" s="1" customFormat="1" ht="15.75">
      <c r="A48" s="197" t="s">
        <v>47</v>
      </c>
      <c r="B48" s="178" t="s">
        <v>46</v>
      </c>
      <c r="C48" s="179">
        <v>0</v>
      </c>
      <c r="D48" s="163">
        <v>0</v>
      </c>
      <c r="E48" s="88"/>
      <c r="F48" s="88"/>
      <c r="G48" s="88"/>
      <c r="H48" s="88"/>
      <c r="I48" s="88"/>
      <c r="J48" s="88"/>
      <c r="K48"/>
      <c r="L48"/>
      <c r="M48"/>
      <c r="N48"/>
    </row>
    <row r="49" spans="1:14" s="1" customFormat="1" ht="26.25">
      <c r="A49" s="199" t="s">
        <v>48</v>
      </c>
      <c r="B49" s="178" t="s">
        <v>46</v>
      </c>
      <c r="C49" s="179">
        <v>0</v>
      </c>
      <c r="D49" s="163">
        <v>0</v>
      </c>
      <c r="E49" s="88"/>
      <c r="F49" s="88"/>
      <c r="G49" s="88"/>
      <c r="H49" s="88"/>
      <c r="I49" s="88"/>
      <c r="J49" s="88"/>
      <c r="K49"/>
      <c r="L49"/>
      <c r="M49"/>
      <c r="N49"/>
    </row>
    <row r="50" spans="1:14" s="1" customFormat="1" ht="15.75">
      <c r="A50" s="197" t="s">
        <v>49</v>
      </c>
      <c r="B50" s="178" t="s">
        <v>11</v>
      </c>
      <c r="C50" s="179">
        <v>0</v>
      </c>
      <c r="D50" s="163">
        <v>0</v>
      </c>
      <c r="E50" s="88"/>
      <c r="F50" s="88"/>
      <c r="G50" s="88"/>
      <c r="H50" s="88"/>
      <c r="I50" s="88"/>
      <c r="J50" s="88"/>
      <c r="K50"/>
      <c r="L50"/>
      <c r="M50"/>
      <c r="N50"/>
    </row>
    <row r="51" spans="1:14" ht="17.25" customHeight="1">
      <c r="A51" s="444" t="s">
        <v>228</v>
      </c>
      <c r="B51" s="444"/>
      <c r="C51" s="444"/>
      <c r="D51" s="444"/>
      <c r="E51" s="99" t="e">
        <f>D51+B19</f>
        <v>#VALUE!</v>
      </c>
      <c r="F51" s="98"/>
      <c r="G51" s="88"/>
      <c r="H51" s="100" t="e">
        <f>E51-B18</f>
        <v>#VALUE!</v>
      </c>
      <c r="I51" s="56"/>
      <c r="J51" s="56"/>
      <c r="K51" s="57"/>
      <c r="L51" s="57"/>
      <c r="M51" s="57"/>
      <c r="N51" s="57"/>
    </row>
    <row r="52" spans="1:8" ht="21" customHeight="1">
      <c r="A52" s="73" t="s">
        <v>45</v>
      </c>
      <c r="B52" s="73" t="s">
        <v>46</v>
      </c>
      <c r="C52" s="73">
        <v>0</v>
      </c>
      <c r="D52" s="149">
        <v>0</v>
      </c>
      <c r="E52" s="101"/>
      <c r="F52" s="88"/>
      <c r="G52" s="88"/>
      <c r="H52" s="88"/>
    </row>
    <row r="53" spans="1:8" ht="21" customHeight="1">
      <c r="A53" s="73" t="s">
        <v>47</v>
      </c>
      <c r="B53" s="73" t="s">
        <v>46</v>
      </c>
      <c r="C53" s="73">
        <v>0</v>
      </c>
      <c r="D53" s="149">
        <v>0</v>
      </c>
      <c r="E53" s="101"/>
      <c r="F53" s="88"/>
      <c r="G53" s="88"/>
      <c r="H53" s="88"/>
    </row>
    <row r="54" spans="1:8" ht="18" customHeight="1">
      <c r="A54" s="73" t="s">
        <v>48</v>
      </c>
      <c r="B54" s="73" t="s">
        <v>46</v>
      </c>
      <c r="C54" s="73">
        <v>0</v>
      </c>
      <c r="D54" s="149">
        <v>0</v>
      </c>
      <c r="E54" s="101"/>
      <c r="F54" s="88"/>
      <c r="G54" s="88"/>
      <c r="H54" s="88"/>
    </row>
    <row r="55" spans="1:8" ht="16.5" customHeight="1">
      <c r="A55" s="73" t="s">
        <v>49</v>
      </c>
      <c r="B55" s="73" t="s">
        <v>11</v>
      </c>
      <c r="C55" s="73">
        <v>0</v>
      </c>
      <c r="D55" s="149">
        <v>0</v>
      </c>
      <c r="E55" s="101"/>
      <c r="F55" s="88"/>
      <c r="G55" s="88"/>
      <c r="H55" s="88"/>
    </row>
    <row r="56" spans="1:8" ht="15.75" customHeight="1">
      <c r="A56" s="440" t="s">
        <v>229</v>
      </c>
      <c r="B56" s="440"/>
      <c r="C56" s="440"/>
      <c r="D56" s="440"/>
      <c r="E56" s="101"/>
      <c r="F56" s="88"/>
      <c r="G56" s="88"/>
      <c r="H56" s="88"/>
    </row>
    <row r="57" spans="1:8" ht="18.75" customHeight="1">
      <c r="A57" s="73" t="s">
        <v>66</v>
      </c>
      <c r="B57" s="73" t="s">
        <v>46</v>
      </c>
      <c r="C57" s="73"/>
      <c r="D57" s="149">
        <v>3</v>
      </c>
      <c r="E57" s="101"/>
      <c r="F57" s="88"/>
      <c r="G57" s="88"/>
      <c r="H57" s="88"/>
    </row>
    <row r="58" spans="1:8" ht="21.75" customHeight="1">
      <c r="A58" s="73" t="s">
        <v>67</v>
      </c>
      <c r="B58" s="221" t="s">
        <v>46</v>
      </c>
      <c r="C58" s="221"/>
      <c r="D58" s="149">
        <v>1</v>
      </c>
      <c r="E58" s="101"/>
      <c r="F58" s="88"/>
      <c r="G58" s="88"/>
      <c r="H58" s="88"/>
    </row>
    <row r="59" spans="1:8" ht="36" customHeight="1">
      <c r="A59" s="222" t="s">
        <v>68</v>
      </c>
      <c r="B59" s="73" t="s">
        <v>11</v>
      </c>
      <c r="C59" s="73"/>
      <c r="D59" s="149">
        <v>26440</v>
      </c>
      <c r="E59" s="101"/>
      <c r="F59" s="88"/>
      <c r="G59" s="88"/>
      <c r="H59" s="88"/>
    </row>
    <row r="60" spans="1:8" ht="15.75">
      <c r="A60" s="223"/>
      <c r="B60" s="223"/>
      <c r="C60" s="223"/>
      <c r="D60" s="224"/>
      <c r="E60" s="88"/>
      <c r="F60" s="88"/>
      <c r="G60" s="88"/>
      <c r="H60" s="88"/>
    </row>
    <row r="61" spans="1:14" s="1" customFormat="1" ht="12.75">
      <c r="A61" s="150"/>
      <c r="B61" s="150"/>
      <c r="C61" s="150"/>
      <c r="D61" s="150"/>
      <c r="E61" s="88"/>
      <c r="F61" s="88"/>
      <c r="G61" s="88"/>
      <c r="H61" s="88" t="s">
        <v>26</v>
      </c>
      <c r="K61"/>
      <c r="L61"/>
      <c r="M61"/>
      <c r="N61"/>
    </row>
    <row r="62" spans="1:14" s="1" customFormat="1" ht="12.75">
      <c r="A62" s="150" t="s">
        <v>69</v>
      </c>
      <c r="B62" s="150"/>
      <c r="C62" s="150" t="s">
        <v>131</v>
      </c>
      <c r="D62" s="150"/>
      <c r="E62" s="88"/>
      <c r="F62" s="88"/>
      <c r="G62" s="88"/>
      <c r="H62" s="88"/>
      <c r="K62"/>
      <c r="L62"/>
      <c r="M62"/>
      <c r="N62"/>
    </row>
    <row r="63" spans="1:14" s="1" customFormat="1" ht="12.75">
      <c r="A63" s="150"/>
      <c r="B63" s="150"/>
      <c r="C63" s="150"/>
      <c r="D63" s="150"/>
      <c r="E63" s="88"/>
      <c r="F63" s="88"/>
      <c r="G63" s="88"/>
      <c r="H63" s="88" t="s">
        <v>26</v>
      </c>
      <c r="K63"/>
      <c r="L63"/>
      <c r="M63"/>
      <c r="N63"/>
    </row>
    <row r="64" spans="1:14" s="1" customFormat="1" ht="12.75">
      <c r="A64" s="150" t="s">
        <v>70</v>
      </c>
      <c r="B64" s="150"/>
      <c r="C64" s="150"/>
      <c r="D64" s="150"/>
      <c r="E64" s="88"/>
      <c r="F64" s="88"/>
      <c r="G64" s="88"/>
      <c r="H64" s="88"/>
      <c r="K64"/>
      <c r="L64"/>
      <c r="M64"/>
      <c r="N64"/>
    </row>
    <row r="65" spans="1:8" ht="12.75">
      <c r="A65" s="150"/>
      <c r="B65" s="150"/>
      <c r="C65" s="150"/>
      <c r="D65" s="150"/>
      <c r="E65" s="88"/>
      <c r="F65" s="88"/>
      <c r="G65" s="88"/>
      <c r="H65" s="88"/>
    </row>
    <row r="66" spans="5:8" ht="12.75">
      <c r="E66" s="88"/>
      <c r="F66" s="88"/>
      <c r="G66" s="88"/>
      <c r="H66" s="88"/>
    </row>
    <row r="68" spans="1:14" s="1" customFormat="1" ht="12.75">
      <c r="A68"/>
      <c r="B68"/>
      <c r="C68"/>
      <c r="D68"/>
      <c r="E68" s="1" t="s">
        <v>26</v>
      </c>
      <c r="K68"/>
      <c r="L68"/>
      <c r="M68"/>
      <c r="N68"/>
    </row>
  </sheetData>
  <sheetProtection selectLockedCells="1" selectUnlockedCells="1"/>
  <mergeCells count="11">
    <mergeCell ref="A7:D7"/>
    <mergeCell ref="A56:D56"/>
    <mergeCell ref="A14:D14"/>
    <mergeCell ref="A29:D29"/>
    <mergeCell ref="A46:D46"/>
    <mergeCell ref="A51:D51"/>
    <mergeCell ref="A1:D1"/>
    <mergeCell ref="A2:D2"/>
    <mergeCell ref="A3:D3"/>
    <mergeCell ref="A4:D4"/>
    <mergeCell ref="A5:D5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112" zoomScaleNormal="112" zoomScalePageLayoutView="0" workbookViewId="0" topLeftCell="A42">
      <selection activeCell="A2" sqref="A2:D74"/>
    </sheetView>
  </sheetViews>
  <sheetFormatPr defaultColWidth="11.57421875" defaultRowHeight="12.75"/>
  <cols>
    <col min="1" max="1" width="54.421875" style="0" customWidth="1"/>
    <col min="2" max="2" width="14.57421875" style="0" customWidth="1"/>
    <col min="3" max="3" width="25.7109375" style="0" customWidth="1"/>
    <col min="4" max="4" width="18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26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89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35.25" customHeight="1">
      <c r="A7" s="450" t="s">
        <v>2</v>
      </c>
      <c r="B7" s="450"/>
      <c r="C7" s="450"/>
      <c r="D7" s="450"/>
    </row>
    <row r="8" spans="1:5" ht="12.75">
      <c r="A8" s="152" t="s">
        <v>208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9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  <c r="I13" s="88"/>
    </row>
    <row r="14" spans="1:9" ht="31.5" customHeight="1">
      <c r="A14" s="441" t="s">
        <v>9</v>
      </c>
      <c r="B14" s="441"/>
      <c r="C14" s="441"/>
      <c r="D14" s="441"/>
      <c r="E14" s="88"/>
      <c r="F14" s="88"/>
      <c r="G14" s="88"/>
      <c r="H14" s="88"/>
      <c r="I14" s="88"/>
    </row>
    <row r="15" spans="1:9" ht="26.25">
      <c r="A15" s="17" t="s">
        <v>10</v>
      </c>
      <c r="B15" s="161" t="s">
        <v>11</v>
      </c>
      <c r="C15" s="164">
        <v>-16314.97</v>
      </c>
      <c r="D15" s="163"/>
      <c r="E15" s="88"/>
      <c r="F15" s="88"/>
      <c r="G15" s="88"/>
      <c r="H15" s="88"/>
      <c r="I15" s="88"/>
    </row>
    <row r="16" spans="1:9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</row>
    <row r="17" spans="1:9" ht="15.75">
      <c r="A17" s="20" t="s">
        <v>13</v>
      </c>
      <c r="B17" s="161" t="s">
        <v>11</v>
      </c>
      <c r="C17" s="164">
        <v>170047.86</v>
      </c>
      <c r="D17" s="165"/>
      <c r="E17" s="88"/>
      <c r="F17" s="88"/>
      <c r="G17" s="88"/>
      <c r="H17" s="88"/>
      <c r="I17" s="88"/>
    </row>
    <row r="18" spans="1:9" ht="31.5" customHeight="1">
      <c r="A18" s="17" t="s">
        <v>14</v>
      </c>
      <c r="B18" s="161" t="s">
        <v>11</v>
      </c>
      <c r="C18" s="164">
        <v>253121.66</v>
      </c>
      <c r="D18" s="165"/>
      <c r="E18" s="89">
        <f>C18-C20</f>
        <v>193343.6312</v>
      </c>
      <c r="F18" s="88"/>
      <c r="G18" s="88"/>
      <c r="H18" s="88"/>
      <c r="I18" s="88"/>
    </row>
    <row r="19" spans="1:9" ht="15.75">
      <c r="A19" s="20" t="s">
        <v>15</v>
      </c>
      <c r="B19" s="161" t="s">
        <v>11</v>
      </c>
      <c r="C19" s="164">
        <f>C18-C20-C21</f>
        <v>131949.97999999998</v>
      </c>
      <c r="D19" s="165"/>
      <c r="E19" s="89">
        <f>E18-E45</f>
        <v>74.80159999994794</v>
      </c>
      <c r="F19" s="88"/>
      <c r="G19" s="88"/>
      <c r="H19" s="88"/>
      <c r="I19" s="88"/>
    </row>
    <row r="20" spans="1:9" ht="15.75">
      <c r="A20" s="20" t="s">
        <v>16</v>
      </c>
      <c r="B20" s="161" t="s">
        <v>11</v>
      </c>
      <c r="C20" s="164">
        <f>(4.56+4.32)*6*1121.96</f>
        <v>59778.02879999999</v>
      </c>
      <c r="D20" s="165"/>
      <c r="E20" s="90"/>
      <c r="F20" s="88"/>
      <c r="G20" s="88"/>
      <c r="H20" s="88"/>
      <c r="I20" s="88"/>
    </row>
    <row r="21" spans="1:9" ht="15.75">
      <c r="A21" s="20" t="s">
        <v>17</v>
      </c>
      <c r="B21" s="161" t="s">
        <v>11</v>
      </c>
      <c r="C21" s="166">
        <f>1121.96*(4.44+4.68)*6</f>
        <v>61393.65120000001</v>
      </c>
      <c r="D21" s="165"/>
      <c r="E21" s="88"/>
      <c r="F21" s="88"/>
      <c r="G21" s="88"/>
      <c r="H21" s="88"/>
      <c r="I21" s="88"/>
    </row>
    <row r="22" spans="1:9" ht="15.75">
      <c r="A22" s="20" t="s">
        <v>18</v>
      </c>
      <c r="B22" s="161" t="s">
        <v>11</v>
      </c>
      <c r="C22" s="164">
        <f>C23+C24+C25</f>
        <v>238440.60371999998</v>
      </c>
      <c r="D22" s="165" t="s">
        <v>19</v>
      </c>
      <c r="E22" s="89" t="e">
        <f>B24+B25+#REF!+#REF!+B26</f>
        <v>#VALUE!</v>
      </c>
      <c r="F22" s="88"/>
      <c r="G22" s="88"/>
      <c r="H22" s="88"/>
      <c r="I22" s="88"/>
    </row>
    <row r="23" spans="1:9" ht="15.75">
      <c r="A23" s="20" t="s">
        <v>20</v>
      </c>
      <c r="B23" s="161" t="s">
        <v>11</v>
      </c>
      <c r="C23" s="164">
        <f>C18*0.942</f>
        <v>238440.60371999998</v>
      </c>
      <c r="D23" s="165"/>
      <c r="E23" s="88"/>
      <c r="F23" s="88"/>
      <c r="G23" s="88"/>
      <c r="H23" s="88"/>
      <c r="I23" s="88"/>
    </row>
    <row r="24" spans="1:9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</row>
    <row r="25" spans="1:9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</row>
    <row r="26" spans="1:9" ht="15.75">
      <c r="A26" s="20" t="s">
        <v>25</v>
      </c>
      <c r="B26" s="161" t="s">
        <v>11</v>
      </c>
      <c r="C26" s="164">
        <f>C15+C22</f>
        <v>222125.63371999998</v>
      </c>
      <c r="D26" s="165" t="s">
        <v>26</v>
      </c>
      <c r="E26" s="90" t="e">
        <f>B26/#REF!*1</f>
        <v>#VALUE!</v>
      </c>
      <c r="F26" s="88"/>
      <c r="G26" s="88"/>
      <c r="H26" s="88"/>
      <c r="I26" s="88"/>
    </row>
    <row r="27" spans="1:9" ht="35.25" customHeight="1">
      <c r="A27" s="442" t="s">
        <v>27</v>
      </c>
      <c r="B27" s="442"/>
      <c r="C27" s="442"/>
      <c r="D27" s="442"/>
      <c r="E27" s="88"/>
      <c r="F27" s="88"/>
      <c r="G27" s="88"/>
      <c r="H27" s="88"/>
      <c r="I27" s="88"/>
    </row>
    <row r="28" spans="1:9" ht="51">
      <c r="A28" s="169" t="s">
        <v>28</v>
      </c>
      <c r="B28" s="170" t="s">
        <v>29</v>
      </c>
      <c r="C28" s="171" t="s">
        <v>30</v>
      </c>
      <c r="D28" s="172" t="s">
        <v>31</v>
      </c>
      <c r="E28" s="88"/>
      <c r="F28" s="88"/>
      <c r="G28" s="88"/>
      <c r="H28" s="88"/>
      <c r="I28" s="88"/>
    </row>
    <row r="29" spans="1:9" ht="15.75">
      <c r="A29" s="173" t="s">
        <v>32</v>
      </c>
      <c r="B29" s="174" t="s">
        <v>33</v>
      </c>
      <c r="C29" s="179" t="s">
        <v>34</v>
      </c>
      <c r="D29" s="176">
        <f>(0.71+0.67)*6*1121.96</f>
        <v>9289.8288</v>
      </c>
      <c r="E29" s="88"/>
      <c r="F29" s="88"/>
      <c r="G29" s="88"/>
      <c r="H29" s="88"/>
      <c r="I29" s="88"/>
    </row>
    <row r="30" spans="1:9" ht="15.75">
      <c r="A30" s="177" t="s">
        <v>72</v>
      </c>
      <c r="B30" s="178" t="s">
        <v>73</v>
      </c>
      <c r="C30" s="179" t="s">
        <v>34</v>
      </c>
      <c r="D30" s="180">
        <f>(2.59+2.73)*6*1121.96</f>
        <v>35812.963200000006</v>
      </c>
      <c r="E30" s="88"/>
      <c r="F30" s="88"/>
      <c r="G30" s="88"/>
      <c r="H30" s="88"/>
      <c r="I30" s="88"/>
    </row>
    <row r="31" spans="1:9" ht="15.75">
      <c r="A31" s="177" t="s">
        <v>203</v>
      </c>
      <c r="B31" s="178" t="s">
        <v>35</v>
      </c>
      <c r="C31" s="304" t="s">
        <v>221</v>
      </c>
      <c r="D31" s="180">
        <f>(0.19+0.2)*1121.96*6</f>
        <v>2625.3864000000003</v>
      </c>
      <c r="E31" s="88" t="s">
        <v>222</v>
      </c>
      <c r="F31" s="88"/>
      <c r="G31" s="88"/>
      <c r="H31" s="88"/>
      <c r="I31" s="88"/>
    </row>
    <row r="32" spans="1:9" ht="15.75">
      <c r="A32" s="177" t="s">
        <v>36</v>
      </c>
      <c r="B32" s="178" t="s">
        <v>75</v>
      </c>
      <c r="C32" s="179" t="s">
        <v>37</v>
      </c>
      <c r="D32" s="180">
        <f>(0.52+0.55)*6*1121.96</f>
        <v>7202.983200000001</v>
      </c>
      <c r="E32" s="88"/>
      <c r="F32" s="88"/>
      <c r="G32" s="88"/>
      <c r="H32" s="88"/>
      <c r="I32" s="88"/>
    </row>
    <row r="33" spans="1:9" ht="15.75">
      <c r="A33" s="177" t="s">
        <v>76</v>
      </c>
      <c r="B33" s="305" t="s">
        <v>33</v>
      </c>
      <c r="C33" s="179" t="s">
        <v>34</v>
      </c>
      <c r="D33" s="180">
        <f>(0.84+0.88)*6*1121.96</f>
        <v>11578.6272</v>
      </c>
      <c r="E33" s="88"/>
      <c r="F33" s="88"/>
      <c r="G33" s="88"/>
      <c r="H33" s="88"/>
      <c r="I33" s="88"/>
    </row>
    <row r="34" spans="1:9" ht="15.75">
      <c r="A34" s="177" t="s">
        <v>77</v>
      </c>
      <c r="B34" s="178" t="s">
        <v>33</v>
      </c>
      <c r="C34" s="179" t="s">
        <v>34</v>
      </c>
      <c r="D34" s="180">
        <f>(1.4+1.49)*6*1121.96</f>
        <v>19454.786399999997</v>
      </c>
      <c r="E34" s="88"/>
      <c r="F34" s="88"/>
      <c r="G34" s="88"/>
      <c r="H34" s="88"/>
      <c r="I34" s="88"/>
    </row>
    <row r="35" spans="1:9" ht="31.5">
      <c r="A35" s="177" t="s">
        <v>78</v>
      </c>
      <c r="B35" s="183" t="s">
        <v>79</v>
      </c>
      <c r="C35" s="179" t="s">
        <v>34</v>
      </c>
      <c r="D35" s="180">
        <f>(1.44+1.52)*6*1121.96</f>
        <v>19926.009599999998</v>
      </c>
      <c r="E35" s="88"/>
      <c r="F35" s="88"/>
      <c r="G35" s="88"/>
      <c r="H35" s="88"/>
      <c r="I35" s="88"/>
    </row>
    <row r="36" spans="1:9" ht="15.75">
      <c r="A36" s="177" t="s">
        <v>38</v>
      </c>
      <c r="B36" s="178" t="s">
        <v>35</v>
      </c>
      <c r="C36" s="304" t="s">
        <v>194</v>
      </c>
      <c r="D36" s="180">
        <f>(4.44+4.68)*1121.96*6</f>
        <v>61393.65120000001</v>
      </c>
      <c r="E36" s="88"/>
      <c r="F36" s="88"/>
      <c r="G36" s="88"/>
      <c r="H36" s="88"/>
      <c r="I36" s="88"/>
    </row>
    <row r="37" spans="1:9" ht="31.5">
      <c r="A37" s="177" t="s">
        <v>309</v>
      </c>
      <c r="B37" s="183" t="s">
        <v>310</v>
      </c>
      <c r="C37" s="179" t="s">
        <v>34</v>
      </c>
      <c r="D37" s="180">
        <f>1121.96*6*2.61</f>
        <v>17569.8936</v>
      </c>
      <c r="E37" s="88"/>
      <c r="F37" s="88"/>
      <c r="G37" s="88"/>
      <c r="H37" s="88"/>
      <c r="I37" s="88"/>
    </row>
    <row r="38" spans="1:9" ht="19.5" customHeight="1">
      <c r="A38" s="177" t="s">
        <v>82</v>
      </c>
      <c r="B38" s="178" t="s">
        <v>195</v>
      </c>
      <c r="C38" s="241" t="s">
        <v>37</v>
      </c>
      <c r="D38" s="180">
        <f>1121.96*(0.64+0.61)*6</f>
        <v>8414.7</v>
      </c>
      <c r="E38" s="88"/>
      <c r="F38" s="88"/>
      <c r="G38" s="88"/>
      <c r="H38" s="88"/>
      <c r="I38" s="88"/>
    </row>
    <row r="39" spans="1:14" s="1" customFormat="1" ht="78.75">
      <c r="A39" s="227" t="s">
        <v>183</v>
      </c>
      <c r="B39" s="185" t="s">
        <v>41</v>
      </c>
      <c r="C39" s="191"/>
      <c r="D39" s="319">
        <f>D40+D41+D42+D43+D44</f>
        <v>25921.54</v>
      </c>
      <c r="E39" s="88"/>
      <c r="F39" s="88"/>
      <c r="G39" s="88"/>
      <c r="H39" s="88"/>
      <c r="I39" s="88"/>
      <c r="K39"/>
      <c r="L39"/>
      <c r="M39"/>
      <c r="N39"/>
    </row>
    <row r="40" spans="1:14" s="1" customFormat="1" ht="15.75">
      <c r="A40" s="190" t="s">
        <v>272</v>
      </c>
      <c r="B40" s="187" t="s">
        <v>198</v>
      </c>
      <c r="C40" s="179" t="s">
        <v>34</v>
      </c>
      <c r="D40" s="148">
        <v>2844</v>
      </c>
      <c r="E40" s="88"/>
      <c r="F40" s="88"/>
      <c r="G40" s="88"/>
      <c r="H40" s="88"/>
      <c r="I40" s="88"/>
      <c r="K40"/>
      <c r="L40"/>
      <c r="M40"/>
      <c r="N40"/>
    </row>
    <row r="41" spans="1:14" s="1" customFormat="1" ht="15.75">
      <c r="A41" s="190" t="s">
        <v>273</v>
      </c>
      <c r="B41" s="187" t="s">
        <v>140</v>
      </c>
      <c r="C41" s="179" t="s">
        <v>241</v>
      </c>
      <c r="D41" s="148">
        <v>13477</v>
      </c>
      <c r="E41" s="88"/>
      <c r="F41" s="88"/>
      <c r="G41" s="88"/>
      <c r="H41" s="88"/>
      <c r="I41" s="88"/>
      <c r="K41"/>
      <c r="L41"/>
      <c r="M41"/>
      <c r="N41"/>
    </row>
    <row r="42" spans="1:14" s="1" customFormat="1" ht="15.75">
      <c r="A42" s="190" t="s">
        <v>274</v>
      </c>
      <c r="B42" s="187" t="s">
        <v>135</v>
      </c>
      <c r="C42" s="179" t="s">
        <v>34</v>
      </c>
      <c r="D42" s="148">
        <v>5241.26</v>
      </c>
      <c r="E42" s="88"/>
      <c r="F42" s="88"/>
      <c r="G42" s="88"/>
      <c r="H42" s="88"/>
      <c r="I42" s="88"/>
      <c r="K42"/>
      <c r="L42"/>
      <c r="M42"/>
      <c r="N42"/>
    </row>
    <row r="43" spans="1:14" s="1" customFormat="1" ht="15.75">
      <c r="A43" s="190" t="s">
        <v>275</v>
      </c>
      <c r="B43" s="187" t="s">
        <v>135</v>
      </c>
      <c r="C43" s="179" t="s">
        <v>34</v>
      </c>
      <c r="D43" s="148">
        <v>594.28</v>
      </c>
      <c r="E43" s="88"/>
      <c r="F43" s="88"/>
      <c r="G43" s="88"/>
      <c r="H43" s="88"/>
      <c r="I43" s="88"/>
      <c r="K43"/>
      <c r="L43"/>
      <c r="M43"/>
      <c r="N43"/>
    </row>
    <row r="44" spans="1:14" s="1" customFormat="1" ht="15.75">
      <c r="A44" s="190" t="s">
        <v>136</v>
      </c>
      <c r="B44" s="187" t="s">
        <v>148</v>
      </c>
      <c r="C44" s="201" t="s">
        <v>241</v>
      </c>
      <c r="D44" s="148">
        <v>3765</v>
      </c>
      <c r="E44" s="88"/>
      <c r="F44" s="88"/>
      <c r="G44" s="88"/>
      <c r="H44" s="88"/>
      <c r="I44" s="88"/>
      <c r="K44"/>
      <c r="L44"/>
      <c r="M44"/>
      <c r="N44"/>
    </row>
    <row r="45" spans="1:14" s="1" customFormat="1" ht="15.75">
      <c r="A45" s="37" t="s">
        <v>42</v>
      </c>
      <c r="B45" s="192"/>
      <c r="C45" s="193"/>
      <c r="D45" s="84">
        <f>D29+D30+D31+D32+D33+D34+D35+D36+D38+D39+D37</f>
        <v>219190.36960000006</v>
      </c>
      <c r="E45" s="91">
        <f>D45-D39</f>
        <v>193268.82960000006</v>
      </c>
      <c r="F45" s="88"/>
      <c r="G45" s="88"/>
      <c r="H45" s="88"/>
      <c r="I45" s="88"/>
      <c r="K45"/>
      <c r="L45"/>
      <c r="M45"/>
      <c r="N45"/>
    </row>
    <row r="46" spans="1:14" s="1" customFormat="1" ht="15.75">
      <c r="A46" s="40" t="s">
        <v>43</v>
      </c>
      <c r="B46" s="194" t="s">
        <v>11</v>
      </c>
      <c r="C46" s="195"/>
      <c r="D46" s="196">
        <f>C26-D45</f>
        <v>2935.26411999992</v>
      </c>
      <c r="E46" s="91"/>
      <c r="F46" s="88"/>
      <c r="G46" s="88"/>
      <c r="H46" s="88"/>
      <c r="I46" s="88"/>
      <c r="K46"/>
      <c r="L46"/>
      <c r="M46"/>
      <c r="N46"/>
    </row>
    <row r="47" spans="1:14" s="1" customFormat="1" ht="15.75">
      <c r="A47" s="197" t="s">
        <v>12</v>
      </c>
      <c r="B47" s="198" t="s">
        <v>11</v>
      </c>
      <c r="C47" s="179"/>
      <c r="D47" s="163">
        <v>0</v>
      </c>
      <c r="E47" s="88"/>
      <c r="F47" s="88"/>
      <c r="G47" s="88"/>
      <c r="H47" s="88"/>
      <c r="I47" s="88"/>
      <c r="K47"/>
      <c r="L47"/>
      <c r="M47"/>
      <c r="N47"/>
    </row>
    <row r="48" spans="1:14" s="1" customFormat="1" ht="15.75">
      <c r="A48" s="197" t="s">
        <v>13</v>
      </c>
      <c r="B48" s="198" t="s">
        <v>11</v>
      </c>
      <c r="C48" s="179"/>
      <c r="D48" s="165">
        <v>184408.48</v>
      </c>
      <c r="E48" s="88"/>
      <c r="F48" s="88"/>
      <c r="G48" s="88"/>
      <c r="H48" s="88"/>
      <c r="I48" s="88"/>
      <c r="K48"/>
      <c r="L48"/>
      <c r="M48"/>
      <c r="N48"/>
    </row>
    <row r="49" spans="1:14" s="1" customFormat="1" ht="24" customHeight="1">
      <c r="A49" s="443" t="s">
        <v>44</v>
      </c>
      <c r="B49" s="443"/>
      <c r="C49" s="443"/>
      <c r="D49" s="443"/>
      <c r="E49" s="88"/>
      <c r="F49" s="88"/>
      <c r="G49" s="88"/>
      <c r="H49" s="88"/>
      <c r="I49" s="88"/>
      <c r="K49"/>
      <c r="L49"/>
      <c r="M49"/>
      <c r="N49"/>
    </row>
    <row r="50" spans="1:14" s="1" customFormat="1" ht="15.75">
      <c r="A50" s="197" t="s">
        <v>45</v>
      </c>
      <c r="B50" s="178" t="s">
        <v>46</v>
      </c>
      <c r="C50" s="179"/>
      <c r="D50" s="163">
        <v>0</v>
      </c>
      <c r="E50" s="88"/>
      <c r="F50" s="88"/>
      <c r="G50" s="88"/>
      <c r="H50" s="88"/>
      <c r="I50" s="88"/>
      <c r="K50"/>
      <c r="L50"/>
      <c r="M50"/>
      <c r="N50"/>
    </row>
    <row r="51" spans="1:14" s="1" customFormat="1" ht="15.75">
      <c r="A51" s="197" t="s">
        <v>47</v>
      </c>
      <c r="B51" s="178" t="s">
        <v>46</v>
      </c>
      <c r="C51" s="179"/>
      <c r="D51" s="163">
        <v>0</v>
      </c>
      <c r="E51" s="88"/>
      <c r="F51" s="88"/>
      <c r="G51" s="88"/>
      <c r="H51" s="88"/>
      <c r="I51" s="88"/>
      <c r="K51"/>
      <c r="L51"/>
      <c r="M51"/>
      <c r="N51"/>
    </row>
    <row r="52" spans="1:14" s="1" customFormat="1" ht="26.25">
      <c r="A52" s="199" t="s">
        <v>48</v>
      </c>
      <c r="B52" s="178" t="s">
        <v>46</v>
      </c>
      <c r="C52" s="179"/>
      <c r="D52" s="163">
        <v>0</v>
      </c>
      <c r="E52" s="88"/>
      <c r="F52" s="88"/>
      <c r="G52" s="88"/>
      <c r="H52" s="88"/>
      <c r="I52" s="88"/>
      <c r="K52"/>
      <c r="L52"/>
      <c r="M52"/>
      <c r="N52"/>
    </row>
    <row r="53" spans="1:14" s="1" customFormat="1" ht="15.75">
      <c r="A53" s="197" t="s">
        <v>49</v>
      </c>
      <c r="B53" s="178" t="s">
        <v>11</v>
      </c>
      <c r="C53" s="179"/>
      <c r="D53" s="163">
        <v>0</v>
      </c>
      <c r="E53" s="88"/>
      <c r="F53" s="88"/>
      <c r="G53" s="88"/>
      <c r="H53" s="88"/>
      <c r="I53" s="88"/>
      <c r="K53"/>
      <c r="L53"/>
      <c r="M53"/>
      <c r="N53"/>
    </row>
    <row r="54" spans="1:14" ht="18" customHeight="1" thickBot="1">
      <c r="A54" s="452" t="s">
        <v>233</v>
      </c>
      <c r="B54" s="452"/>
      <c r="C54" s="452"/>
      <c r="D54" s="452"/>
      <c r="E54" s="93"/>
      <c r="F54" s="94"/>
      <c r="G54" s="95"/>
      <c r="H54" s="88"/>
      <c r="I54" s="98"/>
      <c r="J54" s="56"/>
      <c r="K54" s="57"/>
      <c r="L54" s="57"/>
      <c r="M54" s="57"/>
      <c r="N54" s="57"/>
    </row>
    <row r="55" spans="1:14" ht="38.25">
      <c r="A55" s="58" t="s">
        <v>54</v>
      </c>
      <c r="B55" s="59" t="s">
        <v>55</v>
      </c>
      <c r="C55" s="130" t="s">
        <v>56</v>
      </c>
      <c r="D55" s="131" t="s">
        <v>57</v>
      </c>
      <c r="E55" s="93"/>
      <c r="F55" s="94"/>
      <c r="G55" s="95"/>
      <c r="H55" s="88"/>
      <c r="I55" s="98"/>
      <c r="J55" s="62"/>
      <c r="K55" s="57"/>
      <c r="L55" s="57"/>
      <c r="M55" s="57"/>
      <c r="N55" s="57"/>
    </row>
    <row r="56" spans="1:14" ht="16.5" thickBot="1">
      <c r="A56" s="228" t="s">
        <v>202</v>
      </c>
      <c r="B56" s="229">
        <v>72804.02</v>
      </c>
      <c r="C56" s="345">
        <f>B56*0.942</f>
        <v>68581.38684</v>
      </c>
      <c r="D56" s="347">
        <f>B56-C56</f>
        <v>4222.633159999998</v>
      </c>
      <c r="E56" s="93"/>
      <c r="F56" s="96"/>
      <c r="G56" s="97"/>
      <c r="H56" s="88"/>
      <c r="I56" s="98"/>
      <c r="J56" s="56"/>
      <c r="K56" s="57"/>
      <c r="L56" s="57"/>
      <c r="M56" s="57"/>
      <c r="N56" s="57"/>
    </row>
    <row r="57" spans="1:14" ht="63.75">
      <c r="A57" s="106" t="s">
        <v>59</v>
      </c>
      <c r="B57" s="107" t="s">
        <v>60</v>
      </c>
      <c r="C57" s="107" t="s">
        <v>61</v>
      </c>
      <c r="D57" s="132" t="s">
        <v>62</v>
      </c>
      <c r="E57" s="93"/>
      <c r="F57" s="96"/>
      <c r="G57" s="88"/>
      <c r="H57" s="98"/>
      <c r="I57" s="98"/>
      <c r="J57" s="56"/>
      <c r="K57" s="57"/>
      <c r="L57" s="57"/>
      <c r="M57" s="57"/>
      <c r="N57" s="57"/>
    </row>
    <row r="58" spans="1:14" ht="15.75">
      <c r="A58" s="228" t="s">
        <v>202</v>
      </c>
      <c r="B58" s="229">
        <f>B56</f>
        <v>72804.02</v>
      </c>
      <c r="C58" s="345">
        <f>B58</f>
        <v>72804.02</v>
      </c>
      <c r="D58" s="347">
        <f>B58-C58</f>
        <v>0</v>
      </c>
      <c r="E58" s="93"/>
      <c r="F58" s="96"/>
      <c r="G58" s="88"/>
      <c r="H58" s="98"/>
      <c r="I58" s="98"/>
      <c r="J58" s="56"/>
      <c r="K58" s="57"/>
      <c r="L58" s="57"/>
      <c r="M58" s="57"/>
      <c r="N58" s="57"/>
    </row>
    <row r="59" spans="1:14" ht="17.25" customHeight="1">
      <c r="A59" s="444" t="s">
        <v>231</v>
      </c>
      <c r="B59" s="444"/>
      <c r="C59" s="444"/>
      <c r="D59" s="444"/>
      <c r="E59" s="99" t="e">
        <f>D59+B19</f>
        <v>#VALUE!</v>
      </c>
      <c r="F59" s="98"/>
      <c r="G59" s="88"/>
      <c r="H59" s="100" t="e">
        <f>E59-B18</f>
        <v>#VALUE!</v>
      </c>
      <c r="I59" s="98"/>
      <c r="J59" s="56"/>
      <c r="K59" s="57"/>
      <c r="L59" s="57"/>
      <c r="M59" s="57"/>
      <c r="N59" s="57"/>
    </row>
    <row r="60" spans="1:9" ht="21" customHeight="1">
      <c r="A60" s="73" t="s">
        <v>45</v>
      </c>
      <c r="B60" s="73" t="s">
        <v>46</v>
      </c>
      <c r="C60" s="73"/>
      <c r="D60" s="149">
        <v>0</v>
      </c>
      <c r="E60" s="101"/>
      <c r="F60" s="88"/>
      <c r="G60" s="88"/>
      <c r="H60" s="88"/>
      <c r="I60" s="88"/>
    </row>
    <row r="61" spans="1:9" ht="21" customHeight="1">
      <c r="A61" s="73" t="s">
        <v>47</v>
      </c>
      <c r="B61" s="73" t="s">
        <v>46</v>
      </c>
      <c r="C61" s="73"/>
      <c r="D61" s="149">
        <v>0</v>
      </c>
      <c r="E61" s="101"/>
      <c r="F61" s="88"/>
      <c r="G61" s="88"/>
      <c r="H61" s="88"/>
      <c r="I61" s="88"/>
    </row>
    <row r="62" spans="1:5" ht="18" customHeight="1">
      <c r="A62" s="73" t="s">
        <v>48</v>
      </c>
      <c r="B62" s="73" t="s">
        <v>46</v>
      </c>
      <c r="C62" s="73"/>
      <c r="D62" s="149">
        <v>0</v>
      </c>
      <c r="E62" s="101"/>
    </row>
    <row r="63" spans="1:5" ht="16.5" customHeight="1">
      <c r="A63" s="73" t="s">
        <v>49</v>
      </c>
      <c r="B63" s="73" t="s">
        <v>11</v>
      </c>
      <c r="C63" s="73"/>
      <c r="D63" s="149">
        <v>0</v>
      </c>
      <c r="E63" s="101"/>
    </row>
    <row r="64" spans="1:5" ht="15.75" customHeight="1">
      <c r="A64" s="440" t="s">
        <v>232</v>
      </c>
      <c r="B64" s="440"/>
      <c r="C64" s="440"/>
      <c r="D64" s="440"/>
      <c r="E64" s="101"/>
    </row>
    <row r="65" spans="1:5" ht="18.75" customHeight="1">
      <c r="A65" s="73" t="s">
        <v>66</v>
      </c>
      <c r="B65" s="73" t="s">
        <v>46</v>
      </c>
      <c r="C65" s="73"/>
      <c r="D65" s="149">
        <v>0</v>
      </c>
      <c r="E65" s="101"/>
    </row>
    <row r="66" spans="1:5" ht="21.75" customHeight="1">
      <c r="A66" s="73" t="s">
        <v>67</v>
      </c>
      <c r="B66" s="221" t="s">
        <v>46</v>
      </c>
      <c r="C66" s="221"/>
      <c r="D66" s="149">
        <v>0</v>
      </c>
      <c r="E66" s="101"/>
    </row>
    <row r="67" spans="1:5" ht="36" customHeight="1">
      <c r="A67" s="222" t="s">
        <v>68</v>
      </c>
      <c r="B67" s="73" t="s">
        <v>11</v>
      </c>
      <c r="C67" s="73"/>
      <c r="D67" s="149">
        <v>0</v>
      </c>
      <c r="E67" s="101"/>
    </row>
    <row r="68" spans="1:5" ht="15.75">
      <c r="A68" s="223"/>
      <c r="B68" s="223"/>
      <c r="C68" s="223"/>
      <c r="D68" s="224"/>
      <c r="E68" s="88"/>
    </row>
    <row r="69" spans="1:14" s="1" customFormat="1" ht="12.75">
      <c r="A69" s="150"/>
      <c r="B69" s="150"/>
      <c r="C69" s="150"/>
      <c r="D69" s="150"/>
      <c r="E69" s="88"/>
      <c r="H69" s="1" t="s">
        <v>26</v>
      </c>
      <c r="K69"/>
      <c r="L69"/>
      <c r="M69"/>
      <c r="N69"/>
    </row>
    <row r="70" spans="1:14" s="1" customFormat="1" ht="12.75">
      <c r="A70" s="152" t="s">
        <v>176</v>
      </c>
      <c r="B70" s="150"/>
      <c r="C70" s="150"/>
      <c r="D70" s="150"/>
      <c r="E70" s="88"/>
      <c r="K70"/>
      <c r="L70"/>
      <c r="M70"/>
      <c r="N70"/>
    </row>
    <row r="71" spans="1:14" s="1" customFormat="1" ht="12.75">
      <c r="A71" s="150"/>
      <c r="B71" s="150"/>
      <c r="C71" s="150"/>
      <c r="D71" s="150"/>
      <c r="E71" s="88"/>
      <c r="H71" s="1" t="s">
        <v>26</v>
      </c>
      <c r="K71"/>
      <c r="L71"/>
      <c r="M71"/>
      <c r="N71"/>
    </row>
    <row r="72" spans="1:14" s="1" customFormat="1" ht="12.75">
      <c r="A72" s="150" t="s">
        <v>70</v>
      </c>
      <c r="B72" s="150"/>
      <c r="C72" s="150"/>
      <c r="D72" s="150"/>
      <c r="E72" s="88"/>
      <c r="K72"/>
      <c r="L72"/>
      <c r="M72"/>
      <c r="N72"/>
    </row>
    <row r="73" spans="1:5" ht="12.75">
      <c r="A73" s="150"/>
      <c r="B73" s="150"/>
      <c r="C73" s="150"/>
      <c r="D73" s="150"/>
      <c r="E73" s="88"/>
    </row>
    <row r="74" spans="1:5" ht="12.75">
      <c r="A74" s="150"/>
      <c r="B74" s="150"/>
      <c r="C74" s="150"/>
      <c r="D74" s="150"/>
      <c r="E74" s="88"/>
    </row>
    <row r="76" spans="1:14" s="1" customFormat="1" ht="12.75">
      <c r="A76"/>
      <c r="B76"/>
      <c r="C76"/>
      <c r="D76"/>
      <c r="E76" s="1" t="s">
        <v>26</v>
      </c>
      <c r="K76"/>
      <c r="L76"/>
      <c r="M76"/>
      <c r="N76"/>
    </row>
  </sheetData>
  <sheetProtection selectLockedCells="1" selectUnlockedCells="1"/>
  <mergeCells count="12">
    <mergeCell ref="A64:D64"/>
    <mergeCell ref="A14:D14"/>
    <mergeCell ref="A27:D27"/>
    <mergeCell ref="A49:D49"/>
    <mergeCell ref="A54:D54"/>
    <mergeCell ref="A59:D59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0" zoomScaleNormal="80" zoomScalePageLayoutView="0" workbookViewId="0" topLeftCell="A13">
      <selection activeCell="C22" sqref="C2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90</v>
      </c>
      <c r="B4" s="448"/>
      <c r="C4" s="448"/>
      <c r="D4" s="448"/>
    </row>
    <row r="5" spans="1:4" ht="18.75" customHeight="1">
      <c r="A5" s="449" t="s">
        <v>244</v>
      </c>
      <c r="B5" s="448"/>
      <c r="C5" s="448"/>
      <c r="D5" s="448"/>
    </row>
    <row r="6" spans="1:4" ht="20.25" customHeight="1">
      <c r="A6" s="225" t="s">
        <v>145</v>
      </c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/>
      <c r="B8" s="150"/>
      <c r="C8" s="153"/>
      <c r="D8" s="150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-4791.38</v>
      </c>
      <c r="D15" s="163"/>
      <c r="E15" s="50"/>
      <c r="F15" s="88"/>
      <c r="G15" s="88"/>
      <c r="H15" s="88"/>
    </row>
    <row r="16" spans="1:10" ht="15.75">
      <c r="A16" s="20" t="s">
        <v>12</v>
      </c>
      <c r="B16" s="161" t="s">
        <v>11</v>
      </c>
      <c r="C16" s="162">
        <v>0</v>
      </c>
      <c r="D16" s="163"/>
      <c r="E16" s="50"/>
      <c r="F16" s="88"/>
      <c r="G16" s="88"/>
      <c r="H16" s="88"/>
      <c r="I16" s="88"/>
      <c r="J16" s="88"/>
    </row>
    <row r="17" spans="1:10" ht="15.75">
      <c r="A17" s="20" t="s">
        <v>13</v>
      </c>
      <c r="B17" s="161" t="s">
        <v>11</v>
      </c>
      <c r="C17" s="164">
        <v>87371.51</v>
      </c>
      <c r="D17" s="165"/>
      <c r="E17" s="50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9374.28</v>
      </c>
      <c r="D18" s="165"/>
      <c r="E18" s="18">
        <f>C18-C20</f>
        <v>9098.205</v>
      </c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3503.084999999999</v>
      </c>
      <c r="D19" s="165"/>
      <c r="E19" s="18">
        <f>E18-E39</f>
        <v>-447.8550000000014</v>
      </c>
      <c r="F19" s="88"/>
      <c r="G19" s="88"/>
      <c r="H19" s="88" t="s">
        <v>209</v>
      </c>
      <c r="I19" s="88"/>
      <c r="J19" s="88"/>
    </row>
    <row r="20" spans="1:10" ht="15.75">
      <c r="A20" s="20" t="s">
        <v>16</v>
      </c>
      <c r="B20" s="161" t="s">
        <v>11</v>
      </c>
      <c r="C20" s="164">
        <f>102.25*(0.22+0.23)*6</f>
        <v>276.07500000000005</v>
      </c>
      <c r="D20" s="165"/>
      <c r="E20" s="123"/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102.25*(4.44+4.68)*6</f>
        <v>5595.120000000001</v>
      </c>
      <c r="D21" s="165"/>
      <c r="E21" s="50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C23+C24+C25+C26+C27</f>
        <v>6055.78488</v>
      </c>
      <c r="D22" s="165" t="s">
        <v>19</v>
      </c>
      <c r="E22" s="18"/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C18*0.646</f>
        <v>6055.78488</v>
      </c>
      <c r="D23" s="165"/>
      <c r="E23" s="50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123"/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123"/>
      <c r="F25" s="88"/>
      <c r="G25" s="88"/>
      <c r="H25" s="88"/>
      <c r="I25" s="88"/>
      <c r="J25" s="88"/>
    </row>
    <row r="26" spans="1:10" ht="15.75">
      <c r="A26" s="158" t="s">
        <v>24</v>
      </c>
      <c r="B26" s="161" t="s">
        <v>11</v>
      </c>
      <c r="C26" s="164">
        <v>0</v>
      </c>
      <c r="D26" s="167"/>
      <c r="E26" s="90"/>
      <c r="F26" s="88"/>
      <c r="G26" s="88"/>
      <c r="H26" s="88"/>
      <c r="I26" s="88"/>
      <c r="J26" s="88"/>
    </row>
    <row r="27" spans="1:10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15.75">
      <c r="A28" s="20" t="s">
        <v>25</v>
      </c>
      <c r="B28" s="161" t="s">
        <v>11</v>
      </c>
      <c r="C28" s="164">
        <f>C15+C22</f>
        <v>1264.40488</v>
      </c>
      <c r="D28" s="165" t="s">
        <v>26</v>
      </c>
      <c r="E28" s="90" t="e">
        <f>B28/#REF!*1</f>
        <v>#VALUE!</v>
      </c>
      <c r="F28" s="88"/>
      <c r="G28" s="88"/>
      <c r="H28" s="88"/>
      <c r="I28" s="88"/>
      <c r="J28" s="88"/>
    </row>
    <row r="29" spans="1:10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  <c r="J29" s="88"/>
    </row>
    <row r="30" spans="1:10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  <c r="I30" s="88"/>
      <c r="J30" s="88"/>
    </row>
    <row r="31" spans="1:10" ht="15.75">
      <c r="A31" s="173" t="s">
        <v>32</v>
      </c>
      <c r="B31" s="174" t="s">
        <v>33</v>
      </c>
      <c r="C31" s="175" t="s">
        <v>34</v>
      </c>
      <c r="D31" s="176">
        <f>(0.52+0.54)*6*102.25</f>
        <v>650.3100000000001</v>
      </c>
      <c r="E31" s="88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33</v>
      </c>
      <c r="C32" s="179" t="s">
        <v>37</v>
      </c>
      <c r="D32" s="180">
        <f>(0.26+0.27)*6*102.25</f>
        <v>325.15500000000003</v>
      </c>
      <c r="E32" s="88"/>
      <c r="F32" s="88"/>
      <c r="G32" s="88"/>
      <c r="H32" s="88"/>
      <c r="I32" s="88"/>
      <c r="J32" s="88"/>
    </row>
    <row r="33" spans="1:10" ht="15.75">
      <c r="A33" s="252" t="s">
        <v>92</v>
      </c>
      <c r="B33" s="178" t="s">
        <v>33</v>
      </c>
      <c r="C33" s="179" t="s">
        <v>34</v>
      </c>
      <c r="D33" s="180">
        <f>(0.71+0.67)*6*102.25</f>
        <v>846.6299999999999</v>
      </c>
      <c r="E33" s="88"/>
      <c r="F33" s="88"/>
      <c r="G33" s="88"/>
      <c r="H33" s="88"/>
      <c r="I33" s="88"/>
      <c r="J33" s="88"/>
    </row>
    <row r="34" spans="1:10" ht="15.75">
      <c r="A34" s="177" t="s">
        <v>38</v>
      </c>
      <c r="B34" s="178" t="s">
        <v>35</v>
      </c>
      <c r="C34" s="304" t="s">
        <v>194</v>
      </c>
      <c r="D34" s="180">
        <f>(4.44+4.68)*102.25*6</f>
        <v>5595.120000000001</v>
      </c>
      <c r="E34" s="88"/>
      <c r="F34" s="88"/>
      <c r="G34" s="88"/>
      <c r="H34" s="88"/>
      <c r="I34" s="88"/>
      <c r="J34" s="88"/>
    </row>
    <row r="35" spans="1:10" ht="15.75">
      <c r="A35" s="177" t="s">
        <v>78</v>
      </c>
      <c r="B35" s="178" t="s">
        <v>79</v>
      </c>
      <c r="C35" s="304" t="s">
        <v>34</v>
      </c>
      <c r="D35" s="180">
        <f>102.25*(0.56+0.51)*6</f>
        <v>656.445</v>
      </c>
      <c r="E35" s="88"/>
      <c r="F35" s="88"/>
      <c r="G35" s="88"/>
      <c r="H35" s="88"/>
      <c r="I35" s="88"/>
      <c r="J35" s="88"/>
    </row>
    <row r="36" spans="1:10" ht="15.75">
      <c r="A36" s="177" t="s">
        <v>82</v>
      </c>
      <c r="B36" s="178" t="s">
        <v>195</v>
      </c>
      <c r="C36" s="304" t="s">
        <v>37</v>
      </c>
      <c r="D36" s="180">
        <f>102.25*(1.23+1.17)*6</f>
        <v>1472.3999999999999</v>
      </c>
      <c r="E36" s="88"/>
      <c r="F36" s="88"/>
      <c r="G36" s="88"/>
      <c r="H36" s="88"/>
      <c r="I36" s="88"/>
      <c r="J36" s="88"/>
    </row>
    <row r="37" spans="1:14" s="1" customFormat="1" ht="47.25">
      <c r="A37" s="253" t="s">
        <v>40</v>
      </c>
      <c r="B37" s="185" t="s">
        <v>41</v>
      </c>
      <c r="C37" s="191"/>
      <c r="D37" s="334">
        <f>D38</f>
        <v>4340</v>
      </c>
      <c r="E37" s="88"/>
      <c r="F37" s="88"/>
      <c r="G37" s="88"/>
      <c r="H37" s="88"/>
      <c r="I37" s="88"/>
      <c r="J37" s="88"/>
      <c r="K37"/>
      <c r="L37"/>
      <c r="M37"/>
      <c r="N37"/>
    </row>
    <row r="38" spans="1:14" s="1" customFormat="1" ht="15.75">
      <c r="A38" s="186" t="s">
        <v>276</v>
      </c>
      <c r="B38" s="187" t="s">
        <v>266</v>
      </c>
      <c r="C38" s="304" t="s">
        <v>34</v>
      </c>
      <c r="D38" s="335">
        <v>4340</v>
      </c>
      <c r="E38" s="88"/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D31+D32+D33+D34+D35+D36+D37</f>
        <v>13886.060000000001</v>
      </c>
      <c r="E39" s="44">
        <f>D39-D38</f>
        <v>9546.060000000001</v>
      </c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-12621.655120000001</v>
      </c>
      <c r="E40" s="44"/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>
        <v>0</v>
      </c>
      <c r="E41" s="50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94117.96</v>
      </c>
      <c r="E42" s="50"/>
      <c r="F42" s="88"/>
      <c r="G42" s="88"/>
      <c r="H42" s="88"/>
      <c r="I42" s="88"/>
      <c r="J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50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/>
      <c r="D44" s="163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/>
      <c r="D45" s="163">
        <v>0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/>
      <c r="D46" s="163">
        <v>0</v>
      </c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/>
      <c r="D47" s="163">
        <v>0</v>
      </c>
      <c r="E47" s="88"/>
      <c r="F47" s="88"/>
      <c r="G47" s="88"/>
      <c r="H47" s="88"/>
      <c r="I47" s="88"/>
      <c r="J47" s="88"/>
      <c r="K47"/>
      <c r="L47"/>
      <c r="M47"/>
      <c r="N47"/>
    </row>
    <row r="48" spans="1:14" ht="18" customHeight="1" thickBot="1">
      <c r="A48" s="452" t="s">
        <v>236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6632.88</v>
      </c>
      <c r="C50" s="208">
        <f>B50*0.646</f>
        <v>4284.84048</v>
      </c>
      <c r="D50" s="231">
        <f>B50-C50</f>
        <v>2348.0395200000003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6.5" thickBot="1">
      <c r="A52" s="336" t="s">
        <v>202</v>
      </c>
      <c r="B52" s="229">
        <f>B50</f>
        <v>6632.88</v>
      </c>
      <c r="C52" s="337">
        <f>B52</f>
        <v>6632.88</v>
      </c>
      <c r="D52" s="338">
        <f>B52-C52</f>
        <v>0</v>
      </c>
      <c r="E52" s="93"/>
      <c r="F52" s="96"/>
      <c r="G52" s="88"/>
      <c r="H52" s="98" t="s">
        <v>26</v>
      </c>
      <c r="I52" s="56"/>
      <c r="J52" s="56"/>
      <c r="K52" s="57"/>
      <c r="L52" s="57"/>
      <c r="M52" s="57"/>
      <c r="N52" s="57"/>
    </row>
    <row r="53" spans="1:14" ht="15.75">
      <c r="A53" s="444" t="s">
        <v>231</v>
      </c>
      <c r="B53" s="444"/>
      <c r="C53" s="444"/>
      <c r="D53" s="444"/>
      <c r="E53" s="93"/>
      <c r="F53" s="63"/>
      <c r="H53" s="56"/>
      <c r="I53" s="56"/>
      <c r="J53" s="56" t="s">
        <v>26</v>
      </c>
      <c r="K53" s="57"/>
      <c r="L53" s="57"/>
      <c r="M53" s="57"/>
      <c r="N53" s="57"/>
    </row>
    <row r="54" spans="1:14" ht="17.25" customHeight="1">
      <c r="A54" s="73" t="s">
        <v>45</v>
      </c>
      <c r="B54" s="73" t="s">
        <v>46</v>
      </c>
      <c r="C54" s="73"/>
      <c r="D54" s="149">
        <v>0</v>
      </c>
      <c r="E54" s="99" t="e">
        <f>D53+B19</f>
        <v>#VALUE!</v>
      </c>
      <c r="F54" s="56"/>
      <c r="H54" s="71" t="e">
        <f>E54-B18</f>
        <v>#VALUE!</v>
      </c>
      <c r="I54" s="56"/>
      <c r="J54" s="56"/>
      <c r="K54" s="57"/>
      <c r="L54" s="57"/>
      <c r="M54" s="57"/>
      <c r="N54" s="57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101"/>
    </row>
    <row r="56" spans="1:5" ht="21" customHeight="1">
      <c r="A56" s="73" t="s">
        <v>48</v>
      </c>
      <c r="B56" s="73" t="s">
        <v>46</v>
      </c>
      <c r="C56" s="73"/>
      <c r="D56" s="149">
        <v>0</v>
      </c>
      <c r="E56" s="101"/>
    </row>
    <row r="57" spans="1:5" ht="18" customHeight="1">
      <c r="A57" s="73" t="s">
        <v>49</v>
      </c>
      <c r="B57" s="73" t="s">
        <v>11</v>
      </c>
      <c r="C57" s="73"/>
      <c r="D57" s="149">
        <v>0</v>
      </c>
      <c r="E57" s="101"/>
    </row>
    <row r="58" spans="1:5" ht="16.5" customHeight="1">
      <c r="A58" s="440" t="s">
        <v>65</v>
      </c>
      <c r="B58" s="440"/>
      <c r="C58" s="440"/>
      <c r="D58" s="440"/>
      <c r="E58" s="101"/>
    </row>
    <row r="59" spans="1:5" ht="15.75" customHeight="1">
      <c r="A59" s="73" t="s">
        <v>66</v>
      </c>
      <c r="B59" s="73" t="s">
        <v>46</v>
      </c>
      <c r="C59" s="73"/>
      <c r="D59" s="149"/>
      <c r="E59" s="101"/>
    </row>
    <row r="60" spans="1:5" ht="18.75" customHeight="1">
      <c r="A60" s="73" t="s">
        <v>67</v>
      </c>
      <c r="B60" s="221" t="s">
        <v>46</v>
      </c>
      <c r="C60" s="221"/>
      <c r="D60" s="149">
        <v>0</v>
      </c>
      <c r="E60" s="101"/>
    </row>
    <row r="61" spans="1:5" ht="21.75" customHeight="1">
      <c r="A61" s="222" t="s">
        <v>68</v>
      </c>
      <c r="B61" s="73" t="s">
        <v>11</v>
      </c>
      <c r="C61" s="73"/>
      <c r="D61" s="149">
        <v>0</v>
      </c>
      <c r="E61" s="101"/>
    </row>
    <row r="62" spans="1:5" ht="36" customHeight="1">
      <c r="A62" s="223"/>
      <c r="B62" s="223"/>
      <c r="C62" s="223"/>
      <c r="D62" s="224"/>
      <c r="E62" s="101"/>
    </row>
    <row r="63" spans="1:5" ht="12.75">
      <c r="A63" s="150"/>
      <c r="B63" s="150"/>
      <c r="C63" s="150"/>
      <c r="D63" s="150"/>
      <c r="E63" s="88"/>
    </row>
    <row r="64" spans="1:14" s="1" customFormat="1" ht="12.75">
      <c r="A64" s="150" t="s">
        <v>69</v>
      </c>
      <c r="B64" s="150"/>
      <c r="C64" s="150"/>
      <c r="D64" s="150"/>
      <c r="E64" s="88"/>
      <c r="H64" s="1" t="s">
        <v>26</v>
      </c>
      <c r="K64"/>
      <c r="L64"/>
      <c r="M64"/>
      <c r="N64"/>
    </row>
    <row r="65" spans="1:14" s="1" customFormat="1" ht="12.75">
      <c r="A65" s="150"/>
      <c r="B65" s="150"/>
      <c r="C65" s="150"/>
      <c r="D65" s="150"/>
      <c r="E65" s="88"/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E66" s="88"/>
      <c r="H66" s="1" t="s">
        <v>26</v>
      </c>
      <c r="K66"/>
      <c r="L66"/>
      <c r="M66"/>
      <c r="N66"/>
    </row>
    <row r="67" spans="1:14" s="1" customFormat="1" ht="12.75">
      <c r="A67" s="150"/>
      <c r="B67" s="150"/>
      <c r="C67" s="150"/>
      <c r="D67" s="150"/>
      <c r="E67" s="88"/>
      <c r="K67"/>
      <c r="L67"/>
      <c r="M67"/>
      <c r="N67"/>
    </row>
    <row r="68" spans="1:5" ht="12.75">
      <c r="A68" s="150"/>
      <c r="B68" s="150"/>
      <c r="C68" s="150"/>
      <c r="D68" s="150"/>
      <c r="E68" s="88"/>
    </row>
    <row r="69" ht="12.75">
      <c r="E69" s="88"/>
    </row>
    <row r="71" spans="1:14" s="1" customFormat="1" ht="12.75">
      <c r="A71"/>
      <c r="B71"/>
      <c r="C71"/>
      <c r="D71"/>
      <c r="E71" s="1" t="s">
        <v>26</v>
      </c>
      <c r="K71"/>
      <c r="L71"/>
      <c r="M71"/>
      <c r="N71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6">
      <selection activeCell="D38" sqref="D38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93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152" t="s">
        <v>210</v>
      </c>
      <c r="B8" s="150"/>
      <c r="C8" s="153"/>
      <c r="D8" s="150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10" ht="26.25">
      <c r="A15" s="17" t="s">
        <v>10</v>
      </c>
      <c r="B15" s="161" t="s">
        <v>11</v>
      </c>
      <c r="C15" s="164">
        <v>24022.62</v>
      </c>
      <c r="D15" s="163"/>
      <c r="E15" s="88"/>
      <c r="F15" s="88"/>
      <c r="G15" s="88"/>
      <c r="H15" s="88"/>
      <c r="I15" s="88"/>
      <c r="J15" s="88"/>
    </row>
    <row r="16" spans="1:10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  <c r="J16" s="88"/>
    </row>
    <row r="17" spans="1:10" ht="15.75">
      <c r="A17" s="20" t="s">
        <v>13</v>
      </c>
      <c r="B17" s="161" t="s">
        <v>11</v>
      </c>
      <c r="C17" s="164">
        <v>4127.53</v>
      </c>
      <c r="D17" s="165"/>
      <c r="E17" s="88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23773.92</v>
      </c>
      <c r="D18" s="165"/>
      <c r="E18" s="18">
        <f>C18-C20</f>
        <v>17016</v>
      </c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9114.431999999999</v>
      </c>
      <c r="D19" s="165"/>
      <c r="E19" s="18">
        <f>E18-D38</f>
        <v>0.0020000000004074536</v>
      </c>
      <c r="F19" s="88"/>
      <c r="G19" s="88"/>
      <c r="H19" s="317" t="s">
        <v>211</v>
      </c>
      <c r="I19" s="88"/>
      <c r="J19" s="88"/>
    </row>
    <row r="20" spans="1:10" ht="15.75">
      <c r="A20" s="20" t="s">
        <v>16</v>
      </c>
      <c r="B20" s="161" t="s">
        <v>11</v>
      </c>
      <c r="C20" s="164">
        <f>(4+3.8)*6*144.4</f>
        <v>6757.92</v>
      </c>
      <c r="D20" s="165"/>
      <c r="E20" s="123"/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144.4*(4.44+4.68)*6</f>
        <v>7901.568000000001</v>
      </c>
      <c r="D21" s="165"/>
      <c r="E21" s="50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C23+C24+C25+C26+C27</f>
        <v>24653.555039999996</v>
      </c>
      <c r="D22" s="165" t="s">
        <v>19</v>
      </c>
      <c r="E22" s="18"/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C18*1.037</f>
        <v>24653.555039999996</v>
      </c>
      <c r="D23" s="165"/>
      <c r="E23" s="88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  <c r="J25" s="88"/>
    </row>
    <row r="26" spans="1:10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  <c r="I26" s="88"/>
      <c r="J26" s="88"/>
    </row>
    <row r="27" spans="1:10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15.75">
      <c r="A28" s="20" t="s">
        <v>25</v>
      </c>
      <c r="B28" s="161" t="s">
        <v>11</v>
      </c>
      <c r="C28" s="164">
        <f>C15+C22</f>
        <v>48676.175039999995</v>
      </c>
      <c r="D28" s="165" t="s">
        <v>26</v>
      </c>
      <c r="E28" s="90" t="e">
        <f>B28/#REF!*1</f>
        <v>#VALUE!</v>
      </c>
      <c r="F28" s="88"/>
      <c r="G28" s="88"/>
      <c r="H28" s="88"/>
      <c r="I28" s="88"/>
      <c r="J28" s="88"/>
    </row>
    <row r="29" spans="1:10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  <c r="J29" s="88"/>
    </row>
    <row r="30" spans="1:10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  <c r="I30" s="88"/>
      <c r="J30" s="88"/>
    </row>
    <row r="31" spans="1:10" ht="15.75">
      <c r="A31" s="173" t="s">
        <v>32</v>
      </c>
      <c r="B31" s="174" t="s">
        <v>33</v>
      </c>
      <c r="C31" s="175" t="s">
        <v>34</v>
      </c>
      <c r="D31" s="176">
        <f>(2.14+2.03)*6*144.4</f>
        <v>3612.888</v>
      </c>
      <c r="E31" s="88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33</v>
      </c>
      <c r="C32" s="179" t="s">
        <v>37</v>
      </c>
      <c r="D32" s="180">
        <f>(0.26+0.27)*6*144.4</f>
        <v>459.19200000000006</v>
      </c>
      <c r="E32" s="88"/>
      <c r="F32" s="88"/>
      <c r="G32" s="88"/>
      <c r="H32" s="88"/>
      <c r="I32" s="88"/>
      <c r="J32" s="88"/>
    </row>
    <row r="33" spans="1:10" ht="15.75">
      <c r="A33" s="177" t="s">
        <v>94</v>
      </c>
      <c r="B33" s="178" t="s">
        <v>33</v>
      </c>
      <c r="C33" s="179" t="s">
        <v>34</v>
      </c>
      <c r="D33" s="180">
        <v>493.75</v>
      </c>
      <c r="E33" s="88"/>
      <c r="F33" s="88"/>
      <c r="G33" s="88"/>
      <c r="H33" s="88"/>
      <c r="I33" s="88"/>
      <c r="J33" s="88"/>
    </row>
    <row r="34" spans="1:10" ht="15.75">
      <c r="A34" s="177" t="s">
        <v>78</v>
      </c>
      <c r="B34" s="183" t="s">
        <v>79</v>
      </c>
      <c r="C34" s="179" t="s">
        <v>34</v>
      </c>
      <c r="D34" s="180">
        <f>(1.44+1.52)*6*144.4</f>
        <v>2564.544</v>
      </c>
      <c r="E34" s="88"/>
      <c r="F34" s="88"/>
      <c r="G34" s="88"/>
      <c r="H34" s="88"/>
      <c r="I34" s="88"/>
      <c r="J34" s="88"/>
    </row>
    <row r="35" spans="1:10" ht="15.75">
      <c r="A35" s="177" t="s">
        <v>38</v>
      </c>
      <c r="B35" s="178" t="s">
        <v>35</v>
      </c>
      <c r="C35" s="304" t="s">
        <v>194</v>
      </c>
      <c r="D35" s="180">
        <f>(4.44+4.68)*144.4*6</f>
        <v>7901.568000000001</v>
      </c>
      <c r="E35" s="88"/>
      <c r="F35" s="88"/>
      <c r="G35" s="88"/>
      <c r="H35" s="88"/>
      <c r="I35" s="88"/>
      <c r="J35" s="88"/>
    </row>
    <row r="36" spans="1:10" ht="15.75">
      <c r="A36" s="177" t="s">
        <v>82</v>
      </c>
      <c r="B36" s="178" t="s">
        <v>195</v>
      </c>
      <c r="C36" s="184" t="s">
        <v>37</v>
      </c>
      <c r="D36" s="180">
        <f>144.4*(1.06+1.23)*6</f>
        <v>1984.0560000000003</v>
      </c>
      <c r="E36" s="88"/>
      <c r="F36" s="88"/>
      <c r="G36" s="88"/>
      <c r="H36" s="88"/>
      <c r="I36" s="88"/>
      <c r="J36" s="88"/>
    </row>
    <row r="37" spans="1:14" s="1" customFormat="1" ht="47.25">
      <c r="A37" s="307" t="s">
        <v>40</v>
      </c>
      <c r="B37" s="185" t="s">
        <v>41</v>
      </c>
      <c r="C37" s="191"/>
      <c r="D37" s="147">
        <v>0</v>
      </c>
      <c r="E37" s="88"/>
      <c r="F37" s="88"/>
      <c r="G37" s="88"/>
      <c r="H37" s="88"/>
      <c r="I37" s="88"/>
      <c r="J37" s="88"/>
      <c r="K37"/>
      <c r="L37"/>
      <c r="M37"/>
      <c r="N37"/>
    </row>
    <row r="38" spans="1:14" s="1" customFormat="1" ht="15.75">
      <c r="A38" s="37" t="s">
        <v>199</v>
      </c>
      <c r="B38" s="192"/>
      <c r="C38" s="193"/>
      <c r="D38" s="84">
        <f>D31+D32+D33+D34+D35+D36+D37</f>
        <v>17015.998</v>
      </c>
      <c r="E38" s="91" t="e">
        <f>D38-#REF!</f>
        <v>#REF!</v>
      </c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31660.177039999995</v>
      </c>
      <c r="E39" s="91"/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88"/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2141.33</v>
      </c>
      <c r="E41" s="88"/>
      <c r="F41" s="88"/>
      <c r="G41" s="88"/>
      <c r="H41" s="88"/>
      <c r="I41" s="88"/>
      <c r="J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I42" s="88"/>
      <c r="J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/>
      <c r="D43" s="163">
        <v>0</v>
      </c>
      <c r="E43" s="88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/>
      <c r="D44" s="163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/>
      <c r="D45" s="163">
        <v>0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/>
      <c r="D46" s="163">
        <v>0</v>
      </c>
      <c r="E46" s="88"/>
      <c r="F46" s="88"/>
      <c r="G46" s="88"/>
      <c r="H46" s="88"/>
      <c r="I46" s="88"/>
      <c r="J46" s="88"/>
      <c r="K46"/>
      <c r="L46"/>
      <c r="M46"/>
      <c r="N46"/>
    </row>
    <row r="47" spans="1:14" ht="18" customHeight="1" thickBot="1">
      <c r="A47" s="452" t="s">
        <v>233</v>
      </c>
      <c r="B47" s="452"/>
      <c r="C47" s="452"/>
      <c r="D47" s="452"/>
      <c r="E47" s="93"/>
      <c r="F47" s="94"/>
      <c r="G47" s="95"/>
      <c r="H47" s="88"/>
      <c r="I47" s="98"/>
      <c r="J47" s="98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54"/>
      <c r="G48" s="55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9367.08</v>
      </c>
      <c r="C49" s="230">
        <f>B49</f>
        <v>9367.08</v>
      </c>
      <c r="D49" s="231">
        <f>B49-C49</f>
        <v>0</v>
      </c>
      <c r="E49" s="93"/>
      <c r="F49" s="63"/>
      <c r="G49" s="64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63"/>
      <c r="H50" s="56"/>
      <c r="I50" s="56"/>
      <c r="J50" s="56"/>
      <c r="K50" s="57"/>
      <c r="L50" s="57"/>
      <c r="M50" s="57"/>
      <c r="N50" s="57"/>
    </row>
    <row r="51" spans="1:14" ht="15.75">
      <c r="A51" s="232" t="s">
        <v>202</v>
      </c>
      <c r="B51" s="211">
        <f>B49</f>
        <v>9367.08</v>
      </c>
      <c r="C51" s="212">
        <f>B51</f>
        <v>9367.08</v>
      </c>
      <c r="D51" s="233">
        <f>B51-C51</f>
        <v>0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6.5" thickBot="1">
      <c r="A52" s="234"/>
      <c r="B52" s="235"/>
      <c r="C52" s="254"/>
      <c r="D52" s="237"/>
      <c r="E52" s="5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70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3" t="s">
        <v>45</v>
      </c>
      <c r="B54" s="73" t="s">
        <v>46</v>
      </c>
      <c r="C54" s="73"/>
      <c r="D54" s="149">
        <v>0</v>
      </c>
      <c r="E54" s="75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75"/>
    </row>
    <row r="56" spans="1:5" ht="18" customHeight="1">
      <c r="A56" s="73" t="s">
        <v>48</v>
      </c>
      <c r="B56" s="73" t="s">
        <v>46</v>
      </c>
      <c r="C56" s="73"/>
      <c r="D56" s="149">
        <v>0</v>
      </c>
      <c r="E56" s="75"/>
    </row>
    <row r="57" spans="1:5" ht="16.5" customHeight="1">
      <c r="A57" s="73" t="s">
        <v>49</v>
      </c>
      <c r="B57" s="73" t="s">
        <v>11</v>
      </c>
      <c r="C57" s="73"/>
      <c r="D57" s="149">
        <v>0</v>
      </c>
      <c r="E57" s="75"/>
    </row>
    <row r="58" spans="1:5" ht="15.75" customHeight="1">
      <c r="A58" s="440" t="s">
        <v>232</v>
      </c>
      <c r="B58" s="440"/>
      <c r="C58" s="440"/>
      <c r="D58" s="440"/>
      <c r="E58" s="75"/>
    </row>
    <row r="59" spans="1:5" ht="18.75" customHeight="1">
      <c r="A59" s="73" t="s">
        <v>66</v>
      </c>
      <c r="B59" s="73" t="s">
        <v>46</v>
      </c>
      <c r="C59" s="73"/>
      <c r="D59" s="149">
        <v>0</v>
      </c>
      <c r="E59" s="75"/>
    </row>
    <row r="60" spans="1:5" ht="21.75" customHeight="1">
      <c r="A60" s="73" t="s">
        <v>67</v>
      </c>
      <c r="B60" s="221" t="s">
        <v>46</v>
      </c>
      <c r="C60" s="221"/>
      <c r="D60" s="149">
        <v>0</v>
      </c>
      <c r="E60" s="75"/>
    </row>
    <row r="61" spans="1:5" ht="36" customHeight="1">
      <c r="A61" s="222" t="s">
        <v>68</v>
      </c>
      <c r="B61" s="73" t="s">
        <v>11</v>
      </c>
      <c r="C61" s="73"/>
      <c r="D61" s="149">
        <v>0</v>
      </c>
      <c r="E61" s="75"/>
    </row>
    <row r="62" spans="1:4" ht="15.75">
      <c r="A62" s="223"/>
      <c r="B62" s="223"/>
      <c r="C62" s="223"/>
      <c r="D62" s="224"/>
    </row>
    <row r="63" spans="1:14" s="1" customFormat="1" ht="12.75">
      <c r="A63" s="150"/>
      <c r="B63" s="150"/>
      <c r="C63" s="150"/>
      <c r="D63" s="150"/>
      <c r="H63" s="1" t="s">
        <v>26</v>
      </c>
      <c r="K63"/>
      <c r="L63"/>
      <c r="M63"/>
      <c r="N63"/>
    </row>
    <row r="64" spans="1:14" s="1" customFormat="1" ht="12.75">
      <c r="A64" s="150" t="s">
        <v>69</v>
      </c>
      <c r="B64" s="150"/>
      <c r="C64" s="150"/>
      <c r="D64" s="150"/>
      <c r="K64"/>
      <c r="L64"/>
      <c r="M64"/>
      <c r="N64"/>
    </row>
    <row r="65" spans="1:14" s="1" customFormat="1" ht="12.75">
      <c r="A65" s="150"/>
      <c r="B65" s="150"/>
      <c r="C65" s="150"/>
      <c r="D65" s="150"/>
      <c r="H65" s="1" t="s">
        <v>26</v>
      </c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K66"/>
      <c r="L66"/>
      <c r="M66"/>
      <c r="N66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4" ht="12.75">
      <c r="A69" s="150"/>
      <c r="B69" s="150"/>
      <c r="C69" s="150"/>
      <c r="D69" s="150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2:D42"/>
    <mergeCell ref="A47:D47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3">
      <selection activeCell="C22" sqref="C2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95</v>
      </c>
      <c r="B4" s="448"/>
      <c r="C4" s="448"/>
      <c r="D4" s="448"/>
    </row>
    <row r="5" spans="1:5" ht="12.75">
      <c r="A5" s="449" t="s">
        <v>244</v>
      </c>
      <c r="B5" s="448"/>
      <c r="C5" s="448"/>
      <c r="D5" s="448"/>
      <c r="E5" s="88"/>
    </row>
    <row r="6" spans="1:5" ht="9" customHeight="1">
      <c r="A6" s="225"/>
      <c r="B6" s="150"/>
      <c r="C6" s="150"/>
      <c r="D6" s="150"/>
      <c r="E6" s="88"/>
    </row>
    <row r="7" spans="1:5" ht="18" customHeight="1">
      <c r="A7" s="450" t="s">
        <v>2</v>
      </c>
      <c r="B7" s="450"/>
      <c r="C7" s="450"/>
      <c r="D7" s="450"/>
      <c r="E7" s="88"/>
    </row>
    <row r="8" spans="1:5" ht="12.75">
      <c r="A8" s="225" t="s">
        <v>149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53983.52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50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2581.57</v>
      </c>
      <c r="D17" s="165"/>
      <c r="E17" s="50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20416.74</v>
      </c>
      <c r="D18" s="165"/>
      <c r="E18" s="18">
        <f>C18-C20</f>
        <v>14444.004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7702.5</v>
      </c>
      <c r="D19" s="165"/>
      <c r="E19" s="18">
        <f>E18-E38</f>
        <v>0.03600000000005821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(4.15+3.93)*6*123.2</f>
        <v>5972.736000000001</v>
      </c>
      <c r="D20" s="165"/>
      <c r="E20" s="123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123.2*(4.44+4.68)*6</f>
        <v>6741.504000000001</v>
      </c>
      <c r="D21" s="165"/>
      <c r="E21" s="5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19538.820180000002</v>
      </c>
      <c r="D22" s="165" t="s">
        <v>19</v>
      </c>
      <c r="E22" s="18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C18*0.957</f>
        <v>19538.820180000002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73522.34018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(2.03+2.14)*6*123.2</f>
        <v>3082.464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(0.26+0.27)*6*123.2</f>
        <v>391.776</v>
      </c>
      <c r="E32" s="88"/>
      <c r="F32" s="88"/>
      <c r="G32" s="88"/>
      <c r="H32" s="88"/>
    </row>
    <row r="33" spans="1:8" ht="15.75">
      <c r="A33" s="177" t="s">
        <v>94</v>
      </c>
      <c r="B33" s="178" t="s">
        <v>33</v>
      </c>
      <c r="C33" s="179" t="s">
        <v>34</v>
      </c>
      <c r="D33" s="180">
        <f>(0.37+0.4)*6*123.2</f>
        <v>569.1840000000001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(1.44+1.52)*6*123.2</f>
        <v>2188.0319999999997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(4.44+4.68)*123.2*6</f>
        <v>6741.504000000001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184" t="s">
        <v>37</v>
      </c>
      <c r="D36" s="180">
        <f>123.2*6*(1.02+0.97)</f>
        <v>1471.008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191"/>
      <c r="D37" s="147">
        <v>0</v>
      </c>
      <c r="E37" s="50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D31+D32+D33+D34+D35+D36+D37</f>
        <v>14443.968</v>
      </c>
      <c r="E38" s="44">
        <f>D38-D37</f>
        <v>14443.968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59078.37218</v>
      </c>
      <c r="E39" s="44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50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1722.96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/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/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/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7991.76</v>
      </c>
      <c r="C49" s="208">
        <f>B49*0.957</f>
        <v>7648.11432</v>
      </c>
      <c r="D49" s="339">
        <f>B49-C49</f>
        <v>343.64568000000054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15" t="s">
        <v>60</v>
      </c>
      <c r="C50" s="116" t="s">
        <v>61</v>
      </c>
      <c r="D50" s="117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6.5" thickBot="1">
      <c r="A51" s="329" t="s">
        <v>202</v>
      </c>
      <c r="B51" s="330">
        <f>B49</f>
        <v>7991.76</v>
      </c>
      <c r="C51" s="331">
        <f>B51</f>
        <v>7991.76</v>
      </c>
      <c r="D51" s="340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3" t="s">
        <v>45</v>
      </c>
      <c r="B53" s="73" t="s">
        <v>46</v>
      </c>
      <c r="C53" s="73"/>
      <c r="D53" s="149">
        <v>0</v>
      </c>
      <c r="E53" s="101"/>
    </row>
    <row r="54" spans="1:5" ht="21" customHeight="1">
      <c r="A54" s="73" t="s">
        <v>47</v>
      </c>
      <c r="B54" s="73" t="s">
        <v>46</v>
      </c>
      <c r="C54" s="73"/>
      <c r="D54" s="149">
        <v>0</v>
      </c>
      <c r="E54" s="101"/>
    </row>
    <row r="55" spans="1:5" ht="18" customHeight="1">
      <c r="A55" s="73" t="s">
        <v>48</v>
      </c>
      <c r="B55" s="73" t="s">
        <v>46</v>
      </c>
      <c r="C55" s="73"/>
      <c r="D55" s="149">
        <v>0</v>
      </c>
      <c r="E55" s="101"/>
    </row>
    <row r="56" spans="1:5" ht="16.5" customHeight="1">
      <c r="A56" s="73" t="s">
        <v>49</v>
      </c>
      <c r="B56" s="73" t="s">
        <v>11</v>
      </c>
      <c r="C56" s="73"/>
      <c r="D56" s="149">
        <v>0</v>
      </c>
      <c r="E56" s="101"/>
    </row>
    <row r="57" spans="1:5" ht="15.75" customHeight="1">
      <c r="A57" s="440" t="s">
        <v>232</v>
      </c>
      <c r="B57" s="440"/>
      <c r="C57" s="440"/>
      <c r="D57" s="440"/>
      <c r="E57" s="101"/>
    </row>
    <row r="58" spans="1:5" ht="18.75" customHeight="1">
      <c r="A58" s="73" t="s">
        <v>66</v>
      </c>
      <c r="B58" s="73" t="s">
        <v>46</v>
      </c>
      <c r="C58" s="73"/>
      <c r="D58" s="149">
        <v>0</v>
      </c>
      <c r="E58" s="101"/>
    </row>
    <row r="59" spans="1:5" ht="21.75" customHeight="1">
      <c r="A59" s="73" t="s">
        <v>67</v>
      </c>
      <c r="B59" s="221" t="s">
        <v>46</v>
      </c>
      <c r="C59" s="221"/>
      <c r="D59" s="149">
        <v>0</v>
      </c>
      <c r="E59" s="101"/>
    </row>
    <row r="60" spans="1:5" ht="36" customHeight="1">
      <c r="A60" s="222" t="s">
        <v>68</v>
      </c>
      <c r="B60" s="73" t="s">
        <v>11</v>
      </c>
      <c r="C60" s="73"/>
      <c r="D60" s="149">
        <v>0</v>
      </c>
      <c r="E60" s="101"/>
    </row>
    <row r="61" spans="1:5" ht="15.75">
      <c r="A61" s="223"/>
      <c r="B61" s="223"/>
      <c r="C61" s="223"/>
      <c r="D61" s="224"/>
      <c r="E61" s="88"/>
    </row>
    <row r="62" spans="1:14" s="1" customFormat="1" ht="12.75">
      <c r="A62" s="150"/>
      <c r="B62" s="150"/>
      <c r="C62" s="150"/>
      <c r="D62" s="150"/>
      <c r="E62" s="88"/>
      <c r="H62" s="1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E63" s="88"/>
      <c r="K63"/>
      <c r="L63"/>
      <c r="M63"/>
      <c r="N63"/>
    </row>
    <row r="64" spans="1:14" s="1" customFormat="1" ht="12.75">
      <c r="A64" s="150"/>
      <c r="B64" s="150"/>
      <c r="C64" s="150"/>
      <c r="D64" s="150"/>
      <c r="E64" s="88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E65" s="88"/>
      <c r="K65"/>
      <c r="L65"/>
      <c r="M65"/>
      <c r="N65"/>
    </row>
    <row r="66" spans="1:4" ht="12.75">
      <c r="A66" s="150"/>
      <c r="B66" s="150"/>
      <c r="C66" s="150"/>
      <c r="D66" s="150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14" s="1" customFormat="1" ht="12.75">
      <c r="A69" s="150"/>
      <c r="B69" s="150"/>
      <c r="C69" s="150"/>
      <c r="D69" s="150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">
      <selection activeCell="E14" sqref="E14:E6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5" ht="12.75">
      <c r="A8" s="225" t="s">
        <v>150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-2804.4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9" ht="15.75">
      <c r="A17" s="20" t="s">
        <v>13</v>
      </c>
      <c r="B17" s="161" t="s">
        <v>11</v>
      </c>
      <c r="C17" s="164">
        <v>59508.94</v>
      </c>
      <c r="D17" s="165"/>
      <c r="E17" s="88"/>
      <c r="F17" s="88"/>
      <c r="G17" s="88"/>
      <c r="H17" s="88"/>
      <c r="I17" s="88"/>
    </row>
    <row r="18" spans="1:9" ht="31.5" customHeight="1">
      <c r="A18" s="17" t="s">
        <v>14</v>
      </c>
      <c r="B18" s="161" t="s">
        <v>11</v>
      </c>
      <c r="C18" s="164">
        <v>17085.66</v>
      </c>
      <c r="D18" s="165"/>
      <c r="E18" s="89">
        <f>C18-C20</f>
        <v>10819.242000000002</v>
      </c>
      <c r="F18" s="88"/>
      <c r="G18" s="88"/>
      <c r="H18" s="88"/>
      <c r="I18" s="88"/>
    </row>
    <row r="19" spans="1:9" ht="15.75">
      <c r="A19" s="20" t="s">
        <v>15</v>
      </c>
      <c r="B19" s="161" t="s">
        <v>11</v>
      </c>
      <c r="C19" s="164">
        <f>C18-C20-C21</f>
        <v>5177.6100000000015</v>
      </c>
      <c r="D19" s="165"/>
      <c r="E19" s="89">
        <f>E18-E38</f>
        <v>-0.07199999999829743</v>
      </c>
      <c r="F19" s="88"/>
      <c r="G19" s="88"/>
      <c r="H19" s="88"/>
      <c r="I19" s="88"/>
    </row>
    <row r="20" spans="1:9" ht="15.75">
      <c r="A20" s="20" t="s">
        <v>16</v>
      </c>
      <c r="B20" s="161" t="s">
        <v>11</v>
      </c>
      <c r="C20" s="164">
        <f>(4.93+5.2)*6*103.1</f>
        <v>6266.417999999999</v>
      </c>
      <c r="D20" s="165"/>
      <c r="E20" s="90"/>
      <c r="F20" s="88"/>
      <c r="G20" s="88"/>
      <c r="H20" s="88"/>
      <c r="I20" s="88"/>
    </row>
    <row r="21" spans="1:9" ht="15.75">
      <c r="A21" s="20" t="s">
        <v>17</v>
      </c>
      <c r="B21" s="161" t="s">
        <v>11</v>
      </c>
      <c r="C21" s="166">
        <f>103.1*(4.44+4.68)*6</f>
        <v>5641.6320000000005</v>
      </c>
      <c r="D21" s="165"/>
      <c r="E21" s="88"/>
      <c r="F21" s="88"/>
      <c r="G21" s="88"/>
      <c r="H21" s="88"/>
      <c r="I21" s="88"/>
    </row>
    <row r="22" spans="1:9" ht="15.75">
      <c r="A22" s="20" t="s">
        <v>18</v>
      </c>
      <c r="B22" s="161" t="s">
        <v>11</v>
      </c>
      <c r="C22" s="164">
        <f>C23+C24+C25+C26+C27</f>
        <v>36101.999579999996</v>
      </c>
      <c r="D22" s="165" t="s">
        <v>19</v>
      </c>
      <c r="E22" s="89"/>
      <c r="F22" s="88"/>
      <c r="G22" s="88"/>
      <c r="H22" s="88"/>
      <c r="I22" s="88"/>
    </row>
    <row r="23" spans="1:9" ht="15.75">
      <c r="A23" s="20" t="s">
        <v>20</v>
      </c>
      <c r="B23" s="161" t="s">
        <v>11</v>
      </c>
      <c r="C23" s="164">
        <f>C18*2.113</f>
        <v>36101.999579999996</v>
      </c>
      <c r="D23" s="165"/>
      <c r="E23" s="88"/>
      <c r="F23" s="88"/>
      <c r="G23" s="88"/>
      <c r="H23" s="88"/>
      <c r="I23" s="88"/>
    </row>
    <row r="24" spans="1:9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</row>
    <row r="25" spans="1:9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</row>
    <row r="26" spans="1:9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  <c r="I26" s="88"/>
    </row>
    <row r="27" spans="1:9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  <c r="I27" s="88"/>
    </row>
    <row r="28" spans="1:9" ht="15.75">
      <c r="A28" s="20" t="s">
        <v>25</v>
      </c>
      <c r="B28" s="161" t="s">
        <v>11</v>
      </c>
      <c r="C28" s="164">
        <f>C15+C22</f>
        <v>33297.599579999995</v>
      </c>
      <c r="D28" s="165" t="s">
        <v>26</v>
      </c>
      <c r="E28" s="90" t="e">
        <f>B28/#REF!*1</f>
        <v>#VALUE!</v>
      </c>
      <c r="F28" s="88"/>
      <c r="G28" s="88"/>
      <c r="H28" s="88"/>
      <c r="I28" s="88"/>
    </row>
    <row r="29" spans="1:9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</row>
    <row r="30" spans="1:9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  <c r="I30" s="88"/>
    </row>
    <row r="31" spans="1:9" ht="15.75">
      <c r="A31" s="173" t="s">
        <v>32</v>
      </c>
      <c r="B31" s="174" t="s">
        <v>33</v>
      </c>
      <c r="C31" s="175" t="s">
        <v>34</v>
      </c>
      <c r="D31" s="176">
        <f>(1.03+1.09)*6*103.1</f>
        <v>1311.432</v>
      </c>
      <c r="E31" s="88"/>
      <c r="F31" s="88"/>
      <c r="G31" s="88"/>
      <c r="H31" s="88"/>
      <c r="I31" s="88"/>
    </row>
    <row r="32" spans="1:9" ht="15.75">
      <c r="A32" s="177" t="s">
        <v>36</v>
      </c>
      <c r="B32" s="178" t="s">
        <v>33</v>
      </c>
      <c r="C32" s="179" t="s">
        <v>37</v>
      </c>
      <c r="D32" s="180">
        <f>(0.26+0.27)*6*103.1</f>
        <v>327.858</v>
      </c>
      <c r="E32" s="88"/>
      <c r="F32" s="88"/>
      <c r="G32" s="88"/>
      <c r="H32" s="88"/>
      <c r="I32" s="88"/>
    </row>
    <row r="33" spans="1:9" ht="15.75">
      <c r="A33" s="177" t="s">
        <v>94</v>
      </c>
      <c r="B33" s="178" t="s">
        <v>33</v>
      </c>
      <c r="C33" s="179" t="s">
        <v>34</v>
      </c>
      <c r="D33" s="180">
        <f>(0.18+0.2)*6*103.1</f>
        <v>235.068</v>
      </c>
      <c r="E33" s="88"/>
      <c r="F33" s="88"/>
      <c r="G33" s="88"/>
      <c r="H33" s="88"/>
      <c r="I33" s="88"/>
    </row>
    <row r="34" spans="1:9" ht="15.75">
      <c r="A34" s="177" t="s">
        <v>78</v>
      </c>
      <c r="B34" s="183" t="s">
        <v>79</v>
      </c>
      <c r="C34" s="179" t="s">
        <v>34</v>
      </c>
      <c r="D34" s="180">
        <f>(1.44+1.52)*6*103.1</f>
        <v>1831.0559999999996</v>
      </c>
      <c r="E34" s="88"/>
      <c r="F34" s="88"/>
      <c r="G34" s="88"/>
      <c r="H34" s="88"/>
      <c r="I34" s="88"/>
    </row>
    <row r="35" spans="1:9" ht="15.75">
      <c r="A35" s="177" t="s">
        <v>38</v>
      </c>
      <c r="B35" s="178" t="s">
        <v>35</v>
      </c>
      <c r="C35" s="304" t="s">
        <v>194</v>
      </c>
      <c r="D35" s="180">
        <f>(4.44+4.68)*103.1*6</f>
        <v>5641.6320000000005</v>
      </c>
      <c r="E35" s="88"/>
      <c r="F35" s="88"/>
      <c r="G35" s="88"/>
      <c r="H35" s="88"/>
      <c r="I35" s="88"/>
    </row>
    <row r="36" spans="1:9" ht="15.75">
      <c r="A36" s="177" t="s">
        <v>82</v>
      </c>
      <c r="B36" s="178" t="s">
        <v>195</v>
      </c>
      <c r="C36" s="304" t="s">
        <v>37</v>
      </c>
      <c r="D36" s="180">
        <f>103.1*(1.22+1.16)*6</f>
        <v>1472.268</v>
      </c>
      <c r="E36" s="88"/>
      <c r="F36" s="88"/>
      <c r="G36" s="88"/>
      <c r="H36" s="88"/>
      <c r="I36" s="88"/>
    </row>
    <row r="37" spans="1:14" s="1" customFormat="1" ht="47.25">
      <c r="A37" s="253" t="s">
        <v>188</v>
      </c>
      <c r="B37" s="185" t="s">
        <v>41</v>
      </c>
      <c r="C37" s="191"/>
      <c r="D37" s="147">
        <v>0</v>
      </c>
      <c r="E37" s="88"/>
      <c r="F37" s="88"/>
      <c r="G37" s="88"/>
      <c r="H37" s="88"/>
      <c r="I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SUM(D31:D37)</f>
        <v>10819.314</v>
      </c>
      <c r="E38" s="91">
        <f>D38-D37</f>
        <v>10819.314</v>
      </c>
      <c r="F38" s="88"/>
      <c r="G38" s="88"/>
      <c r="H38" s="88"/>
      <c r="I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22478.285579999996</v>
      </c>
      <c r="E39" s="91"/>
      <c r="F39" s="88"/>
      <c r="G39" s="88"/>
      <c r="H39" s="88"/>
      <c r="I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88"/>
      <c r="F40" s="88"/>
      <c r="G40" s="88"/>
      <c r="H40" s="88"/>
      <c r="I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27051.47</v>
      </c>
      <c r="E41" s="88"/>
      <c r="F41" s="88"/>
      <c r="G41" s="88"/>
      <c r="H41" s="88"/>
      <c r="I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I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/>
      <c r="D43" s="163">
        <v>0</v>
      </c>
      <c r="E43" s="88"/>
      <c r="F43" s="88"/>
      <c r="G43" s="88"/>
      <c r="H43" s="88"/>
      <c r="I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/>
      <c r="D44" s="163">
        <v>0</v>
      </c>
      <c r="E44" s="88"/>
      <c r="F44" s="88"/>
      <c r="G44" s="88"/>
      <c r="H44" s="88"/>
      <c r="I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/>
      <c r="D45" s="163">
        <v>0</v>
      </c>
      <c r="E45" s="88"/>
      <c r="F45" s="88"/>
      <c r="G45" s="88"/>
      <c r="H45" s="88"/>
      <c r="I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/>
      <c r="D46" s="163">
        <v>0</v>
      </c>
      <c r="E46" s="88"/>
      <c r="F46" s="88"/>
      <c r="G46" s="88"/>
      <c r="H46" s="88"/>
      <c r="I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98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98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6687.96</v>
      </c>
      <c r="C49" s="208">
        <f>B49</f>
        <v>6687.96</v>
      </c>
      <c r="D49" s="231">
        <f>B49-C49</f>
        <v>0</v>
      </c>
      <c r="E49" s="93"/>
      <c r="F49" s="96"/>
      <c r="G49" s="97"/>
      <c r="H49" s="88"/>
      <c r="I49" s="98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98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35">
        <f>B49</f>
        <v>6687.96</v>
      </c>
      <c r="C51" s="254">
        <f>B51</f>
        <v>6687.96</v>
      </c>
      <c r="D51" s="237">
        <f>B51-C51</f>
        <v>0</v>
      </c>
      <c r="E51" s="93"/>
      <c r="F51" s="96"/>
      <c r="G51" s="88"/>
      <c r="H51" s="98" t="s">
        <v>26</v>
      </c>
      <c r="I51" s="98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98"/>
      <c r="J52" s="56"/>
      <c r="K52" s="57"/>
      <c r="L52" s="57"/>
      <c r="M52" s="57"/>
      <c r="N52" s="57"/>
    </row>
    <row r="53" spans="1:9" ht="21" customHeight="1">
      <c r="A53" s="73" t="s">
        <v>45</v>
      </c>
      <c r="B53" s="73" t="s">
        <v>46</v>
      </c>
      <c r="C53" s="73"/>
      <c r="D53" s="149">
        <v>0</v>
      </c>
      <c r="E53" s="101"/>
      <c r="F53" s="88"/>
      <c r="G53" s="88"/>
      <c r="H53" s="88"/>
      <c r="I53" s="88"/>
    </row>
    <row r="54" spans="1:9" ht="21" customHeight="1">
      <c r="A54" s="73" t="s">
        <v>47</v>
      </c>
      <c r="B54" s="73" t="s">
        <v>46</v>
      </c>
      <c r="C54" s="73"/>
      <c r="D54" s="149">
        <v>0</v>
      </c>
      <c r="E54" s="101"/>
      <c r="F54" s="88"/>
      <c r="G54" s="88"/>
      <c r="H54" s="88"/>
      <c r="I54" s="88"/>
    </row>
    <row r="55" spans="1:9" ht="18" customHeight="1">
      <c r="A55" s="73" t="s">
        <v>48</v>
      </c>
      <c r="B55" s="73" t="s">
        <v>46</v>
      </c>
      <c r="C55" s="73"/>
      <c r="D55" s="149">
        <v>0</v>
      </c>
      <c r="E55" s="101"/>
      <c r="F55" s="88"/>
      <c r="G55" s="88"/>
      <c r="H55" s="88"/>
      <c r="I55" s="88"/>
    </row>
    <row r="56" spans="1:9" ht="16.5" customHeight="1">
      <c r="A56" s="73" t="s">
        <v>49</v>
      </c>
      <c r="B56" s="73" t="s">
        <v>11</v>
      </c>
      <c r="C56" s="73"/>
      <c r="D56" s="149">
        <v>0</v>
      </c>
      <c r="E56" s="101"/>
      <c r="F56" s="88"/>
      <c r="G56" s="88"/>
      <c r="H56" s="88"/>
      <c r="I56" s="88"/>
    </row>
    <row r="57" spans="1:9" ht="15.75" customHeight="1">
      <c r="A57" s="440" t="s">
        <v>65</v>
      </c>
      <c r="B57" s="440"/>
      <c r="C57" s="440"/>
      <c r="D57" s="440"/>
      <c r="E57" s="101"/>
      <c r="F57" s="88"/>
      <c r="G57" s="88"/>
      <c r="H57" s="88"/>
      <c r="I57" s="88"/>
    </row>
    <row r="58" spans="1:9" ht="18.75" customHeight="1">
      <c r="A58" s="73" t="s">
        <v>66</v>
      </c>
      <c r="B58" s="73" t="s">
        <v>46</v>
      </c>
      <c r="C58" s="73"/>
      <c r="D58" s="149">
        <v>0</v>
      </c>
      <c r="E58" s="101"/>
      <c r="F58" s="88"/>
      <c r="G58" s="88"/>
      <c r="H58" s="88"/>
      <c r="I58" s="88"/>
    </row>
    <row r="59" spans="1:9" ht="21.75" customHeight="1">
      <c r="A59" s="73" t="s">
        <v>67</v>
      </c>
      <c r="B59" s="221" t="s">
        <v>46</v>
      </c>
      <c r="C59" s="221"/>
      <c r="D59" s="149">
        <v>1</v>
      </c>
      <c r="E59" s="101"/>
      <c r="F59" s="88"/>
      <c r="G59" s="88"/>
      <c r="H59" s="88"/>
      <c r="I59" s="88"/>
    </row>
    <row r="60" spans="1:9" ht="36" customHeight="1">
      <c r="A60" s="222" t="s">
        <v>68</v>
      </c>
      <c r="B60" s="73" t="s">
        <v>11</v>
      </c>
      <c r="C60" s="73"/>
      <c r="D60" s="149">
        <v>32457</v>
      </c>
      <c r="E60" s="101"/>
      <c r="F60" s="88"/>
      <c r="G60" s="88"/>
      <c r="H60" s="88"/>
      <c r="I60" s="88"/>
    </row>
    <row r="61" spans="1:9" ht="15.75">
      <c r="A61" s="223"/>
      <c r="B61" s="223"/>
      <c r="C61" s="223"/>
      <c r="D61" s="224"/>
      <c r="E61" s="88"/>
      <c r="F61" s="88"/>
      <c r="G61" s="88"/>
      <c r="H61" s="88"/>
      <c r="I61" s="88"/>
    </row>
    <row r="62" spans="1:14" s="1" customFormat="1" ht="12.75">
      <c r="A62" s="150"/>
      <c r="B62" s="150"/>
      <c r="C62" s="150"/>
      <c r="D62" s="150"/>
      <c r="E62" s="88"/>
      <c r="H62" s="1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E63" s="88"/>
      <c r="K63"/>
      <c r="L63"/>
      <c r="M63"/>
      <c r="N63"/>
    </row>
    <row r="64" spans="1:14" s="1" customFormat="1" ht="12.75">
      <c r="A64" s="150"/>
      <c r="B64" s="150"/>
      <c r="C64" s="150"/>
      <c r="D64" s="150"/>
      <c r="E64" s="88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E65" s="88"/>
      <c r="K65"/>
      <c r="L65"/>
      <c r="M65"/>
      <c r="N65"/>
    </row>
    <row r="66" spans="1:5" ht="12.75">
      <c r="A66" s="150"/>
      <c r="B66" s="150"/>
      <c r="C66" s="150"/>
      <c r="D66" s="150"/>
      <c r="E66" s="88"/>
    </row>
    <row r="67" spans="1:5" ht="12.75">
      <c r="A67" s="150"/>
      <c r="B67" s="150"/>
      <c r="C67" s="150"/>
      <c r="D67" s="150"/>
      <c r="E67" s="88"/>
    </row>
    <row r="68" spans="1:4" ht="12.75">
      <c r="A68" s="150"/>
      <c r="B68" s="150"/>
      <c r="C68" s="150"/>
      <c r="D68" s="150"/>
    </row>
    <row r="69" spans="1:14" s="1" customFormat="1" ht="12.75">
      <c r="A69" s="150"/>
      <c r="B69" s="150"/>
      <c r="C69" s="150"/>
      <c r="D69" s="150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6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97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5" ht="18" customHeight="1">
      <c r="A7" s="450" t="s">
        <v>2</v>
      </c>
      <c r="B7" s="450"/>
      <c r="C7" s="450"/>
      <c r="D7" s="450"/>
      <c r="E7" s="88"/>
    </row>
    <row r="8" spans="1:5" ht="12.75">
      <c r="A8" s="152" t="s">
        <v>212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6.25">
      <c r="A15" s="17" t="s">
        <v>10</v>
      </c>
      <c r="B15" s="161" t="s">
        <v>11</v>
      </c>
      <c r="C15" s="164">
        <v>54054.29</v>
      </c>
      <c r="D15" s="163"/>
      <c r="E15" s="270"/>
      <c r="F15" s="270"/>
      <c r="G15" s="270"/>
      <c r="H15" s="270"/>
    </row>
    <row r="16" spans="1:8" ht="15.75">
      <c r="A16" s="20" t="s">
        <v>12</v>
      </c>
      <c r="B16" s="161" t="s">
        <v>11</v>
      </c>
      <c r="C16" s="162">
        <v>0</v>
      </c>
      <c r="D16" s="163"/>
      <c r="E16" s="270"/>
      <c r="F16" s="270"/>
      <c r="G16" s="270"/>
      <c r="H16" s="270"/>
    </row>
    <row r="17" spans="1:8" ht="15.75">
      <c r="A17" s="20" t="s">
        <v>13</v>
      </c>
      <c r="B17" s="161" t="s">
        <v>11</v>
      </c>
      <c r="C17" s="164">
        <v>17590.17</v>
      </c>
      <c r="D17" s="165"/>
      <c r="E17" s="424" t="e">
        <f>B17/12/1022.6</f>
        <v>#VALUE!</v>
      </c>
      <c r="F17" s="270"/>
      <c r="G17" s="270"/>
      <c r="H17" s="270"/>
    </row>
    <row r="18" spans="1:8" ht="31.5" customHeight="1">
      <c r="A18" s="17" t="s">
        <v>14</v>
      </c>
      <c r="B18" s="161" t="s">
        <v>11</v>
      </c>
      <c r="C18" s="164">
        <v>19256.4</v>
      </c>
      <c r="D18" s="165"/>
      <c r="E18" s="425">
        <f>C18-C20</f>
        <v>17273.16</v>
      </c>
      <c r="F18" s="270"/>
      <c r="G18" s="270"/>
      <c r="H18" s="270"/>
    </row>
    <row r="19" spans="1:8" ht="15.75">
      <c r="A19" s="20" t="s">
        <v>15</v>
      </c>
      <c r="B19" s="161" t="s">
        <v>11</v>
      </c>
      <c r="C19" s="164">
        <f>C18-C20-C21</f>
        <v>8660.231999999998</v>
      </c>
      <c r="D19" s="165"/>
      <c r="E19" s="425">
        <f>E18-E38</f>
        <v>9.527999999998428</v>
      </c>
      <c r="F19" s="270"/>
      <c r="G19" s="270"/>
      <c r="H19" s="270"/>
    </row>
    <row r="20" spans="1:8" ht="15.75">
      <c r="A20" s="20" t="s">
        <v>16</v>
      </c>
      <c r="B20" s="161" t="s">
        <v>11</v>
      </c>
      <c r="C20" s="164">
        <f>(1.08+1.02)*6*157.4</f>
        <v>1983.2400000000002</v>
      </c>
      <c r="D20" s="165"/>
      <c r="E20" s="426"/>
      <c r="F20" s="270"/>
      <c r="G20" s="270"/>
      <c r="H20" s="270"/>
    </row>
    <row r="21" spans="1:8" ht="15.75">
      <c r="A21" s="20" t="s">
        <v>17</v>
      </c>
      <c r="B21" s="161" t="s">
        <v>11</v>
      </c>
      <c r="C21" s="166">
        <f>157.4*(4.44+4.68)*6</f>
        <v>8612.928000000002</v>
      </c>
      <c r="D21" s="165"/>
      <c r="E21" s="424"/>
      <c r="F21" s="270"/>
      <c r="G21" s="270"/>
      <c r="H21" s="270"/>
    </row>
    <row r="22" spans="1:8" ht="15.75">
      <c r="A22" s="20" t="s">
        <v>18</v>
      </c>
      <c r="B22" s="161" t="s">
        <v>11</v>
      </c>
      <c r="C22" s="164">
        <f>C23+C24+C25+C26+C27</f>
        <v>14037.9156</v>
      </c>
      <c r="D22" s="165" t="s">
        <v>19</v>
      </c>
      <c r="E22" s="425"/>
      <c r="F22" s="270"/>
      <c r="G22" s="270"/>
      <c r="H22" s="270"/>
    </row>
    <row r="23" spans="1:8" ht="15.75">
      <c r="A23" s="20" t="s">
        <v>20</v>
      </c>
      <c r="B23" s="161" t="s">
        <v>11</v>
      </c>
      <c r="C23" s="164">
        <f>C18*0.729</f>
        <v>14037.9156</v>
      </c>
      <c r="D23" s="165"/>
      <c r="E23" s="424"/>
      <c r="F23" s="270"/>
      <c r="G23" s="270"/>
      <c r="H23" s="270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272" t="e">
        <f>B24/#REF!*1</f>
        <v>#VALUE!</v>
      </c>
      <c r="F24" s="270"/>
      <c r="G24" s="270"/>
      <c r="H24" s="270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272" t="e">
        <f>B25/#REF!*1</f>
        <v>#VALUE!</v>
      </c>
      <c r="F25" s="270"/>
      <c r="G25" s="270"/>
      <c r="H25" s="270"/>
    </row>
    <row r="26" spans="1:8" ht="15.75">
      <c r="A26" s="158" t="s">
        <v>24</v>
      </c>
      <c r="B26" s="161" t="s">
        <v>11</v>
      </c>
      <c r="C26" s="164">
        <v>0</v>
      </c>
      <c r="D26" s="167"/>
      <c r="E26" s="272" t="e">
        <f>B26/#REF!*1</f>
        <v>#VALUE!</v>
      </c>
      <c r="F26" s="270"/>
      <c r="G26" s="270"/>
      <c r="H26" s="270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272" t="e">
        <f>B27/#REF!*1</f>
        <v>#VALUE!</v>
      </c>
      <c r="F27" s="270"/>
      <c r="G27" s="270"/>
      <c r="H27" s="270"/>
    </row>
    <row r="28" spans="1:8" ht="15.75">
      <c r="A28" s="20" t="s">
        <v>25</v>
      </c>
      <c r="B28" s="161" t="s">
        <v>11</v>
      </c>
      <c r="C28" s="164">
        <f>C15+C22</f>
        <v>68092.2056</v>
      </c>
      <c r="D28" s="165" t="s">
        <v>26</v>
      </c>
      <c r="E28" s="272" t="e">
        <f>B28/#REF!*1</f>
        <v>#VALUE!</v>
      </c>
      <c r="F28" s="270"/>
      <c r="G28" s="270"/>
      <c r="H28" s="270"/>
    </row>
    <row r="29" spans="1:8" ht="35.25" customHeight="1">
      <c r="A29" s="442" t="s">
        <v>27</v>
      </c>
      <c r="B29" s="442"/>
      <c r="C29" s="442"/>
      <c r="D29" s="442"/>
      <c r="E29" s="270"/>
      <c r="F29" s="270"/>
      <c r="G29" s="270"/>
      <c r="H29" s="270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270"/>
      <c r="F30" s="270"/>
      <c r="G30" s="270"/>
      <c r="H30" s="270"/>
    </row>
    <row r="31" spans="1:8" ht="15.75">
      <c r="A31" s="173" t="s">
        <v>32</v>
      </c>
      <c r="B31" s="174" t="s">
        <v>33</v>
      </c>
      <c r="C31" s="175" t="s">
        <v>34</v>
      </c>
      <c r="D31" s="176">
        <f>(1.63+1.72)*6*157.4</f>
        <v>3163.74</v>
      </c>
      <c r="E31" s="270"/>
      <c r="F31" s="270"/>
      <c r="G31" s="270"/>
      <c r="H31" s="270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(0.26+0.27)*6*157.4</f>
        <v>500.53200000000004</v>
      </c>
      <c r="E32" s="270"/>
      <c r="F32" s="270"/>
      <c r="G32" s="270"/>
      <c r="H32" s="270"/>
    </row>
    <row r="33" spans="1:8" ht="15.75">
      <c r="A33" s="177" t="s">
        <v>94</v>
      </c>
      <c r="B33" s="178" t="s">
        <v>33</v>
      </c>
      <c r="C33" s="179" t="s">
        <v>34</v>
      </c>
      <c r="D33" s="180">
        <f>(0.4+0.36)*6*157.4</f>
        <v>717.7440000000001</v>
      </c>
      <c r="E33" s="270"/>
      <c r="F33" s="270"/>
      <c r="G33" s="270"/>
      <c r="H33" s="270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(1.44+1.52)*6*157.4</f>
        <v>2795.424</v>
      </c>
      <c r="E34" s="270"/>
      <c r="F34" s="270"/>
      <c r="G34" s="270"/>
      <c r="H34" s="270"/>
    </row>
    <row r="35" spans="1:8" ht="15.75">
      <c r="A35" s="177" t="s">
        <v>38</v>
      </c>
      <c r="B35" s="178" t="s">
        <v>35</v>
      </c>
      <c r="C35" s="184" t="s">
        <v>39</v>
      </c>
      <c r="D35" s="180">
        <f>(4.44+4.68)*157.4*6</f>
        <v>8612.928000000002</v>
      </c>
      <c r="E35" s="270"/>
      <c r="F35" s="270"/>
      <c r="G35" s="270"/>
      <c r="H35" s="270"/>
    </row>
    <row r="36" spans="1:8" ht="15.75">
      <c r="A36" s="177" t="s">
        <v>82</v>
      </c>
      <c r="B36" s="178" t="s">
        <v>195</v>
      </c>
      <c r="C36" s="184" t="s">
        <v>37</v>
      </c>
      <c r="D36" s="180">
        <f>(0.8+0.76)*6*157.4</f>
        <v>1473.264</v>
      </c>
      <c r="E36" s="270"/>
      <c r="F36" s="270"/>
      <c r="G36" s="270"/>
      <c r="H36" s="270"/>
    </row>
    <row r="37" spans="1:14" s="1" customFormat="1" ht="47.25">
      <c r="A37" s="253" t="s">
        <v>189</v>
      </c>
      <c r="B37" s="185" t="s">
        <v>41</v>
      </c>
      <c r="C37" s="191"/>
      <c r="D37" s="147">
        <v>0</v>
      </c>
      <c r="E37" s="270"/>
      <c r="F37" s="270"/>
      <c r="G37" s="270"/>
      <c r="H37" s="270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D31+D32+D33+D34+D35+D36+D37</f>
        <v>17263.632</v>
      </c>
      <c r="E38" s="151">
        <f>D38-D37</f>
        <v>17263.632</v>
      </c>
      <c r="F38" s="270"/>
      <c r="G38" s="270"/>
      <c r="H38" s="270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50828.5736</v>
      </c>
      <c r="E39" s="151"/>
      <c r="F39" s="270"/>
      <c r="G39" s="270"/>
      <c r="H39" s="270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270"/>
      <c r="F40" s="270"/>
      <c r="G40" s="270"/>
      <c r="H40" s="270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25372.24</v>
      </c>
      <c r="E41" s="270"/>
      <c r="F41" s="270"/>
      <c r="G41" s="270"/>
      <c r="H41" s="270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270"/>
      <c r="F42" s="270"/>
      <c r="G42" s="270"/>
      <c r="H42" s="270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/>
      <c r="D43" s="163">
        <v>0</v>
      </c>
      <c r="E43" s="270"/>
      <c r="F43" s="270"/>
      <c r="G43" s="270"/>
      <c r="H43" s="270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/>
      <c r="D44" s="163">
        <v>0</v>
      </c>
      <c r="E44" s="270"/>
      <c r="F44" s="270"/>
      <c r="G44" s="270"/>
      <c r="H44" s="270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/>
      <c r="D45" s="163">
        <v>0</v>
      </c>
      <c r="E45" s="270"/>
      <c r="F45" s="270"/>
      <c r="G45" s="270"/>
      <c r="H45" s="270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/>
      <c r="D46" s="163">
        <v>0</v>
      </c>
      <c r="E46" s="270"/>
      <c r="F46" s="270"/>
      <c r="G46" s="270"/>
      <c r="H46" s="270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10032.04</v>
      </c>
      <c r="C49" s="208">
        <f>B49*0.729</f>
        <v>7313.3571600000005</v>
      </c>
      <c r="D49" s="231">
        <f>B49-C49</f>
        <v>2718.6828400000004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35">
        <f>B49</f>
        <v>10032.04</v>
      </c>
      <c r="C51" s="254">
        <f>B51</f>
        <v>10032.04</v>
      </c>
      <c r="D51" s="237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70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3" t="s">
        <v>45</v>
      </c>
      <c r="B53" s="73" t="s">
        <v>46</v>
      </c>
      <c r="C53" s="73"/>
      <c r="D53" s="149">
        <v>0</v>
      </c>
      <c r="E53" s="75"/>
    </row>
    <row r="54" spans="1:5" ht="21" customHeight="1">
      <c r="A54" s="73" t="s">
        <v>47</v>
      </c>
      <c r="B54" s="73" t="s">
        <v>46</v>
      </c>
      <c r="C54" s="73"/>
      <c r="D54" s="149">
        <v>0</v>
      </c>
      <c r="E54" s="75"/>
    </row>
    <row r="55" spans="1:5" ht="18" customHeight="1">
      <c r="A55" s="73" t="s">
        <v>48</v>
      </c>
      <c r="B55" s="73" t="s">
        <v>46</v>
      </c>
      <c r="C55" s="73"/>
      <c r="D55" s="149">
        <v>0</v>
      </c>
      <c r="E55" s="75"/>
    </row>
    <row r="56" spans="1:5" ht="16.5" customHeight="1">
      <c r="A56" s="73" t="s">
        <v>49</v>
      </c>
      <c r="B56" s="73" t="s">
        <v>11</v>
      </c>
      <c r="C56" s="73"/>
      <c r="D56" s="149">
        <v>0</v>
      </c>
      <c r="E56" s="75"/>
    </row>
    <row r="57" spans="1:5" ht="15.75" customHeight="1">
      <c r="A57" s="440" t="s">
        <v>232</v>
      </c>
      <c r="B57" s="440"/>
      <c r="C57" s="440"/>
      <c r="D57" s="440"/>
      <c r="E57" s="75"/>
    </row>
    <row r="58" spans="1:5" ht="18.75" customHeight="1">
      <c r="A58" s="73" t="s">
        <v>66</v>
      </c>
      <c r="B58" s="73" t="s">
        <v>46</v>
      </c>
      <c r="C58" s="73"/>
      <c r="D58" s="149">
        <v>1</v>
      </c>
      <c r="E58" s="75"/>
    </row>
    <row r="59" spans="1:5" ht="21.75" customHeight="1">
      <c r="A59" s="73" t="s">
        <v>67</v>
      </c>
      <c r="B59" s="221" t="s">
        <v>46</v>
      </c>
      <c r="C59" s="221"/>
      <c r="D59" s="149">
        <v>2</v>
      </c>
      <c r="E59" s="75"/>
    </row>
    <row r="60" spans="1:5" ht="36" customHeight="1">
      <c r="A60" s="222" t="s">
        <v>68</v>
      </c>
      <c r="B60" s="73" t="s">
        <v>11</v>
      </c>
      <c r="C60" s="73"/>
      <c r="D60" s="149">
        <v>0</v>
      </c>
      <c r="E60" s="75"/>
    </row>
    <row r="61" spans="1:4" ht="15.75">
      <c r="A61" s="223"/>
      <c r="B61" s="223"/>
      <c r="C61" s="223"/>
      <c r="D61" s="224"/>
    </row>
    <row r="62" spans="1:14" s="1" customFormat="1" ht="12.75">
      <c r="A62" s="150"/>
      <c r="B62" s="150"/>
      <c r="C62" s="150"/>
      <c r="D62" s="150"/>
      <c r="H62" s="1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K63"/>
      <c r="L63"/>
      <c r="M63"/>
      <c r="N63"/>
    </row>
    <row r="64" spans="1:14" s="1" customFormat="1" ht="12.75">
      <c r="A64" s="150"/>
      <c r="B64" s="150"/>
      <c r="C64" s="150"/>
      <c r="D64" s="150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K65"/>
      <c r="L65"/>
      <c r="M65"/>
      <c r="N65"/>
    </row>
    <row r="66" spans="1:4" ht="12.75">
      <c r="A66" s="150"/>
      <c r="B66" s="150"/>
      <c r="C66" s="150"/>
      <c r="D66" s="150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14" s="1" customFormat="1" ht="12.75">
      <c r="A69" s="150"/>
      <c r="B69" s="150"/>
      <c r="C69" s="150"/>
      <c r="D69" s="150"/>
      <c r="E69" s="1" t="s">
        <v>26</v>
      </c>
      <c r="K69"/>
      <c r="L69"/>
      <c r="M69"/>
      <c r="N69"/>
    </row>
    <row r="70" spans="1:4" ht="12.75">
      <c r="A70" s="150"/>
      <c r="B70" s="150"/>
      <c r="C70" s="150"/>
      <c r="D70" s="150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6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98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8" ht="18" customHeight="1">
      <c r="A7" s="450" t="s">
        <v>2</v>
      </c>
      <c r="B7" s="450"/>
      <c r="C7" s="450"/>
      <c r="D7" s="450"/>
      <c r="E7" s="88"/>
      <c r="F7" s="88"/>
      <c r="G7" s="88"/>
      <c r="H7" s="88"/>
    </row>
    <row r="8" spans="1:8" ht="12.75">
      <c r="A8" s="225" t="s">
        <v>151</v>
      </c>
      <c r="B8" s="150"/>
      <c r="C8" s="153"/>
      <c r="D8" s="150"/>
      <c r="E8" s="88"/>
      <c r="F8" s="88"/>
      <c r="G8" s="88"/>
      <c r="H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9761.27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55032.25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12187.2</v>
      </c>
      <c r="D18" s="165"/>
      <c r="E18" s="427">
        <f>C18-C20</f>
        <v>11086.302000000001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5214.8460000000005</v>
      </c>
      <c r="D19" s="165"/>
      <c r="E19" s="427">
        <f>E18-E38</f>
        <v>0.06600000000071304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(0.83+0.88)*6*107.3</f>
        <v>1100.898</v>
      </c>
      <c r="D20" s="165"/>
      <c r="E20" s="428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107.3*(4.44+4.68)*6</f>
        <v>5871.456000000001</v>
      </c>
      <c r="D21" s="165"/>
      <c r="E21" s="429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8835.720000000001</v>
      </c>
      <c r="D22" s="165" t="s">
        <v>19</v>
      </c>
      <c r="E22" s="427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C18*0.725</f>
        <v>8835.720000000001</v>
      </c>
      <c r="D23" s="165"/>
      <c r="E23" s="429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428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428"/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/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18596.99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(1.2+1.13)*6*107.3</f>
        <v>1500.054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(0.26+0.27)*6*107.3</f>
        <v>341.214</v>
      </c>
      <c r="E32" s="88"/>
      <c r="F32" s="88"/>
      <c r="G32" s="88"/>
      <c r="H32" s="88"/>
    </row>
    <row r="33" spans="1:8" ht="15.75">
      <c r="A33" s="177" t="s">
        <v>94</v>
      </c>
      <c r="B33" s="178" t="s">
        <v>33</v>
      </c>
      <c r="C33" s="179" t="s">
        <v>34</v>
      </c>
      <c r="D33" s="180">
        <v>0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(1.44+1.52)*6*107.3</f>
        <v>1905.6479999999997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184" t="s">
        <v>39</v>
      </c>
      <c r="D35" s="180">
        <f>(4.44+4.68)*107.3*6</f>
        <v>5871.456000000001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184" t="s">
        <v>37</v>
      </c>
      <c r="D36" s="328">
        <f>107.3*(1.17+1.11)*6</f>
        <v>1467.8640000000003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191"/>
      <c r="D37" s="147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D31+D32+D33+D34+D35+D36+D37</f>
        <v>11086.236</v>
      </c>
      <c r="E38" s="91">
        <f>D38-D37</f>
        <v>11086.236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7510.754000000001</v>
      </c>
      <c r="E39" s="91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88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60467.07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/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/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/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6960.48</v>
      </c>
      <c r="C49" s="208">
        <f>B49*0.725</f>
        <v>5046.348</v>
      </c>
      <c r="D49" s="231">
        <f>B49-C49</f>
        <v>1914.1319999999996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35">
        <f>B49</f>
        <v>6960.48</v>
      </c>
      <c r="C51" s="236">
        <f>B51</f>
        <v>6960.48</v>
      </c>
      <c r="D51" s="237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56"/>
      <c r="J52" s="56"/>
      <c r="K52" s="57"/>
      <c r="L52" s="57"/>
      <c r="M52" s="57"/>
      <c r="N52" s="57"/>
    </row>
    <row r="53" spans="1:8" ht="21" customHeight="1">
      <c r="A53" s="73" t="s">
        <v>45</v>
      </c>
      <c r="B53" s="73" t="s">
        <v>46</v>
      </c>
      <c r="C53" s="73"/>
      <c r="D53" s="149">
        <v>0</v>
      </c>
      <c r="E53" s="101"/>
      <c r="F53" s="88"/>
      <c r="G53" s="88"/>
      <c r="H53" s="88"/>
    </row>
    <row r="54" spans="1:8" ht="21" customHeight="1">
      <c r="A54" s="73" t="s">
        <v>47</v>
      </c>
      <c r="B54" s="73" t="s">
        <v>46</v>
      </c>
      <c r="C54" s="73"/>
      <c r="D54" s="149">
        <v>0</v>
      </c>
      <c r="E54" s="101"/>
      <c r="F54" s="88"/>
      <c r="G54" s="88"/>
      <c r="H54" s="88"/>
    </row>
    <row r="55" spans="1:8" ht="18" customHeight="1">
      <c r="A55" s="73" t="s">
        <v>48</v>
      </c>
      <c r="B55" s="73" t="s">
        <v>46</v>
      </c>
      <c r="C55" s="73"/>
      <c r="D55" s="149">
        <v>0</v>
      </c>
      <c r="E55" s="101"/>
      <c r="F55" s="88"/>
      <c r="G55" s="88"/>
      <c r="H55" s="88"/>
    </row>
    <row r="56" spans="1:8" ht="16.5" customHeight="1">
      <c r="A56" s="73" t="s">
        <v>49</v>
      </c>
      <c r="B56" s="73" t="s">
        <v>11</v>
      </c>
      <c r="C56" s="73"/>
      <c r="D56" s="149">
        <v>0</v>
      </c>
      <c r="E56" s="101"/>
      <c r="F56" s="88"/>
      <c r="G56" s="88"/>
      <c r="H56" s="88"/>
    </row>
    <row r="57" spans="1:8" ht="15.75" customHeight="1">
      <c r="A57" s="440" t="s">
        <v>232</v>
      </c>
      <c r="B57" s="440"/>
      <c r="C57" s="440"/>
      <c r="D57" s="440"/>
      <c r="E57" s="101"/>
      <c r="F57" s="88"/>
      <c r="G57" s="88"/>
      <c r="H57" s="88"/>
    </row>
    <row r="58" spans="1:8" ht="18.75" customHeight="1">
      <c r="A58" s="73" t="s">
        <v>66</v>
      </c>
      <c r="B58" s="73" t="s">
        <v>46</v>
      </c>
      <c r="C58" s="73"/>
      <c r="D58" s="149">
        <v>1</v>
      </c>
      <c r="E58" s="101"/>
      <c r="F58" s="88"/>
      <c r="G58" s="88"/>
      <c r="H58" s="88"/>
    </row>
    <row r="59" spans="1:8" ht="21.75" customHeight="1">
      <c r="A59" s="73" t="s">
        <v>67</v>
      </c>
      <c r="B59" s="221" t="s">
        <v>46</v>
      </c>
      <c r="C59" s="221"/>
      <c r="D59" s="149">
        <v>1</v>
      </c>
      <c r="E59" s="101"/>
      <c r="F59" s="88"/>
      <c r="G59" s="88"/>
      <c r="H59" s="88"/>
    </row>
    <row r="60" spans="1:8" ht="36" customHeight="1">
      <c r="A60" s="222" t="s">
        <v>68</v>
      </c>
      <c r="B60" s="73" t="s">
        <v>11</v>
      </c>
      <c r="C60" s="73"/>
      <c r="D60" s="149">
        <v>0</v>
      </c>
      <c r="E60" s="101"/>
      <c r="F60" s="88"/>
      <c r="G60" s="88"/>
      <c r="H60" s="88"/>
    </row>
    <row r="61" spans="1:8" ht="15.75">
      <c r="A61" s="223"/>
      <c r="B61" s="223"/>
      <c r="C61" s="223"/>
      <c r="D61" s="224"/>
      <c r="E61" s="88"/>
      <c r="F61" s="88"/>
      <c r="G61" s="88"/>
      <c r="H61" s="88"/>
    </row>
    <row r="62" spans="1:14" s="1" customFormat="1" ht="12.75">
      <c r="A62" s="150"/>
      <c r="B62" s="150"/>
      <c r="C62" s="150"/>
      <c r="D62" s="150"/>
      <c r="E62" s="88"/>
      <c r="F62" s="88"/>
      <c r="G62" s="88"/>
      <c r="H62" s="88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E63" s="88"/>
      <c r="F63" s="88"/>
      <c r="G63" s="88"/>
      <c r="H63" s="88"/>
      <c r="K63"/>
      <c r="L63"/>
      <c r="M63"/>
      <c r="N63"/>
    </row>
    <row r="64" spans="1:14" s="1" customFormat="1" ht="12.75">
      <c r="A64" s="150"/>
      <c r="B64" s="150"/>
      <c r="C64" s="150"/>
      <c r="D64" s="150"/>
      <c r="E64" s="88"/>
      <c r="F64" s="88"/>
      <c r="G64" s="88"/>
      <c r="H64" s="88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E65" s="88"/>
      <c r="F65" s="88"/>
      <c r="G65" s="88"/>
      <c r="H65" s="88"/>
      <c r="K65"/>
      <c r="L65"/>
      <c r="M65"/>
      <c r="N65"/>
    </row>
    <row r="66" spans="1:8" ht="12.75">
      <c r="A66" s="150"/>
      <c r="B66" s="150"/>
      <c r="C66" s="150"/>
      <c r="D66" s="150"/>
      <c r="E66" s="88"/>
      <c r="F66" s="88"/>
      <c r="G66" s="88"/>
      <c r="H66" s="88"/>
    </row>
    <row r="67" spans="5:8" ht="12.75">
      <c r="E67" s="88"/>
      <c r="F67" s="88"/>
      <c r="G67" s="88"/>
      <c r="H67" s="88"/>
    </row>
    <row r="68" spans="5:8" ht="12.75">
      <c r="E68" s="88"/>
      <c r="F68" s="88"/>
      <c r="G68" s="88"/>
      <c r="H68" s="88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80" zoomScaleNormal="80" zoomScalePageLayoutView="0" workbookViewId="0" topLeftCell="A40">
      <selection activeCell="A1" sqref="A1:D71"/>
    </sheetView>
  </sheetViews>
  <sheetFormatPr defaultColWidth="11.57421875" defaultRowHeight="12.75"/>
  <cols>
    <col min="1" max="1" width="52.8515625" style="0" customWidth="1"/>
    <col min="2" max="2" width="19.8515625" style="0" customWidth="1"/>
    <col min="3" max="3" width="23.8515625" style="0" customWidth="1"/>
    <col min="4" max="4" width="15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99</v>
      </c>
      <c r="B4" s="448"/>
      <c r="C4" s="448"/>
      <c r="D4" s="448"/>
    </row>
    <row r="5" spans="1:8" ht="12.75">
      <c r="A5" s="449" t="s">
        <v>244</v>
      </c>
      <c r="B5" s="448"/>
      <c r="C5" s="448"/>
      <c r="D5" s="448"/>
      <c r="E5" s="88"/>
      <c r="F5" s="88"/>
      <c r="G5" s="88"/>
      <c r="H5" s="88"/>
    </row>
    <row r="6" spans="1:8" ht="9" customHeight="1">
      <c r="A6" s="225"/>
      <c r="B6" s="150"/>
      <c r="C6" s="150"/>
      <c r="D6" s="150"/>
      <c r="E6" s="88"/>
      <c r="F6" s="88"/>
      <c r="G6" s="88"/>
      <c r="H6" s="88"/>
    </row>
    <row r="7" spans="1:8" ht="30" customHeight="1">
      <c r="A7" s="450" t="s">
        <v>2</v>
      </c>
      <c r="B7" s="450"/>
      <c r="C7" s="450"/>
      <c r="D7" s="450"/>
      <c r="E7" s="88"/>
      <c r="F7" s="88"/>
      <c r="G7" s="88"/>
      <c r="H7" s="88"/>
    </row>
    <row r="8" spans="1:8" ht="12.75">
      <c r="A8" s="225" t="s">
        <v>152</v>
      </c>
      <c r="B8" s="150"/>
      <c r="C8" s="153"/>
      <c r="D8" s="150"/>
      <c r="E8" s="88"/>
      <c r="F8" s="88"/>
      <c r="G8" s="88"/>
      <c r="H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83768.83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66721.87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68787.48</v>
      </c>
      <c r="D18" s="165"/>
      <c r="E18" s="89">
        <f>C18-C20</f>
        <v>58857.299999999996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38227.85999999999</v>
      </c>
      <c r="D19" s="165"/>
      <c r="E19" s="89">
        <f>E18-E41</f>
        <v>0.059999999997671694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(2.14+2.25)*6*377</f>
        <v>9930.180000000002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377*(4.44+4.68)*6</f>
        <v>20629.440000000002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</f>
        <v>89829.02904000001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C18*1.298</f>
        <v>89286.14904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249</v>
      </c>
      <c r="B26" s="161" t="s">
        <v>11</v>
      </c>
      <c r="C26" s="164">
        <v>542.88</v>
      </c>
      <c r="D26" s="167"/>
      <c r="E26" s="90" t="e">
        <f>B26/#REF!*1</f>
        <v>#VALUE!</v>
      </c>
      <c r="F26" s="88"/>
      <c r="G26" s="88"/>
      <c r="H26" s="88"/>
    </row>
    <row r="27" spans="1:8" ht="15.75">
      <c r="A27" s="20" t="s">
        <v>25</v>
      </c>
      <c r="B27" s="161" t="s">
        <v>11</v>
      </c>
      <c r="C27" s="164">
        <f>C15+C22</f>
        <v>173597.85904</v>
      </c>
      <c r="D27" s="165" t="s">
        <v>26</v>
      </c>
      <c r="E27" s="90" t="e">
        <f>B27/#REF!*1</f>
        <v>#VALUE!</v>
      </c>
      <c r="F27" s="88"/>
      <c r="G27" s="88"/>
      <c r="H27" s="88"/>
    </row>
    <row r="28" spans="1:8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</row>
    <row r="29" spans="1:8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</row>
    <row r="30" spans="1:8" ht="31.5">
      <c r="A30" s="173" t="s">
        <v>32</v>
      </c>
      <c r="B30" s="174" t="s">
        <v>33</v>
      </c>
      <c r="C30" s="175" t="s">
        <v>34</v>
      </c>
      <c r="D30" s="176">
        <f>(0.94+0.99)*6*377</f>
        <v>4365.66</v>
      </c>
      <c r="E30" s="88"/>
      <c r="F30" s="88"/>
      <c r="G30" s="88"/>
      <c r="H30" s="88"/>
    </row>
    <row r="31" spans="1:8" ht="15.75">
      <c r="A31" s="177" t="s">
        <v>72</v>
      </c>
      <c r="B31" s="178" t="s">
        <v>73</v>
      </c>
      <c r="C31" s="179" t="s">
        <v>34</v>
      </c>
      <c r="D31" s="180">
        <f>(2.59+2.73)*6*377</f>
        <v>12033.84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(0.26+0.27)*6*377</f>
        <v>1198.8600000000001</v>
      </c>
      <c r="E32" s="88"/>
      <c r="F32" s="88"/>
      <c r="G32" s="88"/>
      <c r="H32" s="88"/>
    </row>
    <row r="33" spans="1:8" ht="15.75">
      <c r="A33" s="177" t="s">
        <v>76</v>
      </c>
      <c r="B33" s="305" t="s">
        <v>33</v>
      </c>
      <c r="C33" s="179" t="s">
        <v>34</v>
      </c>
      <c r="D33" s="180">
        <f>(0.94+0.89)*6*377</f>
        <v>4139.46</v>
      </c>
      <c r="E33" s="88"/>
      <c r="F33" s="88"/>
      <c r="G33" s="88"/>
      <c r="H33" s="88"/>
    </row>
    <row r="34" spans="1:8" ht="15.75">
      <c r="A34" s="177" t="s">
        <v>77</v>
      </c>
      <c r="B34" s="178" t="s">
        <v>33</v>
      </c>
      <c r="C34" s="179" t="s">
        <v>34</v>
      </c>
      <c r="D34" s="180">
        <f>377*(1.63+1.73)*6</f>
        <v>7600.32</v>
      </c>
      <c r="E34" s="88"/>
      <c r="F34" s="88"/>
      <c r="G34" s="88"/>
      <c r="H34" s="88"/>
    </row>
    <row r="35" spans="1:8" ht="15.75">
      <c r="A35" s="177" t="s">
        <v>78</v>
      </c>
      <c r="B35" s="183" t="s">
        <v>79</v>
      </c>
      <c r="C35" s="179" t="s">
        <v>34</v>
      </c>
      <c r="D35" s="180">
        <f>(1.44+1.52)*6*377</f>
        <v>6695.5199999999995</v>
      </c>
      <c r="E35" s="88"/>
      <c r="F35" s="88"/>
      <c r="G35" s="88"/>
      <c r="H35" s="88"/>
    </row>
    <row r="36" spans="1:8" ht="15.75">
      <c r="A36" s="177" t="s">
        <v>38</v>
      </c>
      <c r="B36" s="178" t="s">
        <v>35</v>
      </c>
      <c r="C36" s="304" t="s">
        <v>194</v>
      </c>
      <c r="D36" s="180">
        <f>(4.44+4.68)*377*6</f>
        <v>20629.440000000002</v>
      </c>
      <c r="E36" s="88"/>
      <c r="F36" s="88"/>
      <c r="G36" s="88"/>
      <c r="H36" s="88"/>
    </row>
    <row r="37" spans="1:8" ht="15.75">
      <c r="A37" s="177" t="s">
        <v>82</v>
      </c>
      <c r="B37" s="178" t="s">
        <v>195</v>
      </c>
      <c r="C37" s="184" t="s">
        <v>37</v>
      </c>
      <c r="D37" s="180">
        <f>377*(0.5+0.47)*6</f>
        <v>2194.14</v>
      </c>
      <c r="E37" s="88"/>
      <c r="F37" s="88"/>
      <c r="G37" s="88"/>
      <c r="H37" s="88"/>
    </row>
    <row r="38" spans="1:8" ht="15.75">
      <c r="A38" s="177" t="s">
        <v>187</v>
      </c>
      <c r="B38" s="178"/>
      <c r="C38" s="184"/>
      <c r="D38" s="180"/>
      <c r="E38" s="88"/>
      <c r="F38" s="88"/>
      <c r="G38" s="88"/>
      <c r="H38" s="88"/>
    </row>
    <row r="39" spans="1:8" ht="31.5">
      <c r="A39" s="177" t="s">
        <v>186</v>
      </c>
      <c r="B39" s="178" t="s">
        <v>35</v>
      </c>
      <c r="C39" s="241" t="s">
        <v>185</v>
      </c>
      <c r="D39" s="180">
        <v>542.88</v>
      </c>
      <c r="E39" s="88"/>
      <c r="F39" s="88"/>
      <c r="G39" s="88"/>
      <c r="H39" s="88"/>
    </row>
    <row r="40" spans="1:14" s="1" customFormat="1" ht="63">
      <c r="A40" s="253" t="s">
        <v>189</v>
      </c>
      <c r="B40" s="185" t="s">
        <v>41</v>
      </c>
      <c r="C40" s="191"/>
      <c r="D40" s="319">
        <v>0</v>
      </c>
      <c r="E40" s="88"/>
      <c r="F40" s="88"/>
      <c r="G40" s="88"/>
      <c r="H40" s="88"/>
      <c r="K40"/>
      <c r="L40"/>
      <c r="M40"/>
      <c r="N40"/>
    </row>
    <row r="41" spans="1:14" s="1" customFormat="1" ht="15.75">
      <c r="A41" s="37" t="s">
        <v>42</v>
      </c>
      <c r="B41" s="192"/>
      <c r="C41" s="193"/>
      <c r="D41" s="84">
        <f>D30+D31+D32+D33+D34+D35+D36+D37+D39+D40</f>
        <v>59400.119999999995</v>
      </c>
      <c r="E41" s="91">
        <f>D41-D40-D39</f>
        <v>58857.24</v>
      </c>
      <c r="F41" s="88"/>
      <c r="G41" s="88"/>
      <c r="H41" s="88"/>
      <c r="K41"/>
      <c r="L41"/>
      <c r="M41"/>
      <c r="N41"/>
    </row>
    <row r="42" spans="1:14" s="1" customFormat="1" ht="15.75">
      <c r="A42" s="40" t="s">
        <v>43</v>
      </c>
      <c r="B42" s="194" t="s">
        <v>11</v>
      </c>
      <c r="C42" s="195"/>
      <c r="D42" s="196">
        <f>C27-D41</f>
        <v>114197.73904000001</v>
      </c>
      <c r="E42" s="91"/>
      <c r="F42" s="88"/>
      <c r="G42" s="88"/>
      <c r="H42" s="88"/>
      <c r="K42"/>
      <c r="L42"/>
      <c r="M42"/>
      <c r="N42"/>
    </row>
    <row r="43" spans="1:14" s="1" customFormat="1" ht="15.75">
      <c r="A43" s="197" t="s">
        <v>12</v>
      </c>
      <c r="B43" s="198" t="s">
        <v>11</v>
      </c>
      <c r="C43" s="179"/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13</v>
      </c>
      <c r="B44" s="198" t="s">
        <v>11</v>
      </c>
      <c r="C44" s="179"/>
      <c r="D44" s="165">
        <v>38505.45</v>
      </c>
      <c r="E44" s="88"/>
      <c r="F44" s="88"/>
      <c r="G44" s="88"/>
      <c r="H44" s="88"/>
      <c r="K44"/>
      <c r="L44"/>
      <c r="M44"/>
      <c r="N44"/>
    </row>
    <row r="45" spans="1:14" s="1" customFormat="1" ht="24" customHeight="1">
      <c r="A45" s="443" t="s">
        <v>44</v>
      </c>
      <c r="B45" s="443"/>
      <c r="C45" s="443"/>
      <c r="D45" s="443"/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45</v>
      </c>
      <c r="B46" s="178" t="s">
        <v>46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47</v>
      </c>
      <c r="B47" s="178" t="s">
        <v>46</v>
      </c>
      <c r="C47" s="179"/>
      <c r="D47" s="163">
        <v>0</v>
      </c>
      <c r="E47" s="88"/>
      <c r="F47" s="88"/>
      <c r="G47" s="88"/>
      <c r="H47" s="88"/>
      <c r="K47"/>
      <c r="L47"/>
      <c r="M47"/>
      <c r="N47"/>
    </row>
    <row r="48" spans="1:14" s="1" customFormat="1" ht="26.25">
      <c r="A48" s="199" t="s">
        <v>48</v>
      </c>
      <c r="B48" s="178" t="s">
        <v>46</v>
      </c>
      <c r="C48" s="179"/>
      <c r="D48" s="163">
        <v>0</v>
      </c>
      <c r="E48" s="88"/>
      <c r="F48" s="88"/>
      <c r="G48" s="88"/>
      <c r="H48" s="88"/>
      <c r="K48"/>
      <c r="L48"/>
      <c r="M48"/>
      <c r="N48"/>
    </row>
    <row r="49" spans="1:14" s="1" customFormat="1" ht="15.75">
      <c r="A49" s="197" t="s">
        <v>49</v>
      </c>
      <c r="B49" s="178" t="s">
        <v>11</v>
      </c>
      <c r="C49" s="179"/>
      <c r="D49" s="163">
        <v>0</v>
      </c>
      <c r="E49" s="88"/>
      <c r="F49" s="88"/>
      <c r="G49" s="88"/>
      <c r="H49" s="88"/>
      <c r="K49"/>
      <c r="L49"/>
      <c r="M49"/>
      <c r="N49"/>
    </row>
    <row r="50" spans="1:14" ht="18" customHeight="1" thickBot="1">
      <c r="A50" s="452" t="s">
        <v>233</v>
      </c>
      <c r="B50" s="452"/>
      <c r="C50" s="452"/>
      <c r="D50" s="452"/>
      <c r="E50" s="93"/>
      <c r="F50" s="94"/>
      <c r="G50" s="95"/>
      <c r="H50" s="88"/>
      <c r="I50" s="56"/>
      <c r="J50" s="56"/>
      <c r="K50" s="57"/>
      <c r="L50" s="57"/>
      <c r="M50" s="57"/>
      <c r="N50" s="57"/>
    </row>
    <row r="51" spans="1:14" ht="51">
      <c r="A51" s="58" t="s">
        <v>54</v>
      </c>
      <c r="B51" s="59" t="s">
        <v>55</v>
      </c>
      <c r="C51" s="130" t="s">
        <v>56</v>
      </c>
      <c r="D51" s="131" t="s">
        <v>57</v>
      </c>
      <c r="E51" s="93"/>
      <c r="F51" s="94"/>
      <c r="G51" s="95"/>
      <c r="H51" s="88"/>
      <c r="I51" s="56"/>
      <c r="J51" s="62"/>
      <c r="K51" s="57"/>
      <c r="L51" s="57"/>
      <c r="M51" s="57"/>
      <c r="N51" s="57"/>
    </row>
    <row r="52" spans="1:14" ht="16.5" thickBot="1">
      <c r="A52" s="228" t="s">
        <v>202</v>
      </c>
      <c r="B52" s="229">
        <v>23300.01</v>
      </c>
      <c r="C52" s="345">
        <f>B52</f>
        <v>23300.01</v>
      </c>
      <c r="D52" s="347">
        <f>B52-C52</f>
        <v>0</v>
      </c>
      <c r="E52" s="93"/>
      <c r="F52" s="96"/>
      <c r="G52" s="97"/>
      <c r="H52" s="88"/>
      <c r="I52" s="56"/>
      <c r="J52" s="56"/>
      <c r="K52" s="57"/>
      <c r="L52" s="57"/>
      <c r="M52" s="57"/>
      <c r="N52" s="57"/>
    </row>
    <row r="53" spans="1:14" ht="63.75">
      <c r="A53" s="106" t="s">
        <v>59</v>
      </c>
      <c r="B53" s="107" t="s">
        <v>60</v>
      </c>
      <c r="C53" s="107" t="s">
        <v>61</v>
      </c>
      <c r="D53" s="132" t="s">
        <v>62</v>
      </c>
      <c r="E53" s="93"/>
      <c r="F53" s="96"/>
      <c r="G53" s="88"/>
      <c r="H53" s="98"/>
      <c r="I53" s="56"/>
      <c r="J53" s="56"/>
      <c r="K53" s="57"/>
      <c r="L53" s="57"/>
      <c r="M53" s="57"/>
      <c r="N53" s="57"/>
    </row>
    <row r="54" spans="1:14" ht="15.75">
      <c r="A54" s="342" t="s">
        <v>202</v>
      </c>
      <c r="B54" s="229">
        <f>B52</f>
        <v>23300.01</v>
      </c>
      <c r="C54" s="348">
        <f>B54</f>
        <v>23300.01</v>
      </c>
      <c r="D54" s="341">
        <f>B54-C54</f>
        <v>0</v>
      </c>
      <c r="E54" s="93"/>
      <c r="F54" s="96"/>
      <c r="G54" s="88"/>
      <c r="H54" s="98"/>
      <c r="I54" s="56"/>
      <c r="J54" s="56"/>
      <c r="K54" s="57"/>
      <c r="L54" s="57"/>
      <c r="M54" s="57"/>
      <c r="N54" s="57"/>
    </row>
    <row r="55" spans="1:14" ht="16.5" thickBot="1">
      <c r="A55" s="236"/>
      <c r="B55" s="236"/>
      <c r="C55" s="350"/>
      <c r="D55" s="351"/>
      <c r="E55" s="93"/>
      <c r="F55" s="96"/>
      <c r="G55" s="88"/>
      <c r="H55" s="98" t="s">
        <v>26</v>
      </c>
      <c r="I55" s="56"/>
      <c r="J55" s="56"/>
      <c r="K55" s="57"/>
      <c r="L55" s="57"/>
      <c r="M55" s="57"/>
      <c r="N55" s="57"/>
    </row>
    <row r="56" spans="1:14" ht="15.75">
      <c r="A56" s="333" t="s">
        <v>231</v>
      </c>
      <c r="B56" s="215" t="s">
        <v>11</v>
      </c>
      <c r="C56" s="352"/>
      <c r="D56" s="358">
        <v>0</v>
      </c>
      <c r="E56" s="93"/>
      <c r="F56" s="96"/>
      <c r="G56" s="88"/>
      <c r="H56" s="98"/>
      <c r="I56" s="56"/>
      <c r="J56" s="56" t="s">
        <v>26</v>
      </c>
      <c r="K56" s="57"/>
      <c r="L56" s="57"/>
      <c r="M56" s="57"/>
      <c r="N56" s="57"/>
    </row>
    <row r="57" spans="1:14" ht="17.25" customHeight="1">
      <c r="A57" s="73" t="s">
        <v>45</v>
      </c>
      <c r="B57" s="333"/>
      <c r="C57" s="333"/>
      <c r="D57" s="333"/>
      <c r="E57" s="99" t="e">
        <f>D57+B19</f>
        <v>#VALUE!</v>
      </c>
      <c r="F57" s="56"/>
      <c r="H57" s="71" t="e">
        <f>E57-B18</f>
        <v>#VALUE!</v>
      </c>
      <c r="I57" s="56"/>
      <c r="J57" s="56"/>
      <c r="K57" s="57"/>
      <c r="L57" s="57"/>
      <c r="M57" s="57"/>
      <c r="N57" s="57"/>
    </row>
    <row r="58" spans="1:5" ht="21" customHeight="1">
      <c r="A58" s="73" t="s">
        <v>47</v>
      </c>
      <c r="B58" s="73" t="s">
        <v>46</v>
      </c>
      <c r="C58" s="73"/>
      <c r="D58" s="149">
        <v>0</v>
      </c>
      <c r="E58" s="101"/>
    </row>
    <row r="59" spans="1:5" ht="21" customHeight="1">
      <c r="A59" s="73" t="s">
        <v>48</v>
      </c>
      <c r="B59" s="73" t="s">
        <v>46</v>
      </c>
      <c r="C59" s="73"/>
      <c r="D59" s="149">
        <v>0</v>
      </c>
      <c r="E59" s="101"/>
    </row>
    <row r="60" spans="1:5" ht="18" customHeight="1">
      <c r="A60" s="73" t="s">
        <v>49</v>
      </c>
      <c r="B60" s="73" t="s">
        <v>46</v>
      </c>
      <c r="C60" s="73"/>
      <c r="D60" s="149">
        <v>0</v>
      </c>
      <c r="E60" s="101"/>
    </row>
    <row r="61" spans="1:5" ht="26.25" customHeight="1">
      <c r="A61" s="332" t="s">
        <v>232</v>
      </c>
      <c r="B61" s="73" t="s">
        <v>11</v>
      </c>
      <c r="C61" s="73"/>
      <c r="D61" s="149">
        <v>0</v>
      </c>
      <c r="E61" s="101"/>
    </row>
    <row r="62" spans="1:5" ht="15.75" customHeight="1">
      <c r="A62" s="73" t="s">
        <v>66</v>
      </c>
      <c r="B62" s="332"/>
      <c r="C62" s="332"/>
      <c r="D62" s="420">
        <v>4</v>
      </c>
      <c r="E62" s="101"/>
    </row>
    <row r="63" spans="1:5" ht="18.75" customHeight="1">
      <c r="A63" s="73" t="s">
        <v>67</v>
      </c>
      <c r="B63" s="73" t="s">
        <v>46</v>
      </c>
      <c r="C63" s="73"/>
      <c r="D63" s="149">
        <v>1</v>
      </c>
      <c r="E63" s="101"/>
    </row>
    <row r="64" spans="1:5" ht="28.5" customHeight="1">
      <c r="A64" s="222" t="s">
        <v>68</v>
      </c>
      <c r="B64" s="221" t="s">
        <v>46</v>
      </c>
      <c r="C64" s="221"/>
      <c r="D64" s="149">
        <v>28216</v>
      </c>
      <c r="E64" s="101"/>
    </row>
    <row r="65" spans="1:5" ht="15.75">
      <c r="A65" s="150"/>
      <c r="B65" s="223"/>
      <c r="C65" s="223"/>
      <c r="D65" s="224"/>
      <c r="E65" s="88"/>
    </row>
    <row r="66" spans="1:14" s="1" customFormat="1" ht="12.75">
      <c r="A66" s="150" t="s">
        <v>69</v>
      </c>
      <c r="B66" s="150"/>
      <c r="C66" s="150"/>
      <c r="D66" s="150"/>
      <c r="E66" s="88"/>
      <c r="H66" s="1" t="s">
        <v>26</v>
      </c>
      <c r="K66"/>
      <c r="L66"/>
      <c r="M66"/>
      <c r="N66"/>
    </row>
    <row r="67" spans="1:14" s="1" customFormat="1" ht="12.75">
      <c r="A67" s="150"/>
      <c r="B67" s="150"/>
      <c r="C67" s="150" t="s">
        <v>131</v>
      </c>
      <c r="D67" s="150"/>
      <c r="E67" s="88"/>
      <c r="K67"/>
      <c r="L67"/>
      <c r="M67"/>
      <c r="N67"/>
    </row>
    <row r="68" spans="1:14" s="1" customFormat="1" ht="12.75">
      <c r="A68" s="150" t="s">
        <v>70</v>
      </c>
      <c r="B68" s="150"/>
      <c r="C68" s="150"/>
      <c r="D68" s="150"/>
      <c r="E68" s="88"/>
      <c r="H68" s="1" t="s">
        <v>26</v>
      </c>
      <c r="K68"/>
      <c r="L68"/>
      <c r="M68"/>
      <c r="N68"/>
    </row>
    <row r="69" spans="1:14" s="1" customFormat="1" ht="12.75">
      <c r="A69" s="150"/>
      <c r="B69" s="150"/>
      <c r="C69" s="150"/>
      <c r="D69" s="150"/>
      <c r="K69"/>
      <c r="L69"/>
      <c r="M69"/>
      <c r="N69"/>
    </row>
    <row r="70" spans="1:4" ht="12.75">
      <c r="A70" s="150"/>
      <c r="B70" s="150"/>
      <c r="C70" s="150"/>
      <c r="D70" s="150"/>
    </row>
    <row r="71" spans="2:4" ht="12.75">
      <c r="B71" s="150"/>
      <c r="C71" s="150"/>
      <c r="D71" s="150"/>
    </row>
    <row r="73" spans="1:14" s="1" customFormat="1" ht="12.75">
      <c r="A73"/>
      <c r="B73"/>
      <c r="C73"/>
      <c r="D73"/>
      <c r="E73" s="1" t="s">
        <v>26</v>
      </c>
      <c r="K73"/>
      <c r="L73"/>
      <c r="M73"/>
      <c r="N73"/>
    </row>
  </sheetData>
  <sheetProtection selectLockedCells="1" selectUnlockedCells="1"/>
  <mergeCells count="10">
    <mergeCell ref="A14:D14"/>
    <mergeCell ref="A28:D28"/>
    <mergeCell ref="A45:D45"/>
    <mergeCell ref="A50:D5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80" zoomScaleNormal="80" zoomScalePageLayoutView="0" workbookViewId="0" topLeftCell="A19">
      <selection activeCell="D59" sqref="D5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100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15.75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152" t="s">
        <v>245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4" ht="12.75">
      <c r="A11" s="20" t="s">
        <v>6</v>
      </c>
      <c r="B11" s="158"/>
      <c r="C11" s="159" t="s">
        <v>252</v>
      </c>
      <c r="D11" s="160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6.25">
      <c r="A15" s="17" t="s">
        <v>10</v>
      </c>
      <c r="B15" s="161" t="s">
        <v>11</v>
      </c>
      <c r="C15" s="164">
        <v>4803.27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1792.34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9776.88</v>
      </c>
      <c r="D18" s="165"/>
      <c r="E18" s="427">
        <f>C18-C20</f>
        <v>7649.039999999999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3912.4499999999985</v>
      </c>
      <c r="D19" s="165"/>
      <c r="E19" s="427">
        <f>E18-E37</f>
        <v>102.92999999999847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(2.53+2.43)*6*71.5</f>
        <v>2127.8399999999997</v>
      </c>
      <c r="D20" s="165"/>
      <c r="E20" s="428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71.5*(4.44+4.27)*6</f>
        <v>3736.5900000000006</v>
      </c>
      <c r="D21" s="165"/>
      <c r="E21" s="429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9786.656879999999</v>
      </c>
      <c r="D22" s="165" t="s">
        <v>19</v>
      </c>
      <c r="E22" s="427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C18*1.001</f>
        <v>9786.656879999999</v>
      </c>
      <c r="D23" s="165"/>
      <c r="E23" s="429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428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428"/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/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/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14589.926879999999</v>
      </c>
      <c r="D28" s="165" t="s">
        <v>26</v>
      </c>
      <c r="E28" s="90"/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(1.09+1.03)*6*71.5</f>
        <v>909.48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(0.26+0.27)*71.5*6</f>
        <v>227.37</v>
      </c>
      <c r="E32" s="88"/>
      <c r="F32" s="88"/>
      <c r="G32" s="88"/>
      <c r="H32" s="88"/>
    </row>
    <row r="33" spans="1:8" ht="15.75">
      <c r="A33" s="252" t="s">
        <v>213</v>
      </c>
      <c r="B33" s="178" t="s">
        <v>33</v>
      </c>
      <c r="C33" s="179" t="s">
        <v>34</v>
      </c>
      <c r="D33" s="180">
        <f>(1.47+1.39)*6*71.5</f>
        <v>1226.94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(1.44+1.52)*6*71.5</f>
        <v>1269.84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(4.44+4.68)*71.5*6</f>
        <v>3912.4800000000005</v>
      </c>
      <c r="E35" s="88"/>
      <c r="F35" s="88"/>
      <c r="G35" s="88"/>
      <c r="H35" s="88"/>
    </row>
    <row r="36" spans="1:14" s="1" customFormat="1" ht="47.25">
      <c r="A36" s="307" t="s">
        <v>40</v>
      </c>
      <c r="B36" s="185" t="s">
        <v>41</v>
      </c>
      <c r="C36" s="191"/>
      <c r="D36" s="147">
        <v>0</v>
      </c>
      <c r="E36" s="88"/>
      <c r="F36" s="88"/>
      <c r="G36" s="88"/>
      <c r="H36" s="88"/>
      <c r="K36"/>
      <c r="L36"/>
      <c r="M36"/>
      <c r="N36"/>
    </row>
    <row r="37" spans="1:14" s="1" customFormat="1" ht="15.75">
      <c r="A37" s="37" t="s">
        <v>42</v>
      </c>
      <c r="B37" s="192"/>
      <c r="C37" s="193"/>
      <c r="D37" s="84">
        <f>D31+D32+D33+D34+D35+D36</f>
        <v>7546.110000000001</v>
      </c>
      <c r="E37" s="91">
        <f>D37-D36</f>
        <v>7546.110000000001</v>
      </c>
      <c r="F37" s="88"/>
      <c r="G37" s="88"/>
      <c r="H37" s="88"/>
      <c r="K37"/>
      <c r="L37"/>
      <c r="M37"/>
      <c r="N37"/>
    </row>
    <row r="38" spans="1:14" s="1" customFormat="1" ht="15.75">
      <c r="A38" s="40" t="s">
        <v>43</v>
      </c>
      <c r="B38" s="194" t="s">
        <v>11</v>
      </c>
      <c r="C38" s="195"/>
      <c r="D38" s="196">
        <f>C28-D37</f>
        <v>7043.8168799999985</v>
      </c>
      <c r="E38" s="91"/>
      <c r="F38" s="88"/>
      <c r="G38" s="88"/>
      <c r="H38" s="88"/>
      <c r="K38"/>
      <c r="L38"/>
      <c r="M38"/>
      <c r="N38"/>
    </row>
    <row r="39" spans="1:14" s="1" customFormat="1" ht="15.75">
      <c r="A39" s="197" t="s">
        <v>12</v>
      </c>
      <c r="B39" s="198" t="s">
        <v>11</v>
      </c>
      <c r="C39" s="179"/>
      <c r="D39" s="163">
        <v>0</v>
      </c>
      <c r="E39" s="88"/>
      <c r="F39" s="88"/>
      <c r="G39" s="88"/>
      <c r="H39" s="88"/>
      <c r="K39"/>
      <c r="L39"/>
      <c r="M39"/>
      <c r="N39"/>
    </row>
    <row r="40" spans="1:14" s="1" customFormat="1" ht="15.75">
      <c r="A40" s="197" t="s">
        <v>13</v>
      </c>
      <c r="B40" s="198" t="s">
        <v>11</v>
      </c>
      <c r="C40" s="179"/>
      <c r="D40" s="165">
        <v>732.13</v>
      </c>
      <c r="E40" s="88"/>
      <c r="F40" s="88"/>
      <c r="G40" s="88"/>
      <c r="H40" s="88"/>
      <c r="K40"/>
      <c r="L40"/>
      <c r="M40"/>
      <c r="N40"/>
    </row>
    <row r="41" spans="1:14" s="1" customFormat="1" ht="24" customHeight="1">
      <c r="A41" s="443" t="s">
        <v>44</v>
      </c>
      <c r="B41" s="443"/>
      <c r="C41" s="443"/>
      <c r="D41" s="443"/>
      <c r="E41" s="88"/>
      <c r="F41" s="88"/>
      <c r="G41" s="88"/>
      <c r="H41" s="88"/>
      <c r="K41"/>
      <c r="L41"/>
      <c r="M41"/>
      <c r="N41"/>
    </row>
    <row r="42" spans="1:14" s="1" customFormat="1" ht="15.75">
      <c r="A42" s="197" t="s">
        <v>45</v>
      </c>
      <c r="B42" s="178" t="s">
        <v>46</v>
      </c>
      <c r="C42" s="179"/>
      <c r="D42" s="163">
        <v>0</v>
      </c>
      <c r="E42" s="88"/>
      <c r="K42"/>
      <c r="L42"/>
      <c r="M42"/>
      <c r="N42"/>
    </row>
    <row r="43" spans="1:14" s="1" customFormat="1" ht="15.75">
      <c r="A43" s="197" t="s">
        <v>47</v>
      </c>
      <c r="B43" s="178" t="s">
        <v>46</v>
      </c>
      <c r="C43" s="179"/>
      <c r="D43" s="163">
        <v>0</v>
      </c>
      <c r="E43" s="88"/>
      <c r="K43"/>
      <c r="L43"/>
      <c r="M43"/>
      <c r="N43"/>
    </row>
    <row r="44" spans="1:14" s="1" customFormat="1" ht="15.75">
      <c r="A44" s="199" t="s">
        <v>48</v>
      </c>
      <c r="B44" s="178" t="s">
        <v>46</v>
      </c>
      <c r="C44" s="179"/>
      <c r="D44" s="163">
        <v>0</v>
      </c>
      <c r="E44" s="88"/>
      <c r="K44"/>
      <c r="L44"/>
      <c r="M44"/>
      <c r="N44"/>
    </row>
    <row r="45" spans="1:14" s="1" customFormat="1" ht="15.75">
      <c r="A45" s="197" t="s">
        <v>49</v>
      </c>
      <c r="B45" s="178" t="s">
        <v>11</v>
      </c>
      <c r="C45" s="179"/>
      <c r="D45" s="163">
        <v>0</v>
      </c>
      <c r="E45" s="88"/>
      <c r="K45"/>
      <c r="L45"/>
      <c r="M45"/>
      <c r="N45"/>
    </row>
    <row r="46" spans="1:14" ht="18" customHeight="1" thickBot="1">
      <c r="A46" s="452" t="s">
        <v>230</v>
      </c>
      <c r="B46" s="452"/>
      <c r="C46" s="452"/>
      <c r="D46" s="452"/>
      <c r="E46" s="93"/>
      <c r="F46" s="54"/>
      <c r="G46" s="55"/>
      <c r="I46" s="56"/>
      <c r="J46" s="56"/>
      <c r="K46" s="57"/>
      <c r="L46" s="57"/>
      <c r="M46" s="57"/>
      <c r="N46" s="57"/>
    </row>
    <row r="47" spans="1:14" ht="47.25">
      <c r="A47" s="58" t="s">
        <v>54</v>
      </c>
      <c r="B47" s="59" t="s">
        <v>55</v>
      </c>
      <c r="C47" s="60" t="s">
        <v>56</v>
      </c>
      <c r="D47" s="61" t="s">
        <v>57</v>
      </c>
      <c r="E47" s="93"/>
      <c r="F47" s="54"/>
      <c r="G47" s="55"/>
      <c r="I47" s="56"/>
      <c r="J47" s="62"/>
      <c r="K47" s="57"/>
      <c r="L47" s="57"/>
      <c r="M47" s="57"/>
      <c r="N47" s="57"/>
    </row>
    <row r="48" spans="1:14" ht="16.5" thickBot="1">
      <c r="A48" s="228" t="s">
        <v>202</v>
      </c>
      <c r="B48" s="229">
        <v>4638.24</v>
      </c>
      <c r="C48" s="343">
        <f>B48</f>
        <v>4638.24</v>
      </c>
      <c r="D48" s="344">
        <f>B48-C48</f>
        <v>0</v>
      </c>
      <c r="E48" s="93"/>
      <c r="F48" s="63"/>
      <c r="G48" s="64"/>
      <c r="I48" s="56"/>
      <c r="J48" s="56"/>
      <c r="K48" s="57"/>
      <c r="L48" s="57"/>
      <c r="M48" s="57"/>
      <c r="N48" s="57"/>
    </row>
    <row r="49" spans="1:14" ht="63">
      <c r="A49" s="106" t="s">
        <v>59</v>
      </c>
      <c r="B49" s="107" t="s">
        <v>60</v>
      </c>
      <c r="C49" s="108" t="s">
        <v>61</v>
      </c>
      <c r="D49" s="109" t="s">
        <v>62</v>
      </c>
      <c r="E49" s="93"/>
      <c r="F49" s="63"/>
      <c r="H49" s="56"/>
      <c r="I49" s="56"/>
      <c r="J49" s="56"/>
      <c r="K49" s="57"/>
      <c r="L49" s="57"/>
      <c r="M49" s="57"/>
      <c r="N49" s="57"/>
    </row>
    <row r="50" spans="1:14" ht="16.5" thickBot="1">
      <c r="A50" s="234" t="s">
        <v>202</v>
      </c>
      <c r="B50" s="235">
        <f>B48</f>
        <v>4638.24</v>
      </c>
      <c r="C50" s="236">
        <f>C48</f>
        <v>4638.24</v>
      </c>
      <c r="D50" s="237">
        <f>B50-C50</f>
        <v>0</v>
      </c>
      <c r="E50" s="93"/>
      <c r="F50" s="63"/>
      <c r="H50" s="56" t="s">
        <v>26</v>
      </c>
      <c r="I50" s="56"/>
      <c r="J50" s="56"/>
      <c r="K50" s="57"/>
      <c r="L50" s="57"/>
      <c r="M50" s="57"/>
      <c r="N50" s="57"/>
    </row>
    <row r="51" spans="1:14" ht="17.25" customHeight="1">
      <c r="A51" s="444" t="s">
        <v>231</v>
      </c>
      <c r="B51" s="444"/>
      <c r="C51" s="444"/>
      <c r="D51" s="444"/>
      <c r="E51" s="99" t="e">
        <f>D51+B19</f>
        <v>#VALUE!</v>
      </c>
      <c r="F51" s="56"/>
      <c r="H51" s="71" t="e">
        <f>E51-B18</f>
        <v>#VALUE!</v>
      </c>
      <c r="I51" s="56"/>
      <c r="J51" s="56"/>
      <c r="K51" s="57"/>
      <c r="L51" s="57"/>
      <c r="M51" s="57"/>
      <c r="N51" s="57"/>
    </row>
    <row r="52" spans="1:5" ht="21" customHeight="1">
      <c r="A52" s="73" t="s">
        <v>45</v>
      </c>
      <c r="B52" s="73" t="s">
        <v>46</v>
      </c>
      <c r="C52" s="73"/>
      <c r="D52" s="149">
        <v>0</v>
      </c>
      <c r="E52" s="101"/>
    </row>
    <row r="53" spans="1:5" ht="21" customHeight="1">
      <c r="A53" s="73" t="s">
        <v>47</v>
      </c>
      <c r="B53" s="73" t="s">
        <v>46</v>
      </c>
      <c r="C53" s="73"/>
      <c r="D53" s="149">
        <v>0</v>
      </c>
      <c r="E53" s="101"/>
    </row>
    <row r="54" spans="1:5" ht="18" customHeight="1">
      <c r="A54" s="73" t="s">
        <v>48</v>
      </c>
      <c r="B54" s="73" t="s">
        <v>46</v>
      </c>
      <c r="C54" s="73"/>
      <c r="D54" s="149">
        <v>0</v>
      </c>
      <c r="E54" s="101"/>
    </row>
    <row r="55" spans="1:5" ht="16.5" customHeight="1">
      <c r="A55" s="73" t="s">
        <v>49</v>
      </c>
      <c r="B55" s="73" t="s">
        <v>11</v>
      </c>
      <c r="C55" s="73"/>
      <c r="D55" s="149">
        <v>0</v>
      </c>
      <c r="E55" s="101"/>
    </row>
    <row r="56" spans="1:5" ht="15.75" customHeight="1">
      <c r="A56" s="440" t="s">
        <v>232</v>
      </c>
      <c r="B56" s="440"/>
      <c r="C56" s="440"/>
      <c r="D56" s="440"/>
      <c r="E56" s="101"/>
    </row>
    <row r="57" spans="1:5" ht="18.75" customHeight="1">
      <c r="A57" s="73" t="s">
        <v>66</v>
      </c>
      <c r="B57" s="73" t="s">
        <v>46</v>
      </c>
      <c r="C57" s="73"/>
      <c r="D57" s="149">
        <v>0</v>
      </c>
      <c r="E57" s="101"/>
    </row>
    <row r="58" spans="1:5" ht="21.75" customHeight="1">
      <c r="A58" s="73" t="s">
        <v>67</v>
      </c>
      <c r="B58" s="221" t="s">
        <v>46</v>
      </c>
      <c r="C58" s="221"/>
      <c r="D58" s="149">
        <v>0</v>
      </c>
      <c r="E58" s="101"/>
    </row>
    <row r="59" spans="1:5" ht="36" customHeight="1">
      <c r="A59" s="222" t="s">
        <v>68</v>
      </c>
      <c r="B59" s="73" t="s">
        <v>11</v>
      </c>
      <c r="C59" s="73"/>
      <c r="D59" s="149">
        <v>0</v>
      </c>
      <c r="E59" s="101"/>
    </row>
    <row r="60" spans="1:5" ht="15.75">
      <c r="A60" s="223"/>
      <c r="B60" s="223"/>
      <c r="C60" s="223"/>
      <c r="D60" s="224"/>
      <c r="E60" s="88"/>
    </row>
    <row r="61" spans="1:14" s="1" customFormat="1" ht="12.75">
      <c r="A61" s="150"/>
      <c r="B61" s="150"/>
      <c r="C61" s="150"/>
      <c r="D61" s="150"/>
      <c r="H61" s="1" t="s">
        <v>26</v>
      </c>
      <c r="K61"/>
      <c r="L61"/>
      <c r="M61"/>
      <c r="N61"/>
    </row>
    <row r="62" spans="1:14" s="1" customFormat="1" ht="12.75">
      <c r="A62" s="150" t="s">
        <v>69</v>
      </c>
      <c r="B62" s="150"/>
      <c r="C62" s="150"/>
      <c r="D62" s="150"/>
      <c r="K62"/>
      <c r="L62"/>
      <c r="M62"/>
      <c r="N62"/>
    </row>
    <row r="63" spans="1:14" s="1" customFormat="1" ht="12.75">
      <c r="A63" s="150"/>
      <c r="B63" s="150"/>
      <c r="C63" s="150"/>
      <c r="D63" s="150"/>
      <c r="H63" s="1" t="s">
        <v>26</v>
      </c>
      <c r="K63"/>
      <c r="L63"/>
      <c r="M63"/>
      <c r="N63"/>
    </row>
    <row r="64" spans="1:14" s="1" customFormat="1" ht="12.75">
      <c r="A64" s="150" t="s">
        <v>70</v>
      </c>
      <c r="B64" s="150"/>
      <c r="C64" s="150"/>
      <c r="D64" s="150"/>
      <c r="K64"/>
      <c r="L64"/>
      <c r="M64"/>
      <c r="N64"/>
    </row>
    <row r="65" spans="1:4" ht="12.75">
      <c r="A65" s="150"/>
      <c r="B65" s="150"/>
      <c r="C65" s="150"/>
      <c r="D65" s="150"/>
    </row>
    <row r="68" spans="1:14" s="1" customFormat="1" ht="12.75">
      <c r="A68"/>
      <c r="B68"/>
      <c r="C68"/>
      <c r="D68"/>
      <c r="E68" s="1" t="s">
        <v>26</v>
      </c>
      <c r="K68"/>
      <c r="L68"/>
      <c r="M68"/>
      <c r="N68"/>
    </row>
  </sheetData>
  <sheetProtection selectLockedCells="1" selectUnlockedCells="1"/>
  <mergeCells count="12">
    <mergeCell ref="A56:D56"/>
    <mergeCell ref="A14:D14"/>
    <mergeCell ref="A29:D29"/>
    <mergeCell ref="A41:D41"/>
    <mergeCell ref="A46:D46"/>
    <mergeCell ref="A51:D51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31">
      <selection activeCell="D43" sqref="D43"/>
    </sheetView>
  </sheetViews>
  <sheetFormatPr defaultColWidth="11.57421875" defaultRowHeight="12.75"/>
  <cols>
    <col min="1" max="1" width="54.7109375" style="0" customWidth="1"/>
    <col min="2" max="2" width="17.8515625" style="0" customWidth="1"/>
    <col min="3" max="3" width="22.421875" style="0" customWidth="1"/>
    <col min="4" max="4" width="18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114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3.75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133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24518.81</v>
      </c>
      <c r="D15" s="163"/>
      <c r="E15" s="50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10355.51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85190.58</v>
      </c>
      <c r="D18" s="165"/>
      <c r="E18" s="89">
        <f>C18-C20</f>
        <v>71939.958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46391.189999999995</v>
      </c>
      <c r="D19" s="165"/>
      <c r="E19" s="89">
        <f>E18-E42</f>
        <v>0.005999999993946403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(2.43+2.3)*6*466.9</f>
        <v>13250.622000000001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466.9*(4.44+4.68)*6</f>
        <v>25548.768000000004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</f>
        <v>85638.78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</f>
        <v>85190.58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249</v>
      </c>
      <c r="B26" s="161" t="s">
        <v>11</v>
      </c>
      <c r="C26" s="164">
        <v>448.2</v>
      </c>
      <c r="D26" s="167"/>
      <c r="E26" s="90" t="e">
        <f>B26/#REF!*1</f>
        <v>#VALUE!</v>
      </c>
      <c r="F26" s="88"/>
      <c r="G26" s="88"/>
      <c r="H26" s="88"/>
    </row>
    <row r="27" spans="1:8" ht="15.75">
      <c r="A27" s="20" t="s">
        <v>25</v>
      </c>
      <c r="B27" s="161" t="s">
        <v>11</v>
      </c>
      <c r="C27" s="164">
        <f>C15+C22</f>
        <v>110157.59</v>
      </c>
      <c r="D27" s="165" t="s">
        <v>26</v>
      </c>
      <c r="E27" s="90" t="e">
        <f>B27/#REF!*1</f>
        <v>#VALUE!</v>
      </c>
      <c r="F27" s="88"/>
      <c r="G27" s="88"/>
      <c r="H27" s="88"/>
    </row>
    <row r="28" spans="1:8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</row>
    <row r="29" spans="1:8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</row>
    <row r="30" spans="1:8" ht="31.5">
      <c r="A30" s="173" t="s">
        <v>32</v>
      </c>
      <c r="B30" s="174" t="s">
        <v>33</v>
      </c>
      <c r="C30" s="175" t="s">
        <v>34</v>
      </c>
      <c r="D30" s="176">
        <f>(0.94+0.89)*6*466.9</f>
        <v>5126.562</v>
      </c>
      <c r="E30" s="88"/>
      <c r="F30" s="88"/>
      <c r="G30" s="88"/>
      <c r="H30" s="88"/>
    </row>
    <row r="31" spans="1:8" ht="15.75">
      <c r="A31" s="177" t="s">
        <v>72</v>
      </c>
      <c r="B31" s="178" t="s">
        <v>73</v>
      </c>
      <c r="C31" s="179" t="s">
        <v>34</v>
      </c>
      <c r="D31" s="180">
        <f>(2.59+2.73)*6*466.9</f>
        <v>14903.448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(0.26+0.27)*6*466.9</f>
        <v>1484.742</v>
      </c>
      <c r="E32" s="88"/>
      <c r="F32" s="88"/>
      <c r="G32" s="88"/>
      <c r="H32" s="88"/>
    </row>
    <row r="33" spans="1:8" ht="15.75">
      <c r="A33" s="177" t="s">
        <v>76</v>
      </c>
      <c r="B33" s="182" t="s">
        <v>33</v>
      </c>
      <c r="C33" s="179" t="s">
        <v>34</v>
      </c>
      <c r="D33" s="180">
        <f>(0.95+1)*6*466.9</f>
        <v>5462.73</v>
      </c>
      <c r="E33" s="88"/>
      <c r="F33" s="88"/>
      <c r="G33" s="88"/>
      <c r="H33" s="88"/>
    </row>
    <row r="34" spans="1:8" ht="26.25">
      <c r="A34" s="370" t="s">
        <v>224</v>
      </c>
      <c r="B34" s="178" t="s">
        <v>33</v>
      </c>
      <c r="C34" s="179" t="s">
        <v>34</v>
      </c>
      <c r="D34" s="180">
        <f>466.9*(1.55+1.64)*6</f>
        <v>8936.465999999999</v>
      </c>
      <c r="E34" s="88"/>
      <c r="F34" s="88"/>
      <c r="G34" s="88"/>
      <c r="H34" s="88"/>
    </row>
    <row r="35" spans="1:8" ht="31.5">
      <c r="A35" s="177" t="s">
        <v>78</v>
      </c>
      <c r="B35" s="183" t="s">
        <v>79</v>
      </c>
      <c r="C35" s="179" t="s">
        <v>34</v>
      </c>
      <c r="D35" s="180">
        <f>(1.44+1.52)*6*466.9</f>
        <v>8292.143999999998</v>
      </c>
      <c r="E35" s="88"/>
      <c r="F35" s="88"/>
      <c r="G35" s="88"/>
      <c r="H35" s="88"/>
    </row>
    <row r="36" spans="1:8" ht="15.75">
      <c r="A36" s="177" t="s">
        <v>38</v>
      </c>
      <c r="B36" s="178" t="s">
        <v>35</v>
      </c>
      <c r="C36" s="304" t="s">
        <v>194</v>
      </c>
      <c r="D36" s="180">
        <f>(4.44+4.68)*466.9*6</f>
        <v>25548.768000000004</v>
      </c>
      <c r="E36" s="88"/>
      <c r="F36" s="88"/>
      <c r="G36" s="88"/>
      <c r="H36" s="88"/>
    </row>
    <row r="37" spans="1:8" ht="15.75">
      <c r="A37" s="177" t="s">
        <v>184</v>
      </c>
      <c r="B37" s="178"/>
      <c r="C37" s="226"/>
      <c r="D37" s="180"/>
      <c r="E37" s="88"/>
      <c r="F37" s="88"/>
      <c r="G37" s="88"/>
      <c r="H37" s="88"/>
    </row>
    <row r="38" spans="1:8" ht="47.25">
      <c r="A38" s="177" t="s">
        <v>186</v>
      </c>
      <c r="B38" s="178" t="s">
        <v>35</v>
      </c>
      <c r="C38" s="267" t="s">
        <v>185</v>
      </c>
      <c r="D38" s="180">
        <v>448.2</v>
      </c>
      <c r="E38" s="411">
        <v>392.28</v>
      </c>
      <c r="F38" s="88"/>
      <c r="G38" s="88"/>
      <c r="H38" s="88"/>
    </row>
    <row r="39" spans="1:8" ht="15.75">
      <c r="A39" s="177" t="s">
        <v>200</v>
      </c>
      <c r="B39" s="178" t="s">
        <v>195</v>
      </c>
      <c r="C39" s="226" t="s">
        <v>37</v>
      </c>
      <c r="D39" s="180">
        <f>(0.4+0.38)*466.9*6</f>
        <v>2185.092</v>
      </c>
      <c r="E39" s="88"/>
      <c r="F39" s="88"/>
      <c r="G39" s="88"/>
      <c r="H39" s="88"/>
    </row>
    <row r="40" spans="1:14" s="1" customFormat="1" ht="63" customHeight="1">
      <c r="A40" s="227" t="s">
        <v>183</v>
      </c>
      <c r="B40" s="185" t="s">
        <v>41</v>
      </c>
      <c r="C40" s="175"/>
      <c r="D40" s="319">
        <f>D41</f>
        <v>27514</v>
      </c>
      <c r="E40" s="88"/>
      <c r="F40" s="88"/>
      <c r="G40" s="88"/>
      <c r="H40" s="88"/>
      <c r="K40"/>
      <c r="L40"/>
      <c r="M40"/>
      <c r="N40"/>
    </row>
    <row r="41" spans="1:14" s="1" customFormat="1" ht="48" customHeight="1">
      <c r="A41" s="190" t="s">
        <v>253</v>
      </c>
      <c r="B41" s="187" t="s">
        <v>134</v>
      </c>
      <c r="C41" s="191" t="s">
        <v>254</v>
      </c>
      <c r="D41" s="148">
        <v>27514</v>
      </c>
      <c r="E41" s="88"/>
      <c r="F41" s="88"/>
      <c r="G41" s="88"/>
      <c r="H41" s="88"/>
      <c r="K41"/>
      <c r="L41"/>
      <c r="M41"/>
      <c r="N41"/>
    </row>
    <row r="42" spans="1:14" s="1" customFormat="1" ht="15.75">
      <c r="A42" s="37" t="s">
        <v>42</v>
      </c>
      <c r="B42" s="192"/>
      <c r="C42" s="193"/>
      <c r="D42" s="84">
        <f>D30+D31+D32+D33+D34+D35+D36+D38+D40+D39</f>
        <v>99902.152</v>
      </c>
      <c r="E42" s="91">
        <f>D42-D40-D38</f>
        <v>71939.952</v>
      </c>
      <c r="F42" s="88"/>
      <c r="G42" s="88"/>
      <c r="H42" s="88"/>
      <c r="K42"/>
      <c r="L42"/>
      <c r="M42"/>
      <c r="N42"/>
    </row>
    <row r="43" spans="1:14" s="1" customFormat="1" ht="15.75">
      <c r="A43" s="40" t="s">
        <v>43</v>
      </c>
      <c r="B43" s="194" t="s">
        <v>11</v>
      </c>
      <c r="C43" s="195"/>
      <c r="D43" s="196">
        <f>C27-D42</f>
        <v>10255.437999999995</v>
      </c>
      <c r="E43" s="91"/>
      <c r="F43" s="88"/>
      <c r="G43" s="88"/>
      <c r="H43" s="88"/>
      <c r="K43"/>
      <c r="L43"/>
      <c r="M43"/>
      <c r="N43"/>
    </row>
    <row r="44" spans="1:14" s="1" customFormat="1" ht="15.75">
      <c r="A44" s="197" t="s">
        <v>12</v>
      </c>
      <c r="B44" s="198" t="s">
        <v>11</v>
      </c>
      <c r="C44" s="179"/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7" t="s">
        <v>13</v>
      </c>
      <c r="B45" s="198" t="s">
        <v>11</v>
      </c>
      <c r="C45" s="179"/>
      <c r="D45" s="165">
        <v>8851.98</v>
      </c>
      <c r="E45" s="88"/>
      <c r="F45" s="88"/>
      <c r="G45" s="88"/>
      <c r="H45" s="88"/>
      <c r="K45"/>
      <c r="L45"/>
      <c r="M45"/>
      <c r="N45"/>
    </row>
    <row r="46" spans="1:14" s="1" customFormat="1" ht="24" customHeight="1">
      <c r="A46" s="443" t="s">
        <v>44</v>
      </c>
      <c r="B46" s="443"/>
      <c r="C46" s="443"/>
      <c r="D46" s="443"/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45</v>
      </c>
      <c r="B47" s="178" t="s">
        <v>46</v>
      </c>
      <c r="C47" s="179">
        <v>0</v>
      </c>
      <c r="D47" s="163">
        <v>0</v>
      </c>
      <c r="E47" s="88"/>
      <c r="F47" s="88"/>
      <c r="G47" s="88"/>
      <c r="H47" s="88"/>
      <c r="K47"/>
      <c r="L47"/>
      <c r="M47"/>
      <c r="N47"/>
    </row>
    <row r="48" spans="1:14" s="1" customFormat="1" ht="15.75">
      <c r="A48" s="197" t="s">
        <v>47</v>
      </c>
      <c r="B48" s="178" t="s">
        <v>46</v>
      </c>
      <c r="C48" s="179">
        <v>0</v>
      </c>
      <c r="D48" s="163">
        <v>0</v>
      </c>
      <c r="E48" s="88"/>
      <c r="F48" s="88"/>
      <c r="G48" s="88"/>
      <c r="H48" s="88"/>
      <c r="K48"/>
      <c r="L48"/>
      <c r="M48"/>
      <c r="N48"/>
    </row>
    <row r="49" spans="1:14" s="1" customFormat="1" ht="26.25">
      <c r="A49" s="199" t="s">
        <v>48</v>
      </c>
      <c r="B49" s="178" t="s">
        <v>46</v>
      </c>
      <c r="C49" s="179">
        <v>0</v>
      </c>
      <c r="D49" s="163">
        <v>0</v>
      </c>
      <c r="E49" s="88"/>
      <c r="F49" s="88"/>
      <c r="G49" s="88"/>
      <c r="H49" s="88"/>
      <c r="K49"/>
      <c r="L49"/>
      <c r="M49"/>
      <c r="N49"/>
    </row>
    <row r="50" spans="1:14" s="1" customFormat="1" ht="15.75">
      <c r="A50" s="197" t="s">
        <v>49</v>
      </c>
      <c r="B50" s="178" t="s">
        <v>11</v>
      </c>
      <c r="C50" s="179">
        <v>0</v>
      </c>
      <c r="D50" s="163">
        <v>0</v>
      </c>
      <c r="E50" s="88"/>
      <c r="F50" s="88"/>
      <c r="G50" s="88"/>
      <c r="H50" s="88"/>
      <c r="K50"/>
      <c r="L50"/>
      <c r="M50"/>
      <c r="N50"/>
    </row>
    <row r="51" spans="1:8" ht="20.25" customHeight="1">
      <c r="A51" s="451" t="s">
        <v>50</v>
      </c>
      <c r="B51" s="451"/>
      <c r="C51" s="451"/>
      <c r="D51" s="451"/>
      <c r="E51" s="88"/>
      <c r="F51" s="88"/>
      <c r="G51" s="88"/>
      <c r="H51" s="88"/>
    </row>
    <row r="52" spans="1:8" ht="26.25">
      <c r="A52" s="199" t="s">
        <v>51</v>
      </c>
      <c r="B52" s="178" t="s">
        <v>11</v>
      </c>
      <c r="C52" s="179"/>
      <c r="D52" s="163">
        <v>0</v>
      </c>
      <c r="E52" s="88"/>
      <c r="F52" s="88"/>
      <c r="G52" s="88"/>
      <c r="H52" s="88"/>
    </row>
    <row r="53" spans="1:8" ht="15.75">
      <c r="A53" s="197" t="s">
        <v>12</v>
      </c>
      <c r="B53" s="178" t="s">
        <v>11</v>
      </c>
      <c r="C53" s="179"/>
      <c r="D53" s="163">
        <v>0</v>
      </c>
      <c r="E53" s="88"/>
      <c r="F53" s="88"/>
      <c r="G53" s="88"/>
      <c r="H53" s="88"/>
    </row>
    <row r="54" spans="1:8" ht="15.75">
      <c r="A54" s="197" t="s">
        <v>13</v>
      </c>
      <c r="B54" s="178" t="s">
        <v>11</v>
      </c>
      <c r="C54" s="179"/>
      <c r="D54" s="418">
        <v>0</v>
      </c>
      <c r="E54" s="88"/>
      <c r="F54" s="88"/>
      <c r="G54" s="88"/>
      <c r="H54" s="92"/>
    </row>
    <row r="55" spans="1:8" ht="26.25">
      <c r="A55" s="200" t="s">
        <v>52</v>
      </c>
      <c r="B55" s="178" t="s">
        <v>11</v>
      </c>
      <c r="C55" s="201"/>
      <c r="D55" s="202">
        <v>0</v>
      </c>
      <c r="E55" s="88"/>
      <c r="F55" s="88"/>
      <c r="G55" s="88"/>
      <c r="H55" s="88"/>
    </row>
    <row r="56" spans="1:10" ht="17.25" customHeight="1">
      <c r="A56" s="203" t="s">
        <v>175</v>
      </c>
      <c r="B56" s="178" t="s">
        <v>11</v>
      </c>
      <c r="C56" s="179"/>
      <c r="D56" s="419">
        <v>0</v>
      </c>
      <c r="E56" s="88"/>
      <c r="F56" s="88"/>
      <c r="G56" s="88"/>
      <c r="H56" s="88"/>
      <c r="I56" s="48"/>
      <c r="J56" s="48"/>
    </row>
    <row r="57" spans="1:14" ht="15.75">
      <c r="A57" s="204" t="s">
        <v>13</v>
      </c>
      <c r="B57" s="178" t="s">
        <v>11</v>
      </c>
      <c r="C57" s="205"/>
      <c r="D57" s="206"/>
      <c r="E57" s="88"/>
      <c r="F57" s="88"/>
      <c r="G57" s="88"/>
      <c r="H57" s="88" t="s">
        <v>26</v>
      </c>
      <c r="I57" s="51"/>
      <c r="J57" s="51"/>
      <c r="K57" s="52"/>
      <c r="L57" s="52"/>
      <c r="M57" s="52"/>
      <c r="N57" s="52"/>
    </row>
    <row r="58" spans="1:14" ht="18" customHeight="1">
      <c r="A58" s="452" t="s">
        <v>53</v>
      </c>
      <c r="B58" s="452"/>
      <c r="C58" s="452"/>
      <c r="D58" s="452"/>
      <c r="E58" s="93"/>
      <c r="F58" s="94"/>
      <c r="G58" s="95"/>
      <c r="H58" s="88"/>
      <c r="I58" s="56"/>
      <c r="J58" s="56"/>
      <c r="K58" s="57"/>
      <c r="L58" s="57"/>
      <c r="M58" s="57"/>
      <c r="N58" s="57"/>
    </row>
    <row r="59" spans="1:14" ht="38.25">
      <c r="A59" s="58" t="s">
        <v>54</v>
      </c>
      <c r="B59" s="59" t="s">
        <v>55</v>
      </c>
      <c r="C59" s="130" t="s">
        <v>56</v>
      </c>
      <c r="D59" s="131" t="s">
        <v>57</v>
      </c>
      <c r="E59" s="93"/>
      <c r="F59" s="94"/>
      <c r="G59" s="95"/>
      <c r="H59" s="88"/>
      <c r="I59" s="56"/>
      <c r="J59" s="62"/>
      <c r="K59" s="57"/>
      <c r="L59" s="57"/>
      <c r="M59" s="57"/>
      <c r="N59" s="57"/>
    </row>
    <row r="60" spans="1:14" ht="16.5" thickBot="1">
      <c r="A60" s="228" t="s">
        <v>202</v>
      </c>
      <c r="B60" s="229">
        <v>27887.53</v>
      </c>
      <c r="C60" s="345">
        <f>B60*0.995</f>
        <v>27748.09235</v>
      </c>
      <c r="D60" s="347">
        <f>B60-C60</f>
        <v>139.43764999999985</v>
      </c>
      <c r="E60" s="93"/>
      <c r="F60" s="96"/>
      <c r="G60" s="97"/>
      <c r="H60" s="88"/>
      <c r="I60" s="56"/>
      <c r="J60" s="56"/>
      <c r="K60" s="57"/>
      <c r="L60" s="57"/>
      <c r="M60" s="57"/>
      <c r="N60" s="57"/>
    </row>
    <row r="61" spans="1:14" ht="63.75">
      <c r="A61" s="106" t="s">
        <v>59</v>
      </c>
      <c r="B61" s="107" t="s">
        <v>60</v>
      </c>
      <c r="C61" s="107" t="s">
        <v>61</v>
      </c>
      <c r="D61" s="132" t="s">
        <v>62</v>
      </c>
      <c r="E61" s="93"/>
      <c r="F61" s="96"/>
      <c r="G61" s="88"/>
      <c r="H61" s="98"/>
      <c r="I61" s="56"/>
      <c r="J61" s="56"/>
      <c r="K61" s="57"/>
      <c r="L61" s="57"/>
      <c r="M61" s="57"/>
      <c r="N61" s="57"/>
    </row>
    <row r="62" spans="1:14" ht="18" customHeight="1">
      <c r="A62" s="228" t="s">
        <v>202</v>
      </c>
      <c r="B62" s="323">
        <f>B60</f>
        <v>27887.53</v>
      </c>
      <c r="C62" s="324">
        <f>B62</f>
        <v>27887.53</v>
      </c>
      <c r="D62" s="323">
        <f>B62-C62</f>
        <v>0</v>
      </c>
      <c r="E62" s="93"/>
      <c r="F62" s="96"/>
      <c r="G62" s="88"/>
      <c r="H62" s="98" t="s">
        <v>26</v>
      </c>
      <c r="I62" s="56"/>
      <c r="J62" s="56"/>
      <c r="K62" s="57"/>
      <c r="L62" s="57"/>
      <c r="M62" s="57"/>
      <c r="N62" s="57"/>
    </row>
    <row r="63" spans="1:14" ht="26.25">
      <c r="A63" s="218" t="s">
        <v>63</v>
      </c>
      <c r="B63" s="215" t="s">
        <v>11</v>
      </c>
      <c r="C63" s="73"/>
      <c r="D63" s="353">
        <v>0</v>
      </c>
      <c r="E63" s="93"/>
      <c r="F63" s="96"/>
      <c r="G63" s="88"/>
      <c r="H63" s="98"/>
      <c r="I63" s="56"/>
      <c r="J63" s="56" t="s">
        <v>26</v>
      </c>
      <c r="K63" s="57"/>
      <c r="L63" s="57"/>
      <c r="M63" s="57"/>
      <c r="N63" s="57"/>
    </row>
    <row r="64" spans="1:14" ht="17.25" customHeight="1">
      <c r="A64" s="444" t="s">
        <v>64</v>
      </c>
      <c r="B64" s="444"/>
      <c r="C64" s="444"/>
      <c r="D64" s="444"/>
      <c r="E64" s="99" t="e">
        <f>D64+B19</f>
        <v>#VALUE!</v>
      </c>
      <c r="F64" s="98"/>
      <c r="G64" s="88"/>
      <c r="H64" s="100" t="e">
        <f>E64-B18</f>
        <v>#VALUE!</v>
      </c>
      <c r="I64" s="56"/>
      <c r="J64" s="56"/>
      <c r="K64" s="57"/>
      <c r="L64" s="57"/>
      <c r="M64" s="57"/>
      <c r="N64" s="57"/>
    </row>
    <row r="65" spans="1:8" ht="21" customHeight="1">
      <c r="A65" s="73" t="s">
        <v>45</v>
      </c>
      <c r="B65" s="73" t="s">
        <v>46</v>
      </c>
      <c r="C65" s="73"/>
      <c r="D65" s="149">
        <v>0</v>
      </c>
      <c r="E65" s="101"/>
      <c r="F65" s="88"/>
      <c r="G65" s="88"/>
      <c r="H65" s="88"/>
    </row>
    <row r="66" spans="1:8" ht="21" customHeight="1">
      <c r="A66" s="73" t="s">
        <v>47</v>
      </c>
      <c r="B66" s="73" t="s">
        <v>46</v>
      </c>
      <c r="C66" s="73"/>
      <c r="D66" s="74"/>
      <c r="E66" s="101"/>
      <c r="F66" s="88"/>
      <c r="G66" s="88"/>
      <c r="H66" s="88"/>
    </row>
    <row r="67" spans="1:8" ht="18" customHeight="1">
      <c r="A67" s="73" t="s">
        <v>48</v>
      </c>
      <c r="B67" s="73" t="s">
        <v>46</v>
      </c>
      <c r="C67" s="73"/>
      <c r="D67" s="149">
        <v>0</v>
      </c>
      <c r="E67" s="101"/>
      <c r="F67" s="88"/>
      <c r="G67" s="88"/>
      <c r="H67" s="88"/>
    </row>
    <row r="68" spans="1:8" ht="16.5" customHeight="1">
      <c r="A68" s="73" t="s">
        <v>49</v>
      </c>
      <c r="B68" s="73" t="s">
        <v>11</v>
      </c>
      <c r="C68" s="73"/>
      <c r="D68" s="149">
        <v>0</v>
      </c>
      <c r="E68" s="101"/>
      <c r="F68" s="88"/>
      <c r="G68" s="88"/>
      <c r="H68" s="88"/>
    </row>
    <row r="69" spans="1:8" ht="15.75" customHeight="1">
      <c r="A69" s="440" t="s">
        <v>65</v>
      </c>
      <c r="B69" s="440"/>
      <c r="C69" s="440"/>
      <c r="D69" s="440"/>
      <c r="E69" s="101"/>
      <c r="F69" s="88"/>
      <c r="G69" s="88"/>
      <c r="H69" s="88"/>
    </row>
    <row r="70" spans="1:8" ht="18.75" customHeight="1">
      <c r="A70" s="73" t="s">
        <v>66</v>
      </c>
      <c r="B70" s="73" t="s">
        <v>46</v>
      </c>
      <c r="C70" s="73"/>
      <c r="D70" s="149">
        <v>0</v>
      </c>
      <c r="E70" s="101"/>
      <c r="F70" s="88"/>
      <c r="G70" s="88"/>
      <c r="H70" s="88"/>
    </row>
    <row r="71" spans="1:8" ht="21.75" customHeight="1">
      <c r="A71" s="73" t="s">
        <v>67</v>
      </c>
      <c r="B71" s="221" t="s">
        <v>46</v>
      </c>
      <c r="C71" s="221"/>
      <c r="D71" s="149">
        <v>0</v>
      </c>
      <c r="E71" s="101"/>
      <c r="F71" s="88"/>
      <c r="G71" s="88"/>
      <c r="H71" s="88"/>
    </row>
    <row r="72" spans="1:8" ht="36" customHeight="1">
      <c r="A72" s="222" t="s">
        <v>68</v>
      </c>
      <c r="B72" s="73" t="s">
        <v>11</v>
      </c>
      <c r="C72" s="73"/>
      <c r="D72" s="149">
        <v>0</v>
      </c>
      <c r="E72" s="101"/>
      <c r="F72" s="88"/>
      <c r="G72" s="88"/>
      <c r="H72" s="88"/>
    </row>
    <row r="73" spans="1:14" s="1" customFormat="1" ht="12.75">
      <c r="A73" s="150"/>
      <c r="B73" s="150"/>
      <c r="C73" s="150"/>
      <c r="D73" s="150"/>
      <c r="E73" s="88"/>
      <c r="F73" s="88"/>
      <c r="G73" s="88"/>
      <c r="H73" s="88" t="s">
        <v>26</v>
      </c>
      <c r="K73"/>
      <c r="L73"/>
      <c r="M73"/>
      <c r="N73"/>
    </row>
    <row r="74" spans="1:14" s="1" customFormat="1" ht="12.75">
      <c r="A74" s="150" t="s">
        <v>69</v>
      </c>
      <c r="B74" s="150"/>
      <c r="C74" s="150" t="s">
        <v>131</v>
      </c>
      <c r="D74" s="150"/>
      <c r="E74" s="88"/>
      <c r="F74" s="88"/>
      <c r="G74" s="88"/>
      <c r="H74" s="88"/>
      <c r="K74"/>
      <c r="L74"/>
      <c r="M74"/>
      <c r="N74"/>
    </row>
    <row r="75" spans="1:14" s="1" customFormat="1" ht="12.75">
      <c r="A75" s="150"/>
      <c r="B75" s="150"/>
      <c r="C75" s="150"/>
      <c r="D75" s="150"/>
      <c r="E75" s="88"/>
      <c r="F75" s="88"/>
      <c r="G75" s="88"/>
      <c r="H75" s="88" t="s">
        <v>26</v>
      </c>
      <c r="K75"/>
      <c r="L75"/>
      <c r="M75"/>
      <c r="N75"/>
    </row>
    <row r="76" spans="1:14" s="1" customFormat="1" ht="12.75">
      <c r="A76" s="150" t="s">
        <v>70</v>
      </c>
      <c r="B76" s="150"/>
      <c r="C76" s="150"/>
      <c r="D76" s="150"/>
      <c r="E76" s="88"/>
      <c r="F76" s="88"/>
      <c r="G76" s="88"/>
      <c r="H76" s="88"/>
      <c r="K76"/>
      <c r="L76"/>
      <c r="M76"/>
      <c r="N76"/>
    </row>
    <row r="80" spans="1:14" s="1" customFormat="1" ht="12.75">
      <c r="A80"/>
      <c r="B80"/>
      <c r="C80"/>
      <c r="D80"/>
      <c r="E80" s="1" t="s">
        <v>26</v>
      </c>
      <c r="K80"/>
      <c r="L80"/>
      <c r="M80"/>
      <c r="N80"/>
    </row>
  </sheetData>
  <sheetProtection selectLockedCells="1" selectUnlockedCells="1"/>
  <mergeCells count="13">
    <mergeCell ref="A69:D69"/>
    <mergeCell ref="A14:D14"/>
    <mergeCell ref="A28:D28"/>
    <mergeCell ref="A46:D46"/>
    <mergeCell ref="A51:D51"/>
    <mergeCell ref="A58:D58"/>
    <mergeCell ref="A64:D6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26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102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5" ht="12.75">
      <c r="A8" s="225" t="s">
        <v>307</v>
      </c>
      <c r="B8" s="150"/>
      <c r="C8" s="153"/>
      <c r="D8" s="150"/>
      <c r="E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34137.12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/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2283.36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17705.64</v>
      </c>
      <c r="D18" s="165"/>
      <c r="E18" s="427">
        <f>C18-C20</f>
        <v>16185.24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8524.439999999999</v>
      </c>
      <c r="D19" s="165"/>
      <c r="E19" s="427">
        <f>E18-E39</f>
        <v>-93.96000000000095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(0.88+0.93)*6*140</f>
        <v>1520.3999999999999</v>
      </c>
      <c r="D20" s="165"/>
      <c r="E20" s="428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140*(4.44+4.68)*6</f>
        <v>7660.800000000001</v>
      </c>
      <c r="D21" s="165"/>
      <c r="E21" s="429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17705.64</v>
      </c>
      <c r="D22" s="165" t="s">
        <v>19</v>
      </c>
      <c r="E22" s="427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</f>
        <v>17705.64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51842.76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(2.14+2.03)*6*140</f>
        <v>3502.7999999999997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(0.26+0.27)*6*140</f>
        <v>445.20000000000005</v>
      </c>
      <c r="E32" s="88"/>
      <c r="F32" s="88"/>
      <c r="G32" s="88"/>
      <c r="H32" s="88"/>
    </row>
    <row r="33" spans="1:8" ht="15.75">
      <c r="A33" s="252" t="s">
        <v>94</v>
      </c>
      <c r="B33" s="178" t="s">
        <v>33</v>
      </c>
      <c r="C33" s="179" t="s">
        <v>34</v>
      </c>
      <c r="D33" s="180">
        <f>(0.37+0.4)*6*140</f>
        <v>646.8000000000001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(1.44+1.52)*6*140</f>
        <v>2486.3999999999996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(4.44+4.68)*140*6</f>
        <v>7660.800000000001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184" t="s">
        <v>37</v>
      </c>
      <c r="D36" s="180">
        <f>140*(0.94+0.89)*6</f>
        <v>1537.1999999999998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191"/>
      <c r="D37" s="319">
        <f>D38</f>
        <v>8211</v>
      </c>
      <c r="E37" s="429"/>
      <c r="F37" s="88"/>
      <c r="G37" s="88"/>
      <c r="H37" s="88"/>
      <c r="K37"/>
      <c r="L37"/>
      <c r="M37"/>
      <c r="N37"/>
    </row>
    <row r="38" spans="1:14" s="1" customFormat="1" ht="15.75">
      <c r="A38" s="189" t="s">
        <v>277</v>
      </c>
      <c r="B38" s="187" t="s">
        <v>135</v>
      </c>
      <c r="C38" s="184" t="s">
        <v>241</v>
      </c>
      <c r="D38" s="148">
        <v>8211</v>
      </c>
      <c r="E38" s="429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D31+D32+D33+D34+D35+D36+D37</f>
        <v>24490.2</v>
      </c>
      <c r="E39" s="431">
        <f>D39-D37</f>
        <v>16279.2</v>
      </c>
      <c r="F39" s="88"/>
      <c r="G39" s="88"/>
      <c r="H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27352.56</v>
      </c>
      <c r="E40" s="431"/>
      <c r="F40" s="88"/>
      <c r="G40" s="88"/>
      <c r="H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>
        <v>0</v>
      </c>
      <c r="E41" s="432"/>
      <c r="F41" s="88"/>
      <c r="G41" s="88"/>
      <c r="H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1576.67</v>
      </c>
      <c r="E42" s="429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429"/>
      <c r="F43" s="88"/>
      <c r="G43" s="88"/>
      <c r="H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>
        <v>0</v>
      </c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>
        <v>0</v>
      </c>
      <c r="D47" s="163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9081.6</v>
      </c>
      <c r="C50" s="208">
        <f>B50</f>
        <v>9081.6</v>
      </c>
      <c r="D50" s="231">
        <f>B50-C50</f>
        <v>0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6.5" thickBot="1">
      <c r="A52" s="234" t="s">
        <v>202</v>
      </c>
      <c r="B52" s="235">
        <f>B50</f>
        <v>9081.6</v>
      </c>
      <c r="C52" s="236">
        <f>B52</f>
        <v>9081.6</v>
      </c>
      <c r="D52" s="237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3" t="s">
        <v>45</v>
      </c>
      <c r="B54" s="73" t="s">
        <v>46</v>
      </c>
      <c r="C54" s="73"/>
      <c r="D54" s="149">
        <v>0</v>
      </c>
      <c r="E54" s="101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101"/>
    </row>
    <row r="56" spans="1:5" ht="18" customHeight="1">
      <c r="A56" s="73" t="s">
        <v>48</v>
      </c>
      <c r="B56" s="73" t="s">
        <v>46</v>
      </c>
      <c r="C56" s="73"/>
      <c r="D56" s="149">
        <v>0</v>
      </c>
      <c r="E56" s="101"/>
    </row>
    <row r="57" spans="1:5" ht="16.5" customHeight="1">
      <c r="A57" s="73" t="s">
        <v>49</v>
      </c>
      <c r="B57" s="73" t="s">
        <v>11</v>
      </c>
      <c r="C57" s="73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3" t="s">
        <v>66</v>
      </c>
      <c r="B59" s="73" t="s">
        <v>46</v>
      </c>
      <c r="C59" s="73"/>
      <c r="D59" s="149">
        <v>0</v>
      </c>
      <c r="E59" s="101"/>
    </row>
    <row r="60" spans="1:5" ht="21.75" customHeight="1">
      <c r="A60" s="73" t="s">
        <v>67</v>
      </c>
      <c r="B60" s="221" t="s">
        <v>46</v>
      </c>
      <c r="C60" s="221"/>
      <c r="D60" s="149">
        <v>0</v>
      </c>
      <c r="E60" s="101"/>
    </row>
    <row r="61" spans="1:5" ht="36" customHeight="1">
      <c r="A61" s="222" t="s">
        <v>68</v>
      </c>
      <c r="B61" s="73" t="s">
        <v>11</v>
      </c>
      <c r="C61" s="73"/>
      <c r="D61" s="149">
        <v>0</v>
      </c>
      <c r="E61" s="101"/>
    </row>
    <row r="62" spans="1:5" ht="15.75">
      <c r="A62" s="223"/>
      <c r="B62" s="223"/>
      <c r="C62" s="223"/>
      <c r="D62" s="224"/>
      <c r="E62" s="88"/>
    </row>
    <row r="63" spans="1:14" s="1" customFormat="1" ht="12.75">
      <c r="A63" s="150"/>
      <c r="B63" s="150"/>
      <c r="C63" s="150"/>
      <c r="D63" s="150"/>
      <c r="E63" s="88"/>
      <c r="H63" s="1" t="s">
        <v>26</v>
      </c>
      <c r="K63"/>
      <c r="L63"/>
      <c r="M63"/>
      <c r="N63"/>
    </row>
    <row r="64" spans="1:14" s="1" customFormat="1" ht="12.75">
      <c r="A64" s="150" t="s">
        <v>69</v>
      </c>
      <c r="B64" s="150"/>
      <c r="C64" s="150"/>
      <c r="D64" s="150"/>
      <c r="E64" s="88"/>
      <c r="K64"/>
      <c r="L64"/>
      <c r="M64"/>
      <c r="N64"/>
    </row>
    <row r="65" spans="1:14" s="1" customFormat="1" ht="12.75">
      <c r="A65" s="150"/>
      <c r="B65" s="150"/>
      <c r="C65" s="150"/>
      <c r="D65" s="150"/>
      <c r="E65" s="88"/>
      <c r="H65" s="1" t="s">
        <v>26</v>
      </c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E66" s="88"/>
      <c r="K66"/>
      <c r="L66"/>
      <c r="M66"/>
      <c r="N66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4" ht="12.75">
      <c r="A69" s="150"/>
      <c r="B69" s="150"/>
      <c r="C69" s="150"/>
      <c r="D69" s="150"/>
    </row>
    <row r="70" spans="1:14" s="1" customFormat="1" ht="12.75">
      <c r="A70" s="150"/>
      <c r="B70" s="150"/>
      <c r="C70" s="150"/>
      <c r="D70" s="15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9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103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8" ht="18" customHeight="1">
      <c r="A7" s="450" t="s">
        <v>2</v>
      </c>
      <c r="B7" s="450"/>
      <c r="C7" s="450"/>
      <c r="D7" s="450"/>
      <c r="E7" s="88"/>
      <c r="F7" s="88"/>
      <c r="G7" s="88"/>
      <c r="H7" s="88"/>
    </row>
    <row r="8" spans="1:8" ht="12.75">
      <c r="A8" s="152" t="s">
        <v>214</v>
      </c>
      <c r="B8" s="150"/>
      <c r="C8" s="153"/>
      <c r="D8" s="150"/>
      <c r="E8" s="88"/>
      <c r="F8" s="88"/>
      <c r="G8" s="88"/>
      <c r="H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29611.42</v>
      </c>
      <c r="D15" s="163"/>
      <c r="E15" s="429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429"/>
      <c r="F16" s="88"/>
      <c r="G16" s="88"/>
      <c r="H16" s="88"/>
    </row>
    <row r="17" spans="1:10" ht="15.75">
      <c r="A17" s="20" t="s">
        <v>13</v>
      </c>
      <c r="B17" s="161" t="s">
        <v>11</v>
      </c>
      <c r="C17" s="164">
        <v>4126.48</v>
      </c>
      <c r="D17" s="165"/>
      <c r="E17" s="429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20671.56</v>
      </c>
      <c r="D18" s="165"/>
      <c r="E18" s="427">
        <f>C18-C20</f>
        <v>16822.440000000002</v>
      </c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8844.264000000001</v>
      </c>
      <c r="D19" s="165"/>
      <c r="E19" s="427">
        <f>E18-E39</f>
        <v>0.0020000000004074536</v>
      </c>
      <c r="F19" s="88"/>
      <c r="G19" s="88"/>
      <c r="H19" s="88"/>
      <c r="I19" s="88"/>
      <c r="J19" s="88"/>
    </row>
    <row r="20" spans="1:10" ht="15.75">
      <c r="A20" s="20" t="s">
        <v>16</v>
      </c>
      <c r="B20" s="161" t="s">
        <v>11</v>
      </c>
      <c r="C20" s="164">
        <f>(2.26+2.14)*6*145.8</f>
        <v>3849.120000000001</v>
      </c>
      <c r="D20" s="165"/>
      <c r="E20" s="428"/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145.8*(4.44+4.68)*6</f>
        <v>7978.176000000001</v>
      </c>
      <c r="D21" s="165"/>
      <c r="E21" s="429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C23+C24+C25+C26+C27</f>
        <v>16433.8902</v>
      </c>
      <c r="D22" s="165" t="s">
        <v>19</v>
      </c>
      <c r="E22" s="427"/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C18*0.795</f>
        <v>16433.8902</v>
      </c>
      <c r="D23" s="165"/>
      <c r="E23" s="429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  <c r="J25" s="88"/>
    </row>
    <row r="26" spans="1:10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  <c r="I26" s="88"/>
      <c r="J26" s="88"/>
    </row>
    <row r="27" spans="1:10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15.75">
      <c r="A28" s="20" t="s">
        <v>25</v>
      </c>
      <c r="B28" s="161" t="s">
        <v>11</v>
      </c>
      <c r="C28" s="164">
        <f>C15+C22</f>
        <v>46045.3102</v>
      </c>
      <c r="D28" s="165" t="s">
        <v>26</v>
      </c>
      <c r="E28" s="90" t="e">
        <f>B28/#REF!*1</f>
        <v>#VALUE!</v>
      </c>
      <c r="F28" s="88"/>
      <c r="G28" s="88"/>
      <c r="H28" s="88"/>
      <c r="I28" s="88"/>
      <c r="J28" s="88"/>
    </row>
    <row r="29" spans="1:10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  <c r="J29" s="88"/>
    </row>
    <row r="30" spans="1:10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  <c r="I30" s="88"/>
      <c r="J30" s="88"/>
    </row>
    <row r="31" spans="1:10" ht="15.75">
      <c r="A31" s="173" t="s">
        <v>32</v>
      </c>
      <c r="B31" s="174" t="s">
        <v>33</v>
      </c>
      <c r="C31" s="175" t="s">
        <v>34</v>
      </c>
      <c r="D31" s="176">
        <f>(2.14+2.03)*6*145.8</f>
        <v>3647.916</v>
      </c>
      <c r="E31" s="88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33</v>
      </c>
      <c r="C32" s="179" t="s">
        <v>37</v>
      </c>
      <c r="D32" s="180">
        <f>(0.26+0.27)*6*145.8</f>
        <v>463.64400000000006</v>
      </c>
      <c r="E32" s="88"/>
      <c r="F32" s="88"/>
      <c r="G32" s="88"/>
      <c r="H32" s="88"/>
      <c r="I32" s="88"/>
      <c r="J32" s="88"/>
    </row>
    <row r="33" spans="1:10" ht="15.75">
      <c r="A33" s="252" t="s">
        <v>94</v>
      </c>
      <c r="B33" s="178" t="s">
        <v>33</v>
      </c>
      <c r="C33" s="179" t="s">
        <v>34</v>
      </c>
      <c r="D33" s="180">
        <v>673.63</v>
      </c>
      <c r="E33" s="88"/>
      <c r="F33" s="88"/>
      <c r="G33" s="88"/>
      <c r="H33" s="88"/>
      <c r="I33" s="88"/>
      <c r="J33" s="88"/>
    </row>
    <row r="34" spans="1:10" ht="15.75">
      <c r="A34" s="177" t="s">
        <v>78</v>
      </c>
      <c r="B34" s="183" t="s">
        <v>79</v>
      </c>
      <c r="C34" s="179" t="s">
        <v>34</v>
      </c>
      <c r="D34" s="180">
        <f>(1.44+1.52)*6*145.8</f>
        <v>2589.408</v>
      </c>
      <c r="E34" s="88"/>
      <c r="F34" s="88"/>
      <c r="G34" s="88"/>
      <c r="H34" s="88"/>
      <c r="I34" s="88"/>
      <c r="J34" s="88"/>
    </row>
    <row r="35" spans="1:10" ht="15.75">
      <c r="A35" s="177" t="s">
        <v>38</v>
      </c>
      <c r="B35" s="178" t="s">
        <v>35</v>
      </c>
      <c r="C35" s="304" t="s">
        <v>194</v>
      </c>
      <c r="D35" s="180">
        <f>(4.44+4.68)*145.8*6</f>
        <v>7978.176000000001</v>
      </c>
      <c r="E35" s="88"/>
      <c r="F35" s="88"/>
      <c r="G35" s="88"/>
      <c r="H35" s="88"/>
      <c r="I35" s="88"/>
      <c r="J35" s="88"/>
    </row>
    <row r="36" spans="1:10" ht="15.75">
      <c r="A36" s="177" t="s">
        <v>82</v>
      </c>
      <c r="B36" s="178" t="s">
        <v>195</v>
      </c>
      <c r="C36" s="184" t="s">
        <v>37</v>
      </c>
      <c r="D36" s="180">
        <f>145.8*(0.86+0.82)*6</f>
        <v>1469.6640000000002</v>
      </c>
      <c r="E36" s="88"/>
      <c r="F36" s="88"/>
      <c r="G36" s="88"/>
      <c r="H36" s="88"/>
      <c r="I36" s="88"/>
      <c r="J36" s="88"/>
    </row>
    <row r="37" spans="1:14" s="1" customFormat="1" ht="47.25">
      <c r="A37" s="307" t="s">
        <v>40</v>
      </c>
      <c r="B37" s="185" t="s">
        <v>41</v>
      </c>
      <c r="C37" s="191"/>
      <c r="D37" s="319">
        <f>D38</f>
        <v>1002</v>
      </c>
      <c r="E37" s="88"/>
      <c r="F37" s="88"/>
      <c r="G37" s="88"/>
      <c r="H37" s="88"/>
      <c r="I37" s="88"/>
      <c r="J37" s="88"/>
      <c r="K37"/>
      <c r="L37"/>
      <c r="M37"/>
      <c r="N37"/>
    </row>
    <row r="38" spans="1:14" s="1" customFormat="1" ht="15.75">
      <c r="A38" s="186" t="s">
        <v>278</v>
      </c>
      <c r="B38" s="187" t="s">
        <v>135</v>
      </c>
      <c r="C38" s="308" t="s">
        <v>241</v>
      </c>
      <c r="D38" s="148">
        <v>1002</v>
      </c>
      <c r="E38" s="88"/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SUM(D31:D37)</f>
        <v>17824.438000000002</v>
      </c>
      <c r="E39" s="91">
        <f>D39-D37</f>
        <v>16822.438000000002</v>
      </c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28220.872199999998</v>
      </c>
      <c r="E40" s="91"/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>
        <v>0</v>
      </c>
      <c r="E41" s="88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12329.17</v>
      </c>
      <c r="E42" s="88"/>
      <c r="F42" s="88"/>
      <c r="G42" s="88"/>
      <c r="H42" s="88"/>
      <c r="I42" s="88"/>
      <c r="J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>
        <v>0</v>
      </c>
      <c r="D46" s="163">
        <v>0</v>
      </c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>
        <v>0</v>
      </c>
      <c r="D47" s="163">
        <v>0</v>
      </c>
      <c r="E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54"/>
      <c r="G48" s="55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54"/>
      <c r="G49" s="55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8708.43</v>
      </c>
      <c r="C50" s="208">
        <f>B50</f>
        <v>8708.43</v>
      </c>
      <c r="D50" s="231">
        <f>B50-C50</f>
        <v>0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6.5" thickBot="1">
      <c r="A52" s="234" t="s">
        <v>202</v>
      </c>
      <c r="B52" s="235">
        <f>B50</f>
        <v>8708.43</v>
      </c>
      <c r="C52" s="236">
        <f>C50</f>
        <v>8708.43</v>
      </c>
      <c r="D52" s="237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3" t="s">
        <v>45</v>
      </c>
      <c r="B54" s="73" t="s">
        <v>46</v>
      </c>
      <c r="C54" s="73"/>
      <c r="D54" s="149">
        <v>0</v>
      </c>
      <c r="E54" s="101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101"/>
    </row>
    <row r="56" spans="1:5" ht="18" customHeight="1">
      <c r="A56" s="73" t="s">
        <v>48</v>
      </c>
      <c r="B56" s="73" t="s">
        <v>46</v>
      </c>
      <c r="C56" s="73"/>
      <c r="D56" s="149">
        <v>0</v>
      </c>
      <c r="E56" s="101"/>
    </row>
    <row r="57" spans="1:5" ht="16.5" customHeight="1">
      <c r="A57" s="73" t="s">
        <v>49</v>
      </c>
      <c r="B57" s="73" t="s">
        <v>11</v>
      </c>
      <c r="C57" s="73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3" t="s">
        <v>66</v>
      </c>
      <c r="B59" s="73" t="s">
        <v>46</v>
      </c>
      <c r="C59" s="73"/>
      <c r="D59" s="149">
        <v>0</v>
      </c>
      <c r="E59" s="101"/>
    </row>
    <row r="60" spans="1:5" ht="21.75" customHeight="1">
      <c r="A60" s="73" t="s">
        <v>67</v>
      </c>
      <c r="B60" s="221" t="s">
        <v>46</v>
      </c>
      <c r="C60" s="221"/>
      <c r="D60" s="149">
        <v>0</v>
      </c>
      <c r="E60" s="101"/>
    </row>
    <row r="61" spans="1:5" ht="36" customHeight="1">
      <c r="A61" s="222" t="s">
        <v>68</v>
      </c>
      <c r="B61" s="73" t="s">
        <v>11</v>
      </c>
      <c r="C61" s="73"/>
      <c r="D61" s="149">
        <v>0</v>
      </c>
      <c r="E61" s="101"/>
    </row>
    <row r="62" spans="1:5" ht="15.75">
      <c r="A62" s="223"/>
      <c r="B62" s="223"/>
      <c r="C62" s="223"/>
      <c r="D62" s="224"/>
      <c r="E62" s="88"/>
    </row>
    <row r="63" spans="1:14" s="1" customFormat="1" ht="12.75">
      <c r="A63" s="150"/>
      <c r="B63" s="150"/>
      <c r="C63" s="150"/>
      <c r="D63" s="150"/>
      <c r="H63" s="1" t="s">
        <v>26</v>
      </c>
      <c r="K63"/>
      <c r="L63"/>
      <c r="M63"/>
      <c r="N63"/>
    </row>
    <row r="64" spans="1:14" s="1" customFormat="1" ht="12.75">
      <c r="A64" s="150" t="s">
        <v>69</v>
      </c>
      <c r="B64" s="150"/>
      <c r="C64" s="150"/>
      <c r="D64" s="150"/>
      <c r="K64"/>
      <c r="L64"/>
      <c r="M64"/>
      <c r="N64"/>
    </row>
    <row r="65" spans="1:14" s="1" customFormat="1" ht="12.75">
      <c r="A65" s="150"/>
      <c r="B65" s="150"/>
      <c r="C65" s="150"/>
      <c r="D65" s="150"/>
      <c r="H65" s="1" t="s">
        <v>26</v>
      </c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K66"/>
      <c r="L66"/>
      <c r="M66"/>
      <c r="N66"/>
    </row>
    <row r="67" spans="1:4" ht="12.75">
      <c r="A67" s="150"/>
      <c r="B67" s="150"/>
      <c r="C67" s="150"/>
      <c r="D67" s="150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29">
      <selection activeCell="D39" sqref="D3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104</v>
      </c>
      <c r="B4" s="448"/>
      <c r="C4" s="448"/>
      <c r="D4" s="448"/>
    </row>
    <row r="5" spans="1:4" ht="12.75">
      <c r="A5" s="449" t="s">
        <v>238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154</v>
      </c>
      <c r="B8" s="150"/>
      <c r="C8" s="153"/>
      <c r="D8" s="150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239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240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227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2">
        <v>79686.63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2135.25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16522.26</v>
      </c>
      <c r="D18" s="165"/>
      <c r="E18" s="427">
        <f>C18-C20</f>
        <v>11479.433999999997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6023.849999999997</v>
      </c>
      <c r="D19" s="165"/>
      <c r="E19" s="427">
        <f>E18-E38</f>
        <v>-0.024000000003070454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(4.1+4.33)*6*99.7</f>
        <v>5042.826</v>
      </c>
      <c r="D20" s="165"/>
      <c r="E20" s="428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99.7*(4.44+4.68)*6</f>
        <v>5455.584000000001</v>
      </c>
      <c r="D21" s="165"/>
      <c r="E21" s="429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17166.628139999997</v>
      </c>
      <c r="D22" s="165" t="s">
        <v>19</v>
      </c>
      <c r="E22" s="427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C18*1.039</f>
        <v>17166.628139999997</v>
      </c>
      <c r="D23" s="165"/>
      <c r="E23" s="429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96853.25814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(2.03+2.14)*6*99.7</f>
        <v>2494.494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(0.26+0.27)*6*99.7</f>
        <v>317.04600000000005</v>
      </c>
      <c r="E32" s="88"/>
      <c r="F32" s="88"/>
      <c r="G32" s="88"/>
      <c r="H32" s="88"/>
    </row>
    <row r="33" spans="1:8" ht="15.75">
      <c r="A33" s="252" t="s">
        <v>94</v>
      </c>
      <c r="B33" s="178" t="s">
        <v>33</v>
      </c>
      <c r="C33" s="179" t="s">
        <v>34</v>
      </c>
      <c r="D33" s="180">
        <f>(0.37+0.4)*6*99.7</f>
        <v>460.61400000000003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(1.44+1.52)*6*99.7</f>
        <v>1770.6719999999998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(4.44+4.68)*99.7*6</f>
        <v>5455.584000000001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184" t="s">
        <v>37</v>
      </c>
      <c r="D36" s="180">
        <f>99.7*(0.84+0.8)*6</f>
        <v>981.048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191"/>
      <c r="D37" s="147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SUM(D31:D37)</f>
        <v>11479.458</v>
      </c>
      <c r="E38" s="91">
        <f>D38-D37</f>
        <v>11479.458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85373.80014</v>
      </c>
      <c r="E39" s="91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88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1020.42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>
        <v>0</v>
      </c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>
        <v>0</v>
      </c>
      <c r="D46" s="163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6467.4</v>
      </c>
      <c r="C49" s="208">
        <f>B49</f>
        <v>6467.4</v>
      </c>
      <c r="D49" s="231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35">
        <f>B49</f>
        <v>6467.4</v>
      </c>
      <c r="C51" s="236">
        <f>C49</f>
        <v>6467.4</v>
      </c>
      <c r="D51" s="237"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56"/>
      <c r="J52" s="56"/>
      <c r="K52" s="57"/>
      <c r="L52" s="57"/>
      <c r="M52" s="57"/>
      <c r="N52" s="57"/>
    </row>
    <row r="53" spans="1:8" ht="21" customHeight="1">
      <c r="A53" s="73" t="s">
        <v>45</v>
      </c>
      <c r="B53" s="73" t="s">
        <v>46</v>
      </c>
      <c r="C53" s="73"/>
      <c r="D53" s="149">
        <v>0</v>
      </c>
      <c r="E53" s="101"/>
      <c r="F53" s="88"/>
      <c r="G53" s="88"/>
      <c r="H53" s="88"/>
    </row>
    <row r="54" spans="1:8" ht="21" customHeight="1">
      <c r="A54" s="73" t="s">
        <v>47</v>
      </c>
      <c r="B54" s="73" t="s">
        <v>46</v>
      </c>
      <c r="C54" s="73"/>
      <c r="D54" s="149">
        <v>0</v>
      </c>
      <c r="E54" s="101"/>
      <c r="F54" s="88"/>
      <c r="G54" s="88"/>
      <c r="H54" s="88"/>
    </row>
    <row r="55" spans="1:8" ht="18" customHeight="1">
      <c r="A55" s="73" t="s">
        <v>48</v>
      </c>
      <c r="B55" s="73" t="s">
        <v>46</v>
      </c>
      <c r="C55" s="73"/>
      <c r="D55" s="149">
        <v>0</v>
      </c>
      <c r="E55" s="101"/>
      <c r="F55" s="88"/>
      <c r="G55" s="88"/>
      <c r="H55" s="88"/>
    </row>
    <row r="56" spans="1:8" ht="16.5" customHeight="1">
      <c r="A56" s="73" t="s">
        <v>49</v>
      </c>
      <c r="B56" s="73" t="s">
        <v>11</v>
      </c>
      <c r="C56" s="73"/>
      <c r="D56" s="149">
        <v>0</v>
      </c>
      <c r="E56" s="101"/>
      <c r="F56" s="88"/>
      <c r="G56" s="88"/>
      <c r="H56" s="88"/>
    </row>
    <row r="57" spans="1:8" ht="15.75" customHeight="1">
      <c r="A57" s="440" t="s">
        <v>232</v>
      </c>
      <c r="B57" s="440"/>
      <c r="C57" s="440"/>
      <c r="D57" s="440"/>
      <c r="E57" s="101"/>
      <c r="F57" s="88"/>
      <c r="G57" s="88"/>
      <c r="H57" s="88"/>
    </row>
    <row r="58" spans="1:8" ht="18.75" customHeight="1">
      <c r="A58" s="73" t="s">
        <v>66</v>
      </c>
      <c r="B58" s="73" t="s">
        <v>46</v>
      </c>
      <c r="C58" s="73"/>
      <c r="D58" s="149">
        <v>0</v>
      </c>
      <c r="E58" s="101"/>
      <c r="F58" s="88"/>
      <c r="G58" s="88"/>
      <c r="H58" s="88"/>
    </row>
    <row r="59" spans="1:8" ht="21.75" customHeight="1">
      <c r="A59" s="73" t="s">
        <v>67</v>
      </c>
      <c r="B59" s="221" t="s">
        <v>46</v>
      </c>
      <c r="C59" s="221"/>
      <c r="D59" s="149">
        <v>0</v>
      </c>
      <c r="E59" s="101"/>
      <c r="F59" s="88"/>
      <c r="G59" s="88"/>
      <c r="H59" s="88"/>
    </row>
    <row r="60" spans="1:8" ht="36" customHeight="1">
      <c r="A60" s="222" t="s">
        <v>68</v>
      </c>
      <c r="B60" s="73" t="s">
        <v>11</v>
      </c>
      <c r="C60" s="73"/>
      <c r="D60" s="149">
        <v>0</v>
      </c>
      <c r="E60" s="101"/>
      <c r="F60" s="88"/>
      <c r="G60" s="88"/>
      <c r="H60" s="88"/>
    </row>
    <row r="61" spans="1:8" ht="15.75">
      <c r="A61" s="223"/>
      <c r="B61" s="223"/>
      <c r="C61" s="223"/>
      <c r="D61" s="224"/>
      <c r="E61" s="88"/>
      <c r="F61" s="88"/>
      <c r="G61" s="88"/>
      <c r="H61" s="88"/>
    </row>
    <row r="62" spans="1:14" s="1" customFormat="1" ht="12.75">
      <c r="A62" s="150"/>
      <c r="B62" s="150"/>
      <c r="C62" s="150"/>
      <c r="D62" s="150"/>
      <c r="E62" s="88"/>
      <c r="F62" s="88"/>
      <c r="G62" s="88"/>
      <c r="H62" s="88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E63" s="88"/>
      <c r="F63" s="88"/>
      <c r="G63" s="88"/>
      <c r="H63" s="88"/>
      <c r="K63"/>
      <c r="L63"/>
      <c r="M63"/>
      <c r="N63"/>
    </row>
    <row r="64" spans="1:14" s="1" customFormat="1" ht="12.75">
      <c r="A64" s="150"/>
      <c r="B64" s="150"/>
      <c r="C64" s="150"/>
      <c r="D64" s="150"/>
      <c r="E64" s="88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E65" s="88"/>
      <c r="K65"/>
      <c r="L65"/>
      <c r="M65"/>
      <c r="N65"/>
    </row>
    <row r="66" spans="1:4" ht="12.75">
      <c r="A66" s="150"/>
      <c r="B66" s="150"/>
      <c r="C66" s="150"/>
      <c r="D66" s="150"/>
    </row>
    <row r="67" spans="1:4" ht="12.75">
      <c r="A67" s="150"/>
      <c r="B67" s="150"/>
      <c r="C67" s="150"/>
      <c r="D67" s="150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31">
      <selection activeCell="A42" sqref="A42:D4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105</v>
      </c>
      <c r="B4" s="448"/>
      <c r="C4" s="448"/>
      <c r="D4" s="448"/>
    </row>
    <row r="5" spans="1:4" ht="12.75">
      <c r="A5" s="449" t="s">
        <v>279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155</v>
      </c>
      <c r="B8" s="150"/>
      <c r="C8" s="153"/>
      <c r="D8" s="150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280</v>
      </c>
      <c r="D11" s="160"/>
      <c r="E11" s="88"/>
    </row>
    <row r="12" spans="1:5" ht="12.75">
      <c r="A12" s="20" t="s">
        <v>7</v>
      </c>
      <c r="B12" s="158"/>
      <c r="C12" s="159" t="s">
        <v>281</v>
      </c>
      <c r="D12" s="160"/>
      <c r="E12" s="88"/>
    </row>
    <row r="13" spans="1:5" ht="12.75">
      <c r="A13" s="20" t="s">
        <v>8</v>
      </c>
      <c r="B13" s="158"/>
      <c r="C13" s="159" t="s">
        <v>282</v>
      </c>
      <c r="D13" s="16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6.25">
      <c r="A15" s="17" t="s">
        <v>10</v>
      </c>
      <c r="B15" s="161" t="s">
        <v>11</v>
      </c>
      <c r="C15" s="162">
        <v>43629.11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2919.85</v>
      </c>
      <c r="D17" s="165"/>
      <c r="E17" s="429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23229.06</v>
      </c>
      <c r="D18" s="165"/>
      <c r="E18" s="427">
        <f>C18-C20</f>
        <v>20224.212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11326.74</v>
      </c>
      <c r="D19" s="165"/>
      <c r="E19" s="427">
        <f>E38-E18</f>
        <v>9.731999999999971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(1.5+1.58)*6*162.6</f>
        <v>3004.848</v>
      </c>
      <c r="D20" s="165"/>
      <c r="E20" s="428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162.6*(4.44+4.68)*6</f>
        <v>8897.472</v>
      </c>
      <c r="D21" s="165"/>
      <c r="E21" s="429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23809.7865</v>
      </c>
      <c r="D22" s="165" t="s">
        <v>19</v>
      </c>
      <c r="E22" s="427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C18*1.025</f>
        <v>23809.7865</v>
      </c>
      <c r="D23" s="165"/>
      <c r="E23" s="429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428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428"/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67438.8965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(2.14+2.03)*6*162.6</f>
        <v>4068.252</v>
      </c>
      <c r="E31" s="88"/>
      <c r="F31" s="88"/>
      <c r="G31" s="88"/>
      <c r="H31" s="88"/>
    </row>
    <row r="32" spans="1:8" ht="15.75">
      <c r="A32" s="177" t="s">
        <v>36</v>
      </c>
      <c r="B32" s="178" t="s">
        <v>75</v>
      </c>
      <c r="C32" s="179" t="s">
        <v>37</v>
      </c>
      <c r="D32" s="180">
        <f>(0.52+0.55)*6*162.6</f>
        <v>1043.892</v>
      </c>
      <c r="E32" s="88"/>
      <c r="F32" s="88"/>
      <c r="G32" s="88"/>
      <c r="H32" s="88"/>
    </row>
    <row r="33" spans="1:8" ht="15.75">
      <c r="A33" s="252" t="s">
        <v>156</v>
      </c>
      <c r="B33" s="178" t="s">
        <v>33</v>
      </c>
      <c r="C33" s="179" t="s">
        <v>34</v>
      </c>
      <c r="D33" s="180">
        <f>(1.76+1.66)*6*162.6</f>
        <v>3336.5519999999997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(1.44+1.52)*6*162.6</f>
        <v>2887.7759999999994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(4.44+4.68)*162.6*6</f>
        <v>8897.472</v>
      </c>
      <c r="E35" s="88"/>
      <c r="F35" s="88"/>
      <c r="G35" s="88"/>
      <c r="H35" s="88"/>
    </row>
    <row r="36" spans="1:8" ht="47.25">
      <c r="A36" s="309" t="s">
        <v>191</v>
      </c>
      <c r="B36" s="310" t="s">
        <v>41</v>
      </c>
      <c r="C36" s="311"/>
      <c r="D36" s="261">
        <f>D37</f>
        <v>1570</v>
      </c>
      <c r="E36" s="88"/>
      <c r="F36" s="88"/>
      <c r="G36" s="88"/>
      <c r="H36" s="88"/>
    </row>
    <row r="37" spans="1:8" ht="15.75">
      <c r="A37" s="309" t="s">
        <v>308</v>
      </c>
      <c r="B37" s="310"/>
      <c r="C37" s="311"/>
      <c r="D37" s="261">
        <v>1570</v>
      </c>
      <c r="E37" s="429"/>
      <c r="F37" s="88"/>
      <c r="G37" s="88"/>
      <c r="H37" s="88"/>
    </row>
    <row r="38" spans="1:14" s="1" customFormat="1" ht="15.75">
      <c r="A38" s="37" t="s">
        <v>42</v>
      </c>
      <c r="B38" s="192"/>
      <c r="C38" s="193"/>
      <c r="D38" s="84">
        <f>D31+D32+D33+D34+D35+D36</f>
        <v>21803.944</v>
      </c>
      <c r="E38" s="430">
        <f>D38-D36</f>
        <v>20233.944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45634.9525</v>
      </c>
      <c r="E39" s="430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>
        <v>0</v>
      </c>
      <c r="E40" s="429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2193.97</v>
      </c>
      <c r="E41" s="429"/>
      <c r="F41" s="88"/>
      <c r="G41" s="88"/>
      <c r="H41" s="88"/>
      <c r="K41"/>
      <c r="L41"/>
      <c r="M41"/>
      <c r="N41"/>
    </row>
    <row r="42" spans="1:14" s="1" customFormat="1" ht="24" customHeight="1">
      <c r="A42" s="453" t="s">
        <v>44</v>
      </c>
      <c r="B42" s="454"/>
      <c r="C42" s="454"/>
      <c r="D42" s="455"/>
      <c r="E42" s="429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>
        <v>0</v>
      </c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>
        <v>0</v>
      </c>
      <c r="D46" s="163">
        <v>0</v>
      </c>
      <c r="E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54"/>
      <c r="G47" s="55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54"/>
      <c r="G48" s="55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10547.64</v>
      </c>
      <c r="C49" s="208">
        <f>B49</f>
        <v>10547.64</v>
      </c>
      <c r="D49" s="231">
        <f>B49-C49</f>
        <v>0</v>
      </c>
      <c r="E49" s="93"/>
      <c r="F49" s="63"/>
      <c r="G49" s="64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63"/>
      <c r="H50" s="56"/>
      <c r="I50" s="56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57">
        <f>B49</f>
        <v>10547.64</v>
      </c>
      <c r="C51" s="331">
        <f>B51</f>
        <v>10547.64</v>
      </c>
      <c r="D51" s="237">
        <f>B51-C51</f>
        <v>0</v>
      </c>
      <c r="E51" s="93"/>
      <c r="F51" s="63"/>
      <c r="H51" s="56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3" t="s">
        <v>45</v>
      </c>
      <c r="B53" s="73" t="s">
        <v>46</v>
      </c>
      <c r="C53" s="73"/>
      <c r="D53" s="149">
        <v>0</v>
      </c>
      <c r="E53" s="101"/>
    </row>
    <row r="54" spans="1:5" ht="21" customHeight="1">
      <c r="A54" s="73" t="s">
        <v>47</v>
      </c>
      <c r="B54" s="73" t="s">
        <v>46</v>
      </c>
      <c r="C54" s="73"/>
      <c r="D54" s="149">
        <v>0</v>
      </c>
      <c r="E54" s="101"/>
    </row>
    <row r="55" spans="1:5" ht="18" customHeight="1">
      <c r="A55" s="73" t="s">
        <v>48</v>
      </c>
      <c r="B55" s="73" t="s">
        <v>46</v>
      </c>
      <c r="C55" s="73"/>
      <c r="D55" s="149">
        <v>0</v>
      </c>
      <c r="E55" s="75"/>
    </row>
    <row r="56" spans="1:5" ht="16.5" customHeight="1">
      <c r="A56" s="73" t="s">
        <v>49</v>
      </c>
      <c r="B56" s="73" t="s">
        <v>11</v>
      </c>
      <c r="C56" s="73"/>
      <c r="D56" s="149">
        <v>0</v>
      </c>
      <c r="E56" s="75"/>
    </row>
    <row r="57" spans="1:5" ht="15.75" customHeight="1">
      <c r="A57" s="440" t="s">
        <v>232</v>
      </c>
      <c r="B57" s="440"/>
      <c r="C57" s="440"/>
      <c r="D57" s="440"/>
      <c r="E57" s="75"/>
    </row>
    <row r="58" spans="1:5" ht="18.75" customHeight="1">
      <c r="A58" s="73" t="s">
        <v>66</v>
      </c>
      <c r="B58" s="73" t="s">
        <v>46</v>
      </c>
      <c r="C58" s="73"/>
      <c r="D58" s="149">
        <v>0</v>
      </c>
      <c r="E58" s="75"/>
    </row>
    <row r="59" spans="1:5" ht="21.75" customHeight="1">
      <c r="A59" s="73" t="s">
        <v>67</v>
      </c>
      <c r="B59" s="221" t="s">
        <v>46</v>
      </c>
      <c r="C59" s="221"/>
      <c r="D59" s="149">
        <v>0</v>
      </c>
      <c r="E59" s="75"/>
    </row>
    <row r="60" spans="1:5" ht="36" customHeight="1">
      <c r="A60" s="222" t="s">
        <v>68</v>
      </c>
      <c r="B60" s="73" t="s">
        <v>11</v>
      </c>
      <c r="C60" s="73"/>
      <c r="D60" s="149">
        <v>0</v>
      </c>
      <c r="E60" s="75"/>
    </row>
    <row r="61" spans="1:4" ht="15.75">
      <c r="A61" s="223"/>
      <c r="B61" s="223"/>
      <c r="C61" s="223"/>
      <c r="D61" s="224"/>
    </row>
    <row r="62" spans="1:14" s="1" customFormat="1" ht="12.75">
      <c r="A62" s="150"/>
      <c r="B62" s="150"/>
      <c r="C62" s="150"/>
      <c r="D62" s="150"/>
      <c r="H62" s="1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 t="s">
        <v>131</v>
      </c>
      <c r="D63" s="150"/>
      <c r="K63"/>
      <c r="L63"/>
      <c r="M63"/>
      <c r="N63"/>
    </row>
    <row r="64" spans="1:14" s="1" customFormat="1" ht="12.75">
      <c r="A64" s="150"/>
      <c r="B64" s="150"/>
      <c r="C64" s="150"/>
      <c r="D64" s="150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K65"/>
      <c r="L65"/>
      <c r="M65"/>
      <c r="N65"/>
    </row>
    <row r="66" spans="1:4" ht="12.75">
      <c r="A66" s="150"/>
      <c r="B66" s="150"/>
      <c r="C66" s="150"/>
      <c r="D66" s="150"/>
    </row>
    <row r="67" spans="1:4" ht="12.75">
      <c r="A67" s="150"/>
      <c r="B67" s="150"/>
      <c r="C67" s="150"/>
      <c r="D67" s="150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0" zoomScaleNormal="80" zoomScalePageLayoutView="0" workbookViewId="0" topLeftCell="A10">
      <selection activeCell="D40" sqref="D4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157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4" ht="12.75">
      <c r="A11" s="20" t="s">
        <v>6</v>
      </c>
      <c r="B11" s="158"/>
      <c r="C11" s="159" t="s">
        <v>252</v>
      </c>
      <c r="D11" s="160"/>
    </row>
    <row r="12" spans="1:4" ht="12.75">
      <c r="A12" s="20" t="s">
        <v>7</v>
      </c>
      <c r="B12" s="158"/>
      <c r="C12" s="159" t="s">
        <v>242</v>
      </c>
      <c r="D12" s="160"/>
    </row>
    <row r="13" spans="1:4" ht="12.75">
      <c r="A13" s="20" t="s">
        <v>8</v>
      </c>
      <c r="B13" s="158"/>
      <c r="C13" s="159" t="s">
        <v>243</v>
      </c>
      <c r="D13" s="160"/>
    </row>
    <row r="14" spans="1:5" ht="31.5" customHeight="1">
      <c r="A14" s="441" t="s">
        <v>9</v>
      </c>
      <c r="B14" s="441"/>
      <c r="C14" s="441"/>
      <c r="D14" s="441"/>
      <c r="E14" s="88"/>
    </row>
    <row r="15" spans="1:5" ht="26.25">
      <c r="A15" s="17" t="s">
        <v>10</v>
      </c>
      <c r="B15" s="161" t="s">
        <v>11</v>
      </c>
      <c r="C15" s="162">
        <v>24744</v>
      </c>
      <c r="D15" s="163"/>
      <c r="E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2777.17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23357.58</v>
      </c>
      <c r="D18" s="165"/>
      <c r="E18" s="18">
        <f>C18-C20</f>
        <v>20336.100000000002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11389.380000000001</v>
      </c>
      <c r="D19" s="165"/>
      <c r="E19" s="18">
        <f>E18-E39</f>
        <v>-9.840000000000146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(1.58+1.5)*6*163.5</f>
        <v>3021.48</v>
      </c>
      <c r="D20" s="165"/>
      <c r="E20" s="123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163.5*(4.44+4.68)*6</f>
        <v>8946.720000000001</v>
      </c>
      <c r="D21" s="165"/>
      <c r="E21" s="5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23357.58</v>
      </c>
      <c r="D22" s="165" t="s">
        <v>19</v>
      </c>
      <c r="E22" s="89" t="e">
        <f>B24+B25+B26+B27+B28</f>
        <v>#VALUE!</v>
      </c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</f>
        <v>23357.58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48101.58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(2.14+2.03)*6*163.5</f>
        <v>4090.77</v>
      </c>
      <c r="E31" s="88"/>
      <c r="F31" s="88"/>
      <c r="G31" s="88"/>
      <c r="H31" s="88"/>
    </row>
    <row r="32" spans="1:8" ht="15.75">
      <c r="A32" s="177" t="s">
        <v>36</v>
      </c>
      <c r="B32" s="178" t="s">
        <v>75</v>
      </c>
      <c r="C32" s="179" t="s">
        <v>37</v>
      </c>
      <c r="D32" s="180">
        <f>(0.52+0.55)*6*163.5</f>
        <v>1049.67</v>
      </c>
      <c r="E32" s="88"/>
      <c r="F32" s="88"/>
      <c r="G32" s="88"/>
      <c r="H32" s="88"/>
    </row>
    <row r="33" spans="1:8" ht="15.75">
      <c r="A33" s="252" t="s">
        <v>101</v>
      </c>
      <c r="B33" s="178" t="s">
        <v>33</v>
      </c>
      <c r="C33" s="179" t="s">
        <v>34</v>
      </c>
      <c r="D33" s="180">
        <f>(1.76+1.66)*6*163.5</f>
        <v>3355.02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(1.44+1.52)*6*163.5</f>
        <v>2903.7599999999998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(4.44+4.68)*163.5*6</f>
        <v>8946.720000000001</v>
      </c>
      <c r="E35" s="88"/>
      <c r="F35" s="88"/>
      <c r="G35" s="88"/>
      <c r="H35" s="88"/>
    </row>
    <row r="36" spans="1:14" s="1" customFormat="1" ht="47.25">
      <c r="A36" s="253" t="s">
        <v>190</v>
      </c>
      <c r="B36" s="185" t="s">
        <v>41</v>
      </c>
      <c r="C36" s="312"/>
      <c r="D36" s="319">
        <f>D37+D38</f>
        <v>9847</v>
      </c>
      <c r="E36" s="88"/>
      <c r="F36" s="88"/>
      <c r="G36" s="88"/>
      <c r="H36" s="88"/>
      <c r="K36"/>
      <c r="L36"/>
      <c r="M36"/>
      <c r="N36"/>
    </row>
    <row r="37" spans="1:14" s="1" customFormat="1" ht="15.75">
      <c r="A37" s="189" t="s">
        <v>136</v>
      </c>
      <c r="B37" s="187" t="s">
        <v>137</v>
      </c>
      <c r="C37" s="368" t="s">
        <v>241</v>
      </c>
      <c r="D37" s="148">
        <v>8267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189" t="s">
        <v>308</v>
      </c>
      <c r="B38" s="187"/>
      <c r="C38" s="368"/>
      <c r="D38" s="148">
        <v>1580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D31+D32+D33+D34+D35+D36</f>
        <v>30192.940000000002</v>
      </c>
      <c r="E39" s="430">
        <f>D39-D36</f>
        <v>20345.940000000002</v>
      </c>
      <c r="F39" s="88"/>
      <c r="G39" s="88"/>
      <c r="H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17908.64</v>
      </c>
      <c r="E40" s="430"/>
      <c r="F40" s="88"/>
      <c r="G40" s="88"/>
      <c r="H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/>
      <c r="E41" s="429"/>
      <c r="F41" s="88"/>
      <c r="G41" s="88"/>
      <c r="H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2777.17</v>
      </c>
      <c r="E42" s="429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429"/>
      <c r="F43" s="88"/>
      <c r="G43" s="88"/>
      <c r="H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>
        <v>0</v>
      </c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>
        <v>0</v>
      </c>
      <c r="D47" s="163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10606.08</v>
      </c>
      <c r="C50" s="208">
        <f>B50</f>
        <v>10606.08</v>
      </c>
      <c r="D50" s="231">
        <f>B50-C50</f>
        <v>0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5.75">
      <c r="A52" s="228" t="s">
        <v>202</v>
      </c>
      <c r="B52" s="229">
        <f>B50</f>
        <v>10606.08</v>
      </c>
      <c r="C52" s="208">
        <f>B52</f>
        <v>10606.08</v>
      </c>
      <c r="D52" s="231">
        <f>B52-C52</f>
        <v>0</v>
      </c>
      <c r="E52" s="93"/>
      <c r="F52" s="96"/>
      <c r="G52" s="88"/>
      <c r="H52" s="98"/>
      <c r="I52" s="56"/>
      <c r="J52" s="56"/>
      <c r="K52" s="57"/>
      <c r="L52" s="57"/>
      <c r="M52" s="57"/>
      <c r="N52" s="57"/>
    </row>
    <row r="53" spans="1:14" ht="16.5" thickBot="1">
      <c r="A53" s="234"/>
      <c r="B53" s="235"/>
      <c r="C53" s="236"/>
      <c r="D53" s="237"/>
      <c r="E53" s="93"/>
      <c r="F53" s="96"/>
      <c r="G53" s="88"/>
      <c r="H53" s="98" t="s">
        <v>26</v>
      </c>
      <c r="I53" s="56"/>
      <c r="J53" s="56"/>
      <c r="K53" s="57"/>
      <c r="L53" s="57"/>
      <c r="M53" s="57"/>
      <c r="N53" s="57"/>
    </row>
    <row r="54" spans="1:14" ht="17.25" customHeight="1">
      <c r="A54" s="444" t="s">
        <v>64</v>
      </c>
      <c r="B54" s="444"/>
      <c r="C54" s="444"/>
      <c r="D54" s="444"/>
      <c r="E54" s="99" t="e">
        <f>D54+B19</f>
        <v>#VALUE!</v>
      </c>
      <c r="F54" s="98"/>
      <c r="G54" s="88"/>
      <c r="H54" s="100" t="e">
        <f>E54-B18</f>
        <v>#VALUE!</v>
      </c>
      <c r="I54" s="56"/>
      <c r="J54" s="56"/>
      <c r="K54" s="57"/>
      <c r="L54" s="57"/>
      <c r="M54" s="57"/>
      <c r="N54" s="57"/>
    </row>
    <row r="55" spans="1:8" ht="21" customHeight="1">
      <c r="A55" s="73" t="s">
        <v>45</v>
      </c>
      <c r="B55" s="73" t="s">
        <v>46</v>
      </c>
      <c r="C55" s="73"/>
      <c r="D55" s="149">
        <v>0</v>
      </c>
      <c r="E55" s="101"/>
      <c r="F55" s="88"/>
      <c r="G55" s="88"/>
      <c r="H55" s="88"/>
    </row>
    <row r="56" spans="1:8" ht="21" customHeight="1">
      <c r="A56" s="73" t="s">
        <v>47</v>
      </c>
      <c r="B56" s="73" t="s">
        <v>46</v>
      </c>
      <c r="C56" s="73"/>
      <c r="D56" s="149">
        <v>0</v>
      </c>
      <c r="E56" s="101"/>
      <c r="F56" s="88"/>
      <c r="G56" s="88"/>
      <c r="H56" s="88"/>
    </row>
    <row r="57" spans="1:8" ht="18" customHeight="1">
      <c r="A57" s="73" t="s">
        <v>48</v>
      </c>
      <c r="B57" s="73" t="s">
        <v>46</v>
      </c>
      <c r="C57" s="73"/>
      <c r="D57" s="149">
        <v>0</v>
      </c>
      <c r="E57" s="101"/>
      <c r="F57" s="88"/>
      <c r="G57" s="88"/>
      <c r="H57" s="88"/>
    </row>
    <row r="58" spans="1:8" ht="16.5" customHeight="1">
      <c r="A58" s="73" t="s">
        <v>49</v>
      </c>
      <c r="B58" s="73" t="s">
        <v>11</v>
      </c>
      <c r="C58" s="73"/>
      <c r="D58" s="149">
        <v>0</v>
      </c>
      <c r="E58" s="101"/>
      <c r="F58" s="88"/>
      <c r="G58" s="88"/>
      <c r="H58" s="88"/>
    </row>
    <row r="59" spans="1:8" ht="15.75" customHeight="1">
      <c r="A59" s="440" t="s">
        <v>65</v>
      </c>
      <c r="B59" s="440"/>
      <c r="C59" s="440"/>
      <c r="D59" s="440"/>
      <c r="E59" s="101"/>
      <c r="F59" s="88"/>
      <c r="G59" s="88"/>
      <c r="H59" s="88"/>
    </row>
    <row r="60" spans="1:8" ht="18.75" customHeight="1">
      <c r="A60" s="73" t="s">
        <v>66</v>
      </c>
      <c r="B60" s="73" t="s">
        <v>46</v>
      </c>
      <c r="C60" s="73"/>
      <c r="D60" s="149">
        <v>0</v>
      </c>
      <c r="E60" s="101"/>
      <c r="F60" s="88"/>
      <c r="G60" s="88"/>
      <c r="H60" s="88"/>
    </row>
    <row r="61" spans="1:8" ht="21.75" customHeight="1">
      <c r="A61" s="73" t="s">
        <v>67</v>
      </c>
      <c r="B61" s="221" t="s">
        <v>46</v>
      </c>
      <c r="C61" s="221"/>
      <c r="D61" s="149">
        <v>0</v>
      </c>
      <c r="E61" s="101"/>
      <c r="F61" s="88"/>
      <c r="G61" s="88"/>
      <c r="H61" s="88"/>
    </row>
    <row r="62" spans="1:8" ht="36" customHeight="1">
      <c r="A62" s="222" t="s">
        <v>68</v>
      </c>
      <c r="B62" s="73" t="s">
        <v>11</v>
      </c>
      <c r="C62" s="73"/>
      <c r="D62" s="149">
        <v>0</v>
      </c>
      <c r="E62" s="101"/>
      <c r="F62" s="88"/>
      <c r="G62" s="88"/>
      <c r="H62" s="88"/>
    </row>
    <row r="63" spans="1:8" ht="15.75">
      <c r="A63" s="223"/>
      <c r="B63" s="223"/>
      <c r="C63" s="223"/>
      <c r="D63" s="224"/>
      <c r="E63" s="88"/>
      <c r="F63" s="88"/>
      <c r="G63" s="88"/>
      <c r="H63" s="88"/>
    </row>
    <row r="64" spans="1:14" s="1" customFormat="1" ht="12.75">
      <c r="A64" s="150"/>
      <c r="B64" s="150"/>
      <c r="C64" s="150"/>
      <c r="D64" s="150"/>
      <c r="E64" s="88"/>
      <c r="F64" s="88"/>
      <c r="G64" s="88"/>
      <c r="H64" s="88" t="s">
        <v>26</v>
      </c>
      <c r="K64"/>
      <c r="L64"/>
      <c r="M64"/>
      <c r="N64"/>
    </row>
    <row r="65" spans="1:14" s="1" customFormat="1" ht="12.75">
      <c r="A65" s="150" t="s">
        <v>69</v>
      </c>
      <c r="B65" s="150"/>
      <c r="C65" s="150" t="s">
        <v>131</v>
      </c>
      <c r="D65" s="150"/>
      <c r="E65" s="88"/>
      <c r="F65" s="88"/>
      <c r="G65" s="88"/>
      <c r="H65" s="88"/>
      <c r="K65"/>
      <c r="L65"/>
      <c r="M65"/>
      <c r="N65"/>
    </row>
    <row r="66" spans="1:14" s="1" customFormat="1" ht="12.75">
      <c r="A66" s="150"/>
      <c r="B66" s="150"/>
      <c r="C66" s="150"/>
      <c r="D66" s="150"/>
      <c r="H66" s="1" t="s">
        <v>26</v>
      </c>
      <c r="K66"/>
      <c r="L66"/>
      <c r="M66"/>
      <c r="N66"/>
    </row>
    <row r="67" spans="1:14" s="1" customFormat="1" ht="12.75">
      <c r="A67" s="150" t="s">
        <v>70</v>
      </c>
      <c r="B67" s="150"/>
      <c r="C67" s="150"/>
      <c r="D67" s="150"/>
      <c r="K67"/>
      <c r="L67"/>
      <c r="M67"/>
      <c r="N67"/>
    </row>
    <row r="68" spans="1:4" ht="12.75">
      <c r="A68" s="150"/>
      <c r="B68" s="150"/>
      <c r="C68" s="150"/>
      <c r="D68" s="150"/>
    </row>
    <row r="69" spans="1:4" ht="12.75">
      <c r="A69" s="150"/>
      <c r="B69" s="150"/>
      <c r="C69" s="150"/>
      <c r="D69" s="150"/>
    </row>
    <row r="71" spans="1:14" s="1" customFormat="1" ht="12.75">
      <c r="A71"/>
      <c r="B71"/>
      <c r="C71"/>
      <c r="D71"/>
      <c r="E71" s="1" t="s">
        <v>26</v>
      </c>
      <c r="K71"/>
      <c r="L71"/>
      <c r="M71"/>
      <c r="N71"/>
    </row>
  </sheetData>
  <sheetProtection selectLockedCells="1" selectUnlockedCells="1"/>
  <mergeCells count="12">
    <mergeCell ref="A59:D59"/>
    <mergeCell ref="A14:D14"/>
    <mergeCell ref="A29:D29"/>
    <mergeCell ref="A43:D43"/>
    <mergeCell ref="A48:D48"/>
    <mergeCell ref="A54:D5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40">
      <selection activeCell="A50" sqref="A5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107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158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2">
        <v>37549.62</v>
      </c>
      <c r="D15" s="163"/>
      <c r="E15" s="429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429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1552.61</v>
      </c>
      <c r="D17" s="165"/>
      <c r="E17" s="424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13812.78</v>
      </c>
      <c r="D18" s="165"/>
      <c r="E18" s="425">
        <f>C18-C20</f>
        <v>9629.004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5051.028000000001</v>
      </c>
      <c r="D19" s="165"/>
      <c r="E19" s="425">
        <f>E18-E38</f>
        <v>0.012000000002444722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(4.49+3.47)*6*87.6</f>
        <v>4183.776</v>
      </c>
      <c r="D20" s="165"/>
      <c r="E20" s="426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87.6*(4.44+4.27)*6</f>
        <v>4577.976</v>
      </c>
      <c r="D21" s="165"/>
      <c r="E21" s="27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13743.716100000001</v>
      </c>
      <c r="D22" s="165" t="s">
        <v>19</v>
      </c>
      <c r="E22" s="271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C18*0.995</f>
        <v>13743.716100000001</v>
      </c>
      <c r="D23" s="165"/>
      <c r="E23" s="270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272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272"/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272"/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272"/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51293.3361</v>
      </c>
      <c r="D28" s="165" t="s">
        <v>26</v>
      </c>
      <c r="E28" s="272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270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270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(0.94+2.03)*6*87.6</f>
        <v>1561.032</v>
      </c>
      <c r="E31" s="270"/>
      <c r="F31" s="88"/>
      <c r="G31" s="88"/>
      <c r="H31" s="88"/>
    </row>
    <row r="32" spans="1:8" ht="15.75">
      <c r="A32" s="177" t="s">
        <v>36</v>
      </c>
      <c r="B32" s="178" t="s">
        <v>75</v>
      </c>
      <c r="C32" s="179" t="s">
        <v>37</v>
      </c>
      <c r="D32" s="180">
        <f>(0.52+0.5)*6*87.6</f>
        <v>536.112</v>
      </c>
      <c r="E32" s="270"/>
      <c r="F32" s="88"/>
      <c r="G32" s="88"/>
      <c r="H32" s="88"/>
    </row>
    <row r="33" spans="1:8" ht="15.75">
      <c r="A33" s="252" t="s">
        <v>159</v>
      </c>
      <c r="B33" s="178" t="s">
        <v>33</v>
      </c>
      <c r="C33" s="179" t="s">
        <v>34</v>
      </c>
      <c r="D33" s="180">
        <f>87.6*(1.3+1.5)*6</f>
        <v>1471.6799999999998</v>
      </c>
      <c r="E33" s="270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(1.44+1.38)*6*87.6</f>
        <v>1482.1919999999998</v>
      </c>
      <c r="E34" s="270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(4.44+4.27)*87.6*6</f>
        <v>4577.976</v>
      </c>
      <c r="E35" s="270"/>
      <c r="F35" s="88"/>
      <c r="G35" s="88"/>
      <c r="H35" s="88"/>
    </row>
    <row r="36" spans="1:14" s="1" customFormat="1" ht="47.25">
      <c r="A36" s="307" t="s">
        <v>40</v>
      </c>
      <c r="B36" s="185" t="s">
        <v>41</v>
      </c>
      <c r="C36" s="312"/>
      <c r="D36" s="319">
        <f>D37</f>
        <v>850</v>
      </c>
      <c r="E36" s="270"/>
      <c r="F36" s="88"/>
      <c r="G36" s="88"/>
      <c r="H36" s="88"/>
      <c r="K36"/>
      <c r="L36"/>
      <c r="M36"/>
      <c r="N36"/>
    </row>
    <row r="37" spans="1:14" s="1" customFormat="1" ht="15.75">
      <c r="A37" s="186" t="s">
        <v>308</v>
      </c>
      <c r="B37" s="187"/>
      <c r="C37" s="368"/>
      <c r="D37" s="148">
        <v>850</v>
      </c>
      <c r="E37" s="270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SUM(D31:D36)</f>
        <v>10478.991999999998</v>
      </c>
      <c r="E38" s="151">
        <f>D38-D36</f>
        <v>9628.991999999998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40814.3441</v>
      </c>
      <c r="E39" s="151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/>
      <c r="E40" s="270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165">
        <v>1711.33</v>
      </c>
      <c r="E41" s="270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270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>
        <v>0</v>
      </c>
      <c r="D43" s="163">
        <v>0</v>
      </c>
      <c r="E43" s="270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>
        <v>0</v>
      </c>
      <c r="D44" s="163">
        <v>0</v>
      </c>
      <c r="E44" s="270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>
        <v>0</v>
      </c>
      <c r="D45" s="163">
        <v>0</v>
      </c>
      <c r="E45" s="270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>
        <v>0</v>
      </c>
      <c r="D46" s="163">
        <v>0</v>
      </c>
      <c r="E46" s="270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54"/>
      <c r="G48" s="55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 t="s">
        <v>311</v>
      </c>
      <c r="C49" s="208" t="str">
        <f>B49</f>
        <v>5682,48,48</v>
      </c>
      <c r="D49" s="231">
        <v>0</v>
      </c>
      <c r="E49" s="93"/>
      <c r="F49" s="63"/>
      <c r="G49" s="64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63"/>
      <c r="H50" s="56"/>
      <c r="I50" s="56"/>
      <c r="J50" s="56"/>
      <c r="K50" s="57"/>
      <c r="L50" s="57"/>
      <c r="M50" s="57"/>
      <c r="N50" s="57"/>
    </row>
    <row r="51" spans="1:14" ht="15.75">
      <c r="A51" s="228" t="s">
        <v>202</v>
      </c>
      <c r="B51" s="229" t="str">
        <f>B49</f>
        <v>5682,48,48</v>
      </c>
      <c r="C51" s="208" t="str">
        <f>B51</f>
        <v>5682,48,48</v>
      </c>
      <c r="D51" s="231">
        <v>0</v>
      </c>
      <c r="E51" s="93"/>
      <c r="F51" s="63"/>
      <c r="H51" s="56" t="s">
        <v>26</v>
      </c>
      <c r="I51" s="56"/>
      <c r="J51" s="56"/>
      <c r="K51" s="57"/>
      <c r="L51" s="57"/>
      <c r="M51" s="57"/>
      <c r="N51" s="57"/>
    </row>
    <row r="52" spans="1:14" ht="15.75">
      <c r="A52" s="214"/>
      <c r="B52" s="215"/>
      <c r="C52" s="216"/>
      <c r="D52" s="217"/>
      <c r="E52" s="93"/>
      <c r="F52" s="63"/>
      <c r="H52" s="56"/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3" t="s">
        <v>45</v>
      </c>
      <c r="B54" s="73" t="s">
        <v>46</v>
      </c>
      <c r="C54" s="73"/>
      <c r="D54" s="149">
        <v>0</v>
      </c>
      <c r="E54" s="101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101"/>
    </row>
    <row r="56" spans="1:5" ht="18" customHeight="1">
      <c r="A56" s="73" t="s">
        <v>48</v>
      </c>
      <c r="B56" s="73" t="s">
        <v>46</v>
      </c>
      <c r="C56" s="73"/>
      <c r="D56" s="149">
        <v>0</v>
      </c>
      <c r="E56" s="101"/>
    </row>
    <row r="57" spans="1:5" ht="16.5" customHeight="1">
      <c r="A57" s="73" t="s">
        <v>49</v>
      </c>
      <c r="B57" s="73" t="s">
        <v>11</v>
      </c>
      <c r="C57" s="73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3" t="s">
        <v>66</v>
      </c>
      <c r="B59" s="73" t="s">
        <v>46</v>
      </c>
      <c r="C59" s="73"/>
      <c r="D59" s="149">
        <v>0</v>
      </c>
      <c r="E59" s="101"/>
    </row>
    <row r="60" spans="1:5" ht="21.75" customHeight="1">
      <c r="A60" s="73" t="s">
        <v>67</v>
      </c>
      <c r="B60" s="221" t="s">
        <v>46</v>
      </c>
      <c r="C60" s="221"/>
      <c r="D60" s="149">
        <v>0</v>
      </c>
      <c r="E60" s="101"/>
    </row>
    <row r="61" spans="1:5" ht="36" customHeight="1">
      <c r="A61" s="222" t="s">
        <v>68</v>
      </c>
      <c r="B61" s="73" t="s">
        <v>11</v>
      </c>
      <c r="C61" s="73"/>
      <c r="D61" s="149">
        <v>0</v>
      </c>
      <c r="E61" s="101"/>
    </row>
    <row r="62" spans="1:5" ht="15.75">
      <c r="A62" s="223"/>
      <c r="B62" s="223"/>
      <c r="C62" s="223"/>
      <c r="D62" s="224"/>
      <c r="E62" s="88"/>
    </row>
    <row r="63" spans="1:14" s="1" customFormat="1" ht="12.75">
      <c r="A63" s="150"/>
      <c r="B63" s="150"/>
      <c r="C63" s="150"/>
      <c r="D63" s="150"/>
      <c r="E63" s="88"/>
      <c r="H63" s="1" t="s">
        <v>26</v>
      </c>
      <c r="K63"/>
      <c r="L63"/>
      <c r="M63"/>
      <c r="N63"/>
    </row>
    <row r="64" spans="1:14" s="1" customFormat="1" ht="12.75">
      <c r="A64" s="150" t="s">
        <v>69</v>
      </c>
      <c r="B64" s="150"/>
      <c r="C64" s="150" t="s">
        <v>131</v>
      </c>
      <c r="D64" s="150"/>
      <c r="E64" s="88"/>
      <c r="K64"/>
      <c r="L64"/>
      <c r="M64"/>
      <c r="N64"/>
    </row>
    <row r="65" spans="1:14" s="1" customFormat="1" ht="12.75">
      <c r="A65" s="150"/>
      <c r="B65" s="150"/>
      <c r="C65" s="150"/>
      <c r="D65" s="150"/>
      <c r="H65" s="1" t="s">
        <v>26</v>
      </c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K66"/>
      <c r="L66"/>
      <c r="M66"/>
      <c r="N66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4" ht="12.75">
      <c r="A69" s="150"/>
      <c r="B69" s="150"/>
      <c r="C69" s="150"/>
      <c r="D69" s="150"/>
    </row>
    <row r="70" spans="1:14" s="1" customFormat="1" ht="12.75">
      <c r="A70" s="150"/>
      <c r="B70" s="150"/>
      <c r="C70" s="150"/>
      <c r="D70" s="15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2:D42"/>
    <mergeCell ref="A47:D47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47">
      <selection activeCell="A1" sqref="A1:D78"/>
    </sheetView>
  </sheetViews>
  <sheetFormatPr defaultColWidth="11.57421875" defaultRowHeight="12.75"/>
  <cols>
    <col min="1" max="1" width="54.7109375" style="0" customWidth="1"/>
    <col min="2" max="2" width="18.57421875" style="0" customWidth="1"/>
    <col min="3" max="3" width="24.421875" style="0" customWidth="1"/>
    <col min="4" max="4" width="15.0039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108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28.5" customHeight="1">
      <c r="A7" s="450" t="s">
        <v>2</v>
      </c>
      <c r="B7" s="450"/>
      <c r="C7" s="450"/>
      <c r="D7" s="450"/>
    </row>
    <row r="8" spans="1:4" ht="12.75">
      <c r="A8" s="152" t="s">
        <v>234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9" ht="31.5" customHeight="1">
      <c r="A14" s="441" t="s">
        <v>9</v>
      </c>
      <c r="B14" s="441"/>
      <c r="C14" s="441"/>
      <c r="D14" s="441"/>
      <c r="E14" s="88"/>
      <c r="F14" s="88"/>
      <c r="G14" s="88"/>
      <c r="H14" s="88"/>
      <c r="I14" s="88"/>
    </row>
    <row r="15" spans="1:9" ht="26.25">
      <c r="A15" s="17" t="s">
        <v>10</v>
      </c>
      <c r="B15" s="161" t="s">
        <v>11</v>
      </c>
      <c r="C15" s="164">
        <v>37695.1</v>
      </c>
      <c r="D15" s="163"/>
      <c r="E15" s="88"/>
      <c r="F15" s="88"/>
      <c r="G15" s="88"/>
      <c r="H15" s="88"/>
      <c r="I15" s="88"/>
    </row>
    <row r="16" spans="1:9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</row>
    <row r="17" spans="1:9" ht="15.75">
      <c r="A17" s="20" t="s">
        <v>13</v>
      </c>
      <c r="B17" s="161" t="s">
        <v>11</v>
      </c>
      <c r="C17" s="164">
        <v>23360.1</v>
      </c>
      <c r="D17" s="165"/>
      <c r="E17" s="88"/>
      <c r="F17" s="88"/>
      <c r="G17" s="88"/>
      <c r="H17" s="88"/>
      <c r="I17" s="88"/>
    </row>
    <row r="18" spans="1:9" ht="31.5" customHeight="1">
      <c r="A18" s="17" t="s">
        <v>14</v>
      </c>
      <c r="B18" s="161" t="s">
        <v>11</v>
      </c>
      <c r="C18" s="164">
        <v>206097.48</v>
      </c>
      <c r="D18" s="165"/>
      <c r="E18" s="89">
        <f>C18-C20</f>
        <v>175162.44</v>
      </c>
      <c r="F18" s="88"/>
      <c r="G18" s="88"/>
      <c r="H18" s="88"/>
      <c r="I18" s="88"/>
    </row>
    <row r="19" spans="1:9" ht="15.75">
      <c r="A19" s="20" t="s">
        <v>15</v>
      </c>
      <c r="B19" s="161" t="s">
        <v>11</v>
      </c>
      <c r="C19" s="164">
        <f>C18-C20-C21</f>
        <v>121930.82400000001</v>
      </c>
      <c r="D19" s="165"/>
      <c r="E19" s="89">
        <f>E18-E49</f>
        <v>0.0719999999855645</v>
      </c>
      <c r="F19" s="88"/>
      <c r="G19" s="88"/>
      <c r="H19" s="88"/>
      <c r="I19" s="88"/>
    </row>
    <row r="20" spans="1:9" ht="15.75">
      <c r="A20" s="20" t="s">
        <v>16</v>
      </c>
      <c r="B20" s="161" t="s">
        <v>11</v>
      </c>
      <c r="C20" s="164">
        <f>(2.73+2.57)*6*972.8</f>
        <v>30935.039999999997</v>
      </c>
      <c r="D20" s="165"/>
      <c r="E20" s="90"/>
      <c r="F20" s="88"/>
      <c r="G20" s="88"/>
      <c r="H20" s="88"/>
      <c r="I20" s="88"/>
    </row>
    <row r="21" spans="1:9" ht="15.75">
      <c r="A21" s="20" t="s">
        <v>17</v>
      </c>
      <c r="B21" s="161" t="s">
        <v>11</v>
      </c>
      <c r="C21" s="166">
        <f>972.8*(4.44+4.68)*6</f>
        <v>53231.615999999995</v>
      </c>
      <c r="D21" s="165"/>
      <c r="E21" s="88"/>
      <c r="F21" s="88"/>
      <c r="G21" s="88"/>
      <c r="H21" s="88"/>
      <c r="I21" s="88"/>
    </row>
    <row r="22" spans="1:9" ht="15.75">
      <c r="A22" s="20" t="s">
        <v>18</v>
      </c>
      <c r="B22" s="161" t="s">
        <v>11</v>
      </c>
      <c r="C22" s="164">
        <f>C23+C24+C25+C26</f>
        <v>206735.76504000003</v>
      </c>
      <c r="D22" s="165" t="s">
        <v>19</v>
      </c>
      <c r="E22" s="89"/>
      <c r="F22" s="88"/>
      <c r="G22" s="88"/>
      <c r="H22" s="88"/>
      <c r="I22" s="88"/>
    </row>
    <row r="23" spans="1:9" ht="15.75">
      <c r="A23" s="20" t="s">
        <v>20</v>
      </c>
      <c r="B23" s="161" t="s">
        <v>11</v>
      </c>
      <c r="C23" s="164">
        <f>C18*0.998</f>
        <v>205685.28504000002</v>
      </c>
      <c r="D23" s="165"/>
      <c r="E23" s="88"/>
      <c r="F23" s="88"/>
      <c r="G23" s="88"/>
      <c r="H23" s="88"/>
      <c r="I23" s="88"/>
    </row>
    <row r="24" spans="1:9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</row>
    <row r="25" spans="1:9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</row>
    <row r="26" spans="1:9" ht="18.75" customHeight="1">
      <c r="A26" s="158" t="s">
        <v>249</v>
      </c>
      <c r="B26" s="161" t="s">
        <v>11</v>
      </c>
      <c r="C26" s="164">
        <v>1050.48</v>
      </c>
      <c r="D26" s="167"/>
      <c r="E26" s="90" t="e">
        <f>B26/#REF!*1</f>
        <v>#VALUE!</v>
      </c>
      <c r="F26" s="88"/>
      <c r="G26" s="88"/>
      <c r="H26" s="88"/>
      <c r="I26" s="88"/>
    </row>
    <row r="27" spans="1:9" ht="15.75">
      <c r="A27" s="20" t="s">
        <v>25</v>
      </c>
      <c r="B27" s="161" t="s">
        <v>11</v>
      </c>
      <c r="C27" s="164">
        <f>C15+C22</f>
        <v>244430.86504000003</v>
      </c>
      <c r="D27" s="165" t="s">
        <v>26</v>
      </c>
      <c r="E27" s="90" t="e">
        <f>B27/#REF!*1</f>
        <v>#VALUE!</v>
      </c>
      <c r="F27" s="88"/>
      <c r="G27" s="88"/>
      <c r="H27" s="88"/>
      <c r="I27" s="88"/>
    </row>
    <row r="28" spans="1:9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  <c r="I28" s="88"/>
    </row>
    <row r="29" spans="1:9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  <c r="I29" s="88"/>
    </row>
    <row r="30" spans="1:9" ht="15.75">
      <c r="A30" s="173" t="s">
        <v>32</v>
      </c>
      <c r="B30" s="174" t="s">
        <v>33</v>
      </c>
      <c r="C30" s="327" t="s">
        <v>34</v>
      </c>
      <c r="D30" s="176">
        <f>(0.7+0.74)*6*972.8</f>
        <v>8404.992</v>
      </c>
      <c r="E30" s="88"/>
      <c r="F30" s="88"/>
      <c r="G30" s="88"/>
      <c r="H30" s="88"/>
      <c r="I30" s="88"/>
    </row>
    <row r="31" spans="1:9" ht="15.75">
      <c r="A31" s="177" t="s">
        <v>72</v>
      </c>
      <c r="B31" s="178" t="s">
        <v>73</v>
      </c>
      <c r="C31" s="179" t="s">
        <v>34</v>
      </c>
      <c r="D31" s="180">
        <f>(2.59+2.73)*6*972.8</f>
        <v>31051.776</v>
      </c>
      <c r="E31" s="88"/>
      <c r="F31" s="88"/>
      <c r="G31" s="88"/>
      <c r="H31" s="88"/>
      <c r="I31" s="88"/>
    </row>
    <row r="32" spans="1:9" ht="15.75">
      <c r="A32" s="177" t="s">
        <v>203</v>
      </c>
      <c r="B32" s="178" t="s">
        <v>35</v>
      </c>
      <c r="C32" s="304" t="s">
        <v>221</v>
      </c>
      <c r="D32" s="180">
        <f>(0.19+0.2)*6*972.8</f>
        <v>2276.352</v>
      </c>
      <c r="E32" s="88"/>
      <c r="F32" s="88"/>
      <c r="G32" s="88"/>
      <c r="H32" s="88"/>
      <c r="I32" s="88"/>
    </row>
    <row r="33" spans="1:9" ht="15.75">
      <c r="A33" s="177" t="s">
        <v>36</v>
      </c>
      <c r="B33" s="178" t="s">
        <v>75</v>
      </c>
      <c r="C33" s="179" t="s">
        <v>37</v>
      </c>
      <c r="D33" s="180">
        <f>(0.52+0.55)*6*972.8</f>
        <v>6245.375999999999</v>
      </c>
      <c r="E33" s="88"/>
      <c r="F33" s="88"/>
      <c r="G33" s="88"/>
      <c r="H33" s="88"/>
      <c r="I33" s="88"/>
    </row>
    <row r="34" spans="1:9" ht="15.75">
      <c r="A34" s="177" t="s">
        <v>76</v>
      </c>
      <c r="B34" s="305" t="s">
        <v>33</v>
      </c>
      <c r="C34" s="179" t="s">
        <v>34</v>
      </c>
      <c r="D34" s="180">
        <f>(0.78+0.82)*6*972.8</f>
        <v>9338.880000000001</v>
      </c>
      <c r="E34" s="88"/>
      <c r="F34" s="88"/>
      <c r="G34" s="88"/>
      <c r="H34" s="88"/>
      <c r="I34" s="88"/>
    </row>
    <row r="35" spans="1:9" ht="15.75">
      <c r="A35" s="177" t="s">
        <v>101</v>
      </c>
      <c r="B35" s="178" t="s">
        <v>33</v>
      </c>
      <c r="C35" s="179" t="s">
        <v>34</v>
      </c>
      <c r="D35" s="180">
        <f>972.8*(2.07+2.18)*6</f>
        <v>24806.399999999998</v>
      </c>
      <c r="E35" s="88"/>
      <c r="F35" s="88"/>
      <c r="G35" s="88"/>
      <c r="H35" s="88"/>
      <c r="I35" s="88"/>
    </row>
    <row r="36" spans="1:9" ht="15.75">
      <c r="A36" s="177" t="s">
        <v>78</v>
      </c>
      <c r="B36" s="183" t="s">
        <v>79</v>
      </c>
      <c r="C36" s="179" t="s">
        <v>34</v>
      </c>
      <c r="D36" s="180">
        <f>972.8*(1.44+1.52)*6</f>
        <v>17276.928</v>
      </c>
      <c r="E36" s="88"/>
      <c r="F36" s="88"/>
      <c r="G36" s="88"/>
      <c r="H36" s="88"/>
      <c r="I36" s="88"/>
    </row>
    <row r="37" spans="1:9" ht="15.75">
      <c r="A37" s="177" t="s">
        <v>38</v>
      </c>
      <c r="B37" s="178" t="s">
        <v>35</v>
      </c>
      <c r="C37" s="304" t="s">
        <v>194</v>
      </c>
      <c r="D37" s="180">
        <f>(4.44+4.68)*972.8*6</f>
        <v>53231.615999999995</v>
      </c>
      <c r="E37" s="88"/>
      <c r="F37" s="88"/>
      <c r="G37" s="88"/>
      <c r="H37" s="88"/>
      <c r="I37" s="88"/>
    </row>
    <row r="38" spans="1:9" ht="15.75">
      <c r="A38" s="177" t="s">
        <v>82</v>
      </c>
      <c r="B38" s="178" t="s">
        <v>195</v>
      </c>
      <c r="C38" s="226" t="s">
        <v>37</v>
      </c>
      <c r="D38" s="180">
        <f>972.8*6*(0.64+0.61)</f>
        <v>7295.999999999999</v>
      </c>
      <c r="E38" s="88"/>
      <c r="F38" s="88"/>
      <c r="G38" s="88"/>
      <c r="H38" s="88"/>
      <c r="I38" s="88"/>
    </row>
    <row r="39" spans="1:9" ht="15.75">
      <c r="A39" s="177" t="s">
        <v>309</v>
      </c>
      <c r="B39" s="178" t="s">
        <v>310</v>
      </c>
      <c r="C39" s="179" t="s">
        <v>34</v>
      </c>
      <c r="D39" s="180">
        <f>972.8*2.61*6</f>
        <v>15234.047999999999</v>
      </c>
      <c r="E39" s="88"/>
      <c r="F39" s="88"/>
      <c r="G39" s="88"/>
      <c r="H39" s="88"/>
      <c r="I39" s="88"/>
    </row>
    <row r="40" spans="1:9" ht="15.75">
      <c r="A40" s="177" t="s">
        <v>184</v>
      </c>
      <c r="B40" s="178"/>
      <c r="C40" s="267"/>
      <c r="D40" s="180"/>
      <c r="E40" s="88"/>
      <c r="F40" s="88"/>
      <c r="G40" s="88"/>
      <c r="H40" s="88"/>
      <c r="I40" s="88"/>
    </row>
    <row r="41" spans="1:9" ht="31.5">
      <c r="A41" s="177" t="s">
        <v>186</v>
      </c>
      <c r="B41" s="178" t="s">
        <v>35</v>
      </c>
      <c r="C41" s="267" t="s">
        <v>185</v>
      </c>
      <c r="D41" s="180">
        <v>1050.48</v>
      </c>
      <c r="E41" s="88"/>
      <c r="F41" s="88"/>
      <c r="G41" s="88"/>
      <c r="H41" s="88"/>
      <c r="I41" s="88"/>
    </row>
    <row r="42" spans="1:14" s="1" customFormat="1" ht="78.75">
      <c r="A42" s="227" t="s">
        <v>183</v>
      </c>
      <c r="B42" s="185" t="s">
        <v>41</v>
      </c>
      <c r="C42" s="175"/>
      <c r="D42" s="319">
        <f>D43+D44+D45+D46+D47+D48</f>
        <v>67304.06</v>
      </c>
      <c r="E42" s="88"/>
      <c r="F42" s="88"/>
      <c r="G42" s="88"/>
      <c r="H42" s="88"/>
      <c r="I42" s="88"/>
      <c r="K42"/>
      <c r="L42"/>
      <c r="M42"/>
      <c r="N42"/>
    </row>
    <row r="43" spans="1:14" s="1" customFormat="1" ht="15.75">
      <c r="A43" s="190" t="s">
        <v>283</v>
      </c>
      <c r="B43" s="187" t="s">
        <v>198</v>
      </c>
      <c r="C43" s="188" t="s">
        <v>34</v>
      </c>
      <c r="D43" s="148">
        <v>1128</v>
      </c>
      <c r="E43" s="88"/>
      <c r="F43" s="88"/>
      <c r="G43" s="88"/>
      <c r="H43" s="88"/>
      <c r="I43" s="88"/>
      <c r="K43"/>
      <c r="L43"/>
      <c r="M43"/>
      <c r="N43"/>
    </row>
    <row r="44" spans="1:14" s="1" customFormat="1" ht="15.75">
      <c r="A44" s="190" t="s">
        <v>284</v>
      </c>
      <c r="B44" s="187" t="s">
        <v>141</v>
      </c>
      <c r="C44" s="188" t="s">
        <v>34</v>
      </c>
      <c r="D44" s="148">
        <v>9483.11</v>
      </c>
      <c r="E44" s="88"/>
      <c r="F44" s="88"/>
      <c r="G44" s="88"/>
      <c r="H44" s="88"/>
      <c r="I44" s="88"/>
      <c r="K44"/>
      <c r="L44"/>
      <c r="M44"/>
      <c r="N44"/>
    </row>
    <row r="45" spans="1:14" s="1" customFormat="1" ht="15.75">
      <c r="A45" s="190" t="s">
        <v>285</v>
      </c>
      <c r="B45" s="187" t="s">
        <v>135</v>
      </c>
      <c r="C45" s="188" t="s">
        <v>34</v>
      </c>
      <c r="D45" s="148">
        <v>3226.95</v>
      </c>
      <c r="E45" s="88"/>
      <c r="F45" s="88"/>
      <c r="G45" s="88"/>
      <c r="H45" s="88"/>
      <c r="I45" s="88"/>
      <c r="K45"/>
      <c r="L45"/>
      <c r="M45"/>
      <c r="N45"/>
    </row>
    <row r="46" spans="1:14" s="1" customFormat="1" ht="31.5">
      <c r="A46" s="190" t="s">
        <v>286</v>
      </c>
      <c r="B46" s="187" t="s">
        <v>287</v>
      </c>
      <c r="C46" s="188" t="s">
        <v>34</v>
      </c>
      <c r="D46" s="148">
        <v>9231</v>
      </c>
      <c r="E46" s="88"/>
      <c r="F46" s="88"/>
      <c r="G46" s="88"/>
      <c r="H46" s="88"/>
      <c r="I46" s="88"/>
      <c r="K46"/>
      <c r="L46"/>
      <c r="M46"/>
      <c r="N46"/>
    </row>
    <row r="47" spans="1:14" s="1" customFormat="1" ht="30.75" customHeight="1">
      <c r="A47" s="190" t="s">
        <v>288</v>
      </c>
      <c r="B47" s="187" t="s">
        <v>137</v>
      </c>
      <c r="C47" s="188" t="s">
        <v>34</v>
      </c>
      <c r="D47" s="148">
        <v>9235</v>
      </c>
      <c r="E47" s="88"/>
      <c r="F47" s="88"/>
      <c r="G47" s="88"/>
      <c r="H47" s="88"/>
      <c r="I47" s="88"/>
      <c r="K47"/>
      <c r="L47"/>
      <c r="M47"/>
      <c r="N47"/>
    </row>
    <row r="48" spans="1:14" s="1" customFormat="1" ht="39.75" customHeight="1">
      <c r="A48" s="190" t="s">
        <v>289</v>
      </c>
      <c r="B48" s="187" t="s">
        <v>287</v>
      </c>
      <c r="C48" s="188" t="s">
        <v>290</v>
      </c>
      <c r="D48" s="148">
        <v>35000</v>
      </c>
      <c r="E48" s="88"/>
      <c r="F48" s="88"/>
      <c r="G48" s="88"/>
      <c r="H48" s="88"/>
      <c r="I48" s="88"/>
      <c r="K48"/>
      <c r="L48"/>
      <c r="M48"/>
      <c r="N48"/>
    </row>
    <row r="49" spans="1:14" s="1" customFormat="1" ht="15.75">
      <c r="A49" s="37" t="s">
        <v>42</v>
      </c>
      <c r="B49" s="192"/>
      <c r="C49" s="192"/>
      <c r="D49" s="84">
        <f>D30+D31+D32+D33+D34+D35+D36+D37+D38+D41+D42+D39</f>
        <v>243516.90800000002</v>
      </c>
      <c r="E49" s="91">
        <f>D49-D41-D42</f>
        <v>175162.36800000002</v>
      </c>
      <c r="F49" s="88"/>
      <c r="G49" s="88"/>
      <c r="H49" s="88"/>
      <c r="I49" s="88"/>
      <c r="K49"/>
      <c r="L49"/>
      <c r="M49"/>
      <c r="N49"/>
    </row>
    <row r="50" spans="1:14" s="1" customFormat="1" ht="15.75">
      <c r="A50" s="40" t="s">
        <v>43</v>
      </c>
      <c r="B50" s="194" t="s">
        <v>11</v>
      </c>
      <c r="C50" s="195"/>
      <c r="D50" s="196">
        <f>C27-D49</f>
        <v>913.9570400000084</v>
      </c>
      <c r="E50" s="91"/>
      <c r="F50" s="88"/>
      <c r="G50" s="88"/>
      <c r="H50" s="88"/>
      <c r="I50" s="88"/>
      <c r="K50"/>
      <c r="L50"/>
      <c r="M50"/>
      <c r="N50"/>
    </row>
    <row r="51" spans="1:14" s="1" customFormat="1" ht="15.75">
      <c r="A51" s="197" t="s">
        <v>12</v>
      </c>
      <c r="B51" s="198" t="s">
        <v>11</v>
      </c>
      <c r="C51" s="179"/>
      <c r="D51" s="163"/>
      <c r="E51" s="88"/>
      <c r="F51" s="88"/>
      <c r="G51" s="88"/>
      <c r="H51" s="88"/>
      <c r="I51" s="88"/>
      <c r="K51"/>
      <c r="L51"/>
      <c r="M51"/>
      <c r="N51"/>
    </row>
    <row r="52" spans="1:14" s="1" customFormat="1" ht="15.75">
      <c r="A52" s="197" t="s">
        <v>13</v>
      </c>
      <c r="B52" s="198" t="s">
        <v>11</v>
      </c>
      <c r="C52" s="179"/>
      <c r="D52" s="165">
        <v>18618.81</v>
      </c>
      <c r="E52" s="88"/>
      <c r="F52" s="88"/>
      <c r="G52" s="88"/>
      <c r="H52" s="88"/>
      <c r="I52" s="88"/>
      <c r="K52"/>
      <c r="L52"/>
      <c r="M52"/>
      <c r="N52"/>
    </row>
    <row r="53" spans="1:14" s="1" customFormat="1" ht="24" customHeight="1">
      <c r="A53" s="443" t="s">
        <v>44</v>
      </c>
      <c r="B53" s="443"/>
      <c r="C53" s="443"/>
      <c r="D53" s="443"/>
      <c r="E53" s="88"/>
      <c r="F53" s="88"/>
      <c r="G53" s="88"/>
      <c r="H53" s="88"/>
      <c r="I53" s="88"/>
      <c r="K53"/>
      <c r="L53"/>
      <c r="M53"/>
      <c r="N53"/>
    </row>
    <row r="54" spans="1:14" s="1" customFormat="1" ht="15.75">
      <c r="A54" s="197" t="s">
        <v>45</v>
      </c>
      <c r="B54" s="178" t="s">
        <v>46</v>
      </c>
      <c r="C54" s="179">
        <v>0</v>
      </c>
      <c r="D54" s="163">
        <v>0</v>
      </c>
      <c r="E54" s="88"/>
      <c r="F54" s="88"/>
      <c r="G54" s="88"/>
      <c r="H54" s="88"/>
      <c r="I54" s="88"/>
      <c r="K54"/>
      <c r="L54"/>
      <c r="M54"/>
      <c r="N54"/>
    </row>
    <row r="55" spans="1:14" s="1" customFormat="1" ht="15.75">
      <c r="A55" s="197" t="s">
        <v>47</v>
      </c>
      <c r="B55" s="178" t="s">
        <v>46</v>
      </c>
      <c r="C55" s="179">
        <v>0</v>
      </c>
      <c r="D55" s="163">
        <v>0</v>
      </c>
      <c r="E55" s="88"/>
      <c r="F55" s="88"/>
      <c r="G55" s="88"/>
      <c r="H55" s="88"/>
      <c r="I55" s="88"/>
      <c r="K55"/>
      <c r="L55"/>
      <c r="M55"/>
      <c r="N55"/>
    </row>
    <row r="56" spans="1:14" s="1" customFormat="1" ht="26.25">
      <c r="A56" s="199" t="s">
        <v>48</v>
      </c>
      <c r="B56" s="178" t="s">
        <v>46</v>
      </c>
      <c r="C56" s="179">
        <v>0</v>
      </c>
      <c r="D56" s="163">
        <v>0</v>
      </c>
      <c r="E56" s="88"/>
      <c r="F56" s="88"/>
      <c r="G56" s="88"/>
      <c r="H56" s="88"/>
      <c r="I56" s="88"/>
      <c r="K56"/>
      <c r="L56"/>
      <c r="M56"/>
      <c r="N56"/>
    </row>
    <row r="57" spans="1:14" s="1" customFormat="1" ht="15.75">
      <c r="A57" s="197" t="s">
        <v>49</v>
      </c>
      <c r="B57" s="178" t="s">
        <v>11</v>
      </c>
      <c r="C57" s="179">
        <v>0</v>
      </c>
      <c r="D57" s="163">
        <v>0</v>
      </c>
      <c r="E57" s="88"/>
      <c r="F57" s="88"/>
      <c r="G57" s="88"/>
      <c r="H57" s="88"/>
      <c r="I57" s="88"/>
      <c r="K57"/>
      <c r="L57"/>
      <c r="M57"/>
      <c r="N57"/>
    </row>
    <row r="58" spans="1:14" ht="18" customHeight="1" thickBot="1">
      <c r="A58" s="452" t="s">
        <v>233</v>
      </c>
      <c r="B58" s="452"/>
      <c r="C58" s="452"/>
      <c r="D58" s="452"/>
      <c r="E58" s="93"/>
      <c r="F58" s="94"/>
      <c r="G58" s="95"/>
      <c r="H58" s="88"/>
      <c r="I58" s="56"/>
      <c r="J58" s="56"/>
      <c r="K58" s="57"/>
      <c r="L58" s="57"/>
      <c r="M58" s="57"/>
      <c r="N58" s="57"/>
    </row>
    <row r="59" spans="1:14" ht="51">
      <c r="A59" s="58" t="s">
        <v>54</v>
      </c>
      <c r="B59" s="59" t="s">
        <v>55</v>
      </c>
      <c r="C59" s="130" t="s">
        <v>56</v>
      </c>
      <c r="D59" s="131" t="s">
        <v>57</v>
      </c>
      <c r="E59" s="93"/>
      <c r="F59" s="94"/>
      <c r="G59" s="95"/>
      <c r="H59" s="88"/>
      <c r="I59" s="56"/>
      <c r="J59" s="62"/>
      <c r="K59" s="57"/>
      <c r="L59" s="57"/>
      <c r="M59" s="57"/>
      <c r="N59" s="57"/>
    </row>
    <row r="60" spans="1:14" ht="16.5" thickBot="1">
      <c r="A60" s="228" t="s">
        <v>202</v>
      </c>
      <c r="B60" s="229">
        <v>60632.45</v>
      </c>
      <c r="C60" s="345">
        <f>B60*0.998</f>
        <v>60511.185099999995</v>
      </c>
      <c r="D60" s="347">
        <f>B60-C60</f>
        <v>121.26490000000194</v>
      </c>
      <c r="E60" s="93"/>
      <c r="F60" s="96"/>
      <c r="G60" s="97"/>
      <c r="H60" s="88"/>
      <c r="I60" s="56"/>
      <c r="J60" s="56"/>
      <c r="K60" s="57"/>
      <c r="L60" s="57"/>
      <c r="M60" s="57"/>
      <c r="N60" s="57"/>
    </row>
    <row r="61" spans="1:14" ht="76.5">
      <c r="A61" s="106" t="s">
        <v>59</v>
      </c>
      <c r="B61" s="107" t="s">
        <v>60</v>
      </c>
      <c r="C61" s="107" t="s">
        <v>61</v>
      </c>
      <c r="D61" s="132" t="s">
        <v>62</v>
      </c>
      <c r="E61" s="93"/>
      <c r="F61" s="96"/>
      <c r="G61" s="88"/>
      <c r="H61" s="98"/>
      <c r="I61" s="56"/>
      <c r="J61" s="56"/>
      <c r="K61" s="57"/>
      <c r="L61" s="57"/>
      <c r="M61" s="57"/>
      <c r="N61" s="57"/>
    </row>
    <row r="62" spans="1:14" ht="16.5" thickBot="1">
      <c r="A62" s="234" t="s">
        <v>202</v>
      </c>
      <c r="B62" s="257">
        <f>B60</f>
        <v>60632.45</v>
      </c>
      <c r="C62" s="350">
        <f>B62</f>
        <v>60632.45</v>
      </c>
      <c r="D62" s="351">
        <f>B62-C62</f>
        <v>0</v>
      </c>
      <c r="E62" s="93"/>
      <c r="F62" s="96"/>
      <c r="G62" s="88"/>
      <c r="H62" s="98" t="s">
        <v>26</v>
      </c>
      <c r="I62" s="56"/>
      <c r="J62" s="56"/>
      <c r="K62" s="57"/>
      <c r="L62" s="57"/>
      <c r="M62" s="57"/>
      <c r="N62" s="57"/>
    </row>
    <row r="63" spans="1:14" ht="17.25" customHeight="1">
      <c r="A63" s="444" t="s">
        <v>231</v>
      </c>
      <c r="B63" s="444"/>
      <c r="C63" s="444"/>
      <c r="D63" s="444"/>
      <c r="E63" s="99" t="e">
        <f>D63+B19</f>
        <v>#VALUE!</v>
      </c>
      <c r="F63" s="98"/>
      <c r="G63" s="88"/>
      <c r="H63" s="100" t="e">
        <f>E63-B18</f>
        <v>#VALUE!</v>
      </c>
      <c r="I63" s="56"/>
      <c r="J63" s="56"/>
      <c r="K63" s="57"/>
      <c r="L63" s="57"/>
      <c r="M63" s="57"/>
      <c r="N63" s="57"/>
    </row>
    <row r="64" spans="1:8" ht="21" customHeight="1">
      <c r="A64" s="73" t="s">
        <v>45</v>
      </c>
      <c r="B64" s="73" t="s">
        <v>46</v>
      </c>
      <c r="C64" s="73"/>
      <c r="D64" s="149">
        <v>0</v>
      </c>
      <c r="E64" s="101"/>
      <c r="F64" s="88"/>
      <c r="G64" s="88"/>
      <c r="H64" s="88"/>
    </row>
    <row r="65" spans="1:8" ht="21" customHeight="1">
      <c r="A65" s="73" t="s">
        <v>47</v>
      </c>
      <c r="B65" s="73" t="s">
        <v>46</v>
      </c>
      <c r="C65" s="73"/>
      <c r="D65" s="149">
        <v>0</v>
      </c>
      <c r="E65" s="101"/>
      <c r="F65" s="88"/>
      <c r="G65" s="88"/>
      <c r="H65" s="88"/>
    </row>
    <row r="66" spans="1:5" ht="18" customHeight="1">
      <c r="A66" s="73" t="s">
        <v>48</v>
      </c>
      <c r="B66" s="73" t="s">
        <v>46</v>
      </c>
      <c r="C66" s="73"/>
      <c r="D66" s="149">
        <v>0</v>
      </c>
      <c r="E66" s="101"/>
    </row>
    <row r="67" spans="1:5" ht="16.5" customHeight="1">
      <c r="A67" s="73" t="s">
        <v>49</v>
      </c>
      <c r="B67" s="73" t="s">
        <v>11</v>
      </c>
      <c r="C67" s="73"/>
      <c r="D67" s="149">
        <v>0</v>
      </c>
      <c r="E67" s="101"/>
    </row>
    <row r="68" spans="1:5" ht="15.75" customHeight="1">
      <c r="A68" s="440" t="s">
        <v>232</v>
      </c>
      <c r="B68" s="440"/>
      <c r="C68" s="440"/>
      <c r="D68" s="440"/>
      <c r="E68" s="101"/>
    </row>
    <row r="69" spans="1:5" ht="18.75" customHeight="1">
      <c r="A69" s="73" t="s">
        <v>66</v>
      </c>
      <c r="B69" s="73" t="s">
        <v>46</v>
      </c>
      <c r="C69" s="73"/>
      <c r="D69" s="149">
        <v>0</v>
      </c>
      <c r="E69" s="101"/>
    </row>
    <row r="70" spans="1:5" ht="21.75" customHeight="1">
      <c r="A70" s="73" t="s">
        <v>67</v>
      </c>
      <c r="B70" s="221" t="s">
        <v>46</v>
      </c>
      <c r="C70" s="221"/>
      <c r="D70" s="149">
        <v>0</v>
      </c>
      <c r="E70" s="101"/>
    </row>
    <row r="71" spans="1:5" ht="36" customHeight="1">
      <c r="A71" s="222" t="s">
        <v>68</v>
      </c>
      <c r="B71" s="73" t="s">
        <v>11</v>
      </c>
      <c r="C71" s="73"/>
      <c r="D71" s="149">
        <v>0</v>
      </c>
      <c r="E71" s="101"/>
    </row>
    <row r="72" spans="1:5" ht="1.5" customHeight="1">
      <c r="A72" s="223"/>
      <c r="B72" s="223"/>
      <c r="C72" s="223"/>
      <c r="D72" s="224"/>
      <c r="E72" s="88"/>
    </row>
    <row r="73" spans="1:14" s="1" customFormat="1" ht="12.75">
      <c r="A73" s="150"/>
      <c r="B73" s="150"/>
      <c r="C73" s="150"/>
      <c r="D73" s="150"/>
      <c r="H73" s="1" t="s">
        <v>26</v>
      </c>
      <c r="K73"/>
      <c r="L73"/>
      <c r="M73"/>
      <c r="N73"/>
    </row>
    <row r="74" spans="1:14" s="1" customFormat="1" ht="12.75">
      <c r="A74" s="150" t="s">
        <v>69</v>
      </c>
      <c r="B74" s="150"/>
      <c r="C74" s="150" t="s">
        <v>131</v>
      </c>
      <c r="D74" s="150"/>
      <c r="K74"/>
      <c r="L74"/>
      <c r="M74"/>
      <c r="N74"/>
    </row>
    <row r="75" spans="1:14" s="1" customFormat="1" ht="12.75">
      <c r="A75" s="150" t="s">
        <v>70</v>
      </c>
      <c r="B75" s="150"/>
      <c r="C75" s="150"/>
      <c r="D75" s="150"/>
      <c r="H75" s="1" t="s">
        <v>26</v>
      </c>
      <c r="K75"/>
      <c r="L75"/>
      <c r="M75"/>
      <c r="N75"/>
    </row>
    <row r="76" spans="1:14" s="1" customFormat="1" ht="12.75">
      <c r="A76" s="150"/>
      <c r="B76" s="150"/>
      <c r="C76" s="150"/>
      <c r="D76" s="150"/>
      <c r="K76"/>
      <c r="L76"/>
      <c r="M76"/>
      <c r="N76"/>
    </row>
    <row r="77" spans="1:4" ht="12.75">
      <c r="A77" s="150"/>
      <c r="B77" s="150"/>
      <c r="C77" s="150"/>
      <c r="D77" s="150"/>
    </row>
    <row r="80" spans="1:14" s="1" customFormat="1" ht="12.75">
      <c r="A80"/>
      <c r="B80"/>
      <c r="C80"/>
      <c r="D80"/>
      <c r="E80" s="1" t="s">
        <v>26</v>
      </c>
      <c r="K80"/>
      <c r="L80"/>
      <c r="M80"/>
      <c r="N80"/>
    </row>
  </sheetData>
  <sheetProtection selectLockedCells="1" selectUnlockedCells="1"/>
  <mergeCells count="12">
    <mergeCell ref="A68:D68"/>
    <mergeCell ref="A14:D14"/>
    <mergeCell ref="A28:D28"/>
    <mergeCell ref="A53:D53"/>
    <mergeCell ref="A58:D58"/>
    <mergeCell ref="A63:D6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0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109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160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4" ht="12.75">
      <c r="A11" s="20" t="s">
        <v>6</v>
      </c>
      <c r="B11" s="158"/>
      <c r="C11" s="159" t="s">
        <v>252</v>
      </c>
      <c r="D11" s="160"/>
    </row>
    <row r="12" spans="1:4" ht="12.75">
      <c r="A12" s="20" t="s">
        <v>7</v>
      </c>
      <c r="B12" s="158"/>
      <c r="C12" s="159" t="s">
        <v>242</v>
      </c>
      <c r="D12" s="160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313">
        <v>20405.15</v>
      </c>
      <c r="D15" s="163"/>
      <c r="E15" s="50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50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4291.14</v>
      </c>
      <c r="D17" s="165"/>
      <c r="E17" s="50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16713.9</v>
      </c>
      <c r="D18" s="165"/>
      <c r="E18" s="18">
        <f>C18-C20</f>
        <v>12379.5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6633.9</v>
      </c>
      <c r="D19" s="165"/>
      <c r="E19" s="18">
        <f>E18-E38</f>
        <v>0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(3.53+3.35)*6*105</f>
        <v>4334.400000000001</v>
      </c>
      <c r="D20" s="165"/>
      <c r="E20" s="123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105*(4.44+4.68)*6</f>
        <v>5745.6</v>
      </c>
      <c r="D21" s="165"/>
      <c r="E21" s="5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18936.848700000002</v>
      </c>
      <c r="D22" s="165" t="s">
        <v>19</v>
      </c>
      <c r="E22" s="18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C18*1.133</f>
        <v>18936.848700000002</v>
      </c>
      <c r="D23" s="165"/>
      <c r="E23" s="50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39341.998700000004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(1.2+1.13)*6*105</f>
        <v>1467.9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(0.26+0.27)*6*105</f>
        <v>333.90000000000003</v>
      </c>
      <c r="E32" s="88"/>
      <c r="F32" s="88"/>
      <c r="G32" s="88"/>
      <c r="H32" s="88"/>
    </row>
    <row r="33" spans="1:8" ht="15.75">
      <c r="A33" s="252" t="s">
        <v>156</v>
      </c>
      <c r="B33" s="178" t="s">
        <v>33</v>
      </c>
      <c r="C33" s="179" t="s">
        <v>34</v>
      </c>
      <c r="D33" s="180">
        <f>(1.53+1.62)*6*105</f>
        <v>1984.5000000000002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(1.44+1.52)*6*105</f>
        <v>1864.7999999999997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(4.44+4.68)*105*6</f>
        <v>5745.6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184" t="s">
        <v>37</v>
      </c>
      <c r="D36" s="180">
        <f>105*6*(0.8+0.76)</f>
        <v>982.8000000000001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179" t="s">
        <v>34</v>
      </c>
      <c r="D37" s="319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192"/>
      <c r="C38" s="193"/>
      <c r="D38" s="84">
        <f>D31+D32+D33+D34+D35+D36+D37</f>
        <v>12379.5</v>
      </c>
      <c r="E38" s="91">
        <f>D38-D37</f>
        <v>12379.5</v>
      </c>
      <c r="F38" s="88"/>
      <c r="G38" s="88"/>
      <c r="H38" s="88"/>
      <c r="K38"/>
      <c r="L38"/>
      <c r="M38"/>
      <c r="N38"/>
    </row>
    <row r="39" spans="1:14" s="1" customFormat="1" ht="15.75">
      <c r="A39" s="40" t="s">
        <v>43</v>
      </c>
      <c r="B39" s="194" t="s">
        <v>11</v>
      </c>
      <c r="C39" s="195"/>
      <c r="D39" s="196">
        <f>C28-D38</f>
        <v>26962.498700000004</v>
      </c>
      <c r="E39" s="91"/>
      <c r="F39" s="88"/>
      <c r="G39" s="88"/>
      <c r="H39" s="88"/>
      <c r="K39"/>
      <c r="L39"/>
      <c r="M39"/>
      <c r="N39"/>
    </row>
    <row r="40" spans="1:14" s="1" customFormat="1" ht="15.75">
      <c r="A40" s="197" t="s">
        <v>12</v>
      </c>
      <c r="B40" s="198" t="s">
        <v>11</v>
      </c>
      <c r="C40" s="179"/>
      <c r="D40" s="163"/>
      <c r="E40" s="88"/>
      <c r="F40" s="88"/>
      <c r="G40" s="88"/>
      <c r="H40" s="88"/>
      <c r="K40"/>
      <c r="L40"/>
      <c r="M40"/>
      <c r="N40"/>
    </row>
    <row r="41" spans="1:14" s="1" customFormat="1" ht="15.75">
      <c r="A41" s="197" t="s">
        <v>13</v>
      </c>
      <c r="B41" s="198" t="s">
        <v>11</v>
      </c>
      <c r="C41" s="179"/>
      <c r="D41" s="316">
        <v>2003.8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.75">
      <c r="A43" s="197" t="s">
        <v>45</v>
      </c>
      <c r="B43" s="178" t="s">
        <v>46</v>
      </c>
      <c r="C43" s="179">
        <v>0</v>
      </c>
      <c r="D43" s="163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47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9" t="s">
        <v>48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7" t="s">
        <v>49</v>
      </c>
      <c r="B46" s="178" t="s">
        <v>11</v>
      </c>
      <c r="C46" s="179">
        <v>0</v>
      </c>
      <c r="D46" s="163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6.5" thickBot="1">
      <c r="A49" s="228" t="s">
        <v>202</v>
      </c>
      <c r="B49" s="229">
        <v>6811.32</v>
      </c>
      <c r="C49" s="208">
        <f>B49</f>
        <v>6811.32</v>
      </c>
      <c r="D49" s="231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6.5" thickBot="1">
      <c r="A51" s="234" t="s">
        <v>202</v>
      </c>
      <c r="B51" s="257">
        <f>B49</f>
        <v>6811.32</v>
      </c>
      <c r="C51" s="236">
        <f>B51</f>
        <v>6811.32</v>
      </c>
      <c r="D51" s="237"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56"/>
      <c r="J52" s="56"/>
      <c r="K52" s="57"/>
      <c r="L52" s="57"/>
      <c r="M52" s="57"/>
      <c r="N52" s="57"/>
    </row>
    <row r="53" spans="1:8" ht="21" customHeight="1">
      <c r="A53" s="73" t="s">
        <v>45</v>
      </c>
      <c r="B53" s="73" t="s">
        <v>46</v>
      </c>
      <c r="C53" s="73"/>
      <c r="D53" s="149">
        <v>0</v>
      </c>
      <c r="E53" s="101"/>
      <c r="F53" s="88"/>
      <c r="G53" s="88"/>
      <c r="H53" s="88"/>
    </row>
    <row r="54" spans="1:8" ht="21" customHeight="1">
      <c r="A54" s="73" t="s">
        <v>47</v>
      </c>
      <c r="B54" s="73" t="s">
        <v>46</v>
      </c>
      <c r="C54" s="73"/>
      <c r="D54" s="149">
        <v>0</v>
      </c>
      <c r="E54" s="101"/>
      <c r="F54" s="88"/>
      <c r="G54" s="88"/>
      <c r="H54" s="88"/>
    </row>
    <row r="55" spans="1:5" ht="18" customHeight="1">
      <c r="A55" s="73" t="s">
        <v>48</v>
      </c>
      <c r="B55" s="73" t="s">
        <v>46</v>
      </c>
      <c r="C55" s="73"/>
      <c r="D55" s="149">
        <v>0</v>
      </c>
      <c r="E55" s="101"/>
    </row>
    <row r="56" spans="1:5" ht="16.5" customHeight="1">
      <c r="A56" s="73" t="s">
        <v>49</v>
      </c>
      <c r="B56" s="73" t="s">
        <v>11</v>
      </c>
      <c r="C56" s="73"/>
      <c r="D56" s="149">
        <v>0</v>
      </c>
      <c r="E56" s="101"/>
    </row>
    <row r="57" spans="1:5" ht="15.75" customHeight="1">
      <c r="A57" s="440" t="s">
        <v>232</v>
      </c>
      <c r="B57" s="440"/>
      <c r="C57" s="440"/>
      <c r="D57" s="440"/>
      <c r="E57" s="101"/>
    </row>
    <row r="58" spans="1:5" ht="18.75" customHeight="1">
      <c r="A58" s="73" t="s">
        <v>66</v>
      </c>
      <c r="B58" s="73" t="s">
        <v>46</v>
      </c>
      <c r="C58" s="73"/>
      <c r="D58" s="149">
        <v>0</v>
      </c>
      <c r="E58" s="101"/>
    </row>
    <row r="59" spans="1:5" ht="21.75" customHeight="1">
      <c r="A59" s="73" t="s">
        <v>67</v>
      </c>
      <c r="B59" s="221" t="s">
        <v>46</v>
      </c>
      <c r="C59" s="221"/>
      <c r="D59" s="149">
        <v>0</v>
      </c>
      <c r="E59" s="101"/>
    </row>
    <row r="60" spans="1:5" ht="36" customHeight="1">
      <c r="A60" s="222" t="s">
        <v>68</v>
      </c>
      <c r="B60" s="73" t="s">
        <v>11</v>
      </c>
      <c r="C60" s="73"/>
      <c r="D60" s="149">
        <v>0</v>
      </c>
      <c r="E60" s="101"/>
    </row>
    <row r="61" spans="1:5" ht="15.75">
      <c r="A61" s="223"/>
      <c r="B61" s="223"/>
      <c r="C61" s="223"/>
      <c r="D61" s="224"/>
      <c r="E61" s="88"/>
    </row>
    <row r="62" spans="1:14" s="1" customFormat="1" ht="12.75">
      <c r="A62" s="150"/>
      <c r="B62" s="150"/>
      <c r="C62" s="150"/>
      <c r="D62" s="150"/>
      <c r="E62" s="88"/>
      <c r="H62" s="1" t="s">
        <v>26</v>
      </c>
      <c r="K62"/>
      <c r="L62"/>
      <c r="M62"/>
      <c r="N62"/>
    </row>
    <row r="63" spans="1:14" s="1" customFormat="1" ht="12.75">
      <c r="A63" s="150" t="s">
        <v>69</v>
      </c>
      <c r="B63" s="150"/>
      <c r="C63" s="150"/>
      <c r="D63" s="150"/>
      <c r="E63" s="88"/>
      <c r="K63"/>
      <c r="L63"/>
      <c r="M63"/>
      <c r="N63"/>
    </row>
    <row r="64" spans="1:14" s="1" customFormat="1" ht="12.75">
      <c r="A64" s="150"/>
      <c r="B64" s="150"/>
      <c r="C64" s="150"/>
      <c r="D64" s="150"/>
      <c r="E64" s="88"/>
      <c r="H64" s="1" t="s">
        <v>26</v>
      </c>
      <c r="K64"/>
      <c r="L64"/>
      <c r="M64"/>
      <c r="N64"/>
    </row>
    <row r="65" spans="1:14" s="1" customFormat="1" ht="12.75">
      <c r="A65" s="150" t="s">
        <v>70</v>
      </c>
      <c r="B65" s="150"/>
      <c r="C65" s="150"/>
      <c r="D65" s="150"/>
      <c r="E65" s="88"/>
      <c r="K65"/>
      <c r="L65"/>
      <c r="M65"/>
      <c r="N65"/>
    </row>
    <row r="66" spans="1:4" ht="12.75">
      <c r="A66" s="150"/>
      <c r="B66" s="150"/>
      <c r="C66" s="150"/>
      <c r="D66" s="150"/>
    </row>
    <row r="67" spans="1:4" ht="12.75">
      <c r="A67" s="150"/>
      <c r="B67" s="150"/>
      <c r="C67" s="150"/>
      <c r="D67" s="150"/>
    </row>
    <row r="68" spans="1:4" ht="12.75">
      <c r="A68" s="150"/>
      <c r="B68" s="150"/>
      <c r="C68" s="150"/>
      <c r="D68" s="150"/>
    </row>
    <row r="69" spans="1:14" s="1" customFormat="1" ht="12.75">
      <c r="A69" s="150"/>
      <c r="B69" s="150"/>
      <c r="C69" s="150"/>
      <c r="D69" s="150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7">
      <selection activeCell="A43" sqref="A43:D4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226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158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291</v>
      </c>
      <c r="D11" s="10"/>
    </row>
    <row r="12" spans="1:5" ht="12.75">
      <c r="A12" s="8" t="s">
        <v>7</v>
      </c>
      <c r="B12" s="9"/>
      <c r="C12" s="118" t="s">
        <v>242</v>
      </c>
      <c r="D12" s="10"/>
      <c r="E12" s="88"/>
    </row>
    <row r="13" spans="1:5" ht="12.75">
      <c r="A13" s="8" t="s">
        <v>8</v>
      </c>
      <c r="B13" s="9"/>
      <c r="C13" s="118" t="s">
        <v>292</v>
      </c>
      <c r="D13" s="1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5.5">
      <c r="A15" s="11" t="s">
        <v>10</v>
      </c>
      <c r="B15" s="12" t="s">
        <v>11</v>
      </c>
      <c r="C15" s="13">
        <v>54174.27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1908.27</v>
      </c>
      <c r="D17" s="16"/>
      <c r="E17" s="50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14511.78</v>
      </c>
      <c r="D18" s="16"/>
      <c r="E18" s="18">
        <f>C18-C20</f>
        <v>10222.884000000002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5429.412000000002</v>
      </c>
      <c r="D19" s="16"/>
      <c r="E19" s="18">
        <f>E18-E39</f>
        <v>-5.291999999997643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87.6*(3.97+4.19)*6</f>
        <v>4288.896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87.6*6*(4.68+4.44)</f>
        <v>4793.472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13902.28524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C18*0.958</f>
        <v>13902.28524</v>
      </c>
      <c r="D23" s="16"/>
      <c r="E23" s="50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68076.55524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87.6*(2.14+2.03)*6</f>
        <v>2191.752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87.6*6*(0.27+0.26)</f>
        <v>278.568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87.6*6*(0.42+0.39)</f>
        <v>425.73599999999993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87.6*6*(1.52+1.44)</f>
        <v>1555.7759999999996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87.6*6*(4.68+4.44)</f>
        <v>4793.472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(0.96+0.91)*6*87.6</f>
        <v>982.872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147">
        <f>D38</f>
        <v>31514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 t="s">
        <v>293</v>
      </c>
      <c r="B38" s="82" t="s">
        <v>135</v>
      </c>
      <c r="C38" s="421" t="s">
        <v>241</v>
      </c>
      <c r="D38" s="120">
        <v>31514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SUM(D31:D37)</f>
        <v>41742.176</v>
      </c>
      <c r="E39" s="91">
        <f>D39-D37</f>
        <v>10228.176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26334.379240000002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1715.72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53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5682.6</v>
      </c>
      <c r="C50" s="86">
        <f>B50*0.958</f>
        <v>5443.9308</v>
      </c>
      <c r="D50" s="105">
        <f>B50-C50</f>
        <v>238.66920000000027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5682.6</v>
      </c>
      <c r="C52" s="112">
        <f>B52</f>
        <v>5682.6</v>
      </c>
      <c r="D52" s="113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64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101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101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101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101"/>
    </row>
    <row r="58" spans="1:5" ht="15.75" customHeight="1">
      <c r="A58" s="440" t="s">
        <v>65</v>
      </c>
      <c r="B58" s="440"/>
      <c r="C58" s="440"/>
      <c r="D58" s="440"/>
      <c r="E58" s="101"/>
    </row>
    <row r="59" spans="1:5" ht="18.75" customHeight="1">
      <c r="A59" s="72" t="s">
        <v>66</v>
      </c>
      <c r="B59" s="72" t="s">
        <v>46</v>
      </c>
      <c r="C59" s="72"/>
      <c r="D59" s="149">
        <v>0</v>
      </c>
      <c r="E59" s="101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101"/>
    </row>
    <row r="61" spans="1:5" ht="36" customHeight="1">
      <c r="A61" s="76" t="s">
        <v>68</v>
      </c>
      <c r="B61" s="72" t="s">
        <v>11</v>
      </c>
      <c r="C61" s="72"/>
      <c r="D61" s="149">
        <v>0</v>
      </c>
      <c r="E61" s="101"/>
    </row>
    <row r="62" spans="1:5" ht="15">
      <c r="A62" s="57"/>
      <c r="B62" s="57"/>
      <c r="C62" s="57"/>
      <c r="D62" s="77"/>
      <c r="E62" s="88"/>
    </row>
    <row r="63" spans="1:14" s="1" customFormat="1" ht="12.75">
      <c r="A63"/>
      <c r="B63"/>
      <c r="C63"/>
      <c r="D63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K64"/>
      <c r="L64"/>
      <c r="M64"/>
      <c r="N64"/>
    </row>
    <row r="65" spans="1:14" s="1" customFormat="1" ht="12.75">
      <c r="A65"/>
      <c r="B65"/>
      <c r="C65"/>
      <c r="D65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K66"/>
      <c r="L66"/>
      <c r="M66"/>
      <c r="N66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7:D7"/>
    <mergeCell ref="A14:D14"/>
    <mergeCell ref="A29:D29"/>
    <mergeCell ref="A43:D43"/>
    <mergeCell ref="A48:D48"/>
    <mergeCell ref="A53:D53"/>
    <mergeCell ref="A58:D58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6">
      <selection activeCell="D61" sqref="D6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110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223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5" ht="12.75">
      <c r="A12" s="8" t="s">
        <v>7</v>
      </c>
      <c r="B12" s="9"/>
      <c r="C12" s="118" t="s">
        <v>242</v>
      </c>
      <c r="D12" s="10"/>
      <c r="E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101929.16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3286.2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20710.92</v>
      </c>
      <c r="D18" s="16"/>
      <c r="E18" s="18">
        <f>C18-C20</f>
        <v>14957.442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7739.873999999998</v>
      </c>
      <c r="D19" s="16"/>
      <c r="E19" s="18">
        <f>E18-E39</f>
        <v>-0.01800000000730506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(3.73+3.54)*6*131.9</f>
        <v>5753.478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131.9*(4.44+4.68)*6</f>
        <v>7217.568000000001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19613.241239999996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C18*0.947</f>
        <v>19613.241239999996</v>
      </c>
      <c r="D23" s="16"/>
      <c r="E23" s="50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23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121542.40124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(2.14+2.03)*6*131.9</f>
        <v>3300.138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(0.26+0.27)*6*131.9</f>
        <v>419.44200000000006</v>
      </c>
      <c r="E32" s="88"/>
      <c r="F32" s="88"/>
      <c r="G32" s="88"/>
      <c r="H32" s="88"/>
    </row>
    <row r="33" spans="1:8" ht="15">
      <c r="A33" s="127" t="s">
        <v>161</v>
      </c>
      <c r="B33" s="30" t="s">
        <v>33</v>
      </c>
      <c r="C33" s="31" t="s">
        <v>34</v>
      </c>
      <c r="D33" s="80">
        <f>0.39*6*131.9</f>
        <v>308.646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(1.44+1.52)*6*131.9</f>
        <v>2342.544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(4.44+4.68)*131.9*6</f>
        <v>7217.568000000001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131.9*(0.9+0.83)*6</f>
        <v>1369.122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36">
        <f>D38</f>
        <v>60856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 t="s">
        <v>294</v>
      </c>
      <c r="B38" s="82" t="s">
        <v>141</v>
      </c>
      <c r="C38" s="421" t="s">
        <v>241</v>
      </c>
      <c r="D38" s="120">
        <v>60856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D31+D32+D33+D34+D35+D36+D37</f>
        <v>75813.46</v>
      </c>
      <c r="E39" s="91">
        <f>D39-D37</f>
        <v>14957.460000000006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45728.94124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3115.81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8556.12</v>
      </c>
      <c r="C50" s="104">
        <f>B50*0.947</f>
        <v>8102.645640000001</v>
      </c>
      <c r="D50" s="105">
        <f>B50-C50</f>
        <v>453.47436000000016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8556.12</v>
      </c>
      <c r="C52" s="112">
        <f>B52</f>
        <v>8556.12</v>
      </c>
      <c r="D52" s="113">
        <f>B52-C52</f>
        <v>0</v>
      </c>
      <c r="E52" s="93"/>
      <c r="F52" s="96"/>
      <c r="G52" s="88"/>
      <c r="H52" s="98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98"/>
      <c r="G53" s="88"/>
      <c r="H53" s="100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75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75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75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75"/>
    </row>
    <row r="58" spans="1:5" ht="15.75" customHeight="1">
      <c r="A58" s="440" t="s">
        <v>232</v>
      </c>
      <c r="B58" s="440"/>
      <c r="C58" s="440"/>
      <c r="D58" s="440"/>
      <c r="E58" s="75"/>
    </row>
    <row r="59" spans="1:5" ht="18.75" customHeight="1">
      <c r="A59" s="72" t="s">
        <v>66</v>
      </c>
      <c r="B59" s="72" t="s">
        <v>46</v>
      </c>
      <c r="C59" s="72"/>
      <c r="D59" s="149">
        <v>0</v>
      </c>
      <c r="E59" s="75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75"/>
    </row>
    <row r="61" spans="1:5" ht="36" customHeight="1">
      <c r="A61" s="76" t="s">
        <v>68</v>
      </c>
      <c r="B61" s="72" t="s">
        <v>11</v>
      </c>
      <c r="C61" s="72"/>
      <c r="D61" s="149">
        <v>0</v>
      </c>
      <c r="E61" s="75"/>
    </row>
    <row r="62" spans="1:4" ht="15">
      <c r="A62" s="57"/>
      <c r="B62" s="57"/>
      <c r="C62" s="57"/>
      <c r="D62" s="77"/>
    </row>
    <row r="63" spans="1:14" s="1" customFormat="1" ht="12.75">
      <c r="A63"/>
      <c r="B63"/>
      <c r="C63"/>
      <c r="D63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K64"/>
      <c r="L64"/>
      <c r="M64"/>
      <c r="N64"/>
    </row>
    <row r="65" spans="1:14" s="1" customFormat="1" ht="12.75">
      <c r="A65"/>
      <c r="B65"/>
      <c r="C65"/>
      <c r="D65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K66"/>
      <c r="L66"/>
      <c r="M66"/>
      <c r="N66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31">
      <selection activeCell="A65" sqref="A65:D65"/>
    </sheetView>
  </sheetViews>
  <sheetFormatPr defaultColWidth="11.57421875" defaultRowHeight="12.75"/>
  <cols>
    <col min="1" max="1" width="52.00390625" style="0" customWidth="1"/>
    <col min="2" max="2" width="18.7109375" style="0" customWidth="1"/>
    <col min="3" max="3" width="26.00390625" style="0" customWidth="1"/>
    <col min="4" max="4" width="16.71093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71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11.25" customHeight="1">
      <c r="A6" s="2"/>
    </row>
    <row r="7" spans="1:5" ht="30" customHeight="1">
      <c r="A7" s="450" t="s">
        <v>2</v>
      </c>
      <c r="B7" s="450"/>
      <c r="C7" s="450"/>
      <c r="D7" s="450"/>
      <c r="E7" s="88"/>
    </row>
    <row r="8" spans="1:5" ht="19.5" customHeight="1">
      <c r="A8" s="225" t="s">
        <v>139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5" ht="12.75">
      <c r="A10" s="156">
        <v>1</v>
      </c>
      <c r="B10" s="156">
        <v>2</v>
      </c>
      <c r="C10" s="156">
        <v>3</v>
      </c>
      <c r="D10" s="157">
        <v>4</v>
      </c>
      <c r="E10" s="88"/>
    </row>
    <row r="11" spans="1:5" ht="12.75">
      <c r="A11" s="20" t="s">
        <v>6</v>
      </c>
      <c r="B11" s="158"/>
      <c r="C11" s="159" t="s">
        <v>252</v>
      </c>
      <c r="D11" s="160"/>
      <c r="E11" s="88"/>
    </row>
    <row r="12" spans="1:5" ht="12.75">
      <c r="A12" s="20" t="s">
        <v>7</v>
      </c>
      <c r="B12" s="158"/>
      <c r="C12" s="159" t="s">
        <v>242</v>
      </c>
      <c r="D12" s="160"/>
      <c r="E12" s="88"/>
    </row>
    <row r="13" spans="1:5" ht="12.75">
      <c r="A13" s="20" t="s">
        <v>8</v>
      </c>
      <c r="B13" s="158"/>
      <c r="C13" s="159" t="s">
        <v>243</v>
      </c>
      <c r="D13" s="16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39">
      <c r="A15" s="17" t="s">
        <v>10</v>
      </c>
      <c r="B15" s="161" t="s">
        <v>11</v>
      </c>
      <c r="C15" s="164">
        <v>11966.27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48928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128257.56</v>
      </c>
      <c r="D18" s="165"/>
      <c r="E18" s="436">
        <f>C18-C20</f>
        <v>97751.448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64312.056</v>
      </c>
      <c r="D19" s="165"/>
      <c r="E19" s="437">
        <f>E18-E46</f>
        <v>-0.10799999997834675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(4.27+4.05)*6*611.1</f>
        <v>30506.112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611.1*(4.44+4.68)*6</f>
        <v>33439.39200000001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</f>
        <v>135898.49555999998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C18*1.051</f>
        <v>134798.69556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/>
      <c r="F24" s="88"/>
      <c r="G24" s="88"/>
      <c r="H24" s="88" t="s">
        <v>22</v>
      </c>
    </row>
    <row r="25" spans="1:8" ht="26.25">
      <c r="A25" s="354" t="s">
        <v>218</v>
      </c>
      <c r="B25" s="161" t="s">
        <v>11</v>
      </c>
      <c r="C25" s="164">
        <v>0</v>
      </c>
      <c r="D25" s="167">
        <v>119.63</v>
      </c>
      <c r="E25" s="90"/>
      <c r="F25" s="88"/>
      <c r="G25" s="88"/>
      <c r="H25" s="88"/>
    </row>
    <row r="26" spans="1:8" ht="15.75">
      <c r="A26" s="158" t="s">
        <v>249</v>
      </c>
      <c r="B26" s="161" t="s">
        <v>11</v>
      </c>
      <c r="C26" s="164">
        <v>1099.8</v>
      </c>
      <c r="D26" s="167"/>
      <c r="E26" s="90"/>
      <c r="F26" s="88"/>
      <c r="G26" s="88"/>
      <c r="H26" s="88"/>
    </row>
    <row r="27" spans="1:8" ht="15.75">
      <c r="A27" s="20" t="s">
        <v>25</v>
      </c>
      <c r="B27" s="161" t="s">
        <v>11</v>
      </c>
      <c r="C27" s="164">
        <f>C15+C22</f>
        <v>147864.76555999997</v>
      </c>
      <c r="D27" s="165" t="s">
        <v>26</v>
      </c>
      <c r="E27" s="90"/>
      <c r="F27" s="88"/>
      <c r="G27" s="88"/>
      <c r="H27" s="88"/>
    </row>
    <row r="28" spans="1:8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</row>
    <row r="29" spans="1:8" ht="51">
      <c r="A29" s="238" t="s">
        <v>28</v>
      </c>
      <c r="B29" s="239" t="s">
        <v>29</v>
      </c>
      <c r="C29" s="171" t="s">
        <v>30</v>
      </c>
      <c r="D29" s="240" t="s">
        <v>31</v>
      </c>
      <c r="E29" s="88"/>
      <c r="F29" s="88"/>
      <c r="G29" s="88"/>
      <c r="H29" s="88"/>
    </row>
    <row r="30" spans="1:8" ht="15.75">
      <c r="A30" s="173" t="s">
        <v>32</v>
      </c>
      <c r="B30" s="174" t="s">
        <v>33</v>
      </c>
      <c r="C30" s="175" t="s">
        <v>34</v>
      </c>
      <c r="D30" s="176">
        <f>(0.64+0.67)*6*611.1</f>
        <v>4803.246</v>
      </c>
      <c r="E30" s="88"/>
      <c r="F30" s="88"/>
      <c r="G30" s="88"/>
      <c r="H30" s="88"/>
    </row>
    <row r="31" spans="1:8" ht="15.75">
      <c r="A31" s="177" t="s">
        <v>72</v>
      </c>
      <c r="B31" s="178" t="s">
        <v>73</v>
      </c>
      <c r="C31" s="179" t="s">
        <v>34</v>
      </c>
      <c r="D31" s="181">
        <f>(2.59+2.75)*6*611.1</f>
        <v>19579.644</v>
      </c>
      <c r="E31" s="88"/>
      <c r="F31" s="88"/>
      <c r="G31" s="88"/>
      <c r="H31" s="88"/>
    </row>
    <row r="32" spans="1:8" ht="15.75">
      <c r="A32" s="177" t="s">
        <v>203</v>
      </c>
      <c r="B32" s="178" t="s">
        <v>204</v>
      </c>
      <c r="C32" s="179" t="s">
        <v>221</v>
      </c>
      <c r="D32" s="181">
        <f>611.1*(0.19+0.2)*6</f>
        <v>1429.9740000000002</v>
      </c>
      <c r="E32" s="88"/>
      <c r="F32" s="88"/>
      <c r="G32" s="88"/>
      <c r="H32" s="88"/>
    </row>
    <row r="33" spans="1:8" ht="15.75">
      <c r="A33" s="177" t="s">
        <v>36</v>
      </c>
      <c r="B33" s="178" t="s">
        <v>75</v>
      </c>
      <c r="C33" s="179" t="s">
        <v>37</v>
      </c>
      <c r="D33" s="180">
        <f>(0.52+0.55)*6*611.1</f>
        <v>3923.262</v>
      </c>
      <c r="E33" s="144"/>
      <c r="F33" s="88"/>
      <c r="G33" s="88"/>
      <c r="H33" s="88"/>
    </row>
    <row r="34" spans="1:8" ht="15.75">
      <c r="A34" s="177" t="s">
        <v>76</v>
      </c>
      <c r="B34" s="182" t="s">
        <v>33</v>
      </c>
      <c r="C34" s="179" t="s">
        <v>34</v>
      </c>
      <c r="D34" s="180">
        <f>(0.81+0.85)*6*611.1</f>
        <v>6086.5560000000005</v>
      </c>
      <c r="E34" s="144"/>
      <c r="F34" s="88"/>
      <c r="G34" s="88"/>
      <c r="H34" s="88"/>
    </row>
    <row r="35" spans="1:8" ht="15.75">
      <c r="A35" s="177" t="s">
        <v>77</v>
      </c>
      <c r="B35" s="178" t="s">
        <v>33</v>
      </c>
      <c r="C35" s="179" t="s">
        <v>34</v>
      </c>
      <c r="D35" s="181">
        <f>(1.61+1.7)*6*611.1</f>
        <v>12136.446</v>
      </c>
      <c r="E35" s="88"/>
      <c r="F35" s="88"/>
      <c r="G35" s="88"/>
      <c r="H35" s="88"/>
    </row>
    <row r="36" spans="1:8" ht="15.75">
      <c r="A36" s="177" t="s">
        <v>78</v>
      </c>
      <c r="B36" s="183" t="s">
        <v>79</v>
      </c>
      <c r="C36" s="179" t="s">
        <v>34</v>
      </c>
      <c r="D36" s="180">
        <f>(1.44+1.52)*6*611.1</f>
        <v>10853.135999999999</v>
      </c>
      <c r="E36" s="88"/>
      <c r="F36" s="88"/>
      <c r="G36" s="88"/>
      <c r="H36" s="88"/>
    </row>
    <row r="37" spans="1:8" ht="15.75">
      <c r="A37" s="177" t="s">
        <v>38</v>
      </c>
      <c r="B37" s="178" t="s">
        <v>35</v>
      </c>
      <c r="C37" s="304" t="s">
        <v>194</v>
      </c>
      <c r="D37" s="180">
        <f>(4.44+4.68)*611.1*6</f>
        <v>33439.39200000001</v>
      </c>
      <c r="E37" s="88"/>
      <c r="F37" s="88"/>
      <c r="G37" s="88"/>
      <c r="H37" s="88"/>
    </row>
    <row r="38" spans="1:8" ht="15.75">
      <c r="A38" s="177" t="s">
        <v>200</v>
      </c>
      <c r="B38" s="178" t="s">
        <v>195</v>
      </c>
      <c r="C38" s="304" t="s">
        <v>37</v>
      </c>
      <c r="D38" s="180">
        <f>611.1*(0.77+0.73)*6</f>
        <v>5499.900000000001</v>
      </c>
      <c r="E38" s="88"/>
      <c r="F38" s="88"/>
      <c r="G38" s="88"/>
      <c r="H38" s="88"/>
    </row>
    <row r="39" spans="1:8" ht="15.75">
      <c r="A39" s="177" t="s">
        <v>184</v>
      </c>
      <c r="B39" s="178"/>
      <c r="C39" s="241"/>
      <c r="D39" s="180"/>
      <c r="E39" s="88"/>
      <c r="F39" s="88"/>
      <c r="G39" s="88"/>
      <c r="H39" s="88"/>
    </row>
    <row r="40" spans="1:8" ht="31.5">
      <c r="A40" s="177" t="s">
        <v>186</v>
      </c>
      <c r="B40" s="178" t="s">
        <v>35</v>
      </c>
      <c r="C40" s="241" t="s">
        <v>185</v>
      </c>
      <c r="D40" s="180">
        <v>1099.8</v>
      </c>
      <c r="E40" s="411">
        <v>990.12</v>
      </c>
      <c r="F40" s="88"/>
      <c r="G40" s="88"/>
      <c r="H40" s="88"/>
    </row>
    <row r="41" spans="1:8" ht="78.75">
      <c r="A41" s="227" t="s">
        <v>177</v>
      </c>
      <c r="B41" s="185" t="s">
        <v>41</v>
      </c>
      <c r="C41" s="191"/>
      <c r="D41" s="319">
        <f>D42+D43+D44+D45</f>
        <v>71021.46</v>
      </c>
      <c r="E41" s="88"/>
      <c r="F41" s="88"/>
      <c r="G41" s="88"/>
      <c r="H41" s="88"/>
    </row>
    <row r="42" spans="1:8" ht="15.75">
      <c r="A42" s="412" t="s">
        <v>136</v>
      </c>
      <c r="B42" s="187" t="s">
        <v>143</v>
      </c>
      <c r="C42" s="179" t="s">
        <v>34</v>
      </c>
      <c r="D42" s="148">
        <v>48166.12</v>
      </c>
      <c r="E42" s="88"/>
      <c r="F42" s="88"/>
      <c r="G42" s="88"/>
      <c r="H42" s="88"/>
    </row>
    <row r="43" spans="1:8" ht="15.75">
      <c r="A43" s="412" t="s">
        <v>255</v>
      </c>
      <c r="B43" s="187" t="s">
        <v>143</v>
      </c>
      <c r="C43" s="179" t="s">
        <v>256</v>
      </c>
      <c r="D43" s="148">
        <v>13600</v>
      </c>
      <c r="E43" s="88"/>
      <c r="F43" s="88"/>
      <c r="G43" s="88"/>
      <c r="H43" s="88"/>
    </row>
    <row r="44" spans="1:8" ht="15.75">
      <c r="A44" s="412" t="s">
        <v>257</v>
      </c>
      <c r="B44" s="187" t="s">
        <v>143</v>
      </c>
      <c r="C44" s="179" t="s">
        <v>34</v>
      </c>
      <c r="D44" s="148">
        <v>2825.34</v>
      </c>
      <c r="E44" s="88"/>
      <c r="F44" s="88"/>
      <c r="G44" s="88"/>
      <c r="H44" s="88"/>
    </row>
    <row r="45" spans="1:8" ht="15.75">
      <c r="A45" s="413" t="s">
        <v>136</v>
      </c>
      <c r="B45" s="187" t="s">
        <v>137</v>
      </c>
      <c r="C45" s="179" t="s">
        <v>241</v>
      </c>
      <c r="D45" s="148">
        <v>6430</v>
      </c>
      <c r="E45" s="88"/>
      <c r="F45" s="88"/>
      <c r="G45" s="88"/>
      <c r="H45" s="88"/>
    </row>
    <row r="46" spans="1:8" ht="15.75">
      <c r="A46" s="37" t="s">
        <v>42</v>
      </c>
      <c r="B46" s="192"/>
      <c r="C46" s="193"/>
      <c r="D46" s="84">
        <f>D30+D31+D32+D33+D34+D35+D36+D37+D38+D40+D41</f>
        <v>169872.816</v>
      </c>
      <c r="E46" s="91">
        <f>D46-D41-D40</f>
        <v>97751.55599999998</v>
      </c>
      <c r="F46" s="88"/>
      <c r="G46" s="88"/>
      <c r="H46" s="88"/>
    </row>
    <row r="47" spans="1:8" ht="15.75">
      <c r="A47" s="40" t="s">
        <v>43</v>
      </c>
      <c r="B47" s="194" t="s">
        <v>11</v>
      </c>
      <c r="C47" s="195"/>
      <c r="D47" s="196">
        <f>C27-D46</f>
        <v>-22008.05044000002</v>
      </c>
      <c r="E47" s="91"/>
      <c r="F47" s="88"/>
      <c r="G47" s="88"/>
      <c r="H47" s="88"/>
    </row>
    <row r="48" spans="1:8" ht="15.75">
      <c r="A48" s="197" t="s">
        <v>12</v>
      </c>
      <c r="B48" s="198" t="s">
        <v>11</v>
      </c>
      <c r="C48" s="179"/>
      <c r="D48" s="163">
        <v>0</v>
      </c>
      <c r="E48" s="88"/>
      <c r="F48" s="88"/>
      <c r="G48" s="88"/>
      <c r="H48" s="88"/>
    </row>
    <row r="49" spans="1:8" ht="15.75">
      <c r="A49" s="197" t="s">
        <v>13</v>
      </c>
      <c r="B49" s="198" t="s">
        <v>11</v>
      </c>
      <c r="C49" s="179"/>
      <c r="D49" s="165">
        <v>34445</v>
      </c>
      <c r="E49" s="88"/>
      <c r="F49" s="88"/>
      <c r="G49" s="88"/>
      <c r="H49" s="88"/>
    </row>
    <row r="50" spans="1:8" ht="24" customHeight="1">
      <c r="A50" s="443" t="s">
        <v>44</v>
      </c>
      <c r="B50" s="443"/>
      <c r="C50" s="443"/>
      <c r="D50" s="443"/>
      <c r="E50" s="88"/>
      <c r="F50" s="88"/>
      <c r="G50" s="88"/>
      <c r="H50" s="88"/>
    </row>
    <row r="51" spans="1:8" ht="15.75">
      <c r="A51" s="197" t="s">
        <v>45</v>
      </c>
      <c r="B51" s="178" t="s">
        <v>46</v>
      </c>
      <c r="C51" s="179"/>
      <c r="D51" s="163">
        <v>0</v>
      </c>
      <c r="E51" s="88"/>
      <c r="F51" s="88"/>
      <c r="G51" s="88"/>
      <c r="H51" s="88"/>
    </row>
    <row r="52" spans="1:8" ht="15.75">
      <c r="A52" s="197" t="s">
        <v>47</v>
      </c>
      <c r="B52" s="178" t="s">
        <v>46</v>
      </c>
      <c r="C52" s="179"/>
      <c r="D52" s="163">
        <v>0</v>
      </c>
      <c r="E52" s="88"/>
      <c r="F52" s="88"/>
      <c r="G52" s="88"/>
      <c r="H52" s="88"/>
    </row>
    <row r="53" spans="1:8" ht="26.25">
      <c r="A53" s="199" t="s">
        <v>48</v>
      </c>
      <c r="B53" s="178" t="s">
        <v>46</v>
      </c>
      <c r="C53" s="179"/>
      <c r="D53" s="163">
        <v>0</v>
      </c>
      <c r="E53" s="88"/>
      <c r="F53" s="88"/>
      <c r="G53" s="88"/>
      <c r="H53" s="88"/>
    </row>
    <row r="54" spans="1:8" ht="15.75">
      <c r="A54" s="197" t="s">
        <v>49</v>
      </c>
      <c r="B54" s="178" t="s">
        <v>11</v>
      </c>
      <c r="C54" s="179"/>
      <c r="D54" s="163">
        <v>0</v>
      </c>
      <c r="E54" s="88"/>
      <c r="F54" s="88"/>
      <c r="G54" s="88"/>
      <c r="H54" s="88"/>
    </row>
    <row r="55" spans="1:14" ht="18" customHeight="1" thickBot="1">
      <c r="A55" s="452" t="s">
        <v>230</v>
      </c>
      <c r="B55" s="452"/>
      <c r="C55" s="452"/>
      <c r="D55" s="452"/>
      <c r="E55" s="93"/>
      <c r="F55" s="94"/>
      <c r="G55" s="95"/>
      <c r="H55" s="88"/>
      <c r="I55" s="56"/>
      <c r="J55" s="56"/>
      <c r="K55" s="57"/>
      <c r="L55" s="57"/>
      <c r="M55" s="57"/>
      <c r="N55" s="57"/>
    </row>
    <row r="56" spans="1:14" ht="41.25" customHeight="1">
      <c r="A56" s="58" t="s">
        <v>54</v>
      </c>
      <c r="B56" s="59" t="s">
        <v>55</v>
      </c>
      <c r="C56" s="130" t="s">
        <v>56</v>
      </c>
      <c r="D56" s="131" t="s">
        <v>57</v>
      </c>
      <c r="E56" s="93"/>
      <c r="F56" s="94"/>
      <c r="G56" s="95"/>
      <c r="H56" s="88"/>
      <c r="I56" s="56"/>
      <c r="J56" s="62"/>
      <c r="K56" s="57"/>
      <c r="L56" s="57"/>
      <c r="M56" s="57"/>
      <c r="N56" s="57"/>
    </row>
    <row r="57" spans="1:14" ht="15.75">
      <c r="A57" s="210" t="s">
        <v>202</v>
      </c>
      <c r="B57" s="243">
        <v>39539.84</v>
      </c>
      <c r="C57" s="355">
        <f>B57</f>
        <v>39539.84</v>
      </c>
      <c r="D57" s="357">
        <f>B57-C57</f>
        <v>0</v>
      </c>
      <c r="E57" s="93"/>
      <c r="F57" s="63"/>
      <c r="G57" s="64"/>
      <c r="I57" s="56"/>
      <c r="J57" s="56"/>
      <c r="K57" s="57"/>
      <c r="L57" s="57"/>
      <c r="M57" s="57"/>
      <c r="N57" s="57"/>
    </row>
    <row r="58" spans="1:14" ht="63.75">
      <c r="A58" s="65" t="s">
        <v>59</v>
      </c>
      <c r="B58" s="59" t="s">
        <v>60</v>
      </c>
      <c r="C58" s="130" t="s">
        <v>61</v>
      </c>
      <c r="D58" s="131" t="s">
        <v>62</v>
      </c>
      <c r="E58" s="93"/>
      <c r="F58" s="63"/>
      <c r="H58" s="56"/>
      <c r="I58" s="56"/>
      <c r="J58" s="56"/>
      <c r="K58" s="57"/>
      <c r="L58" s="57"/>
      <c r="M58" s="57"/>
      <c r="N58" s="57"/>
    </row>
    <row r="59" spans="1:14" ht="16.5" thickBot="1">
      <c r="A59" s="213" t="s">
        <v>202</v>
      </c>
      <c r="B59" s="407">
        <f>B57</f>
        <v>39539.84</v>
      </c>
      <c r="C59" s="408">
        <f>B59</f>
        <v>39539.84</v>
      </c>
      <c r="D59" s="409">
        <f>B59-C59</f>
        <v>0</v>
      </c>
      <c r="E59" s="93"/>
      <c r="F59" s="63"/>
      <c r="H59" s="56" t="s">
        <v>26</v>
      </c>
      <c r="I59" s="56"/>
      <c r="J59" s="56"/>
      <c r="K59" s="57"/>
      <c r="L59" s="57"/>
      <c r="M59" s="57"/>
      <c r="N59" s="57"/>
    </row>
    <row r="60" spans="1:14" ht="17.25" customHeight="1">
      <c r="A60" s="444" t="s">
        <v>231</v>
      </c>
      <c r="B60" s="444"/>
      <c r="C60" s="444"/>
      <c r="D60" s="444"/>
      <c r="E60" s="99" t="s">
        <v>80</v>
      </c>
      <c r="F60" s="56"/>
      <c r="H60" s="71" t="e">
        <f>E60-B18</f>
        <v>#VALUE!</v>
      </c>
      <c r="I60" s="56"/>
      <c r="J60" s="56"/>
      <c r="K60" s="57"/>
      <c r="L60" s="57"/>
      <c r="M60" s="57"/>
      <c r="N60" s="57"/>
    </row>
    <row r="61" spans="1:5" ht="21" customHeight="1">
      <c r="A61" s="73" t="s">
        <v>45</v>
      </c>
      <c r="B61" s="73" t="s">
        <v>46</v>
      </c>
      <c r="C61" s="73">
        <v>0</v>
      </c>
      <c r="D61" s="149">
        <v>0</v>
      </c>
      <c r="E61" s="101"/>
    </row>
    <row r="62" spans="1:5" ht="21" customHeight="1">
      <c r="A62" s="73" t="s">
        <v>47</v>
      </c>
      <c r="B62" s="73" t="s">
        <v>46</v>
      </c>
      <c r="C62" s="73">
        <v>0</v>
      </c>
      <c r="D62" s="149">
        <v>0</v>
      </c>
      <c r="E62" s="101"/>
    </row>
    <row r="63" spans="1:5" ht="18" customHeight="1">
      <c r="A63" s="73" t="s">
        <v>48</v>
      </c>
      <c r="B63" s="73" t="s">
        <v>46</v>
      </c>
      <c r="C63" s="73">
        <v>0</v>
      </c>
      <c r="D63" s="149">
        <v>0</v>
      </c>
      <c r="E63" s="101"/>
    </row>
    <row r="64" spans="1:5" ht="16.5" customHeight="1">
      <c r="A64" s="73" t="s">
        <v>49</v>
      </c>
      <c r="B64" s="73" t="s">
        <v>11</v>
      </c>
      <c r="C64" s="73">
        <v>0</v>
      </c>
      <c r="D64" s="149">
        <v>0</v>
      </c>
      <c r="E64" s="101"/>
    </row>
    <row r="65" spans="1:5" ht="15.75" customHeight="1">
      <c r="A65" s="440" t="s">
        <v>232</v>
      </c>
      <c r="B65" s="440"/>
      <c r="C65" s="440"/>
      <c r="D65" s="440"/>
      <c r="E65" s="101"/>
    </row>
    <row r="66" spans="1:5" ht="18.75" customHeight="1">
      <c r="A66" s="73" t="s">
        <v>66</v>
      </c>
      <c r="B66" s="73" t="s">
        <v>46</v>
      </c>
      <c r="C66" s="73"/>
      <c r="D66" s="149">
        <v>0</v>
      </c>
      <c r="E66" s="101"/>
    </row>
    <row r="67" spans="1:5" ht="21.75" customHeight="1">
      <c r="A67" s="73" t="s">
        <v>67</v>
      </c>
      <c r="B67" s="221" t="s">
        <v>46</v>
      </c>
      <c r="C67" s="221"/>
      <c r="D67" s="149">
        <v>0</v>
      </c>
      <c r="E67" s="101"/>
    </row>
    <row r="68" spans="1:5" ht="36" customHeight="1">
      <c r="A68" s="222" t="s">
        <v>68</v>
      </c>
      <c r="B68" s="73" t="s">
        <v>11</v>
      </c>
      <c r="C68" s="73"/>
      <c r="D68" s="149">
        <v>0</v>
      </c>
      <c r="E68" s="101"/>
    </row>
    <row r="69" spans="1:5" ht="15.75">
      <c r="A69" s="223"/>
      <c r="B69" s="223"/>
      <c r="C69" s="223"/>
      <c r="D69" s="224"/>
      <c r="E69" s="88"/>
    </row>
    <row r="70" spans="1:14" s="1" customFormat="1" ht="12.75">
      <c r="A70" s="150"/>
      <c r="B70" s="150"/>
      <c r="C70" s="150"/>
      <c r="D70" s="150"/>
      <c r="E70" s="88"/>
      <c r="H70" s="1" t="s">
        <v>26</v>
      </c>
      <c r="K70"/>
      <c r="L70"/>
      <c r="M70"/>
      <c r="N70"/>
    </row>
    <row r="71" spans="1:14" s="1" customFormat="1" ht="12.75">
      <c r="A71" s="150" t="s">
        <v>69</v>
      </c>
      <c r="B71" s="150"/>
      <c r="C71" s="150" t="s">
        <v>131</v>
      </c>
      <c r="D71" s="150"/>
      <c r="E71" s="88"/>
      <c r="K71"/>
      <c r="L71"/>
      <c r="M71"/>
      <c r="N71"/>
    </row>
    <row r="72" spans="1:14" s="1" customFormat="1" ht="12.75">
      <c r="A72" s="150"/>
      <c r="B72" s="150"/>
      <c r="C72" s="150"/>
      <c r="D72" s="150"/>
      <c r="E72" s="88"/>
      <c r="H72" s="1" t="s">
        <v>26</v>
      </c>
      <c r="K72"/>
      <c r="L72"/>
      <c r="M72"/>
      <c r="N72"/>
    </row>
    <row r="73" spans="1:14" s="1" customFormat="1" ht="12.75">
      <c r="A73" s="150" t="s">
        <v>70</v>
      </c>
      <c r="B73" s="150"/>
      <c r="C73" s="150"/>
      <c r="D73" s="150"/>
      <c r="E73" s="88"/>
      <c r="K73"/>
      <c r="L73"/>
      <c r="M73"/>
      <c r="N73"/>
    </row>
    <row r="77" spans="1:14" s="1" customFormat="1" ht="12.75">
      <c r="A77"/>
      <c r="B77"/>
      <c r="C77"/>
      <c r="D77"/>
      <c r="E77" s="1" t="s">
        <v>26</v>
      </c>
      <c r="K77"/>
      <c r="L77"/>
      <c r="M77"/>
      <c r="N77"/>
    </row>
  </sheetData>
  <sheetProtection selectLockedCells="1" selectUnlockedCells="1"/>
  <mergeCells count="12">
    <mergeCell ref="A65:D65"/>
    <mergeCell ref="A14:D14"/>
    <mergeCell ref="A28:D28"/>
    <mergeCell ref="A50:D50"/>
    <mergeCell ref="A55:D55"/>
    <mergeCell ref="A60:D6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31">
      <selection activeCell="D60" sqref="D6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111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5" ht="12.75">
      <c r="A8" s="2" t="s">
        <v>162</v>
      </c>
      <c r="C8" s="3"/>
      <c r="E8" s="88"/>
    </row>
    <row r="9" spans="1:5" ht="12.75">
      <c r="A9" s="4" t="s">
        <v>3</v>
      </c>
      <c r="B9" s="4" t="s">
        <v>4</v>
      </c>
      <c r="C9" s="4" t="s">
        <v>5</v>
      </c>
      <c r="D9" s="5"/>
      <c r="E9" s="88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88"/>
    </row>
    <row r="11" spans="1:5" ht="12.75">
      <c r="A11" s="8" t="s">
        <v>6</v>
      </c>
      <c r="B11" s="9"/>
      <c r="C11" s="118" t="s">
        <v>252</v>
      </c>
      <c r="D11" s="10"/>
      <c r="E11" s="88"/>
    </row>
    <row r="12" spans="1:5" ht="12.75">
      <c r="A12" s="8" t="s">
        <v>7</v>
      </c>
      <c r="B12" s="9"/>
      <c r="C12" s="118" t="s">
        <v>242</v>
      </c>
      <c r="D12" s="10"/>
      <c r="E12" s="88"/>
    </row>
    <row r="13" spans="1:5" ht="12.75">
      <c r="A13" s="8" t="s">
        <v>8</v>
      </c>
      <c r="B13" s="9"/>
      <c r="C13" s="118" t="s">
        <v>243</v>
      </c>
      <c r="D13" s="1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5.5">
      <c r="A15" s="11" t="s">
        <v>10</v>
      </c>
      <c r="B15" s="12" t="s">
        <v>11</v>
      </c>
      <c r="C15" s="15">
        <v>57292.3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1897.35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13672.5</v>
      </c>
      <c r="D18" s="16"/>
      <c r="E18" s="18">
        <f>C18-C20</f>
        <v>10927.884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5160.395999999999</v>
      </c>
      <c r="D19" s="16"/>
      <c r="E19" s="18">
        <f>E18-E38</f>
        <v>0.011999999998806743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(2.23+2.11)*6*105.4</f>
        <v>2744.616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105.4*(4.68+4.44)*6</f>
        <v>5767.488000000001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13768.207499999999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C18*1.007</f>
        <v>13768.207499999999</v>
      </c>
      <c r="D23" s="16"/>
      <c r="E23" s="50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23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123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/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71060.5075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(1.2+1.13)*6*105.4</f>
        <v>1473.4920000000002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(0.26+0.27)*6*105.4</f>
        <v>335.172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(0.4+0.38)*6*105.4</f>
        <v>493.272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(1.44+1.52)*6*105.4</f>
        <v>1871.904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(4.44+4.68)*105.4*6</f>
        <v>5767.488000000001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105.4*6*(0.8+0.76)</f>
        <v>986.5440000000002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SUM(D31:D37)</f>
        <v>10927.872000000001</v>
      </c>
      <c r="E38" s="91">
        <f>D38-D37</f>
        <v>10927.872000000001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60132.635500000004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866.5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6837.12</v>
      </c>
      <c r="C49" s="86">
        <f>B49</f>
        <v>6837.12</v>
      </c>
      <c r="D49" s="105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5.75" thickBot="1">
      <c r="A51" s="110" t="s">
        <v>202</v>
      </c>
      <c r="B51" s="103">
        <f>B49</f>
        <v>6837.12</v>
      </c>
      <c r="C51" s="112">
        <f>C49</f>
        <v>6837.12</v>
      </c>
      <c r="D51" s="113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64</v>
      </c>
      <c r="B52" s="444"/>
      <c r="C52" s="444"/>
      <c r="D52" s="444"/>
      <c r="E52" s="99" t="e">
        <f>D52+B19</f>
        <v>#VALUE!</v>
      </c>
      <c r="F52" s="98"/>
      <c r="G52" s="88"/>
      <c r="H52" s="100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2" t="s">
        <v>45</v>
      </c>
      <c r="B53" s="72" t="s">
        <v>46</v>
      </c>
      <c r="C53" s="73"/>
      <c r="D53" s="149">
        <v>0</v>
      </c>
      <c r="E53" s="101"/>
    </row>
    <row r="54" spans="1:5" ht="21" customHeight="1">
      <c r="A54" s="72" t="s">
        <v>47</v>
      </c>
      <c r="B54" s="72" t="s">
        <v>46</v>
      </c>
      <c r="C54" s="72"/>
      <c r="D54" s="149">
        <v>0</v>
      </c>
      <c r="E54" s="101"/>
    </row>
    <row r="55" spans="1:5" ht="18" customHeight="1">
      <c r="A55" s="72" t="s">
        <v>48</v>
      </c>
      <c r="B55" s="72" t="s">
        <v>46</v>
      </c>
      <c r="C55" s="72"/>
      <c r="D55" s="149">
        <v>0</v>
      </c>
      <c r="E55" s="101"/>
    </row>
    <row r="56" spans="1:5" ht="16.5" customHeight="1">
      <c r="A56" s="72" t="s">
        <v>49</v>
      </c>
      <c r="B56" s="72" t="s">
        <v>11</v>
      </c>
      <c r="C56" s="72"/>
      <c r="D56" s="149">
        <v>0</v>
      </c>
      <c r="E56" s="101"/>
    </row>
    <row r="57" spans="1:5" ht="15.75" customHeight="1">
      <c r="A57" s="440" t="s">
        <v>65</v>
      </c>
      <c r="B57" s="440"/>
      <c r="C57" s="440"/>
      <c r="D57" s="440"/>
      <c r="E57" s="101"/>
    </row>
    <row r="58" spans="1:5" ht="18.75" customHeight="1">
      <c r="A58" s="72" t="s">
        <v>66</v>
      </c>
      <c r="B58" s="72" t="s">
        <v>46</v>
      </c>
      <c r="C58" s="72"/>
      <c r="D58" s="149">
        <v>0</v>
      </c>
      <c r="E58" s="101"/>
    </row>
    <row r="59" spans="1:5" ht="21.75" customHeight="1">
      <c r="A59" s="72" t="s">
        <v>67</v>
      </c>
      <c r="B59" s="49" t="s">
        <v>46</v>
      </c>
      <c r="C59" s="49"/>
      <c r="D59" s="149">
        <v>0</v>
      </c>
      <c r="E59" s="101"/>
    </row>
    <row r="60" spans="1:5" ht="36" customHeight="1">
      <c r="A60" s="76" t="s">
        <v>68</v>
      </c>
      <c r="B60" s="72" t="s">
        <v>11</v>
      </c>
      <c r="C60" s="72"/>
      <c r="D60" s="149">
        <v>0</v>
      </c>
      <c r="E60" s="101"/>
    </row>
    <row r="61" spans="1:5" ht="15">
      <c r="A61" s="57"/>
      <c r="B61" s="57"/>
      <c r="C61" s="57"/>
      <c r="D61" s="77"/>
      <c r="E61" s="88"/>
    </row>
    <row r="62" spans="1:14" s="1" customFormat="1" ht="12.75">
      <c r="A62"/>
      <c r="B62"/>
      <c r="C62"/>
      <c r="D62"/>
      <c r="H62" s="1" t="s">
        <v>26</v>
      </c>
      <c r="K62"/>
      <c r="L62"/>
      <c r="M62"/>
      <c r="N62"/>
    </row>
    <row r="63" spans="1:14" s="1" customFormat="1" ht="12.75">
      <c r="A63" t="s">
        <v>69</v>
      </c>
      <c r="B63"/>
      <c r="C63"/>
      <c r="D63"/>
      <c r="K63"/>
      <c r="L63"/>
      <c r="M63"/>
      <c r="N63"/>
    </row>
    <row r="64" spans="1:14" s="1" customFormat="1" ht="12.75">
      <c r="A64"/>
      <c r="B64"/>
      <c r="C64"/>
      <c r="D64"/>
      <c r="H64" s="1" t="s">
        <v>26</v>
      </c>
      <c r="K64"/>
      <c r="L64"/>
      <c r="M64"/>
      <c r="N64"/>
    </row>
    <row r="65" spans="1:14" s="1" customFormat="1" ht="12.75">
      <c r="A65" t="s">
        <v>70</v>
      </c>
      <c r="B65"/>
      <c r="C65"/>
      <c r="D65"/>
      <c r="K65"/>
      <c r="L65"/>
      <c r="M65"/>
      <c r="N65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3">
      <selection activeCell="B50" sqref="B5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112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163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4" ht="12.75">
      <c r="A13" s="8" t="s">
        <v>8</v>
      </c>
      <c r="B13" s="9"/>
      <c r="C13" s="118" t="s">
        <v>243</v>
      </c>
      <c r="D13" s="10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20465.99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2157.61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18134.58</v>
      </c>
      <c r="D18" s="16"/>
      <c r="E18" s="18">
        <f>C18-C20</f>
        <v>12932.082000000002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5944.338000000001</v>
      </c>
      <c r="D19" s="16"/>
      <c r="E19" s="18">
        <f>E18-E38</f>
        <v>-85.65599999999904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(3.3+3.49)*6*127.7</f>
        <v>5202.4980000000005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127.7*(4.68+4.44)*6</f>
        <v>6987.7440000000015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18134.58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</f>
        <v>18134.58</v>
      </c>
      <c r="D23" s="16"/>
      <c r="E23" s="50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123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/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38600.57000000001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(1.13+1.2)*6*127.7</f>
        <v>1785.246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(0.26+0.27)*6*127.7</f>
        <v>406.086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(0.38+0.4)*6*127.7</f>
        <v>597.636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(1.44+1.52)*6*127.7</f>
        <v>2267.9519999999998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(4.44+4.68)*6*127.7</f>
        <v>6987.744000000001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127.7*6*(0.65+0.62)</f>
        <v>973.0740000000001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SUM(D31:D37)</f>
        <v>13017.738000000001</v>
      </c>
      <c r="E38" s="91">
        <f>D38-D37</f>
        <v>13017.738000000001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25582.832000000006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2238.96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8244.84</v>
      </c>
      <c r="C49" s="86">
        <f>B49</f>
        <v>8244.84</v>
      </c>
      <c r="D49" s="105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5.75" thickBot="1">
      <c r="A51" s="110" t="s">
        <v>202</v>
      </c>
      <c r="B51" s="111">
        <f>B49</f>
        <v>8244.84</v>
      </c>
      <c r="C51" s="112">
        <f>C49</f>
        <v>8244.84</v>
      </c>
      <c r="D51" s="113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2" t="s">
        <v>45</v>
      </c>
      <c r="B53" s="72" t="s">
        <v>46</v>
      </c>
      <c r="C53" s="73"/>
      <c r="D53" s="149">
        <v>0</v>
      </c>
      <c r="E53" s="101"/>
    </row>
    <row r="54" spans="1:5" ht="21" customHeight="1">
      <c r="A54" s="72" t="s">
        <v>47</v>
      </c>
      <c r="B54" s="72" t="s">
        <v>46</v>
      </c>
      <c r="C54" s="72"/>
      <c r="D54" s="149">
        <v>0</v>
      </c>
      <c r="E54" s="101"/>
    </row>
    <row r="55" spans="1:5" ht="18" customHeight="1">
      <c r="A55" s="72" t="s">
        <v>48</v>
      </c>
      <c r="B55" s="72" t="s">
        <v>46</v>
      </c>
      <c r="C55" s="72"/>
      <c r="D55" s="149">
        <v>0</v>
      </c>
      <c r="E55" s="75"/>
    </row>
    <row r="56" spans="1:5" ht="16.5" customHeight="1">
      <c r="A56" s="72" t="s">
        <v>49</v>
      </c>
      <c r="B56" s="72" t="s">
        <v>11</v>
      </c>
      <c r="C56" s="72"/>
      <c r="D56" s="149">
        <v>0</v>
      </c>
      <c r="E56" s="75"/>
    </row>
    <row r="57" spans="1:5" ht="15.75" customHeight="1">
      <c r="A57" s="440" t="s">
        <v>232</v>
      </c>
      <c r="B57" s="440"/>
      <c r="C57" s="440"/>
      <c r="D57" s="440"/>
      <c r="E57" s="75"/>
    </row>
    <row r="58" spans="1:5" ht="18.75" customHeight="1">
      <c r="A58" s="72" t="s">
        <v>66</v>
      </c>
      <c r="B58" s="72" t="s">
        <v>46</v>
      </c>
      <c r="C58" s="72"/>
      <c r="D58" s="149">
        <v>0</v>
      </c>
      <c r="E58" s="75"/>
    </row>
    <row r="59" spans="1:5" ht="21.75" customHeight="1">
      <c r="A59" s="72" t="s">
        <v>67</v>
      </c>
      <c r="B59" s="49" t="s">
        <v>46</v>
      </c>
      <c r="C59" s="49"/>
      <c r="D59" s="149">
        <v>0</v>
      </c>
      <c r="E59" s="75"/>
    </row>
    <row r="60" spans="1:5" ht="36" customHeight="1">
      <c r="A60" s="76" t="s">
        <v>68</v>
      </c>
      <c r="B60" s="72" t="s">
        <v>11</v>
      </c>
      <c r="C60" s="72"/>
      <c r="D60" s="149">
        <v>0</v>
      </c>
      <c r="E60" s="75"/>
    </row>
    <row r="61" spans="1:4" ht="15">
      <c r="A61" s="57"/>
      <c r="B61" s="57"/>
      <c r="C61" s="57"/>
      <c r="D61" s="77"/>
    </row>
    <row r="62" spans="1:14" s="1" customFormat="1" ht="12.75">
      <c r="A62"/>
      <c r="B62"/>
      <c r="C62"/>
      <c r="D62"/>
      <c r="H62" s="1" t="s">
        <v>26</v>
      </c>
      <c r="K62"/>
      <c r="L62"/>
      <c r="M62"/>
      <c r="N62"/>
    </row>
    <row r="63" spans="1:14" s="1" customFormat="1" ht="12.75">
      <c r="A63" t="s">
        <v>69</v>
      </c>
      <c r="B63"/>
      <c r="C63"/>
      <c r="D63"/>
      <c r="K63"/>
      <c r="L63"/>
      <c r="M63"/>
      <c r="N63"/>
    </row>
    <row r="64" spans="1:14" s="1" customFormat="1" ht="12.75">
      <c r="A64"/>
      <c r="B64"/>
      <c r="C64"/>
      <c r="D64"/>
      <c r="H64" s="1" t="s">
        <v>26</v>
      </c>
      <c r="K64"/>
      <c r="L64"/>
      <c r="M64"/>
      <c r="N64"/>
    </row>
    <row r="65" spans="1:14" s="1" customFormat="1" ht="12.75">
      <c r="A65" t="s">
        <v>70</v>
      </c>
      <c r="B65"/>
      <c r="C65"/>
      <c r="D65"/>
      <c r="K65"/>
      <c r="L65"/>
      <c r="M65"/>
      <c r="N65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28">
      <selection activeCell="C50" sqref="C5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312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313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88"/>
    </row>
    <row r="11" spans="1:5" ht="12.75">
      <c r="A11" s="8" t="s">
        <v>6</v>
      </c>
      <c r="B11" s="9"/>
      <c r="C11" s="118" t="s">
        <v>252</v>
      </c>
      <c r="D11" s="10"/>
      <c r="E11" s="88"/>
    </row>
    <row r="12" spans="1:5" ht="12.75">
      <c r="A12" s="8" t="s">
        <v>7</v>
      </c>
      <c r="B12" s="9"/>
      <c r="C12" s="118" t="s">
        <v>242</v>
      </c>
      <c r="D12" s="10"/>
      <c r="E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17550.23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1194.72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7384.44</v>
      </c>
      <c r="D18" s="16"/>
      <c r="E18" s="18">
        <f>C18-C20</f>
        <v>5667.288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2509.9439999999995</v>
      </c>
      <c r="D19" s="16"/>
      <c r="E19" s="18">
        <f>E18-E38</f>
        <v>-0.006000000001222361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(2.41+2.55)*6*57.7</f>
        <v>1717.152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57.7*(4.44+4.68)*6</f>
        <v>3157.344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7384.44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</f>
        <v>7384.44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24934.67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(1.2+1.14)*6*57.7</f>
        <v>810.108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(0.26+0.27)*6*57.7</f>
        <v>183.48600000000002</v>
      </c>
      <c r="E32" s="88"/>
      <c r="F32" s="88"/>
      <c r="G32" s="88"/>
      <c r="H32" s="88"/>
    </row>
    <row r="33" spans="1:8" ht="15">
      <c r="A33" s="127" t="s">
        <v>161</v>
      </c>
      <c r="B33" s="30" t="s">
        <v>33</v>
      </c>
      <c r="C33" s="31" t="s">
        <v>34</v>
      </c>
      <c r="D33" s="80">
        <v>0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(1.44+1.52)*6*57.7</f>
        <v>1024.752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2" t="s">
        <v>39</v>
      </c>
      <c r="D35" s="80">
        <f>(4.44+4.68)*57.7*6</f>
        <v>3157.344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57.7*6*(0.69+0.73)</f>
        <v>491.60400000000004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SUM(D31:D37)</f>
        <v>5667.294000000001</v>
      </c>
      <c r="E38" s="91">
        <f>D38-D37</f>
        <v>5667.294000000001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19267.375999999997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943.72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2183.37</v>
      </c>
      <c r="C49" s="86">
        <f>B49</f>
        <v>2183.37</v>
      </c>
      <c r="D49" s="105">
        <f>B49-C49</f>
        <v>0</v>
      </c>
      <c r="E49" s="93"/>
      <c r="F49" s="63"/>
      <c r="G49" s="64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63"/>
      <c r="H50" s="56"/>
      <c r="I50" s="56"/>
      <c r="J50" s="56"/>
      <c r="K50" s="57"/>
      <c r="L50" s="57"/>
      <c r="M50" s="57"/>
      <c r="N50" s="57"/>
    </row>
    <row r="51" spans="1:14" ht="15.75" thickBot="1">
      <c r="A51" s="110" t="s">
        <v>202</v>
      </c>
      <c r="B51" s="111">
        <f>B49</f>
        <v>2183.37</v>
      </c>
      <c r="C51" s="112">
        <f>B51</f>
        <v>2183.37</v>
      </c>
      <c r="D51" s="113">
        <f>B51-C51</f>
        <v>0</v>
      </c>
      <c r="E51" s="93"/>
      <c r="F51" s="63"/>
      <c r="H51" s="56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2" t="s">
        <v>45</v>
      </c>
      <c r="B53" s="72" t="s">
        <v>46</v>
      </c>
      <c r="C53" s="73"/>
      <c r="D53" s="149">
        <v>0</v>
      </c>
      <c r="E53" s="101"/>
    </row>
    <row r="54" spans="1:5" ht="21" customHeight="1">
      <c r="A54" s="72" t="s">
        <v>47</v>
      </c>
      <c r="B54" s="72" t="s">
        <v>46</v>
      </c>
      <c r="C54" s="72"/>
      <c r="D54" s="149">
        <v>0</v>
      </c>
      <c r="E54" s="101"/>
    </row>
    <row r="55" spans="1:5" ht="18" customHeight="1">
      <c r="A55" s="72" t="s">
        <v>48</v>
      </c>
      <c r="B55" s="72" t="s">
        <v>46</v>
      </c>
      <c r="C55" s="72"/>
      <c r="D55" s="149">
        <v>0</v>
      </c>
      <c r="E55" s="101"/>
    </row>
    <row r="56" spans="1:5" ht="16.5" customHeight="1">
      <c r="A56" s="72" t="s">
        <v>49</v>
      </c>
      <c r="B56" s="72" t="s">
        <v>11</v>
      </c>
      <c r="C56" s="72"/>
      <c r="D56" s="149">
        <v>0</v>
      </c>
      <c r="E56" s="101"/>
    </row>
    <row r="57" spans="1:5" ht="15.75" customHeight="1">
      <c r="A57" s="440" t="s">
        <v>232</v>
      </c>
      <c r="B57" s="440"/>
      <c r="C57" s="440"/>
      <c r="D57" s="440"/>
      <c r="E57" s="101"/>
    </row>
    <row r="58" spans="1:5" ht="18.75" customHeight="1">
      <c r="A58" s="72" t="s">
        <v>66</v>
      </c>
      <c r="B58" s="72" t="s">
        <v>46</v>
      </c>
      <c r="C58" s="72"/>
      <c r="D58" s="149">
        <v>0</v>
      </c>
      <c r="E58" s="101"/>
    </row>
    <row r="59" spans="1:5" ht="21.75" customHeight="1">
      <c r="A59" s="72" t="s">
        <v>67</v>
      </c>
      <c r="B59" s="49" t="s">
        <v>46</v>
      </c>
      <c r="C59" s="49"/>
      <c r="D59" s="149">
        <v>0</v>
      </c>
      <c r="E59" s="101"/>
    </row>
    <row r="60" spans="1:5" ht="36" customHeight="1">
      <c r="A60" s="76" t="s">
        <v>68</v>
      </c>
      <c r="B60" s="72" t="s">
        <v>11</v>
      </c>
      <c r="C60" s="72"/>
      <c r="D60" s="149">
        <v>0</v>
      </c>
      <c r="E60" s="101"/>
    </row>
    <row r="61" spans="1:5" ht="15">
      <c r="A61" s="57"/>
      <c r="B61" s="57"/>
      <c r="C61" s="57"/>
      <c r="D61" s="77"/>
      <c r="E61" s="88"/>
    </row>
    <row r="62" spans="1:14" s="1" customFormat="1" ht="12.75">
      <c r="A62"/>
      <c r="B62"/>
      <c r="C62"/>
      <c r="D62"/>
      <c r="H62" s="1" t="s">
        <v>26</v>
      </c>
      <c r="K62"/>
      <c r="L62"/>
      <c r="M62"/>
      <c r="N62"/>
    </row>
    <row r="63" spans="1:14" s="1" customFormat="1" ht="12.75">
      <c r="A63" t="s">
        <v>69</v>
      </c>
      <c r="B63"/>
      <c r="C63"/>
      <c r="D63"/>
      <c r="K63"/>
      <c r="L63"/>
      <c r="M63"/>
      <c r="N63"/>
    </row>
    <row r="64" spans="1:14" s="1" customFormat="1" ht="12.75">
      <c r="A64"/>
      <c r="B64"/>
      <c r="C64"/>
      <c r="D64"/>
      <c r="H64" s="1" t="s">
        <v>26</v>
      </c>
      <c r="K64"/>
      <c r="L64"/>
      <c r="M64"/>
      <c r="N64"/>
    </row>
    <row r="65" spans="1:14" s="1" customFormat="1" ht="12.75">
      <c r="A65" t="s">
        <v>70</v>
      </c>
      <c r="B65"/>
      <c r="C65"/>
      <c r="D65"/>
      <c r="K65"/>
      <c r="L65"/>
      <c r="M65"/>
      <c r="N65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6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88" customWidth="1"/>
    <col min="6" max="7" width="0" style="88" hidden="1" customWidth="1"/>
    <col min="8" max="8" width="11.57421875" style="88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9" t="s">
        <v>219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119" t="s">
        <v>220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291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4" ht="12.75">
      <c r="A13" s="8" t="s">
        <v>8</v>
      </c>
      <c r="B13" s="9"/>
      <c r="C13" s="118" t="s">
        <v>243</v>
      </c>
      <c r="D13" s="10"/>
    </row>
    <row r="14" spans="1:4" ht="31.5" customHeight="1">
      <c r="A14" s="441" t="s">
        <v>9</v>
      </c>
      <c r="B14" s="441"/>
      <c r="C14" s="441"/>
      <c r="D14" s="441"/>
    </row>
    <row r="15" spans="1:4" ht="25.5">
      <c r="A15" s="11" t="s">
        <v>10</v>
      </c>
      <c r="B15" s="12" t="s">
        <v>11</v>
      </c>
      <c r="C15" s="15">
        <v>1431.51</v>
      </c>
      <c r="D15" s="14"/>
    </row>
    <row r="16" spans="1:4" ht="15">
      <c r="A16" s="8" t="s">
        <v>12</v>
      </c>
      <c r="B16" s="12" t="s">
        <v>11</v>
      </c>
      <c r="C16" s="13">
        <v>0</v>
      </c>
      <c r="D16" s="14"/>
    </row>
    <row r="17" spans="1:4" ht="15">
      <c r="A17" s="8" t="s">
        <v>13</v>
      </c>
      <c r="B17" s="12" t="s">
        <v>11</v>
      </c>
      <c r="C17" s="15">
        <v>12504.42</v>
      </c>
      <c r="D17" s="16"/>
    </row>
    <row r="18" spans="1:5" ht="31.5" customHeight="1">
      <c r="A18" s="17" t="s">
        <v>14</v>
      </c>
      <c r="B18" s="12" t="s">
        <v>11</v>
      </c>
      <c r="C18" s="15">
        <v>14453.94</v>
      </c>
      <c r="D18" s="16"/>
      <c r="E18" s="18">
        <f>C18-C20</f>
        <v>9979.68</v>
      </c>
    </row>
    <row r="19" spans="1:5" ht="15">
      <c r="A19" s="8" t="s">
        <v>15</v>
      </c>
      <c r="B19" s="12" t="s">
        <v>11</v>
      </c>
      <c r="C19" s="15">
        <f>C18-C20-C21</f>
        <v>6975.552</v>
      </c>
      <c r="D19" s="16"/>
      <c r="E19" s="18">
        <f>E18-E39</f>
        <v>-6</v>
      </c>
    </row>
    <row r="20" spans="1:5" ht="15">
      <c r="A20" s="8" t="s">
        <v>16</v>
      </c>
      <c r="B20" s="12" t="s">
        <v>11</v>
      </c>
      <c r="C20" s="15">
        <f>(3.81+3.61)*6*100.5</f>
        <v>4474.259999999999</v>
      </c>
      <c r="D20" s="16"/>
      <c r="E20" s="123"/>
    </row>
    <row r="21" spans="1:5" ht="15">
      <c r="A21" s="8" t="s">
        <v>17</v>
      </c>
      <c r="B21" s="12" t="s">
        <v>11</v>
      </c>
      <c r="C21" s="19">
        <f>54.9*(4.44+4.68)*6</f>
        <v>3004.128</v>
      </c>
      <c r="D21" s="16"/>
      <c r="E21" s="50"/>
    </row>
    <row r="22" spans="1:5" ht="15">
      <c r="A22" s="20" t="s">
        <v>18</v>
      </c>
      <c r="B22" s="12" t="s">
        <v>11</v>
      </c>
      <c r="C22" s="15">
        <f>C23+C24+C25+C26+C27</f>
        <v>17677.16862</v>
      </c>
      <c r="D22" s="16" t="s">
        <v>19</v>
      </c>
      <c r="E22" s="89"/>
    </row>
    <row r="23" spans="1:4" ht="15">
      <c r="A23" s="8" t="s">
        <v>20</v>
      </c>
      <c r="B23" s="12" t="s">
        <v>11</v>
      </c>
      <c r="C23" s="15">
        <f>C18*1.223</f>
        <v>17677.16862</v>
      </c>
      <c r="D23" s="16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H24" s="88" t="s">
        <v>22</v>
      </c>
    </row>
    <row r="25" spans="1:5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</row>
    <row r="26" spans="1:5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</row>
    <row r="27" spans="1:5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</row>
    <row r="28" spans="1:5" ht="15">
      <c r="A28" s="8" t="s">
        <v>25</v>
      </c>
      <c r="B28" s="12" t="s">
        <v>11</v>
      </c>
      <c r="C28" s="15">
        <f>C15+C22</f>
        <v>19108.67862</v>
      </c>
      <c r="D28" s="16" t="s">
        <v>26</v>
      </c>
      <c r="E28" s="90" t="e">
        <f>B28/#REF!*1</f>
        <v>#VALUE!</v>
      </c>
    </row>
    <row r="29" spans="1:4" ht="35.25" customHeight="1">
      <c r="A29" s="442" t="s">
        <v>27</v>
      </c>
      <c r="B29" s="442"/>
      <c r="C29" s="442"/>
      <c r="D29" s="442"/>
    </row>
    <row r="30" spans="1:4" ht="60">
      <c r="A30" s="22" t="s">
        <v>28</v>
      </c>
      <c r="B30" s="23" t="s">
        <v>29</v>
      </c>
      <c r="C30" s="24" t="s">
        <v>30</v>
      </c>
      <c r="D30" s="25" t="s">
        <v>31</v>
      </c>
    </row>
    <row r="31" spans="1:4" ht="15">
      <c r="A31" s="26" t="s">
        <v>32</v>
      </c>
      <c r="B31" s="27" t="s">
        <v>33</v>
      </c>
      <c r="C31" s="28" t="s">
        <v>34</v>
      </c>
      <c r="D31" s="79">
        <f>(1.2+1.13)*6*100.5</f>
        <v>1404.99</v>
      </c>
    </row>
    <row r="32" spans="1:4" ht="15">
      <c r="A32" s="29" t="s">
        <v>36</v>
      </c>
      <c r="B32" s="30" t="s">
        <v>33</v>
      </c>
      <c r="C32" s="31" t="s">
        <v>37</v>
      </c>
      <c r="D32" s="80">
        <f>(0.26+0.27)*6*100.5</f>
        <v>319.59000000000003</v>
      </c>
    </row>
    <row r="33" spans="1:4" ht="15">
      <c r="A33" s="127" t="s">
        <v>161</v>
      </c>
      <c r="B33" s="30" t="s">
        <v>33</v>
      </c>
      <c r="C33" s="31" t="s">
        <v>34</v>
      </c>
      <c r="D33" s="80">
        <v>0</v>
      </c>
    </row>
    <row r="34" spans="1:4" ht="15">
      <c r="A34" s="29" t="s">
        <v>78</v>
      </c>
      <c r="B34" s="78" t="s">
        <v>79</v>
      </c>
      <c r="C34" s="31" t="s">
        <v>34</v>
      </c>
      <c r="D34" s="80">
        <f>(1.44+1.52)*6*100.5</f>
        <v>1784.8799999999999</v>
      </c>
    </row>
    <row r="35" spans="1:4" ht="15">
      <c r="A35" s="29" t="s">
        <v>38</v>
      </c>
      <c r="B35" s="30" t="s">
        <v>35</v>
      </c>
      <c r="C35" s="32" t="s">
        <v>39</v>
      </c>
      <c r="D35" s="80">
        <f>(4.44+4.68)*100.5*6</f>
        <v>5499.360000000001</v>
      </c>
    </row>
    <row r="36" spans="1:4" ht="15">
      <c r="A36" s="29" t="s">
        <v>82</v>
      </c>
      <c r="B36" s="30" t="s">
        <v>195</v>
      </c>
      <c r="C36" s="143" t="s">
        <v>37</v>
      </c>
      <c r="D36" s="80">
        <f>100.5*6*(0.83+0.79)</f>
        <v>976.86</v>
      </c>
    </row>
    <row r="37" spans="1:14" s="1" customFormat="1" ht="45">
      <c r="A37" s="121" t="s">
        <v>190</v>
      </c>
      <c r="B37" s="34" t="s">
        <v>41</v>
      </c>
      <c r="C37" s="28"/>
      <c r="D37" s="315">
        <f>D38</f>
        <v>3645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122" t="s">
        <v>136</v>
      </c>
      <c r="B38" s="82" t="s">
        <v>135</v>
      </c>
      <c r="C38" s="421" t="s">
        <v>241</v>
      </c>
      <c r="D38" s="417">
        <v>3645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SUM(D31:D37)</f>
        <v>13630.68</v>
      </c>
      <c r="E39" s="91">
        <f>D39-D37</f>
        <v>9985.68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5477.9986199999985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6401.33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6519.36</v>
      </c>
      <c r="C50" s="86">
        <f>B50</f>
        <v>6519.36</v>
      </c>
      <c r="D50" s="105">
        <f>B50-C50</f>
        <v>0</v>
      </c>
      <c r="E50" s="93"/>
      <c r="F50" s="96"/>
      <c r="G50" s="97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H51" s="98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6519.36</v>
      </c>
      <c r="C52" s="112">
        <f>B52</f>
        <v>6519.36</v>
      </c>
      <c r="D52" s="113">
        <f>B52-C52</f>
        <v>0</v>
      </c>
      <c r="E52" s="93"/>
      <c r="F52" s="96"/>
      <c r="H52" s="98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98"/>
      <c r="H53" s="100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101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101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101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2" t="s">
        <v>66</v>
      </c>
      <c r="B59" s="72" t="s">
        <v>46</v>
      </c>
      <c r="C59" s="72"/>
      <c r="D59" s="149">
        <v>1</v>
      </c>
      <c r="E59" s="101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101"/>
    </row>
    <row r="61" spans="1:5" ht="36" customHeight="1">
      <c r="A61" s="76" t="s">
        <v>68</v>
      </c>
      <c r="B61" s="72" t="s">
        <v>11</v>
      </c>
      <c r="C61" s="72"/>
      <c r="D61" s="149">
        <v>6100</v>
      </c>
      <c r="E61" s="101"/>
    </row>
    <row r="62" spans="1:4" ht="15">
      <c r="A62" s="57"/>
      <c r="B62" s="57"/>
      <c r="C62" s="57"/>
      <c r="D62" s="77"/>
    </row>
    <row r="63" spans="1:14" s="1" customFormat="1" ht="12.75">
      <c r="A63"/>
      <c r="B63"/>
      <c r="C63"/>
      <c r="D63"/>
      <c r="E63" s="88"/>
      <c r="F63" s="88"/>
      <c r="G63" s="88"/>
      <c r="H63" s="88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E64" s="88"/>
      <c r="F64" s="88"/>
      <c r="G64" s="88"/>
      <c r="H64" s="88"/>
      <c r="K64"/>
      <c r="L64"/>
      <c r="M64"/>
      <c r="N64"/>
    </row>
    <row r="65" spans="1:14" s="1" customFormat="1" ht="12.75">
      <c r="A65"/>
      <c r="B65"/>
      <c r="C65"/>
      <c r="D65"/>
      <c r="E65" s="88"/>
      <c r="F65" s="88"/>
      <c r="G65" s="88"/>
      <c r="H65" s="88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E66" s="88"/>
      <c r="F66" s="88"/>
      <c r="G66" s="88"/>
      <c r="H66" s="88"/>
      <c r="K66"/>
      <c r="L66"/>
      <c r="M66"/>
      <c r="N66"/>
    </row>
    <row r="70" spans="1:14" s="1" customFormat="1" ht="12.75">
      <c r="A70"/>
      <c r="B70"/>
      <c r="C70"/>
      <c r="D70"/>
      <c r="E70" s="88" t="s">
        <v>26</v>
      </c>
      <c r="F70" s="88"/>
      <c r="G70" s="88"/>
      <c r="H70" s="88"/>
      <c r="K70"/>
      <c r="L70"/>
      <c r="M70"/>
      <c r="N70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7:D7"/>
    <mergeCell ref="A58:D58"/>
    <mergeCell ref="A14:D14"/>
    <mergeCell ref="A29:D29"/>
    <mergeCell ref="A43:D43"/>
    <mergeCell ref="A48:D48"/>
    <mergeCell ref="A53:D53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0" zoomScaleNormal="80" zoomScalePageLayoutView="0" workbookViewId="0" topLeftCell="A37">
      <selection activeCell="B51" sqref="B5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115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16.5" customHeight="1">
      <c r="A6" s="2" t="s">
        <v>164</v>
      </c>
    </row>
    <row r="7" spans="1:4" ht="18" customHeight="1">
      <c r="A7" s="450" t="s">
        <v>2</v>
      </c>
      <c r="B7" s="450"/>
      <c r="C7" s="450"/>
      <c r="D7" s="450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36510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1977.63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13518.78</v>
      </c>
      <c r="D18" s="16"/>
      <c r="E18" s="18">
        <f>C18-C20</f>
        <v>9931.74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5291.4839999999995</v>
      </c>
      <c r="D19" s="16"/>
      <c r="E19" s="18">
        <f>E18-E39</f>
        <v>-0.03600000000005821</v>
      </c>
      <c r="F19" s="88"/>
      <c r="G19" s="88"/>
      <c r="H19" s="88"/>
    </row>
    <row r="20" spans="1:8" ht="15">
      <c r="A20" s="8" t="s">
        <v>16</v>
      </c>
      <c r="B20" s="314" t="s">
        <v>11</v>
      </c>
      <c r="C20" s="15">
        <f>(3.62+3.43)*6*84.8</f>
        <v>3587.0400000000004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84.8*(4.44+4.68)*6</f>
        <v>4640.256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14194.719000000001</v>
      </c>
      <c r="D22" s="16" t="s">
        <v>19</v>
      </c>
      <c r="E22" s="89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C18*1.05</f>
        <v>14194.719000000001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50704.719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(2.14+2.03)*6*84.8</f>
        <v>2121.696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(0.26+0.27)*6*84.8</f>
        <v>269.664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(0.39+0.41)*6*84.8</f>
        <v>407.04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(1.44+1.52)*6*84.8</f>
        <v>1506.0479999999998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(4.44+4.68)*84.8*6</f>
        <v>4640.256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84.8*6*(1+0.94)</f>
        <v>987.0719999999999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422">
        <f>D38</f>
        <v>2061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 t="s">
        <v>136</v>
      </c>
      <c r="B38" s="82" t="s">
        <v>135</v>
      </c>
      <c r="C38" s="421" t="s">
        <v>241</v>
      </c>
      <c r="D38" s="83">
        <v>2061</v>
      </c>
      <c r="E38" s="88"/>
      <c r="F38" s="88"/>
      <c r="G38" s="88"/>
      <c r="H38" s="88"/>
      <c r="K38"/>
      <c r="L38"/>
      <c r="M38"/>
      <c r="N38"/>
    </row>
    <row r="39" spans="1:14" s="1" customFormat="1" ht="30" customHeight="1">
      <c r="A39" s="37" t="s">
        <v>42</v>
      </c>
      <c r="B39" s="38"/>
      <c r="C39" s="39"/>
      <c r="D39" s="84">
        <f>SUM(D31:D37)</f>
        <v>11992.776</v>
      </c>
      <c r="E39" s="91">
        <f>D39-D37</f>
        <v>9931.776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38711.943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1562.78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54"/>
      <c r="G48" s="55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54"/>
      <c r="G49" s="55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5182.8</v>
      </c>
      <c r="C50" s="86">
        <f>B50</f>
        <v>5182.8</v>
      </c>
      <c r="D50" s="105">
        <f>B50-C50</f>
        <v>0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5182.8</v>
      </c>
      <c r="C52" s="112">
        <f>B52</f>
        <v>5182.8</v>
      </c>
      <c r="D52" s="113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101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101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101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2" t="s">
        <v>66</v>
      </c>
      <c r="B59" s="72" t="s">
        <v>46</v>
      </c>
      <c r="C59" s="72"/>
      <c r="D59" s="149">
        <v>0</v>
      </c>
      <c r="E59" s="101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101"/>
    </row>
    <row r="61" spans="1:5" ht="36" customHeight="1">
      <c r="A61" s="76" t="s">
        <v>68</v>
      </c>
      <c r="B61" s="72" t="s">
        <v>11</v>
      </c>
      <c r="C61" s="72"/>
      <c r="D61" s="149">
        <v>0</v>
      </c>
      <c r="E61" s="101"/>
    </row>
    <row r="62" spans="1:5" ht="15">
      <c r="A62" s="57"/>
      <c r="B62" s="57"/>
      <c r="C62" s="57"/>
      <c r="D62" s="77"/>
      <c r="E62" s="88"/>
    </row>
    <row r="63" spans="1:14" s="1" customFormat="1" ht="12.75">
      <c r="A63"/>
      <c r="B63"/>
      <c r="C63"/>
      <c r="D63"/>
      <c r="E63" s="88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E64" s="88"/>
      <c r="K64"/>
      <c r="L64"/>
      <c r="M64"/>
      <c r="N64"/>
    </row>
    <row r="65" spans="1:14" s="1" customFormat="1" ht="12.75">
      <c r="A65"/>
      <c r="B65"/>
      <c r="C65"/>
      <c r="D65"/>
      <c r="E65" s="88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E66" s="88"/>
      <c r="K66"/>
      <c r="L66"/>
      <c r="M66"/>
      <c r="N66"/>
    </row>
    <row r="67" ht="12.75">
      <c r="E67" s="88"/>
    </row>
    <row r="68" ht="12.75">
      <c r="E68" s="88"/>
    </row>
    <row r="69" ht="12.75">
      <c r="E69" s="88"/>
    </row>
    <row r="70" spans="1:14" s="1" customFormat="1" ht="12.75">
      <c r="A70"/>
      <c r="B70"/>
      <c r="C70"/>
      <c r="D70"/>
      <c r="E70" s="88" t="s">
        <v>26</v>
      </c>
      <c r="K70"/>
      <c r="L70"/>
      <c r="M70"/>
      <c r="N70"/>
    </row>
    <row r="71" ht="12.75">
      <c r="E71" s="88"/>
    </row>
    <row r="72" ht="12.75">
      <c r="E72" s="88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34">
      <selection activeCell="C50" sqref="C5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23.25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119" t="s">
        <v>196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5" ht="12.75">
      <c r="A11" s="8" t="s">
        <v>6</v>
      </c>
      <c r="B11" s="9"/>
      <c r="C11" s="118" t="s">
        <v>252</v>
      </c>
      <c r="D11" s="10"/>
      <c r="E11" s="88"/>
    </row>
    <row r="12" spans="1:8" ht="12.75">
      <c r="A12" s="8" t="s">
        <v>7</v>
      </c>
      <c r="B12" s="9"/>
      <c r="C12" s="118" t="s">
        <v>242</v>
      </c>
      <c r="D12" s="10"/>
      <c r="E12" s="88"/>
      <c r="F12" s="88"/>
      <c r="G12" s="88"/>
      <c r="H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3">
        <v>33069.09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2628.68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19237.74</v>
      </c>
      <c r="D18" s="16"/>
      <c r="E18" s="18">
        <f>C18-C20</f>
        <v>15771.996000000003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8100.252000000002</v>
      </c>
      <c r="D19" s="16"/>
      <c r="E19" s="18">
        <f>E18-E38</f>
        <v>0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(2.12+2)*6*140.2</f>
        <v>3465.7439999999997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140.2*(4.44+4.68)*6</f>
        <v>7671.744000000001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20084.20056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C18*1.044</f>
        <v>20084.20056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53153.290559999994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(2.14+2.03)*6*140.2</f>
        <v>3507.8039999999996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(0.26+0.27)*6*140.2</f>
        <v>445.836</v>
      </c>
      <c r="E32" s="88"/>
      <c r="F32" s="88"/>
      <c r="G32" s="88"/>
      <c r="H32" s="88"/>
    </row>
    <row r="33" spans="1:8" ht="15">
      <c r="A33" s="127" t="s">
        <v>159</v>
      </c>
      <c r="B33" s="30" t="s">
        <v>33</v>
      </c>
      <c r="C33" s="31" t="s">
        <v>34</v>
      </c>
      <c r="D33" s="80">
        <f>(0.39+0.41)*140.2*6-488.4</f>
        <v>184.56000000000006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(1.44+1.52)*6*140.2</f>
        <v>2489.9519999999993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(4.44+4.68)*140.2*6</f>
        <v>7671.744000000001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140.2*(0.9+0.85)*6</f>
        <v>1472.1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28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D31+D32+D33+D34+D35+D36+D37</f>
        <v>15771.996000000001</v>
      </c>
      <c r="E38" s="91">
        <f>D38-D37</f>
        <v>15771.996000000001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37381.294559999995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2417.84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9094.56</v>
      </c>
      <c r="C49" s="86">
        <f>B49</f>
        <v>9094.56</v>
      </c>
      <c r="D49" s="105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5.75" thickBot="1">
      <c r="A51" s="110" t="s">
        <v>202</v>
      </c>
      <c r="B51" s="111">
        <f>B49</f>
        <v>9094.56</v>
      </c>
      <c r="C51" s="112">
        <f>B51</f>
        <v>9094.56</v>
      </c>
      <c r="D51" s="113">
        <f>B51-C51</f>
        <v>0</v>
      </c>
      <c r="E51" s="93"/>
      <c r="F51" s="63"/>
      <c r="H51" s="56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2" t="s">
        <v>45</v>
      </c>
      <c r="B53" s="72" t="s">
        <v>46</v>
      </c>
      <c r="C53" s="73"/>
      <c r="D53" s="149">
        <v>0</v>
      </c>
      <c r="E53" s="101"/>
    </row>
    <row r="54" spans="1:5" ht="21" customHeight="1">
      <c r="A54" s="72" t="s">
        <v>47</v>
      </c>
      <c r="B54" s="72" t="s">
        <v>46</v>
      </c>
      <c r="C54" s="72"/>
      <c r="D54" s="149">
        <v>0</v>
      </c>
      <c r="E54" s="101"/>
    </row>
    <row r="55" spans="1:5" ht="18" customHeight="1">
      <c r="A55" s="72" t="s">
        <v>48</v>
      </c>
      <c r="B55" s="72" t="s">
        <v>46</v>
      </c>
      <c r="C55" s="72"/>
      <c r="D55" s="149">
        <v>0</v>
      </c>
      <c r="E55" s="101"/>
    </row>
    <row r="56" spans="1:5" ht="16.5" customHeight="1">
      <c r="A56" s="72" t="s">
        <v>49</v>
      </c>
      <c r="B56" s="72" t="s">
        <v>11</v>
      </c>
      <c r="C56" s="72"/>
      <c r="D56" s="149">
        <v>0</v>
      </c>
      <c r="E56" s="101"/>
    </row>
    <row r="57" spans="1:5" ht="15.75" customHeight="1">
      <c r="A57" s="440" t="s">
        <v>232</v>
      </c>
      <c r="B57" s="440"/>
      <c r="C57" s="440"/>
      <c r="D57" s="440"/>
      <c r="E57" s="101"/>
    </row>
    <row r="58" spans="1:5" ht="18.75" customHeight="1">
      <c r="A58" s="72" t="s">
        <v>66</v>
      </c>
      <c r="B58" s="72" t="s">
        <v>46</v>
      </c>
      <c r="C58" s="72"/>
      <c r="D58" s="149">
        <v>0</v>
      </c>
      <c r="E58" s="101"/>
    </row>
    <row r="59" spans="1:5" ht="21.75" customHeight="1">
      <c r="A59" s="72" t="s">
        <v>67</v>
      </c>
      <c r="B59" s="49" t="s">
        <v>46</v>
      </c>
      <c r="C59" s="49"/>
      <c r="D59" s="149">
        <v>0</v>
      </c>
      <c r="E59" s="101"/>
    </row>
    <row r="60" spans="1:5" ht="36" customHeight="1">
      <c r="A60" s="76" t="s">
        <v>68</v>
      </c>
      <c r="B60" s="72" t="s">
        <v>11</v>
      </c>
      <c r="C60" s="72"/>
      <c r="D60" s="149">
        <v>0</v>
      </c>
      <c r="E60" s="101"/>
    </row>
    <row r="61" spans="1:5" ht="15">
      <c r="A61" s="57"/>
      <c r="B61" s="57"/>
      <c r="C61" s="57"/>
      <c r="D61" s="77"/>
      <c r="E61" s="88"/>
    </row>
    <row r="62" spans="1:14" s="1" customFormat="1" ht="12.75">
      <c r="A62"/>
      <c r="B62"/>
      <c r="C62"/>
      <c r="D62"/>
      <c r="E62" s="88"/>
      <c r="H62" s="1" t="s">
        <v>26</v>
      </c>
      <c r="K62"/>
      <c r="L62"/>
      <c r="M62"/>
      <c r="N62"/>
    </row>
    <row r="63" spans="1:14" s="1" customFormat="1" ht="12.75">
      <c r="A63" t="s">
        <v>69</v>
      </c>
      <c r="B63"/>
      <c r="C63"/>
      <c r="D63"/>
      <c r="E63" s="88"/>
      <c r="K63"/>
      <c r="L63"/>
      <c r="M63"/>
      <c r="N63"/>
    </row>
    <row r="64" spans="1:14" s="1" customFormat="1" ht="12.75">
      <c r="A64"/>
      <c r="B64"/>
      <c r="C64"/>
      <c r="D64"/>
      <c r="E64" s="88"/>
      <c r="H64" s="1" t="s">
        <v>26</v>
      </c>
      <c r="K64"/>
      <c r="L64"/>
      <c r="M64"/>
      <c r="N64"/>
    </row>
    <row r="65" spans="1:14" s="1" customFormat="1" ht="12.75">
      <c r="A65" t="s">
        <v>70</v>
      </c>
      <c r="B65"/>
      <c r="C65"/>
      <c r="D65"/>
      <c r="E65" s="88"/>
      <c r="K65"/>
      <c r="L65"/>
      <c r="M65"/>
      <c r="N65"/>
    </row>
    <row r="66" ht="12.75">
      <c r="E66" s="88"/>
    </row>
    <row r="67" ht="12.75">
      <c r="E67" s="88"/>
    </row>
    <row r="69" spans="1:14" s="1" customFormat="1" ht="12.75">
      <c r="A69"/>
      <c r="B69"/>
      <c r="C69"/>
      <c r="D69"/>
      <c r="E69" s="1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0" zoomScaleNormal="80" zoomScalePageLayoutView="0" workbookViewId="0" topLeftCell="A10">
      <selection activeCell="D62" sqref="D6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117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8" ht="12.75">
      <c r="A8" s="119" t="s">
        <v>215</v>
      </c>
      <c r="C8" s="3"/>
      <c r="E8" s="88"/>
      <c r="F8" s="88"/>
      <c r="G8" s="88"/>
      <c r="H8" s="88"/>
    </row>
    <row r="9" spans="1:8" ht="12.75">
      <c r="A9" s="4" t="s">
        <v>3</v>
      </c>
      <c r="B9" s="4" t="s">
        <v>4</v>
      </c>
      <c r="C9" s="4" t="s">
        <v>5</v>
      </c>
      <c r="D9" s="5"/>
      <c r="E9" s="88"/>
      <c r="F9" s="88"/>
      <c r="G9" s="88"/>
      <c r="H9" s="88"/>
    </row>
    <row r="10" spans="1:8" ht="12.75">
      <c r="A10" s="6">
        <v>1</v>
      </c>
      <c r="B10" s="6">
        <v>2</v>
      </c>
      <c r="C10" s="6">
        <v>3</v>
      </c>
      <c r="D10" s="7">
        <v>4</v>
      </c>
      <c r="E10" s="88"/>
      <c r="F10" s="88"/>
      <c r="G10" s="88"/>
      <c r="H10" s="88"/>
    </row>
    <row r="11" spans="1:8" ht="12.75">
      <c r="A11" s="8" t="s">
        <v>6</v>
      </c>
      <c r="B11" s="9"/>
      <c r="C11" s="118" t="s">
        <v>252</v>
      </c>
      <c r="D11" s="10"/>
      <c r="E11" s="88"/>
      <c r="F11" s="88"/>
      <c r="G11" s="88"/>
      <c r="H11" s="88"/>
    </row>
    <row r="12" spans="1:8" ht="12.75">
      <c r="A12" s="8" t="s">
        <v>7</v>
      </c>
      <c r="B12" s="9"/>
      <c r="C12" s="118" t="s">
        <v>242</v>
      </c>
      <c r="D12" s="10"/>
      <c r="E12" s="88"/>
      <c r="F12" s="88"/>
      <c r="G12" s="88"/>
      <c r="H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28235.01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13482.06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14805.96</v>
      </c>
      <c r="D18" s="16"/>
      <c r="E18" s="18">
        <f>C18-C20</f>
        <v>14275.38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7736.339999999998</v>
      </c>
      <c r="D19" s="16"/>
      <c r="E19" s="18">
        <f>E18-E39</f>
        <v>-0.09000000000196451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(0.36+0.38)*6*119.5</f>
        <v>530.5799999999999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119.5*(4.44+4.68)*6</f>
        <v>6539.040000000001</v>
      </c>
      <c r="D21" s="16"/>
      <c r="E21" s="88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14539.45272</v>
      </c>
      <c r="D22" s="16" t="s">
        <v>19</v>
      </c>
      <c r="E22" s="89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C18*0.982</f>
        <v>14539.45272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/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42774.462719999996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(0.99+1.08)*6*119.5</f>
        <v>1484.1900000000003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(0.26+0.27)*6*119.5</f>
        <v>380.01</v>
      </c>
      <c r="E32" s="88"/>
      <c r="F32" s="88"/>
      <c r="G32" s="88"/>
      <c r="H32" s="88"/>
    </row>
    <row r="33" spans="1:8" ht="15">
      <c r="A33" s="127" t="s">
        <v>213</v>
      </c>
      <c r="B33" s="30" t="s">
        <v>33</v>
      </c>
      <c r="C33" s="31" t="s">
        <v>34</v>
      </c>
      <c r="D33" s="80">
        <f>(1.31+1.54)*6*119.5</f>
        <v>2043.4500000000003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(1.44+1.52)*6*119.5</f>
        <v>2122.3199999999997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(4.44+4.68)*119.5*6</f>
        <v>6539.040000000001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32" t="s">
        <v>37</v>
      </c>
      <c r="D36" s="80">
        <f>119.5*6*(1.22+1.16)</f>
        <v>1706.46</v>
      </c>
      <c r="E36" s="88"/>
      <c r="F36" s="88"/>
      <c r="G36" s="88"/>
      <c r="H36" s="88"/>
    </row>
    <row r="37" spans="1:14" s="1" customFormat="1" ht="45">
      <c r="A37" s="121" t="s">
        <v>190</v>
      </c>
      <c r="B37" s="34" t="s">
        <v>41</v>
      </c>
      <c r="C37" s="31" t="s">
        <v>34</v>
      </c>
      <c r="D37" s="315">
        <f>D38</f>
        <v>17379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122" t="s">
        <v>246</v>
      </c>
      <c r="B38" s="82" t="s">
        <v>135</v>
      </c>
      <c r="C38" s="416" t="s">
        <v>241</v>
      </c>
      <c r="D38" s="120">
        <v>17379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SUM(D31:D37)</f>
        <v>31654.47</v>
      </c>
      <c r="E39" s="91">
        <f>D39-D37</f>
        <v>14275.470000000001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11119.992719999995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15577.69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7751.88</v>
      </c>
      <c r="C50" s="86">
        <f>B50*0.982</f>
        <v>7612.34616</v>
      </c>
      <c r="D50" s="105">
        <f>B50-C50</f>
        <v>139.53384000000005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5">
      <c r="A52" s="102" t="s">
        <v>202</v>
      </c>
      <c r="B52" s="103">
        <f>B50</f>
        <v>7751.88</v>
      </c>
      <c r="C52" s="86">
        <f>B52</f>
        <v>7751.88</v>
      </c>
      <c r="D52" s="105">
        <f>B52-C52</f>
        <v>0</v>
      </c>
      <c r="E52" s="93"/>
      <c r="F52" s="96"/>
      <c r="G52" s="88"/>
      <c r="H52" s="98"/>
      <c r="I52" s="56"/>
      <c r="J52" s="56"/>
      <c r="K52" s="57"/>
      <c r="L52" s="57"/>
      <c r="M52" s="57"/>
      <c r="N52" s="57"/>
    </row>
    <row r="53" spans="1:14" ht="15">
      <c r="A53" s="68"/>
      <c r="B53" s="68"/>
      <c r="C53" s="68"/>
      <c r="D53" s="69"/>
      <c r="E53" s="53"/>
      <c r="F53" s="63"/>
      <c r="H53" s="56"/>
      <c r="I53" s="56"/>
      <c r="J53" s="56"/>
      <c r="K53" s="57"/>
      <c r="L53" s="57"/>
      <c r="M53" s="57"/>
      <c r="N53" s="57"/>
    </row>
    <row r="54" spans="1:14" ht="17.25" customHeight="1">
      <c r="A54" s="444" t="s">
        <v>231</v>
      </c>
      <c r="B54" s="444"/>
      <c r="C54" s="444"/>
      <c r="D54" s="444"/>
      <c r="E54" s="70" t="e">
        <f>D54+B19</f>
        <v>#VALUE!</v>
      </c>
      <c r="F54" s="56"/>
      <c r="H54" s="71" t="e">
        <f>E54-B18</f>
        <v>#VALUE!</v>
      </c>
      <c r="I54" s="56"/>
      <c r="J54" s="56"/>
      <c r="K54" s="57"/>
      <c r="L54" s="57"/>
      <c r="M54" s="57"/>
      <c r="N54" s="57"/>
    </row>
    <row r="55" spans="1:5" ht="21" customHeight="1">
      <c r="A55" s="72" t="s">
        <v>45</v>
      </c>
      <c r="B55" s="72" t="s">
        <v>46</v>
      </c>
      <c r="C55" s="73"/>
      <c r="D55" s="149">
        <v>0</v>
      </c>
      <c r="E55" s="75"/>
    </row>
    <row r="56" spans="1:5" ht="21" customHeight="1">
      <c r="A56" s="72" t="s">
        <v>47</v>
      </c>
      <c r="B56" s="72" t="s">
        <v>46</v>
      </c>
      <c r="C56" s="72"/>
      <c r="D56" s="149">
        <v>0</v>
      </c>
      <c r="E56" s="75"/>
    </row>
    <row r="57" spans="1:5" ht="18" customHeight="1">
      <c r="A57" s="72" t="s">
        <v>48</v>
      </c>
      <c r="B57" s="72" t="s">
        <v>46</v>
      </c>
      <c r="C57" s="72"/>
      <c r="D57" s="149">
        <v>0</v>
      </c>
      <c r="E57" s="75"/>
    </row>
    <row r="58" spans="1:5" ht="16.5" customHeight="1">
      <c r="A58" s="72" t="s">
        <v>49</v>
      </c>
      <c r="B58" s="72" t="s">
        <v>11</v>
      </c>
      <c r="C58" s="72"/>
      <c r="D58" s="149">
        <v>0</v>
      </c>
      <c r="E58" s="75"/>
    </row>
    <row r="59" spans="1:5" ht="15.75" customHeight="1">
      <c r="A59" s="440" t="s">
        <v>232</v>
      </c>
      <c r="B59" s="440"/>
      <c r="C59" s="440"/>
      <c r="D59" s="440"/>
      <c r="E59" s="75"/>
    </row>
    <row r="60" spans="1:5" ht="18.75" customHeight="1">
      <c r="A60" s="72" t="s">
        <v>66</v>
      </c>
      <c r="B60" s="72" t="s">
        <v>46</v>
      </c>
      <c r="C60" s="72"/>
      <c r="D60" s="149">
        <v>0</v>
      </c>
      <c r="E60" s="75"/>
    </row>
    <row r="61" spans="1:5" ht="21.75" customHeight="1">
      <c r="A61" s="72" t="s">
        <v>67</v>
      </c>
      <c r="B61" s="49" t="s">
        <v>46</v>
      </c>
      <c r="C61" s="49"/>
      <c r="D61" s="149">
        <v>0</v>
      </c>
      <c r="E61" s="75"/>
    </row>
    <row r="62" spans="1:5" ht="36" customHeight="1">
      <c r="A62" s="76" t="s">
        <v>68</v>
      </c>
      <c r="B62" s="72" t="s">
        <v>11</v>
      </c>
      <c r="C62" s="72"/>
      <c r="D62" s="149">
        <v>0</v>
      </c>
      <c r="E62" s="75"/>
    </row>
    <row r="63" spans="1:4" ht="15">
      <c r="A63" s="57"/>
      <c r="B63" s="57"/>
      <c r="C63" s="57"/>
      <c r="D63" s="77"/>
    </row>
    <row r="64" spans="1:14" s="1" customFormat="1" ht="12.75">
      <c r="A64"/>
      <c r="B64"/>
      <c r="C64"/>
      <c r="D64"/>
      <c r="H64" s="1" t="s">
        <v>26</v>
      </c>
      <c r="K64"/>
      <c r="L64"/>
      <c r="M64"/>
      <c r="N64"/>
    </row>
    <row r="65" spans="1:14" s="1" customFormat="1" ht="12.75">
      <c r="A65" t="s">
        <v>69</v>
      </c>
      <c r="B65"/>
      <c r="C65"/>
      <c r="D65"/>
      <c r="K65"/>
      <c r="L65"/>
      <c r="M65"/>
      <c r="N65"/>
    </row>
    <row r="66" spans="1:14" s="1" customFormat="1" ht="12.75">
      <c r="A66"/>
      <c r="B66"/>
      <c r="C66"/>
      <c r="D66"/>
      <c r="H66" s="1" t="s">
        <v>26</v>
      </c>
      <c r="K66"/>
      <c r="L66"/>
      <c r="M66"/>
      <c r="N66"/>
    </row>
    <row r="67" spans="1:14" s="1" customFormat="1" ht="12.75">
      <c r="A67" t="s">
        <v>70</v>
      </c>
      <c r="B67"/>
      <c r="C67"/>
      <c r="D67"/>
      <c r="K67"/>
      <c r="L67"/>
      <c r="M67"/>
      <c r="N67"/>
    </row>
    <row r="71" spans="1:14" s="1" customFormat="1" ht="12.75">
      <c r="A71"/>
      <c r="B71"/>
      <c r="C71"/>
      <c r="D71"/>
      <c r="E71" s="1" t="s">
        <v>26</v>
      </c>
      <c r="K71"/>
      <c r="L71"/>
      <c r="M71"/>
      <c r="N71"/>
    </row>
  </sheetData>
  <sheetProtection selectLockedCells="1" selectUnlockedCells="1"/>
  <mergeCells count="12">
    <mergeCell ref="A59:D59"/>
    <mergeCell ref="A14:D14"/>
    <mergeCell ref="A29:D29"/>
    <mergeCell ref="A43:D43"/>
    <mergeCell ref="A48:D48"/>
    <mergeCell ref="A54:D5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80" zoomScaleNormal="80" zoomScalePageLayoutView="0" workbookViewId="0" topLeftCell="A10">
      <selection activeCell="C52" sqref="C52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118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165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4" ht="12.75">
      <c r="A13" s="8" t="s">
        <v>8</v>
      </c>
      <c r="B13" s="9"/>
      <c r="C13" s="118" t="s">
        <v>243</v>
      </c>
      <c r="D13" s="10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3">
        <v>22346.48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21577.58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12552.84</v>
      </c>
      <c r="D18" s="16"/>
      <c r="E18" s="18">
        <f>C18-C20</f>
        <v>10221.936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5909.999999999999</v>
      </c>
      <c r="D19" s="16"/>
      <c r="E19" s="18">
        <f>E18-E40</f>
        <v>0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(2.53+2.4)*6*78.8</f>
        <v>2330.904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78.8*(4.44+4.68)*6</f>
        <v>4311.936000000001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12879.21384</v>
      </c>
      <c r="D22" s="16" t="s">
        <v>19</v>
      </c>
      <c r="E22" s="18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C18*1.026</f>
        <v>12879.21384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/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/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35225.69384</v>
      </c>
      <c r="D28" s="16" t="s">
        <v>26</v>
      </c>
      <c r="E28" s="90"/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(2.14+2.03)*6*78.8</f>
        <v>1971.5759999999998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(0.26+0.27)*6*78.8</f>
        <v>250.584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78.8*(1.51+1.61)*6</f>
        <v>1475.136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(1.44+1.52)*6*78.8</f>
        <v>1399.4879999999998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(4.44+4.68)*78.8*6</f>
        <v>4311.936000000001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78.8*6*(0.88+0.84)</f>
        <v>813.2159999999999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87" t="s">
        <v>74</v>
      </c>
      <c r="D37" s="315">
        <f>D38+D39</f>
        <v>16690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 t="s">
        <v>295</v>
      </c>
      <c r="B38" s="82" t="s">
        <v>266</v>
      </c>
      <c r="C38" s="28" t="s">
        <v>34</v>
      </c>
      <c r="D38" s="417">
        <v>2595</v>
      </c>
      <c r="E38" s="88"/>
      <c r="F38" s="88"/>
      <c r="G38" s="88"/>
      <c r="H38" s="88"/>
      <c r="K38"/>
      <c r="L38"/>
      <c r="M38"/>
      <c r="N38"/>
    </row>
    <row r="39" spans="1:14" s="1" customFormat="1" ht="15">
      <c r="A39" s="81" t="s">
        <v>136</v>
      </c>
      <c r="B39" s="82" t="s">
        <v>137</v>
      </c>
      <c r="C39" s="322" t="s">
        <v>296</v>
      </c>
      <c r="D39" s="417">
        <v>14095</v>
      </c>
      <c r="E39" s="88"/>
      <c r="F39" s="88"/>
      <c r="G39" s="88"/>
      <c r="H39" s="88"/>
      <c r="K39"/>
      <c r="L39"/>
      <c r="M39"/>
      <c r="N39"/>
    </row>
    <row r="40" spans="1:14" s="1" customFormat="1" ht="15.75">
      <c r="A40" s="37" t="s">
        <v>42</v>
      </c>
      <c r="B40" s="38"/>
      <c r="C40" s="39"/>
      <c r="D40" s="84">
        <f>D31+D32+D33+D34+D35+D36+D37</f>
        <v>26911.936</v>
      </c>
      <c r="E40" s="91">
        <f>D40-D37</f>
        <v>10221.936000000002</v>
      </c>
      <c r="F40" s="88"/>
      <c r="G40" s="88"/>
      <c r="H40" s="88"/>
      <c r="K40"/>
      <c r="L40"/>
      <c r="M40"/>
      <c r="N40"/>
    </row>
    <row r="41" spans="1:14" s="1" customFormat="1" ht="15">
      <c r="A41" s="40" t="s">
        <v>43</v>
      </c>
      <c r="B41" s="41" t="s">
        <v>11</v>
      </c>
      <c r="C41" s="42"/>
      <c r="D41" s="43">
        <f>C28-D40</f>
        <v>8313.757839999998</v>
      </c>
      <c r="E41" s="91"/>
      <c r="F41" s="88"/>
      <c r="G41" s="88"/>
      <c r="H41" s="88"/>
      <c r="K41"/>
      <c r="L41"/>
      <c r="M41"/>
      <c r="N41"/>
    </row>
    <row r="42" spans="1:14" s="1" customFormat="1" ht="15">
      <c r="A42" s="45" t="s">
        <v>12</v>
      </c>
      <c r="B42" s="46" t="s">
        <v>11</v>
      </c>
      <c r="C42" s="31"/>
      <c r="D42" s="14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13</v>
      </c>
      <c r="B43" s="46" t="s">
        <v>11</v>
      </c>
      <c r="C43" s="31"/>
      <c r="D43" s="16">
        <v>21125.02</v>
      </c>
      <c r="E43" s="88"/>
      <c r="F43" s="88"/>
      <c r="G43" s="88"/>
      <c r="H43" s="88"/>
      <c r="K43"/>
      <c r="L43"/>
      <c r="M43"/>
      <c r="N43"/>
    </row>
    <row r="44" spans="1:14" s="1" customFormat="1" ht="24" customHeight="1">
      <c r="A44" s="443" t="s">
        <v>44</v>
      </c>
      <c r="B44" s="443"/>
      <c r="C44" s="443"/>
      <c r="D44" s="443"/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45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47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7" t="s">
        <v>48</v>
      </c>
      <c r="B47" s="30" t="s">
        <v>46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s="1" customFormat="1" ht="15">
      <c r="A48" s="45" t="s">
        <v>49</v>
      </c>
      <c r="B48" s="30" t="s">
        <v>11</v>
      </c>
      <c r="C48" s="31">
        <v>0</v>
      </c>
      <c r="D48" s="14">
        <v>0</v>
      </c>
      <c r="E48" s="88"/>
      <c r="F48" s="88"/>
      <c r="G48" s="88"/>
      <c r="H48" s="88"/>
      <c r="K48"/>
      <c r="L48"/>
      <c r="M48"/>
      <c r="N48"/>
    </row>
    <row r="49" spans="1:14" ht="18" customHeight="1" thickBot="1">
      <c r="A49" s="452" t="s">
        <v>230</v>
      </c>
      <c r="B49" s="452"/>
      <c r="C49" s="452"/>
      <c r="D49" s="452"/>
      <c r="E49" s="93"/>
      <c r="F49" s="54"/>
      <c r="G49" s="55"/>
      <c r="I49" s="56"/>
      <c r="J49" s="56"/>
      <c r="K49" s="57"/>
      <c r="L49" s="57"/>
      <c r="M49" s="57"/>
      <c r="N49" s="57"/>
    </row>
    <row r="50" spans="1:14" ht="47.25">
      <c r="A50" s="58" t="s">
        <v>54</v>
      </c>
      <c r="B50" s="59" t="s">
        <v>55</v>
      </c>
      <c r="C50" s="60" t="s">
        <v>56</v>
      </c>
      <c r="D50" s="61" t="s">
        <v>57</v>
      </c>
      <c r="E50" s="93"/>
      <c r="F50" s="54"/>
      <c r="G50" s="55"/>
      <c r="I50" s="56"/>
      <c r="J50" s="62"/>
      <c r="K50" s="57"/>
      <c r="L50" s="57"/>
      <c r="M50" s="57"/>
      <c r="N50" s="57"/>
    </row>
    <row r="51" spans="1:14" ht="15.75" thickBot="1">
      <c r="A51" s="102" t="s">
        <v>202</v>
      </c>
      <c r="B51" s="103">
        <v>5111.76</v>
      </c>
      <c r="C51" s="86">
        <f>B51</f>
        <v>5111.76</v>
      </c>
      <c r="D51" s="105">
        <f>B51-C51</f>
        <v>0</v>
      </c>
      <c r="E51" s="93"/>
      <c r="F51" s="63"/>
      <c r="G51" s="64"/>
      <c r="I51" s="56"/>
      <c r="J51" s="56"/>
      <c r="K51" s="57"/>
      <c r="L51" s="57"/>
      <c r="M51" s="57"/>
      <c r="N51" s="57"/>
    </row>
    <row r="52" spans="1:14" ht="63">
      <c r="A52" s="106" t="s">
        <v>59</v>
      </c>
      <c r="B52" s="107" t="s">
        <v>60</v>
      </c>
      <c r="C52" s="108" t="s">
        <v>61</v>
      </c>
      <c r="D52" s="109" t="s">
        <v>62</v>
      </c>
      <c r="E52" s="93"/>
      <c r="F52" s="63"/>
      <c r="H52" s="56"/>
      <c r="I52" s="56"/>
      <c r="J52" s="56"/>
      <c r="K52" s="57"/>
      <c r="L52" s="57"/>
      <c r="M52" s="57"/>
      <c r="N52" s="57"/>
    </row>
    <row r="53" spans="1:14" ht="15.75" thickBot="1">
      <c r="A53" s="110" t="s">
        <v>202</v>
      </c>
      <c r="B53" s="111">
        <f>B51</f>
        <v>5111.76</v>
      </c>
      <c r="C53" s="112">
        <f>B53</f>
        <v>5111.76</v>
      </c>
      <c r="D53" s="113">
        <f>B53-C53</f>
        <v>0</v>
      </c>
      <c r="E53" s="53"/>
      <c r="F53" s="63"/>
      <c r="H53" s="56" t="s">
        <v>26</v>
      </c>
      <c r="I53" s="56"/>
      <c r="J53" s="56"/>
      <c r="K53" s="57"/>
      <c r="L53" s="57"/>
      <c r="M53" s="57"/>
      <c r="N53" s="57"/>
    </row>
    <row r="54" spans="1:14" ht="17.25" customHeight="1">
      <c r="A54" s="444" t="s">
        <v>231</v>
      </c>
      <c r="B54" s="444"/>
      <c r="C54" s="444"/>
      <c r="D54" s="444"/>
      <c r="E54" s="70"/>
      <c r="F54" s="56"/>
      <c r="H54" s="71" t="e">
        <f>E54-B18</f>
        <v>#VALUE!</v>
      </c>
      <c r="I54" s="56"/>
      <c r="J54" s="56"/>
      <c r="K54" s="57"/>
      <c r="L54" s="57"/>
      <c r="M54" s="57"/>
      <c r="N54" s="57"/>
    </row>
    <row r="55" spans="1:5" ht="21" customHeight="1">
      <c r="A55" s="72" t="s">
        <v>45</v>
      </c>
      <c r="B55" s="72" t="s">
        <v>46</v>
      </c>
      <c r="C55" s="73"/>
      <c r="D55" s="149">
        <v>0</v>
      </c>
      <c r="E55" s="75"/>
    </row>
    <row r="56" spans="1:5" ht="21" customHeight="1">
      <c r="A56" s="72" t="s">
        <v>47</v>
      </c>
      <c r="B56" s="72" t="s">
        <v>46</v>
      </c>
      <c r="C56" s="72"/>
      <c r="D56" s="149">
        <v>0</v>
      </c>
      <c r="E56" s="75"/>
    </row>
    <row r="57" spans="1:5" ht="18" customHeight="1">
      <c r="A57" s="72" t="s">
        <v>48</v>
      </c>
      <c r="B57" s="72" t="s">
        <v>46</v>
      </c>
      <c r="C57" s="72"/>
      <c r="D57" s="149">
        <v>0</v>
      </c>
      <c r="E57" s="75"/>
    </row>
    <row r="58" spans="1:5" ht="16.5" customHeight="1">
      <c r="A58" s="72" t="s">
        <v>49</v>
      </c>
      <c r="B58" s="72" t="s">
        <v>11</v>
      </c>
      <c r="C58" s="72"/>
      <c r="D58" s="149">
        <v>0</v>
      </c>
      <c r="E58" s="75"/>
    </row>
    <row r="59" spans="1:5" ht="15.75" customHeight="1">
      <c r="A59" s="440" t="s">
        <v>232</v>
      </c>
      <c r="B59" s="440"/>
      <c r="C59" s="440"/>
      <c r="D59" s="440"/>
      <c r="E59" s="75"/>
    </row>
    <row r="60" spans="1:5" ht="18.75" customHeight="1">
      <c r="A60" s="72" t="s">
        <v>66</v>
      </c>
      <c r="B60" s="72" t="s">
        <v>46</v>
      </c>
      <c r="C60" s="72"/>
      <c r="D60" s="149">
        <v>0</v>
      </c>
      <c r="E60" s="75"/>
    </row>
    <row r="61" spans="1:5" ht="21.75" customHeight="1">
      <c r="A61" s="72" t="s">
        <v>67</v>
      </c>
      <c r="B61" s="49" t="s">
        <v>46</v>
      </c>
      <c r="C61" s="49"/>
      <c r="D61" s="149">
        <v>0</v>
      </c>
      <c r="E61" s="75"/>
    </row>
    <row r="62" spans="1:5" ht="36" customHeight="1">
      <c r="A62" s="76" t="s">
        <v>68</v>
      </c>
      <c r="B62" s="72" t="s">
        <v>11</v>
      </c>
      <c r="C62" s="72"/>
      <c r="D62" s="149">
        <v>0</v>
      </c>
      <c r="E62" s="75"/>
    </row>
    <row r="63" spans="1:4" ht="15">
      <c r="A63" s="57"/>
      <c r="B63" s="57"/>
      <c r="C63" s="57"/>
      <c r="D63" s="77"/>
    </row>
    <row r="64" spans="1:14" s="1" customFormat="1" ht="12.75">
      <c r="A64"/>
      <c r="B64"/>
      <c r="C64"/>
      <c r="D64"/>
      <c r="H64" s="1" t="s">
        <v>26</v>
      </c>
      <c r="K64"/>
      <c r="L64"/>
      <c r="M64"/>
      <c r="N64"/>
    </row>
    <row r="65" spans="1:14" s="1" customFormat="1" ht="12.75">
      <c r="A65" t="s">
        <v>69</v>
      </c>
      <c r="B65"/>
      <c r="C65"/>
      <c r="D65"/>
      <c r="K65"/>
      <c r="L65"/>
      <c r="M65"/>
      <c r="N65"/>
    </row>
    <row r="66" spans="1:14" s="1" customFormat="1" ht="12.75">
      <c r="A66"/>
      <c r="B66"/>
      <c r="C66"/>
      <c r="D66"/>
      <c r="H66" s="1" t="s">
        <v>26</v>
      </c>
      <c r="K66"/>
      <c r="L66"/>
      <c r="M66"/>
      <c r="N66"/>
    </row>
    <row r="67" spans="1:14" s="1" customFormat="1" ht="12.75">
      <c r="A67" t="s">
        <v>70</v>
      </c>
      <c r="B67"/>
      <c r="C67"/>
      <c r="D67"/>
      <c r="K67"/>
      <c r="L67"/>
      <c r="M67"/>
      <c r="N67"/>
    </row>
    <row r="71" spans="1:14" s="1" customFormat="1" ht="12.75">
      <c r="A71"/>
      <c r="B71"/>
      <c r="C71"/>
      <c r="D71"/>
      <c r="E71" s="1" t="s">
        <v>26</v>
      </c>
      <c r="K71"/>
      <c r="L71"/>
      <c r="M71"/>
      <c r="N71"/>
    </row>
  </sheetData>
  <sheetProtection selectLockedCells="1" selectUnlockedCells="1"/>
  <mergeCells count="12">
    <mergeCell ref="A59:D59"/>
    <mergeCell ref="A14:D14"/>
    <mergeCell ref="A29:D29"/>
    <mergeCell ref="A44:D44"/>
    <mergeCell ref="A49:D49"/>
    <mergeCell ref="A54:D54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7">
      <selection activeCell="H17" sqref="E17:H19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119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119" t="s">
        <v>216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5" ht="12.75">
      <c r="A10" s="6">
        <v>1</v>
      </c>
      <c r="B10" s="6">
        <v>2</v>
      </c>
      <c r="C10" s="6">
        <v>3</v>
      </c>
      <c r="D10" s="7">
        <v>4</v>
      </c>
      <c r="E10" s="88"/>
    </row>
    <row r="11" spans="1:5" ht="12.75">
      <c r="A11" s="8" t="s">
        <v>6</v>
      </c>
      <c r="B11" s="9"/>
      <c r="C11" s="118" t="s">
        <v>252</v>
      </c>
      <c r="D11" s="10"/>
      <c r="E11" s="88"/>
    </row>
    <row r="12" spans="1:5" ht="12.75">
      <c r="A12" s="8" t="s">
        <v>7</v>
      </c>
      <c r="B12" s="9"/>
      <c r="C12" s="118" t="s">
        <v>242</v>
      </c>
      <c r="D12" s="10"/>
      <c r="E12" s="88"/>
    </row>
    <row r="13" spans="1:5" ht="12.75">
      <c r="A13" s="8" t="s">
        <v>8</v>
      </c>
      <c r="B13" s="9"/>
      <c r="C13" s="118" t="s">
        <v>243</v>
      </c>
      <c r="D13" s="1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8" ht="25.5">
      <c r="A15" s="11" t="s">
        <v>10</v>
      </c>
      <c r="B15" s="12" t="s">
        <v>11</v>
      </c>
      <c r="C15" s="15">
        <v>6713.89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10" ht="15">
      <c r="A17" s="8" t="s">
        <v>13</v>
      </c>
      <c r="B17" s="12" t="s">
        <v>11</v>
      </c>
      <c r="C17" s="15">
        <v>2263.99</v>
      </c>
      <c r="D17" s="16"/>
      <c r="E17" s="88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2" t="s">
        <v>11</v>
      </c>
      <c r="C18" s="15">
        <v>13116.66</v>
      </c>
      <c r="D18" s="16"/>
      <c r="E18" s="89">
        <f>C18-C20</f>
        <v>12228.876</v>
      </c>
      <c r="F18" s="88"/>
      <c r="G18" s="88"/>
      <c r="H18" s="88"/>
      <c r="I18" s="88"/>
      <c r="J18" s="88"/>
    </row>
    <row r="19" spans="1:10" ht="15">
      <c r="A19" s="8" t="s">
        <v>15</v>
      </c>
      <c r="B19" s="12" t="s">
        <v>11</v>
      </c>
      <c r="C19" s="15">
        <f>C18-C20-C21</f>
        <v>6527.052</v>
      </c>
      <c r="D19" s="16"/>
      <c r="E19" s="89">
        <f>E18-E39</f>
        <v>-0.03600000000005821</v>
      </c>
      <c r="F19" s="88"/>
      <c r="G19" s="88"/>
      <c r="H19" s="88" t="s">
        <v>217</v>
      </c>
      <c r="I19" s="88"/>
      <c r="J19" s="88"/>
    </row>
    <row r="20" spans="1:10" ht="15">
      <c r="A20" s="8" t="s">
        <v>16</v>
      </c>
      <c r="B20" s="12" t="s">
        <v>11</v>
      </c>
      <c r="C20" s="15">
        <f>(0.69+0.73)*6*104.2</f>
        <v>887.784</v>
      </c>
      <c r="D20" s="16"/>
      <c r="E20" s="123"/>
      <c r="F20" s="88"/>
      <c r="G20" s="88"/>
      <c r="H20" s="88"/>
      <c r="I20" s="88"/>
      <c r="J20" s="88"/>
    </row>
    <row r="21" spans="1:10" ht="15">
      <c r="A21" s="8" t="s">
        <v>17</v>
      </c>
      <c r="B21" s="12" t="s">
        <v>11</v>
      </c>
      <c r="C21" s="19">
        <f>104.2*(4.44+4.68)*6</f>
        <v>5701.8240000000005</v>
      </c>
      <c r="D21" s="16"/>
      <c r="E21" s="50"/>
      <c r="F21" s="88"/>
      <c r="G21" s="88"/>
      <c r="H21" s="88"/>
      <c r="I21" s="88"/>
      <c r="J21" s="88"/>
    </row>
    <row r="22" spans="1:10" ht="15">
      <c r="A22" s="20" t="s">
        <v>18</v>
      </c>
      <c r="B22" s="12" t="s">
        <v>11</v>
      </c>
      <c r="C22" s="15">
        <f>C23+C24+C25+C26+C27</f>
        <v>13116.66</v>
      </c>
      <c r="D22" s="16" t="s">
        <v>19</v>
      </c>
      <c r="E22" s="18"/>
      <c r="F22" s="88"/>
      <c r="G22" s="88"/>
      <c r="H22" s="88"/>
      <c r="I22" s="88"/>
      <c r="J22" s="88"/>
    </row>
    <row r="23" spans="1:10" ht="15">
      <c r="A23" s="8" t="s">
        <v>20</v>
      </c>
      <c r="B23" s="12" t="s">
        <v>11</v>
      </c>
      <c r="C23" s="15">
        <f>C18*1</f>
        <v>13116.66</v>
      </c>
      <c r="D23" s="16"/>
      <c r="E23" s="88"/>
      <c r="F23" s="88"/>
      <c r="G23" s="88"/>
      <c r="H23" s="88"/>
      <c r="I23" s="88"/>
      <c r="J23" s="88"/>
    </row>
    <row r="24" spans="1:10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  <c r="I24" s="88"/>
      <c r="J24" s="88"/>
    </row>
    <row r="25" spans="1:10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  <c r="I25" s="88"/>
      <c r="J25" s="88"/>
    </row>
    <row r="26" spans="1:10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  <c r="I26" s="88"/>
      <c r="J26" s="88"/>
    </row>
    <row r="27" spans="1:10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15">
      <c r="A28" s="8" t="s">
        <v>25</v>
      </c>
      <c r="B28" s="12" t="s">
        <v>11</v>
      </c>
      <c r="C28" s="15">
        <f>C15+C22</f>
        <v>19830.55</v>
      </c>
      <c r="D28" s="16" t="s">
        <v>26</v>
      </c>
      <c r="E28" s="90" t="e">
        <f>B28/#REF!*1</f>
        <v>#VALUE!</v>
      </c>
      <c r="F28" s="88"/>
      <c r="G28" s="88"/>
      <c r="H28" s="88"/>
      <c r="I28" s="88"/>
      <c r="J28" s="88"/>
    </row>
    <row r="29" spans="1:10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  <c r="I29" s="88"/>
      <c r="J29" s="88"/>
    </row>
    <row r="30" spans="1:10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  <c r="I30" s="88"/>
      <c r="J30" s="88"/>
    </row>
    <row r="31" spans="1:10" ht="15">
      <c r="A31" s="26" t="s">
        <v>32</v>
      </c>
      <c r="B31" s="27" t="s">
        <v>33</v>
      </c>
      <c r="C31" s="28" t="s">
        <v>34</v>
      </c>
      <c r="D31" s="79">
        <f>(1.14+1.08)*6*104.2</f>
        <v>1387.944</v>
      </c>
      <c r="E31" s="88"/>
      <c r="F31" s="88"/>
      <c r="G31" s="88"/>
      <c r="H31" s="88"/>
      <c r="I31" s="88"/>
      <c r="J31" s="88"/>
    </row>
    <row r="32" spans="1:10" ht="15">
      <c r="A32" s="29" t="s">
        <v>36</v>
      </c>
      <c r="B32" s="30" t="s">
        <v>33</v>
      </c>
      <c r="C32" s="31" t="s">
        <v>37</v>
      </c>
      <c r="D32" s="80">
        <f>(0.26+0.27)*6*104.2</f>
        <v>331.35600000000005</v>
      </c>
      <c r="E32" s="88"/>
      <c r="F32" s="88"/>
      <c r="G32" s="88"/>
      <c r="H32" s="88"/>
      <c r="I32" s="88"/>
      <c r="J32" s="88"/>
    </row>
    <row r="33" spans="1:10" ht="15">
      <c r="A33" s="127" t="s">
        <v>156</v>
      </c>
      <c r="B33" s="30" t="s">
        <v>33</v>
      </c>
      <c r="C33" s="31" t="s">
        <v>34</v>
      </c>
      <c r="D33" s="80">
        <f>(1.35+1.43)*6*104.2</f>
        <v>1738.056</v>
      </c>
      <c r="E33" s="88"/>
      <c r="F33" s="88"/>
      <c r="G33" s="88"/>
      <c r="H33" s="88"/>
      <c r="I33" s="88"/>
      <c r="J33" s="88"/>
    </row>
    <row r="34" spans="1:10" ht="15">
      <c r="A34" s="29" t="s">
        <v>78</v>
      </c>
      <c r="B34" s="78" t="s">
        <v>79</v>
      </c>
      <c r="C34" s="31" t="s">
        <v>34</v>
      </c>
      <c r="D34" s="80">
        <f>(1.44+1.52)*6*104.2</f>
        <v>1850.5919999999999</v>
      </c>
      <c r="E34" s="88"/>
      <c r="F34" s="88"/>
      <c r="G34" s="88"/>
      <c r="H34" s="88"/>
      <c r="I34" s="88"/>
      <c r="J34" s="88"/>
    </row>
    <row r="35" spans="1:10" ht="15">
      <c r="A35" s="29" t="s">
        <v>38</v>
      </c>
      <c r="B35" s="30" t="s">
        <v>35</v>
      </c>
      <c r="C35" s="306" t="s">
        <v>194</v>
      </c>
      <c r="D35" s="80">
        <f>(4.44+4.68)*104.2*6</f>
        <v>5701.8240000000005</v>
      </c>
      <c r="E35" s="88"/>
      <c r="F35" s="88"/>
      <c r="G35" s="88"/>
      <c r="H35" s="88"/>
      <c r="I35" s="88"/>
      <c r="J35" s="88"/>
    </row>
    <row r="36" spans="1:10" ht="15">
      <c r="A36" s="29" t="s">
        <v>82</v>
      </c>
      <c r="B36" s="30" t="s">
        <v>195</v>
      </c>
      <c r="C36" s="143" t="s">
        <v>37</v>
      </c>
      <c r="D36" s="80">
        <f>104.2*6*(1+0.95)</f>
        <v>1219.14</v>
      </c>
      <c r="E36" s="88"/>
      <c r="F36" s="88"/>
      <c r="G36" s="88"/>
      <c r="H36" s="88"/>
      <c r="I36" s="88"/>
      <c r="J36" s="88"/>
    </row>
    <row r="37" spans="1:14" s="1" customFormat="1" ht="45">
      <c r="A37" s="33" t="s">
        <v>40</v>
      </c>
      <c r="B37" s="34" t="s">
        <v>41</v>
      </c>
      <c r="C37" s="87" t="s">
        <v>74</v>
      </c>
      <c r="D37" s="315">
        <f>D38</f>
        <v>0</v>
      </c>
      <c r="E37" s="88"/>
      <c r="F37" s="88"/>
      <c r="G37" s="88"/>
      <c r="H37" s="88"/>
      <c r="I37" s="88"/>
      <c r="J37" s="88"/>
      <c r="K37"/>
      <c r="L37"/>
      <c r="M37"/>
      <c r="N37"/>
    </row>
    <row r="38" spans="1:14" s="1" customFormat="1" ht="15">
      <c r="A38" s="81"/>
      <c r="B38" s="82"/>
      <c r="C38" s="322"/>
      <c r="D38" s="417"/>
      <c r="E38" s="88"/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SUM(D31:D37)</f>
        <v>12228.912</v>
      </c>
      <c r="E39" s="91">
        <f>D39-D37</f>
        <v>12228.912</v>
      </c>
      <c r="F39" s="88"/>
      <c r="G39" s="88"/>
      <c r="H39" s="88"/>
      <c r="I39" s="88"/>
      <c r="J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7601.637999999999</v>
      </c>
      <c r="E40" s="91"/>
      <c r="F40" s="88"/>
      <c r="G40" s="88"/>
      <c r="H40" s="88"/>
      <c r="I40" s="88"/>
      <c r="J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I41" s="88"/>
      <c r="J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974.65</v>
      </c>
      <c r="E42" s="88"/>
      <c r="F42" s="88"/>
      <c r="G42" s="88"/>
      <c r="H42" s="88"/>
      <c r="I42" s="88"/>
      <c r="J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I43" s="88"/>
      <c r="J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I47" s="88"/>
      <c r="J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54"/>
      <c r="G48" s="55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54"/>
      <c r="G49" s="55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6759.48</v>
      </c>
      <c r="C50" s="86">
        <f>B50</f>
        <v>6759.48</v>
      </c>
      <c r="D50" s="105">
        <f>B50-C50</f>
        <v>0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03">
        <f>B50</f>
        <v>6759.48</v>
      </c>
      <c r="C52" s="114">
        <f>C50</f>
        <v>6759.48</v>
      </c>
      <c r="D52" s="113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101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101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101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2" t="s">
        <v>66</v>
      </c>
      <c r="B59" s="72" t="s">
        <v>46</v>
      </c>
      <c r="C59" s="72"/>
      <c r="D59" s="149">
        <v>0</v>
      </c>
      <c r="E59" s="101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101"/>
    </row>
    <row r="61" spans="1:5" ht="36" customHeight="1">
      <c r="A61" s="76" t="s">
        <v>68</v>
      </c>
      <c r="B61" s="72" t="s">
        <v>11</v>
      </c>
      <c r="C61" s="72"/>
      <c r="D61" s="149">
        <v>0</v>
      </c>
      <c r="E61" s="101"/>
    </row>
    <row r="62" spans="1:5" ht="15">
      <c r="A62" s="57"/>
      <c r="B62" s="57"/>
      <c r="C62" s="57"/>
      <c r="D62" s="77"/>
      <c r="E62" s="88"/>
    </row>
    <row r="63" spans="1:14" s="1" customFormat="1" ht="12.75">
      <c r="A63"/>
      <c r="B63"/>
      <c r="C63"/>
      <c r="D63"/>
      <c r="E63" s="88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E64" s="88"/>
      <c r="K64"/>
      <c r="L64"/>
      <c r="M64"/>
      <c r="N64"/>
    </row>
    <row r="65" spans="1:14" s="1" customFormat="1" ht="12.75">
      <c r="A65"/>
      <c r="B65"/>
      <c r="C65"/>
      <c r="D65"/>
      <c r="E65" s="88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E66" s="88"/>
      <c r="K66"/>
      <c r="L66"/>
      <c r="M66"/>
      <c r="N66"/>
    </row>
    <row r="67" ht="12.75">
      <c r="E67" s="88"/>
    </row>
    <row r="68" ht="12.75">
      <c r="E68" s="88"/>
    </row>
    <row r="69" ht="12.75">
      <c r="E69" s="88"/>
    </row>
    <row r="70" spans="1:14" s="1" customFormat="1" ht="12.75">
      <c r="A70"/>
      <c r="B70"/>
      <c r="C70"/>
      <c r="D70"/>
      <c r="E70" s="88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6">
      <selection activeCell="A53" sqref="A53:D5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120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15.75" customHeight="1">
      <c r="A6" s="2" t="s">
        <v>166</v>
      </c>
    </row>
    <row r="7" spans="1:4" ht="18" customHeight="1">
      <c r="A7" s="450" t="s">
        <v>2</v>
      </c>
      <c r="B7" s="450"/>
      <c r="C7" s="450"/>
      <c r="D7" s="450"/>
    </row>
    <row r="8" spans="1:3" ht="12.75">
      <c r="A8" s="2"/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5" ht="12.75">
      <c r="A13" s="8" t="s">
        <v>8</v>
      </c>
      <c r="B13" s="9"/>
      <c r="C13" s="118" t="s">
        <v>243</v>
      </c>
      <c r="D13" s="10"/>
      <c r="E13" s="88"/>
    </row>
    <row r="14" spans="1:5" ht="31.5" customHeight="1">
      <c r="A14" s="441" t="s">
        <v>9</v>
      </c>
      <c r="B14" s="441"/>
      <c r="C14" s="441"/>
      <c r="D14" s="441"/>
      <c r="E14" s="88"/>
    </row>
    <row r="15" spans="1:5" ht="25.5">
      <c r="A15" s="11" t="s">
        <v>10</v>
      </c>
      <c r="B15" s="12" t="s">
        <v>11</v>
      </c>
      <c r="C15" s="15">
        <v>5786.9</v>
      </c>
      <c r="D15" s="14"/>
      <c r="E15" s="88"/>
    </row>
    <row r="16" spans="1:5" ht="15">
      <c r="A16" s="8" t="s">
        <v>12</v>
      </c>
      <c r="B16" s="12" t="s">
        <v>11</v>
      </c>
      <c r="C16" s="13">
        <v>0</v>
      </c>
      <c r="D16" s="14"/>
      <c r="E16" s="88"/>
    </row>
    <row r="17" spans="1:8" ht="15">
      <c r="A17" s="8" t="s">
        <v>13</v>
      </c>
      <c r="B17" s="12" t="s">
        <v>11</v>
      </c>
      <c r="C17" s="15">
        <v>2263.99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16039.86</v>
      </c>
      <c r="D18" s="16"/>
      <c r="E18" s="18">
        <f>C18-C20</f>
        <v>13553.796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6943.619999999999</v>
      </c>
      <c r="D19" s="16"/>
      <c r="E19" s="18">
        <f>E18-E39</f>
        <v>0.03599999999823922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(1.67+1.76)*6*120.8</f>
        <v>2486.064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120.8*(4.44+4.68)*6</f>
        <v>6610.176000000001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16023.82014</v>
      </c>
      <c r="D22" s="16" t="s">
        <v>19</v>
      </c>
      <c r="E22" s="89" t="e">
        <f>B24+B25+B26+B27+B28</f>
        <v>#VALUE!</v>
      </c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C18*0.999</f>
        <v>16023.82014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21810.720139999998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(1.12+1.06)*6*120.8</f>
        <v>1580.064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(0.26+0.27)*6*120.8</f>
        <v>384.144</v>
      </c>
      <c r="E32" s="88"/>
      <c r="F32" s="88"/>
      <c r="G32" s="88"/>
      <c r="H32" s="88"/>
    </row>
    <row r="33" spans="1:8" ht="15">
      <c r="A33" s="29" t="s">
        <v>101</v>
      </c>
      <c r="B33" s="30" t="s">
        <v>33</v>
      </c>
      <c r="C33" s="31" t="s">
        <v>34</v>
      </c>
      <c r="D33" s="80">
        <f>(1.35+1.43)*6*120.8</f>
        <v>2014.944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(1.44+1.52)*6*120.8</f>
        <v>2145.408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(4.44+4.68)*120.8*6</f>
        <v>6610.176000000001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120.8*6*(0.58+0.55)</f>
        <v>819.0239999999999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87"/>
      <c r="D37" s="128">
        <f>D38</f>
        <v>9075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 t="s">
        <v>297</v>
      </c>
      <c r="B38" s="82" t="s">
        <v>148</v>
      </c>
      <c r="C38" s="322" t="s">
        <v>241</v>
      </c>
      <c r="D38" s="83">
        <v>9075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D31+D32+D33+D34+D35+D36+D37</f>
        <v>22628.760000000002</v>
      </c>
      <c r="E39" s="91">
        <f>D39-D37</f>
        <v>13553.760000000002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-818.0398600000044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4"/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1056.24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54"/>
      <c r="G48" s="55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54"/>
      <c r="G49" s="55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7836.12</v>
      </c>
      <c r="C50" s="86">
        <f>B50*0.999</f>
        <v>7828.28388</v>
      </c>
      <c r="D50" s="105">
        <f>B50-C50</f>
        <v>7.836119999999937</v>
      </c>
      <c r="E50" s="93"/>
      <c r="F50" s="63"/>
      <c r="G50" s="64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63"/>
      <c r="H51" s="56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7836.12</v>
      </c>
      <c r="C52" s="112">
        <f>B52</f>
        <v>7836.12</v>
      </c>
      <c r="D52" s="113">
        <f>B52-C52</f>
        <v>0</v>
      </c>
      <c r="E52" s="9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2" t="s">
        <v>45</v>
      </c>
      <c r="B54" s="72" t="s">
        <v>46</v>
      </c>
      <c r="C54" s="73"/>
      <c r="D54" s="149">
        <v>0</v>
      </c>
      <c r="E54" s="101"/>
    </row>
    <row r="55" spans="1:5" ht="21" customHeight="1">
      <c r="A55" s="72" t="s">
        <v>47</v>
      </c>
      <c r="B55" s="72" t="s">
        <v>46</v>
      </c>
      <c r="C55" s="72"/>
      <c r="D55" s="149">
        <v>0</v>
      </c>
      <c r="E55" s="101"/>
    </row>
    <row r="56" spans="1:5" ht="18" customHeight="1">
      <c r="A56" s="72" t="s">
        <v>48</v>
      </c>
      <c r="B56" s="72" t="s">
        <v>46</v>
      </c>
      <c r="C56" s="72"/>
      <c r="D56" s="149">
        <v>0</v>
      </c>
      <c r="E56" s="101"/>
    </row>
    <row r="57" spans="1:5" ht="16.5" customHeight="1">
      <c r="A57" s="72" t="s">
        <v>49</v>
      </c>
      <c r="B57" s="72" t="s">
        <v>11</v>
      </c>
      <c r="C57" s="72"/>
      <c r="D57" s="149">
        <v>0</v>
      </c>
      <c r="E57" s="101"/>
    </row>
    <row r="58" spans="1:5" ht="15.75" customHeight="1">
      <c r="A58" s="440" t="s">
        <v>232</v>
      </c>
      <c r="B58" s="440"/>
      <c r="C58" s="440"/>
      <c r="D58" s="440"/>
      <c r="E58" s="101"/>
    </row>
    <row r="59" spans="1:5" ht="18.75" customHeight="1">
      <c r="A59" s="72" t="s">
        <v>66</v>
      </c>
      <c r="B59" s="72" t="s">
        <v>46</v>
      </c>
      <c r="C59" s="72"/>
      <c r="D59" s="149">
        <v>0</v>
      </c>
      <c r="E59" s="101"/>
    </row>
    <row r="60" spans="1:5" ht="21.75" customHeight="1">
      <c r="A60" s="72" t="s">
        <v>67</v>
      </c>
      <c r="B60" s="49" t="s">
        <v>46</v>
      </c>
      <c r="C60" s="49"/>
      <c r="D60" s="149">
        <v>0</v>
      </c>
      <c r="E60" s="101"/>
    </row>
    <row r="61" spans="1:5" ht="36" customHeight="1">
      <c r="A61" s="76" t="s">
        <v>68</v>
      </c>
      <c r="B61" s="72" t="s">
        <v>11</v>
      </c>
      <c r="C61" s="72"/>
      <c r="D61" s="149">
        <v>0</v>
      </c>
      <c r="E61" s="101"/>
    </row>
    <row r="62" spans="1:5" ht="15">
      <c r="A62" s="57"/>
      <c r="B62" s="57"/>
      <c r="C62" s="57"/>
      <c r="D62" s="77"/>
      <c r="E62" s="88"/>
    </row>
    <row r="63" spans="1:14" s="1" customFormat="1" ht="12.75">
      <c r="A63"/>
      <c r="B63"/>
      <c r="C63"/>
      <c r="D63"/>
      <c r="E63" s="88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E64" s="88"/>
      <c r="K64"/>
      <c r="L64"/>
      <c r="M64"/>
      <c r="N64"/>
    </row>
    <row r="65" spans="1:14" s="1" customFormat="1" ht="12.75">
      <c r="A65"/>
      <c r="B65"/>
      <c r="C65"/>
      <c r="D65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K66"/>
      <c r="L66"/>
      <c r="M66"/>
      <c r="N66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12" zoomScaleNormal="112" zoomScalePageLayoutView="0" workbookViewId="0" topLeftCell="A49">
      <selection activeCell="A1" sqref="A1:D71"/>
    </sheetView>
  </sheetViews>
  <sheetFormatPr defaultColWidth="11.57421875" defaultRowHeight="12.75"/>
  <cols>
    <col min="1" max="1" width="56.00390625" style="0" customWidth="1"/>
    <col min="2" max="2" width="17.00390625" style="0" customWidth="1"/>
    <col min="3" max="3" width="23.8515625" style="0" customWidth="1"/>
    <col min="4" max="4" width="16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81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11.25" customHeight="1">
      <c r="A6" s="2"/>
    </row>
    <row r="7" spans="1:4" ht="17.25" customHeight="1">
      <c r="A7" s="450" t="s">
        <v>2</v>
      </c>
      <c r="B7" s="450"/>
      <c r="C7" s="450"/>
      <c r="D7" s="450"/>
    </row>
    <row r="8" spans="1:4" ht="17.25" customHeight="1">
      <c r="A8" s="152" t="s">
        <v>205</v>
      </c>
      <c r="B8" s="150"/>
      <c r="C8" s="153"/>
      <c r="D8" s="150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9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  <c r="I11" s="88"/>
    </row>
    <row r="12" spans="1:9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  <c r="I12" s="88"/>
    </row>
    <row r="13" spans="1:9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  <c r="I13" s="88"/>
    </row>
    <row r="14" spans="1:9" ht="31.5" customHeight="1">
      <c r="A14" s="441" t="s">
        <v>9</v>
      </c>
      <c r="B14" s="441"/>
      <c r="C14" s="441"/>
      <c r="D14" s="441"/>
      <c r="E14" s="88"/>
      <c r="F14" s="88"/>
      <c r="G14" s="88"/>
      <c r="H14" s="88"/>
      <c r="I14" s="88"/>
    </row>
    <row r="15" spans="1:9" ht="26.25">
      <c r="A15" s="17" t="s">
        <v>10</v>
      </c>
      <c r="B15" s="161" t="s">
        <v>11</v>
      </c>
      <c r="C15" s="164">
        <v>9401.73</v>
      </c>
      <c r="D15" s="163"/>
      <c r="E15" s="88"/>
      <c r="F15" s="88"/>
      <c r="G15" s="88"/>
      <c r="H15" s="88"/>
      <c r="I15" s="88"/>
    </row>
    <row r="16" spans="1:9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</row>
    <row r="17" spans="1:9" ht="15.75">
      <c r="A17" s="20" t="s">
        <v>13</v>
      </c>
      <c r="B17" s="161" t="s">
        <v>11</v>
      </c>
      <c r="C17" s="164">
        <v>0</v>
      </c>
      <c r="D17" s="165"/>
      <c r="E17" s="88"/>
      <c r="F17" s="88"/>
      <c r="G17" s="88"/>
      <c r="H17" s="88"/>
      <c r="I17" s="88"/>
    </row>
    <row r="18" spans="1:9" ht="31.5" customHeight="1">
      <c r="A18" s="17" t="s">
        <v>14</v>
      </c>
      <c r="B18" s="161" t="s">
        <v>11</v>
      </c>
      <c r="C18" s="164">
        <v>80973.6</v>
      </c>
      <c r="D18" s="165"/>
      <c r="E18" s="89">
        <f>C18-C20</f>
        <v>69930.948</v>
      </c>
      <c r="F18" s="88"/>
      <c r="G18" s="88"/>
      <c r="H18" s="88"/>
      <c r="I18" s="88"/>
    </row>
    <row r="19" spans="1:9" ht="15.75">
      <c r="A19" s="20" t="s">
        <v>15</v>
      </c>
      <c r="B19" s="161" t="s">
        <v>11</v>
      </c>
      <c r="C19" s="164">
        <f>C18-C20-C21</f>
        <v>45663.7224</v>
      </c>
      <c r="D19" s="165"/>
      <c r="E19" s="89">
        <f>E18-E42</f>
        <v>56.23919999998179</v>
      </c>
      <c r="F19" s="88"/>
      <c r="G19" s="88"/>
      <c r="H19" s="88"/>
      <c r="I19" s="88"/>
    </row>
    <row r="20" spans="1:9" ht="15.75">
      <c r="A20" s="20" t="s">
        <v>16</v>
      </c>
      <c r="B20" s="161" t="s">
        <v>11</v>
      </c>
      <c r="C20" s="164">
        <f>(2.13+2.02)*6*443.48</f>
        <v>11042.652000000002</v>
      </c>
      <c r="D20" s="165"/>
      <c r="E20" s="90"/>
      <c r="F20" s="88"/>
      <c r="G20" s="88"/>
      <c r="H20" s="88"/>
      <c r="I20" s="88"/>
    </row>
    <row r="21" spans="1:9" ht="15.75">
      <c r="A21" s="20" t="s">
        <v>17</v>
      </c>
      <c r="B21" s="161" t="s">
        <v>11</v>
      </c>
      <c r="C21" s="166">
        <f>443.48*(4.44+4.68)*6</f>
        <v>24267.225600000005</v>
      </c>
      <c r="D21" s="165"/>
      <c r="E21" s="88"/>
      <c r="F21" s="88"/>
      <c r="G21" s="88"/>
      <c r="H21" s="88"/>
      <c r="I21" s="88"/>
    </row>
    <row r="22" spans="1:9" ht="15.75">
      <c r="A22" s="20" t="s">
        <v>18</v>
      </c>
      <c r="B22" s="161" t="s">
        <v>11</v>
      </c>
      <c r="C22" s="164">
        <f>C23+C24+C25+C26</f>
        <v>80562.05040000001</v>
      </c>
      <c r="D22" s="165" t="s">
        <v>19</v>
      </c>
      <c r="E22" s="89"/>
      <c r="F22" s="88"/>
      <c r="G22" s="88"/>
      <c r="H22" s="88"/>
      <c r="I22" s="88"/>
    </row>
    <row r="23" spans="1:9" ht="15.75">
      <c r="A23" s="20" t="s">
        <v>20</v>
      </c>
      <c r="B23" s="161" t="s">
        <v>11</v>
      </c>
      <c r="C23" s="164">
        <f>C18*0.989</f>
        <v>80082.8904</v>
      </c>
      <c r="D23" s="165"/>
      <c r="E23" s="88"/>
      <c r="F23" s="88"/>
      <c r="G23" s="88"/>
      <c r="H23" s="88"/>
      <c r="I23" s="88"/>
    </row>
    <row r="24" spans="1:9" ht="15.75">
      <c r="A24" s="20" t="s">
        <v>21</v>
      </c>
      <c r="B24" s="161" t="s">
        <v>11</v>
      </c>
      <c r="C24" s="164">
        <v>0</v>
      </c>
      <c r="D24" s="167">
        <v>65.21</v>
      </c>
      <c r="E24" s="90"/>
      <c r="F24" s="88"/>
      <c r="G24" s="88"/>
      <c r="H24" s="88" t="s">
        <v>22</v>
      </c>
      <c r="I24" s="88"/>
    </row>
    <row r="25" spans="1:9" ht="15.75">
      <c r="A25" s="20" t="s">
        <v>23</v>
      </c>
      <c r="B25" s="161" t="s">
        <v>11</v>
      </c>
      <c r="C25" s="164">
        <v>0</v>
      </c>
      <c r="D25" s="167">
        <v>119.63</v>
      </c>
      <c r="E25" s="90"/>
      <c r="F25" s="88"/>
      <c r="G25" s="88"/>
      <c r="H25" s="88"/>
      <c r="I25" s="88"/>
    </row>
    <row r="26" spans="1:9" ht="15.75">
      <c r="A26" s="158" t="s">
        <v>249</v>
      </c>
      <c r="B26" s="161" t="s">
        <v>11</v>
      </c>
      <c r="C26" s="164">
        <v>479.16</v>
      </c>
      <c r="D26" s="167"/>
      <c r="E26" s="90"/>
      <c r="F26" s="88"/>
      <c r="G26" s="88"/>
      <c r="H26" s="88"/>
      <c r="I26" s="88"/>
    </row>
    <row r="27" spans="1:9" ht="15.75">
      <c r="A27" s="20" t="s">
        <v>25</v>
      </c>
      <c r="B27" s="161" t="s">
        <v>11</v>
      </c>
      <c r="C27" s="164">
        <f>C15+C22</f>
        <v>89963.7804</v>
      </c>
      <c r="D27" s="165" t="s">
        <v>26</v>
      </c>
      <c r="E27" s="90"/>
      <c r="F27" s="88"/>
      <c r="G27" s="88"/>
      <c r="H27" s="88"/>
      <c r="I27" s="88"/>
    </row>
    <row r="28" spans="1:9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  <c r="I28" s="88"/>
    </row>
    <row r="29" spans="1:9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  <c r="I29" s="88"/>
    </row>
    <row r="30" spans="1:9" ht="23.25" customHeight="1">
      <c r="A30" s="173" t="s">
        <v>32</v>
      </c>
      <c r="B30" s="174" t="s">
        <v>33</v>
      </c>
      <c r="C30" s="175" t="s">
        <v>34</v>
      </c>
      <c r="D30" s="176">
        <f>(0.9+0.85)*6*443.48</f>
        <v>4656.54</v>
      </c>
      <c r="E30" s="88"/>
      <c r="F30" s="88"/>
      <c r="G30" s="88"/>
      <c r="H30" s="88"/>
      <c r="I30" s="88"/>
    </row>
    <row r="31" spans="1:9" ht="15.75">
      <c r="A31" s="177" t="s">
        <v>72</v>
      </c>
      <c r="B31" s="178" t="s">
        <v>73</v>
      </c>
      <c r="C31" s="179" t="s">
        <v>34</v>
      </c>
      <c r="D31" s="180">
        <f>(2.59+2.73)*6*443.48</f>
        <v>14155.8816</v>
      </c>
      <c r="E31" s="88"/>
      <c r="F31" s="88"/>
      <c r="G31" s="88"/>
      <c r="H31" s="88"/>
      <c r="I31" s="88"/>
    </row>
    <row r="32" spans="1:9" ht="15.75">
      <c r="A32" s="177" t="s">
        <v>36</v>
      </c>
      <c r="B32" s="178" t="s">
        <v>33</v>
      </c>
      <c r="C32" s="179" t="s">
        <v>37</v>
      </c>
      <c r="D32" s="180">
        <f>(0.26+0.27)*6*443.48</f>
        <v>1410.2664000000002</v>
      </c>
      <c r="E32" s="144"/>
      <c r="F32" s="88"/>
      <c r="G32" s="88"/>
      <c r="H32" s="88"/>
      <c r="I32" s="88"/>
    </row>
    <row r="33" spans="1:9" ht="15.75">
      <c r="A33" s="177" t="s">
        <v>76</v>
      </c>
      <c r="B33" s="305" t="s">
        <v>33</v>
      </c>
      <c r="C33" s="179" t="s">
        <v>34</v>
      </c>
      <c r="D33" s="180">
        <f>(0.91+0.86)*6*443.48</f>
        <v>4709.757600000001</v>
      </c>
      <c r="E33" s="144"/>
      <c r="F33" s="88"/>
      <c r="G33" s="88"/>
      <c r="H33" s="88"/>
      <c r="I33" s="88"/>
    </row>
    <row r="34" spans="1:9" ht="15.75">
      <c r="A34" s="177" t="s">
        <v>77</v>
      </c>
      <c r="B34" s="178" t="s">
        <v>33</v>
      </c>
      <c r="C34" s="179" t="s">
        <v>34</v>
      </c>
      <c r="D34" s="180">
        <f>(1.93+2.04)*443.48*6</f>
        <v>10563.693599999999</v>
      </c>
      <c r="E34" s="88"/>
      <c r="F34" s="88"/>
      <c r="G34" s="88"/>
      <c r="H34" s="88"/>
      <c r="I34" s="88"/>
    </row>
    <row r="35" spans="1:9" ht="31.5">
      <c r="A35" s="177" t="s">
        <v>78</v>
      </c>
      <c r="B35" s="183" t="s">
        <v>79</v>
      </c>
      <c r="C35" s="179" t="s">
        <v>34</v>
      </c>
      <c r="D35" s="180">
        <f>(1.44+1.52)*6*443.48</f>
        <v>7876.2047999999995</v>
      </c>
      <c r="E35" s="88"/>
      <c r="F35" s="88"/>
      <c r="G35" s="88"/>
      <c r="H35" s="88"/>
      <c r="I35" s="88"/>
    </row>
    <row r="36" spans="1:9" ht="15.75">
      <c r="A36" s="177" t="s">
        <v>38</v>
      </c>
      <c r="B36" s="178" t="s">
        <v>35</v>
      </c>
      <c r="C36" s="304" t="s">
        <v>194</v>
      </c>
      <c r="D36" s="180">
        <f>(4.44+4.68)*443.48*6</f>
        <v>24267.225600000005</v>
      </c>
      <c r="E36" s="88"/>
      <c r="F36" s="88"/>
      <c r="G36" s="88"/>
      <c r="H36" s="88"/>
      <c r="I36" s="88"/>
    </row>
    <row r="37" spans="1:9" ht="21" customHeight="1">
      <c r="A37" s="177" t="s">
        <v>200</v>
      </c>
      <c r="B37" s="178" t="s">
        <v>195</v>
      </c>
      <c r="C37" s="241" t="s">
        <v>37</v>
      </c>
      <c r="D37" s="180">
        <f>(0.43+0.41)*6*443.48</f>
        <v>2235.1392</v>
      </c>
      <c r="E37" s="88"/>
      <c r="F37" s="88"/>
      <c r="G37" s="88"/>
      <c r="H37" s="88"/>
      <c r="I37" s="88"/>
    </row>
    <row r="38" spans="1:9" ht="21" customHeight="1">
      <c r="A38" s="177" t="s">
        <v>184</v>
      </c>
      <c r="B38" s="178"/>
      <c r="C38" s="241"/>
      <c r="D38" s="244"/>
      <c r="E38" s="88"/>
      <c r="F38" s="88"/>
      <c r="G38" s="88"/>
      <c r="H38" s="88"/>
      <c r="I38" s="88"/>
    </row>
    <row r="39" spans="1:9" ht="16.5" customHeight="1">
      <c r="A39" s="177" t="s">
        <v>186</v>
      </c>
      <c r="B39" s="178" t="s">
        <v>35</v>
      </c>
      <c r="C39" s="241" t="s">
        <v>185</v>
      </c>
      <c r="D39" s="244">
        <v>479.16</v>
      </c>
      <c r="E39" s="411">
        <v>425.76</v>
      </c>
      <c r="F39" s="88"/>
      <c r="G39" s="88"/>
      <c r="H39" s="88"/>
      <c r="I39" s="88"/>
    </row>
    <row r="40" spans="1:14" s="1" customFormat="1" ht="78.75">
      <c r="A40" s="227" t="s">
        <v>178</v>
      </c>
      <c r="B40" s="185" t="s">
        <v>41</v>
      </c>
      <c r="C40" s="191"/>
      <c r="D40" s="319">
        <f>D41</f>
        <v>1474</v>
      </c>
      <c r="E40" s="88"/>
      <c r="F40" s="88"/>
      <c r="G40" s="88"/>
      <c r="H40" s="88"/>
      <c r="I40" s="88"/>
      <c r="K40"/>
      <c r="L40"/>
      <c r="M40"/>
      <c r="N40"/>
    </row>
    <row r="41" spans="1:14" s="1" customFormat="1" ht="15.75">
      <c r="A41" s="190" t="s">
        <v>258</v>
      </c>
      <c r="B41" s="187" t="s">
        <v>148</v>
      </c>
      <c r="C41" s="191" t="s">
        <v>34</v>
      </c>
      <c r="D41" s="148">
        <v>1474</v>
      </c>
      <c r="E41" s="88"/>
      <c r="F41" s="88"/>
      <c r="G41" s="88"/>
      <c r="H41" s="88"/>
      <c r="I41" s="88"/>
      <c r="K41"/>
      <c r="L41"/>
      <c r="M41"/>
      <c r="N41"/>
    </row>
    <row r="42" spans="1:14" s="1" customFormat="1" ht="15.75">
      <c r="A42" s="37" t="s">
        <v>42</v>
      </c>
      <c r="B42" s="192"/>
      <c r="C42" s="193"/>
      <c r="D42" s="84">
        <f>D30+D31+D32+D33+D34+D35+D36+D37+D39+D40</f>
        <v>71827.86880000003</v>
      </c>
      <c r="E42" s="91">
        <f>D42-D39-D40</f>
        <v>69874.70880000002</v>
      </c>
      <c r="F42" s="88"/>
      <c r="G42" s="88"/>
      <c r="H42" s="88"/>
      <c r="I42" s="88"/>
      <c r="K42"/>
      <c r="L42"/>
      <c r="M42"/>
      <c r="N42"/>
    </row>
    <row r="43" spans="1:14" s="1" customFormat="1" ht="15.75">
      <c r="A43" s="40" t="s">
        <v>43</v>
      </c>
      <c r="B43" s="194" t="s">
        <v>11</v>
      </c>
      <c r="C43" s="195"/>
      <c r="D43" s="196">
        <f>C27-D42</f>
        <v>18135.911599999978</v>
      </c>
      <c r="E43" s="91"/>
      <c r="F43" s="88"/>
      <c r="G43" s="88"/>
      <c r="H43" s="88"/>
      <c r="I43" s="88"/>
      <c r="K43"/>
      <c r="L43"/>
      <c r="M43"/>
      <c r="N43"/>
    </row>
    <row r="44" spans="1:14" s="1" customFormat="1" ht="15.75">
      <c r="A44" s="197" t="s">
        <v>12</v>
      </c>
      <c r="B44" s="198" t="s">
        <v>11</v>
      </c>
      <c r="C44" s="179"/>
      <c r="D44" s="163">
        <v>0</v>
      </c>
      <c r="E44" s="88"/>
      <c r="F44" s="88"/>
      <c r="G44" s="88"/>
      <c r="H44" s="88"/>
      <c r="I44" s="88"/>
      <c r="K44"/>
      <c r="L44"/>
      <c r="M44"/>
      <c r="N44"/>
    </row>
    <row r="45" spans="1:14" s="1" customFormat="1" ht="15.75">
      <c r="A45" s="197" t="s">
        <v>13</v>
      </c>
      <c r="B45" s="198" t="s">
        <v>11</v>
      </c>
      <c r="C45" s="179"/>
      <c r="D45" s="165">
        <v>9945.25</v>
      </c>
      <c r="E45" s="88"/>
      <c r="F45" s="88"/>
      <c r="G45" s="88"/>
      <c r="H45" s="88"/>
      <c r="I45" s="88"/>
      <c r="K45"/>
      <c r="L45"/>
      <c r="M45"/>
      <c r="N45"/>
    </row>
    <row r="46" spans="1:14" s="1" customFormat="1" ht="24" customHeight="1">
      <c r="A46" s="443" t="s">
        <v>44</v>
      </c>
      <c r="B46" s="443"/>
      <c r="C46" s="443"/>
      <c r="D46" s="443"/>
      <c r="E46" s="88"/>
      <c r="F46" s="88"/>
      <c r="G46" s="88"/>
      <c r="H46" s="88"/>
      <c r="I46" s="88"/>
      <c r="K46"/>
      <c r="L46"/>
      <c r="M46"/>
      <c r="N46"/>
    </row>
    <row r="47" spans="1:14" s="1" customFormat="1" ht="15.75">
      <c r="A47" s="197" t="s">
        <v>45</v>
      </c>
      <c r="B47" s="178" t="s">
        <v>46</v>
      </c>
      <c r="C47" s="179"/>
      <c r="D47" s="163">
        <v>0</v>
      </c>
      <c r="E47" s="88"/>
      <c r="F47" s="88"/>
      <c r="G47" s="88"/>
      <c r="H47" s="88"/>
      <c r="I47" s="88"/>
      <c r="K47"/>
      <c r="L47"/>
      <c r="M47"/>
      <c r="N47"/>
    </row>
    <row r="48" spans="1:14" s="1" customFormat="1" ht="15.75">
      <c r="A48" s="197" t="s">
        <v>47</v>
      </c>
      <c r="B48" s="178" t="s">
        <v>46</v>
      </c>
      <c r="C48" s="179"/>
      <c r="D48" s="163">
        <v>0</v>
      </c>
      <c r="E48" s="88"/>
      <c r="F48" s="88"/>
      <c r="G48" s="88"/>
      <c r="H48" s="88"/>
      <c r="I48" s="88"/>
      <c r="K48"/>
      <c r="L48"/>
      <c r="M48"/>
      <c r="N48"/>
    </row>
    <row r="49" spans="1:14" s="1" customFormat="1" ht="26.25">
      <c r="A49" s="199" t="s">
        <v>48</v>
      </c>
      <c r="B49" s="178" t="s">
        <v>46</v>
      </c>
      <c r="C49" s="179"/>
      <c r="D49" s="163">
        <v>0</v>
      </c>
      <c r="E49" s="88"/>
      <c r="F49" s="88"/>
      <c r="G49" s="88"/>
      <c r="H49" s="88"/>
      <c r="I49" s="88"/>
      <c r="K49"/>
      <c r="L49"/>
      <c r="M49"/>
      <c r="N49"/>
    </row>
    <row r="50" spans="1:14" s="1" customFormat="1" ht="15.75">
      <c r="A50" s="197" t="s">
        <v>49</v>
      </c>
      <c r="B50" s="178" t="s">
        <v>11</v>
      </c>
      <c r="C50" s="179"/>
      <c r="D50" s="163">
        <v>0</v>
      </c>
      <c r="E50" s="88"/>
      <c r="F50" s="88"/>
      <c r="G50" s="88"/>
      <c r="H50" s="88"/>
      <c r="I50" s="88"/>
      <c r="K50"/>
      <c r="L50"/>
      <c r="M50"/>
      <c r="N50"/>
    </row>
    <row r="51" spans="1:14" ht="18" customHeight="1" thickBot="1">
      <c r="A51" s="452" t="s">
        <v>233</v>
      </c>
      <c r="B51" s="452"/>
      <c r="C51" s="452"/>
      <c r="D51" s="452"/>
      <c r="E51" s="93"/>
      <c r="F51" s="94"/>
      <c r="G51" s="95"/>
      <c r="H51" s="88"/>
      <c r="I51" s="98"/>
      <c r="J51" s="56"/>
      <c r="K51" s="57"/>
      <c r="L51" s="57"/>
      <c r="M51" s="57"/>
      <c r="N51" s="57"/>
    </row>
    <row r="52" spans="1:14" ht="38.25">
      <c r="A52" s="58" t="s">
        <v>54</v>
      </c>
      <c r="B52" s="59" t="s">
        <v>55</v>
      </c>
      <c r="C52" s="130" t="s">
        <v>56</v>
      </c>
      <c r="D52" s="131" t="s">
        <v>57</v>
      </c>
      <c r="E52" s="93"/>
      <c r="F52" s="94"/>
      <c r="G52" s="95"/>
      <c r="H52" s="88"/>
      <c r="I52" s="98"/>
      <c r="J52" s="62"/>
      <c r="K52" s="57"/>
      <c r="L52" s="57"/>
      <c r="M52" s="57"/>
      <c r="N52" s="57"/>
    </row>
    <row r="53" spans="1:14" ht="16.5" thickBot="1">
      <c r="A53" s="228" t="s">
        <v>202</v>
      </c>
      <c r="B53" s="248">
        <v>28787.52</v>
      </c>
      <c r="C53" s="242">
        <f>B53*0.989</f>
        <v>28470.85728</v>
      </c>
      <c r="D53" s="249">
        <f>B53-C53</f>
        <v>316.66272000000026</v>
      </c>
      <c r="E53" s="93"/>
      <c r="F53" s="96"/>
      <c r="G53" s="97"/>
      <c r="H53" s="88"/>
      <c r="I53" s="98"/>
      <c r="J53" s="56"/>
      <c r="K53" s="57"/>
      <c r="L53" s="57"/>
      <c r="M53" s="57"/>
      <c r="N53" s="57"/>
    </row>
    <row r="54" spans="1:14" ht="64.5" thickBot="1">
      <c r="A54" s="106" t="s">
        <v>59</v>
      </c>
      <c r="B54" s="115" t="s">
        <v>60</v>
      </c>
      <c r="C54" s="134" t="s">
        <v>61</v>
      </c>
      <c r="D54" s="135" t="s">
        <v>62</v>
      </c>
      <c r="E54" s="93"/>
      <c r="F54" s="96"/>
      <c r="G54" s="88"/>
      <c r="H54" s="98"/>
      <c r="I54" s="98"/>
      <c r="J54" s="56"/>
      <c r="K54" s="57"/>
      <c r="L54" s="57"/>
      <c r="M54" s="57"/>
      <c r="N54" s="57"/>
    </row>
    <row r="55" spans="1:14" ht="16.5" thickBot="1">
      <c r="A55" s="234" t="s">
        <v>202</v>
      </c>
      <c r="B55" s="248">
        <v>28787.52</v>
      </c>
      <c r="C55" s="359">
        <f>B55</f>
        <v>28787.52</v>
      </c>
      <c r="D55" s="250">
        <f>B55-C55</f>
        <v>0</v>
      </c>
      <c r="E55" s="93"/>
      <c r="F55" s="96"/>
      <c r="G55" s="88"/>
      <c r="H55" s="98" t="s">
        <v>26</v>
      </c>
      <c r="I55" s="98"/>
      <c r="J55" s="56"/>
      <c r="K55" s="57"/>
      <c r="L55" s="57"/>
      <c r="M55" s="57"/>
      <c r="N55" s="57"/>
    </row>
    <row r="56" spans="1:14" ht="17.25" customHeight="1">
      <c r="A56" s="444" t="s">
        <v>231</v>
      </c>
      <c r="B56" s="444"/>
      <c r="C56" s="444"/>
      <c r="D56" s="444"/>
      <c r="E56" s="99"/>
      <c r="F56" s="98"/>
      <c r="G56" s="88"/>
      <c r="H56" s="100" t="e">
        <f>E56-B18</f>
        <v>#VALUE!</v>
      </c>
      <c r="I56" s="56"/>
      <c r="J56" s="56"/>
      <c r="K56" s="57"/>
      <c r="L56" s="57"/>
      <c r="M56" s="57"/>
      <c r="N56" s="57"/>
    </row>
    <row r="57" spans="1:8" ht="21" customHeight="1">
      <c r="A57" s="73" t="s">
        <v>45</v>
      </c>
      <c r="B57" s="73" t="s">
        <v>46</v>
      </c>
      <c r="C57" s="73"/>
      <c r="D57" s="149">
        <v>0</v>
      </c>
      <c r="E57" s="101"/>
      <c r="F57" s="88"/>
      <c r="G57" s="88"/>
      <c r="H57" s="88"/>
    </row>
    <row r="58" spans="1:8" ht="21" customHeight="1">
      <c r="A58" s="73" t="s">
        <v>47</v>
      </c>
      <c r="B58" s="73" t="s">
        <v>46</v>
      </c>
      <c r="C58" s="73"/>
      <c r="D58" s="149">
        <v>0</v>
      </c>
      <c r="E58" s="101"/>
      <c r="F58" s="88"/>
      <c r="G58" s="88"/>
      <c r="H58" s="88"/>
    </row>
    <row r="59" spans="1:8" ht="18" customHeight="1">
      <c r="A59" s="73" t="s">
        <v>48</v>
      </c>
      <c r="B59" s="73" t="s">
        <v>46</v>
      </c>
      <c r="C59" s="73"/>
      <c r="D59" s="149">
        <v>0</v>
      </c>
      <c r="E59" s="101"/>
      <c r="F59" s="88"/>
      <c r="G59" s="88"/>
      <c r="H59" s="88"/>
    </row>
    <row r="60" spans="1:8" ht="16.5" customHeight="1">
      <c r="A60" s="73" t="s">
        <v>49</v>
      </c>
      <c r="B60" s="73" t="s">
        <v>11</v>
      </c>
      <c r="C60" s="73"/>
      <c r="D60" s="149">
        <v>0</v>
      </c>
      <c r="E60" s="101"/>
      <c r="F60" s="88"/>
      <c r="G60" s="88"/>
      <c r="H60" s="88"/>
    </row>
    <row r="61" spans="1:8" ht="15.75" customHeight="1">
      <c r="A61" s="440" t="s">
        <v>232</v>
      </c>
      <c r="B61" s="440"/>
      <c r="C61" s="440"/>
      <c r="D61" s="440"/>
      <c r="E61" s="101"/>
      <c r="F61" s="88"/>
      <c r="G61" s="88"/>
      <c r="H61" s="88"/>
    </row>
    <row r="62" spans="1:8" ht="18.75" customHeight="1">
      <c r="A62" s="73" t="s">
        <v>66</v>
      </c>
      <c r="B62" s="73" t="s">
        <v>46</v>
      </c>
      <c r="C62" s="73"/>
      <c r="D62" s="149">
        <v>0</v>
      </c>
      <c r="E62" s="101"/>
      <c r="F62" s="88"/>
      <c r="G62" s="88"/>
      <c r="H62" s="88"/>
    </row>
    <row r="63" spans="1:8" ht="21.75" customHeight="1">
      <c r="A63" s="73" t="s">
        <v>67</v>
      </c>
      <c r="B63" s="221" t="s">
        <v>46</v>
      </c>
      <c r="C63" s="221"/>
      <c r="D63" s="149">
        <v>0</v>
      </c>
      <c r="E63" s="101"/>
      <c r="F63" s="88"/>
      <c r="G63" s="88"/>
      <c r="H63" s="88"/>
    </row>
    <row r="64" spans="1:5" ht="36" customHeight="1">
      <c r="A64" s="222" t="s">
        <v>68</v>
      </c>
      <c r="B64" s="73" t="s">
        <v>11</v>
      </c>
      <c r="C64" s="73"/>
      <c r="D64" s="149">
        <v>0</v>
      </c>
      <c r="E64" s="101"/>
    </row>
    <row r="65" spans="1:5" ht="15.75">
      <c r="A65" s="223"/>
      <c r="B65" s="223"/>
      <c r="C65" s="223"/>
      <c r="D65" s="224"/>
      <c r="E65" s="88"/>
    </row>
    <row r="66" spans="1:14" s="1" customFormat="1" ht="12.75">
      <c r="A66" s="150"/>
      <c r="B66" s="150"/>
      <c r="C66" s="150"/>
      <c r="D66" s="150"/>
      <c r="E66" s="88"/>
      <c r="H66" s="1" t="s">
        <v>26</v>
      </c>
      <c r="K66"/>
      <c r="L66"/>
      <c r="M66"/>
      <c r="N66"/>
    </row>
    <row r="67" spans="1:14" s="1" customFormat="1" ht="12.75">
      <c r="A67" s="150" t="s">
        <v>69</v>
      </c>
      <c r="B67" s="150"/>
      <c r="C67" s="150" t="s">
        <v>131</v>
      </c>
      <c r="D67" s="150"/>
      <c r="E67" s="88"/>
      <c r="K67"/>
      <c r="L67"/>
      <c r="M67"/>
      <c r="N67"/>
    </row>
    <row r="68" spans="1:14" s="1" customFormat="1" ht="12.75">
      <c r="A68" s="150"/>
      <c r="B68" s="150"/>
      <c r="C68" s="150"/>
      <c r="D68" s="150"/>
      <c r="E68" s="88"/>
      <c r="H68" s="1" t="s">
        <v>26</v>
      </c>
      <c r="K68"/>
      <c r="L68"/>
      <c r="M68"/>
      <c r="N68"/>
    </row>
    <row r="69" spans="1:14" s="1" customFormat="1" ht="12.75">
      <c r="A69" s="150" t="s">
        <v>70</v>
      </c>
      <c r="B69" s="150"/>
      <c r="C69" s="150"/>
      <c r="D69" s="150"/>
      <c r="E69" s="88"/>
      <c r="K69"/>
      <c r="L69"/>
      <c r="M69"/>
      <c r="N69"/>
    </row>
    <row r="70" spans="1:5" ht="12.75">
      <c r="A70" s="150"/>
      <c r="B70" s="150"/>
      <c r="C70" s="150"/>
      <c r="D70" s="150"/>
      <c r="E70" s="88"/>
    </row>
    <row r="71" ht="12.75">
      <c r="E71" s="88"/>
    </row>
    <row r="73" spans="1:14" s="1" customFormat="1" ht="12.75">
      <c r="A73"/>
      <c r="B73"/>
      <c r="C73"/>
      <c r="D73"/>
      <c r="E73" s="1" t="s">
        <v>26</v>
      </c>
      <c r="K73"/>
      <c r="L73"/>
      <c r="M73"/>
      <c r="N73"/>
    </row>
  </sheetData>
  <sheetProtection selectLockedCells="1" selectUnlockedCells="1"/>
  <mergeCells count="12">
    <mergeCell ref="A61:D61"/>
    <mergeCell ref="A14:D14"/>
    <mergeCell ref="A28:D28"/>
    <mergeCell ref="A46:D46"/>
    <mergeCell ref="A51:D51"/>
    <mergeCell ref="A56:D5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0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121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167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8" ht="12.75">
      <c r="A12" s="8" t="s">
        <v>7</v>
      </c>
      <c r="B12" s="9"/>
      <c r="C12" s="118" t="s">
        <v>242</v>
      </c>
      <c r="D12" s="10"/>
      <c r="E12" s="88"/>
      <c r="F12" s="88"/>
      <c r="G12" s="88"/>
      <c r="H12" s="88"/>
    </row>
    <row r="13" spans="1:8" ht="12.75">
      <c r="A13" s="8" t="s">
        <v>8</v>
      </c>
      <c r="B13" s="9"/>
      <c r="C13" s="118" t="s">
        <v>298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63242.32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10779.84</v>
      </c>
      <c r="D17" s="16"/>
      <c r="E17" s="50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16577.94</v>
      </c>
      <c r="D18" s="16"/>
      <c r="E18" s="18">
        <f>C18-C20</f>
        <v>14181.083999999999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7083.899999999999</v>
      </c>
      <c r="D19" s="16"/>
      <c r="E19" s="18">
        <f>E18-E38</f>
        <v>0.04799999999886495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(1.58+1.5)*6*129.7</f>
        <v>2396.8559999999998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129.7*(4.44+4.68)*6</f>
        <v>7097.184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23059.914539999998</v>
      </c>
      <c r="D22" s="16" t="s">
        <v>19</v>
      </c>
      <c r="E22" s="89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C18*1.391</f>
        <v>23059.914539999998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86302.23454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(2.14+2.03)*6*129.7</f>
        <v>3245.0939999999996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(0.26+0.27)*6*129.7</f>
        <v>412.44599999999997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79">
        <f>(0.41+0.38)*6*64.5</f>
        <v>305.73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(1.44+1.52)*6*129.7</f>
        <v>2303.4719999999998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(4.44+4.68)*129.7*6</f>
        <v>7097.184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129.7*6*(0.54+0.51)</f>
        <v>817.11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87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SUM(D31:D37)</f>
        <v>14181.036</v>
      </c>
      <c r="E38" s="91">
        <f>D38-D37</f>
        <v>14181.036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72121.19854000001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2119.25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7746.92</v>
      </c>
      <c r="C49" s="86">
        <f>B49*0.665</f>
        <v>5151.701800000001</v>
      </c>
      <c r="D49" s="105">
        <f>B49-C49</f>
        <v>2595.2181999999993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5.75" thickBot="1">
      <c r="A51" s="110" t="s">
        <v>202</v>
      </c>
      <c r="B51" s="111">
        <f>B49</f>
        <v>7746.92</v>
      </c>
      <c r="C51" s="112">
        <f>B51</f>
        <v>7746.92</v>
      </c>
      <c r="D51" s="113">
        <f>B51-C51</f>
        <v>0</v>
      </c>
      <c r="E51" s="93"/>
      <c r="F51" s="96"/>
      <c r="G51" s="88"/>
      <c r="H51" s="98" t="s">
        <v>26</v>
      </c>
      <c r="I51" s="56"/>
      <c r="J51" s="56"/>
      <c r="K51" s="57"/>
      <c r="L51" s="57"/>
      <c r="M51" s="57"/>
      <c r="N51" s="57"/>
    </row>
    <row r="52" spans="1:14" ht="15">
      <c r="A52" s="67"/>
      <c r="B52" s="66"/>
      <c r="C52" s="68"/>
      <c r="D52" s="69"/>
      <c r="E52" s="93"/>
      <c r="F52" s="96"/>
      <c r="G52" s="88"/>
      <c r="H52" s="98"/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98"/>
      <c r="G53" s="88"/>
      <c r="H53" s="100" t="e">
        <f>E53-B18</f>
        <v>#VALUE!</v>
      </c>
      <c r="I53" s="56"/>
      <c r="J53" s="56"/>
      <c r="K53" s="57"/>
      <c r="L53" s="57"/>
      <c r="M53" s="57"/>
      <c r="N53" s="57"/>
    </row>
    <row r="54" spans="1:8" ht="21" customHeight="1">
      <c r="A54" s="72" t="s">
        <v>45</v>
      </c>
      <c r="B54" s="72" t="s">
        <v>46</v>
      </c>
      <c r="C54" s="73"/>
      <c r="D54" s="149">
        <v>0</v>
      </c>
      <c r="E54" s="101"/>
      <c r="F54" s="88"/>
      <c r="G54" s="88"/>
      <c r="H54" s="88"/>
    </row>
    <row r="55" spans="1:8" ht="21" customHeight="1">
      <c r="A55" s="72" t="s">
        <v>47</v>
      </c>
      <c r="B55" s="72" t="s">
        <v>46</v>
      </c>
      <c r="C55" s="72"/>
      <c r="D55" s="149">
        <v>0</v>
      </c>
      <c r="E55" s="101"/>
      <c r="F55" s="88"/>
      <c r="G55" s="88"/>
      <c r="H55" s="88"/>
    </row>
    <row r="56" spans="1:8" ht="18" customHeight="1">
      <c r="A56" s="72" t="s">
        <v>48</v>
      </c>
      <c r="B56" s="72" t="s">
        <v>46</v>
      </c>
      <c r="C56" s="72"/>
      <c r="D56" s="149">
        <v>0</v>
      </c>
      <c r="E56" s="101"/>
      <c r="F56" s="88"/>
      <c r="G56" s="88"/>
      <c r="H56" s="88"/>
    </row>
    <row r="57" spans="1:8" ht="16.5" customHeight="1">
      <c r="A57" s="72" t="s">
        <v>49</v>
      </c>
      <c r="B57" s="72" t="s">
        <v>11</v>
      </c>
      <c r="C57" s="72"/>
      <c r="D57" s="149">
        <v>0</v>
      </c>
      <c r="E57" s="101"/>
      <c r="F57" s="88"/>
      <c r="G57" s="88"/>
      <c r="H57" s="88"/>
    </row>
    <row r="58" spans="1:8" ht="15.75" customHeight="1">
      <c r="A58" s="440" t="s">
        <v>232</v>
      </c>
      <c r="B58" s="440"/>
      <c r="C58" s="440"/>
      <c r="D58" s="440"/>
      <c r="E58" s="101"/>
      <c r="F58" s="88"/>
      <c r="G58" s="88"/>
      <c r="H58" s="88"/>
    </row>
    <row r="59" spans="1:8" ht="18.75" customHeight="1">
      <c r="A59" s="72" t="s">
        <v>66</v>
      </c>
      <c r="B59" s="72" t="s">
        <v>46</v>
      </c>
      <c r="C59" s="72"/>
      <c r="D59" s="149">
        <v>1</v>
      </c>
      <c r="E59" s="101"/>
      <c r="F59" s="88"/>
      <c r="G59" s="88"/>
      <c r="H59" s="88"/>
    </row>
    <row r="60" spans="1:8" ht="21.75" customHeight="1">
      <c r="A60" s="72" t="s">
        <v>67</v>
      </c>
      <c r="B60" s="49" t="s">
        <v>46</v>
      </c>
      <c r="C60" s="49"/>
      <c r="D60" s="149">
        <v>0</v>
      </c>
      <c r="E60" s="101"/>
      <c r="F60" s="88"/>
      <c r="G60" s="88"/>
      <c r="H60" s="88"/>
    </row>
    <row r="61" spans="1:8" ht="36" customHeight="1">
      <c r="A61" s="76" t="s">
        <v>68</v>
      </c>
      <c r="B61" s="72" t="s">
        <v>11</v>
      </c>
      <c r="C61" s="72"/>
      <c r="D61" s="149">
        <v>8660</v>
      </c>
      <c r="E61" s="101"/>
      <c r="F61" s="88"/>
      <c r="G61" s="88"/>
      <c r="H61" s="88"/>
    </row>
    <row r="62" spans="1:8" ht="15">
      <c r="A62" s="57"/>
      <c r="B62" s="57"/>
      <c r="C62" s="57"/>
      <c r="D62" s="77"/>
      <c r="E62" s="88"/>
      <c r="F62" s="88"/>
      <c r="G62" s="88"/>
      <c r="H62" s="88"/>
    </row>
    <row r="63" spans="1:14" s="1" customFormat="1" ht="12.75">
      <c r="A63"/>
      <c r="B63"/>
      <c r="C63"/>
      <c r="D63"/>
      <c r="E63" s="88"/>
      <c r="F63" s="88"/>
      <c r="G63" s="88"/>
      <c r="H63" s="88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E64" s="88"/>
      <c r="F64" s="88"/>
      <c r="G64" s="88"/>
      <c r="H64" s="88"/>
      <c r="K64"/>
      <c r="L64"/>
      <c r="M64"/>
      <c r="N64"/>
    </row>
    <row r="65" spans="1:14" s="1" customFormat="1" ht="12.75">
      <c r="A65"/>
      <c r="B65"/>
      <c r="C65"/>
      <c r="D65"/>
      <c r="E65" s="88"/>
      <c r="F65" s="88"/>
      <c r="G65" s="88"/>
      <c r="H65" s="88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E66" s="88"/>
      <c r="F66" s="88"/>
      <c r="G66" s="88"/>
      <c r="H66" s="88"/>
      <c r="K66"/>
      <c r="L66"/>
      <c r="M66"/>
      <c r="N66"/>
    </row>
    <row r="67" spans="5:8" ht="12.75">
      <c r="E67" s="88"/>
      <c r="F67" s="88"/>
      <c r="G67" s="88"/>
      <c r="H67" s="88"/>
    </row>
    <row r="68" spans="5:8" ht="12.75">
      <c r="E68" s="88"/>
      <c r="F68" s="88"/>
      <c r="G68" s="88"/>
      <c r="H68" s="88"/>
    </row>
    <row r="69" spans="5:8" ht="12.75">
      <c r="E69" s="88"/>
      <c r="F69" s="88"/>
      <c r="G69" s="88"/>
      <c r="H69" s="88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2:D42"/>
    <mergeCell ref="A47:D47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3">
      <selection activeCell="C50" sqref="C50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197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122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168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4" ht="12.75">
      <c r="A11" s="8" t="s">
        <v>6</v>
      </c>
      <c r="B11" s="9"/>
      <c r="C11" s="118" t="s">
        <v>252</v>
      </c>
      <c r="D11" s="10"/>
    </row>
    <row r="12" spans="1:4" ht="12.75">
      <c r="A12" s="8" t="s">
        <v>7</v>
      </c>
      <c r="B12" s="9"/>
      <c r="C12" s="118" t="s">
        <v>242</v>
      </c>
      <c r="D12" s="10"/>
    </row>
    <row r="13" spans="1:4" ht="12.75">
      <c r="A13" s="8" t="s">
        <v>8</v>
      </c>
      <c r="B13" s="9"/>
      <c r="C13" s="118" t="s">
        <v>243</v>
      </c>
      <c r="D13" s="10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3">
        <v>31639.82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/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2589.86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9507.72</v>
      </c>
      <c r="D18" s="16"/>
      <c r="E18" s="18">
        <f>C18-C20</f>
        <v>9188.544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3590.687999999999</v>
      </c>
      <c r="D19" s="16"/>
      <c r="E19" s="18">
        <f>E18-E38</f>
        <v>-0.04200000000128057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102.3*(0.27+0.25)*6</f>
        <v>319.176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102.3*(4.44+4.68)*6</f>
        <v>5597.856000000001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10068.675479999998</v>
      </c>
      <c r="D22" s="16" t="s">
        <v>19</v>
      </c>
      <c r="E22" s="89" t="e">
        <f>B24+B25+B26+B27+B28</f>
        <v>#VALUE!</v>
      </c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C18*1.059</f>
        <v>10068.675479999998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41708.49548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(0.65+0.62)*6*102.3</f>
        <v>779.526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(0.26+0.27)*6*102.3</f>
        <v>325.314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(0.18+0.17)*6*102.3</f>
        <v>214.82999999999996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102.3*(1.08+1.02)*6</f>
        <v>1288.98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(4.44+4.68)*102.3*6</f>
        <v>5597.856000000001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102.3*(0.82+0.78)*6</f>
        <v>982.08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87"/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37" t="s">
        <v>42</v>
      </c>
      <c r="B38" s="38"/>
      <c r="C38" s="39"/>
      <c r="D38" s="84">
        <f>SUM(D31:D37)</f>
        <v>9188.586000000001</v>
      </c>
      <c r="E38" s="91">
        <f>D38-D37</f>
        <v>9188.586000000001</v>
      </c>
      <c r="F38" s="88"/>
      <c r="G38" s="88"/>
      <c r="H38" s="88"/>
      <c r="K38"/>
      <c r="L38"/>
      <c r="M38"/>
      <c r="N38"/>
    </row>
    <row r="39" spans="1:14" s="1" customFormat="1" ht="15">
      <c r="A39" s="40" t="s">
        <v>43</v>
      </c>
      <c r="B39" s="41" t="s">
        <v>11</v>
      </c>
      <c r="C39" s="42"/>
      <c r="D39" s="43">
        <f>C28-D38</f>
        <v>32519.909479999995</v>
      </c>
      <c r="E39" s="91"/>
      <c r="F39" s="88"/>
      <c r="G39" s="88"/>
      <c r="H39" s="88"/>
      <c r="K39"/>
      <c r="L39"/>
      <c r="M39"/>
      <c r="N39"/>
    </row>
    <row r="40" spans="1:14" s="1" customFormat="1" ht="15">
      <c r="A40" s="45" t="s">
        <v>12</v>
      </c>
      <c r="B40" s="46" t="s">
        <v>11</v>
      </c>
      <c r="C40" s="31"/>
      <c r="D40" s="14"/>
      <c r="E40" s="88"/>
      <c r="F40" s="88"/>
      <c r="G40" s="88"/>
      <c r="H40" s="88"/>
      <c r="K40"/>
      <c r="L40"/>
      <c r="M40"/>
      <c r="N40"/>
    </row>
    <row r="41" spans="1:14" s="1" customFormat="1" ht="15">
      <c r="A41" s="45" t="s">
        <v>13</v>
      </c>
      <c r="B41" s="46" t="s">
        <v>11</v>
      </c>
      <c r="C41" s="31"/>
      <c r="D41" s="16">
        <v>1366.28</v>
      </c>
      <c r="E41" s="88"/>
      <c r="F41" s="88"/>
      <c r="G41" s="88"/>
      <c r="H41" s="88"/>
      <c r="K41"/>
      <c r="L41"/>
      <c r="M41"/>
      <c r="N41"/>
    </row>
    <row r="42" spans="1:14" s="1" customFormat="1" ht="24" customHeight="1">
      <c r="A42" s="443" t="s">
        <v>44</v>
      </c>
      <c r="B42" s="443"/>
      <c r="C42" s="443"/>
      <c r="D42" s="443"/>
      <c r="E42" s="88"/>
      <c r="F42" s="88"/>
      <c r="G42" s="88"/>
      <c r="H42" s="88"/>
      <c r="K42"/>
      <c r="L42"/>
      <c r="M42"/>
      <c r="N42"/>
    </row>
    <row r="43" spans="1:14" s="1" customFormat="1" ht="15">
      <c r="A43" s="45" t="s">
        <v>45</v>
      </c>
      <c r="B43" s="30" t="s">
        <v>46</v>
      </c>
      <c r="C43" s="31">
        <v>0</v>
      </c>
      <c r="D43" s="14">
        <v>0</v>
      </c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47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7" t="s">
        <v>48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5" t="s">
        <v>49</v>
      </c>
      <c r="B46" s="30" t="s">
        <v>11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ht="18" customHeight="1" thickBot="1">
      <c r="A47" s="452" t="s">
        <v>230</v>
      </c>
      <c r="B47" s="452"/>
      <c r="C47" s="452"/>
      <c r="D47" s="452"/>
      <c r="E47" s="93"/>
      <c r="F47" s="94"/>
      <c r="G47" s="95"/>
      <c r="H47" s="88"/>
      <c r="I47" s="56"/>
      <c r="J47" s="56"/>
      <c r="K47" s="57"/>
      <c r="L47" s="57"/>
      <c r="M47" s="57"/>
      <c r="N47" s="57"/>
    </row>
    <row r="48" spans="1:14" ht="47.25">
      <c r="A48" s="58" t="s">
        <v>54</v>
      </c>
      <c r="B48" s="59" t="s">
        <v>55</v>
      </c>
      <c r="C48" s="60" t="s">
        <v>56</v>
      </c>
      <c r="D48" s="61" t="s">
        <v>57</v>
      </c>
      <c r="E48" s="93"/>
      <c r="F48" s="94"/>
      <c r="G48" s="95"/>
      <c r="H48" s="88"/>
      <c r="I48" s="56"/>
      <c r="J48" s="62"/>
      <c r="K48" s="57"/>
      <c r="L48" s="57"/>
      <c r="M48" s="57"/>
      <c r="N48" s="57"/>
    </row>
    <row r="49" spans="1:14" ht="15.75" thickBot="1">
      <c r="A49" s="102" t="s">
        <v>202</v>
      </c>
      <c r="B49" s="103">
        <v>6636</v>
      </c>
      <c r="C49" s="104">
        <f>B49</f>
        <v>6636</v>
      </c>
      <c r="D49" s="105">
        <f>B49-C49</f>
        <v>0</v>
      </c>
      <c r="E49" s="93"/>
      <c r="F49" s="96"/>
      <c r="G49" s="97"/>
      <c r="H49" s="88"/>
      <c r="I49" s="56"/>
      <c r="J49" s="56"/>
      <c r="K49" s="57"/>
      <c r="L49" s="57"/>
      <c r="M49" s="57"/>
      <c r="N49" s="57"/>
    </row>
    <row r="50" spans="1:14" ht="63">
      <c r="A50" s="106" t="s">
        <v>59</v>
      </c>
      <c r="B50" s="107" t="s">
        <v>60</v>
      </c>
      <c r="C50" s="108" t="s">
        <v>61</v>
      </c>
      <c r="D50" s="109" t="s">
        <v>62</v>
      </c>
      <c r="E50" s="93"/>
      <c r="F50" s="96"/>
      <c r="G50" s="88"/>
      <c r="H50" s="98"/>
      <c r="I50" s="56"/>
      <c r="J50" s="56"/>
      <c r="K50" s="57"/>
      <c r="L50" s="57"/>
      <c r="M50" s="57"/>
      <c r="N50" s="57"/>
    </row>
    <row r="51" spans="1:14" ht="15.75" thickBot="1">
      <c r="A51" s="373" t="s">
        <v>202</v>
      </c>
      <c r="B51" s="374">
        <f>B49</f>
        <v>6636</v>
      </c>
      <c r="C51" s="112">
        <f>B51</f>
        <v>6636</v>
      </c>
      <c r="D51" s="113">
        <f>B51-C51</f>
        <v>0</v>
      </c>
      <c r="E51" s="93"/>
      <c r="F51" s="63"/>
      <c r="H51" s="56" t="s">
        <v>26</v>
      </c>
      <c r="I51" s="56"/>
      <c r="J51" s="56"/>
      <c r="K51" s="57"/>
      <c r="L51" s="57"/>
      <c r="M51" s="57"/>
      <c r="N51" s="57"/>
    </row>
    <row r="52" spans="1:14" ht="17.25" customHeight="1">
      <c r="A52" s="444" t="s">
        <v>231</v>
      </c>
      <c r="B52" s="444"/>
      <c r="C52" s="444"/>
      <c r="D52" s="444"/>
      <c r="E52" s="99" t="e">
        <f>D52+B19</f>
        <v>#VALUE!</v>
      </c>
      <c r="F52" s="56"/>
      <c r="H52" s="71" t="e">
        <f>E52-B18</f>
        <v>#VALUE!</v>
      </c>
      <c r="I52" s="56"/>
      <c r="J52" s="56"/>
      <c r="K52" s="57"/>
      <c r="L52" s="57"/>
      <c r="M52" s="57"/>
      <c r="N52" s="57"/>
    </row>
    <row r="53" spans="1:5" ht="21" customHeight="1">
      <c r="A53" s="72" t="s">
        <v>45</v>
      </c>
      <c r="B53" s="72" t="s">
        <v>46</v>
      </c>
      <c r="C53" s="73"/>
      <c r="D53" s="149">
        <v>0</v>
      </c>
      <c r="E53" s="101"/>
    </row>
    <row r="54" spans="1:5" ht="21" customHeight="1">
      <c r="A54" s="72" t="s">
        <v>47</v>
      </c>
      <c r="B54" s="72" t="s">
        <v>46</v>
      </c>
      <c r="C54" s="72"/>
      <c r="D54" s="149">
        <v>0</v>
      </c>
      <c r="E54" s="101"/>
    </row>
    <row r="55" spans="1:5" ht="18" customHeight="1">
      <c r="A55" s="72" t="s">
        <v>48</v>
      </c>
      <c r="B55" s="72" t="s">
        <v>46</v>
      </c>
      <c r="C55" s="72"/>
      <c r="D55" s="149">
        <v>0</v>
      </c>
      <c r="E55" s="101"/>
    </row>
    <row r="56" spans="1:5" ht="16.5" customHeight="1">
      <c r="A56" s="72" t="s">
        <v>49</v>
      </c>
      <c r="B56" s="72" t="s">
        <v>11</v>
      </c>
      <c r="C56" s="72"/>
      <c r="D56" s="149">
        <v>0</v>
      </c>
      <c r="E56" s="101"/>
    </row>
    <row r="57" spans="1:5" ht="15.75" customHeight="1">
      <c r="A57" s="440" t="s">
        <v>232</v>
      </c>
      <c r="B57" s="440"/>
      <c r="C57" s="440"/>
      <c r="D57" s="440"/>
      <c r="E57" s="101"/>
    </row>
    <row r="58" spans="1:5" ht="18.75" customHeight="1">
      <c r="A58" s="72" t="s">
        <v>66</v>
      </c>
      <c r="B58" s="72" t="s">
        <v>46</v>
      </c>
      <c r="C58" s="72"/>
      <c r="D58" s="149">
        <v>0</v>
      </c>
      <c r="E58" s="101"/>
    </row>
    <row r="59" spans="1:5" ht="21.75" customHeight="1">
      <c r="A59" s="72" t="s">
        <v>67</v>
      </c>
      <c r="B59" s="49" t="s">
        <v>46</v>
      </c>
      <c r="C59" s="49"/>
      <c r="D59" s="149">
        <v>0</v>
      </c>
      <c r="E59" s="101"/>
    </row>
    <row r="60" spans="1:5" ht="36" customHeight="1">
      <c r="A60" s="76" t="s">
        <v>68</v>
      </c>
      <c r="B60" s="72" t="s">
        <v>11</v>
      </c>
      <c r="C60" s="72"/>
      <c r="D60" s="149">
        <v>0</v>
      </c>
      <c r="E60" s="101"/>
    </row>
    <row r="61" spans="1:5" ht="15">
      <c r="A61" s="57"/>
      <c r="B61" s="57"/>
      <c r="C61" s="57"/>
      <c r="D61" s="77"/>
      <c r="E61" s="88"/>
    </row>
    <row r="62" spans="1:14" s="1" customFormat="1" ht="12.75">
      <c r="A62"/>
      <c r="B62"/>
      <c r="C62"/>
      <c r="D62"/>
      <c r="E62" s="88"/>
      <c r="H62" s="1" t="s">
        <v>26</v>
      </c>
      <c r="K62"/>
      <c r="L62"/>
      <c r="M62"/>
      <c r="N62"/>
    </row>
    <row r="63" spans="1:14" s="1" customFormat="1" ht="12.75">
      <c r="A63" t="s">
        <v>69</v>
      </c>
      <c r="B63"/>
      <c r="C63"/>
      <c r="D63"/>
      <c r="E63" s="88"/>
      <c r="K63"/>
      <c r="L63"/>
      <c r="M63"/>
      <c r="N63"/>
    </row>
    <row r="64" spans="1:14" s="1" customFormat="1" ht="12.75">
      <c r="A64"/>
      <c r="B64"/>
      <c r="C64"/>
      <c r="D64"/>
      <c r="E64" s="88"/>
      <c r="H64" s="1" t="s">
        <v>26</v>
      </c>
      <c r="K64"/>
      <c r="L64"/>
      <c r="M64"/>
      <c r="N64"/>
    </row>
    <row r="65" spans="1:14" s="1" customFormat="1" ht="12.75">
      <c r="A65" t="s">
        <v>70</v>
      </c>
      <c r="B65"/>
      <c r="C65"/>
      <c r="D65"/>
      <c r="E65" s="88"/>
      <c r="K65"/>
      <c r="L65"/>
      <c r="M65"/>
      <c r="N65"/>
    </row>
    <row r="66" ht="12.75">
      <c r="E66" s="88"/>
    </row>
    <row r="67" ht="12.75">
      <c r="E67" s="88"/>
    </row>
    <row r="68" ht="12.75">
      <c r="E68" s="88"/>
    </row>
    <row r="69" spans="1:14" s="1" customFormat="1" ht="12.75">
      <c r="A69"/>
      <c r="B69"/>
      <c r="C69"/>
      <c r="D69"/>
      <c r="E69" s="88" t="s">
        <v>26</v>
      </c>
      <c r="K69"/>
      <c r="L69"/>
      <c r="M69"/>
      <c r="N69"/>
    </row>
  </sheetData>
  <sheetProtection selectLockedCells="1" selectUnlockedCells="1"/>
  <mergeCells count="12">
    <mergeCell ref="A57:D57"/>
    <mergeCell ref="A14:D14"/>
    <mergeCell ref="A29:D29"/>
    <mergeCell ref="A42:D42"/>
    <mergeCell ref="A47:D47"/>
    <mergeCell ref="A52:D52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7">
      <selection activeCell="C51" sqref="C51"/>
    </sheetView>
  </sheetViews>
  <sheetFormatPr defaultColWidth="11.57421875" defaultRowHeight="12.75"/>
  <cols>
    <col min="1" max="1" width="58.140625" style="0" customWidth="1"/>
    <col min="2" max="2" width="18.8515625" style="0" customWidth="1"/>
    <col min="3" max="3" width="21.7109375" style="0" customWidth="1"/>
    <col min="4" max="4" width="15.140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5.75">
      <c r="A1" s="447" t="s">
        <v>0</v>
      </c>
      <c r="B1" s="447"/>
      <c r="C1" s="447"/>
      <c r="D1" s="447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5.75">
      <c r="A4" s="447" t="s">
        <v>123</v>
      </c>
      <c r="B4" s="447"/>
      <c r="C4" s="447"/>
      <c r="D4" s="447"/>
    </row>
    <row r="5" spans="1:4" ht="15.75">
      <c r="A5" s="446" t="s">
        <v>299</v>
      </c>
      <c r="B5" s="447"/>
      <c r="C5" s="447"/>
      <c r="D5" s="447"/>
    </row>
    <row r="6" spans="1:4" ht="9" customHeight="1">
      <c r="A6" s="274"/>
      <c r="B6" s="275"/>
      <c r="C6" s="275"/>
      <c r="D6" s="275"/>
    </row>
    <row r="7" spans="1:4" ht="18" customHeight="1">
      <c r="A7" s="456" t="s">
        <v>2</v>
      </c>
      <c r="B7" s="456"/>
      <c r="C7" s="456"/>
      <c r="D7" s="456"/>
    </row>
    <row r="8" spans="1:4" ht="15">
      <c r="A8" s="274" t="s">
        <v>169</v>
      </c>
      <c r="B8" s="275"/>
      <c r="C8" s="276"/>
      <c r="D8" s="275"/>
    </row>
    <row r="9" spans="1:4" ht="15">
      <c r="A9" s="277" t="s">
        <v>3</v>
      </c>
      <c r="B9" s="277" t="s">
        <v>4</v>
      </c>
      <c r="C9" s="277" t="s">
        <v>5</v>
      </c>
      <c r="D9" s="278"/>
    </row>
    <row r="10" spans="1:4" ht="15">
      <c r="A10" s="279">
        <v>1</v>
      </c>
      <c r="B10" s="279">
        <v>2</v>
      </c>
      <c r="C10" s="279">
        <v>3</v>
      </c>
      <c r="D10" s="280">
        <v>4</v>
      </c>
    </row>
    <row r="11" spans="1:4" ht="15">
      <c r="A11" s="281" t="s">
        <v>6</v>
      </c>
      <c r="B11" s="273"/>
      <c r="C11" s="282" t="s">
        <v>252</v>
      </c>
      <c r="D11" s="14"/>
    </row>
    <row r="12" spans="1:4" ht="15">
      <c r="A12" s="281" t="s">
        <v>7</v>
      </c>
      <c r="B12" s="273"/>
      <c r="C12" s="282" t="s">
        <v>242</v>
      </c>
      <c r="D12" s="14"/>
    </row>
    <row r="13" spans="1:8" ht="15">
      <c r="A13" s="281" t="s">
        <v>8</v>
      </c>
      <c r="B13" s="273"/>
      <c r="C13" s="282" t="s">
        <v>243</v>
      </c>
      <c r="D13" s="14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30">
      <c r="A15" s="283" t="s">
        <v>10</v>
      </c>
      <c r="B15" s="284" t="s">
        <v>11</v>
      </c>
      <c r="C15" s="13">
        <v>37266.16</v>
      </c>
      <c r="D15" s="14"/>
      <c r="E15" s="88"/>
      <c r="F15" s="88"/>
      <c r="G15" s="88"/>
      <c r="H15" s="88"/>
    </row>
    <row r="16" spans="1:8" ht="15">
      <c r="A16" s="281" t="s">
        <v>12</v>
      </c>
      <c r="B16" s="284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281" t="s">
        <v>13</v>
      </c>
      <c r="B17" s="284" t="s">
        <v>11</v>
      </c>
      <c r="C17" s="15">
        <v>1696.77</v>
      </c>
      <c r="D17" s="16"/>
      <c r="E17" s="270"/>
      <c r="F17" s="270"/>
      <c r="G17" s="270"/>
      <c r="H17" s="270"/>
    </row>
    <row r="18" spans="1:8" ht="31.5" customHeight="1">
      <c r="A18" s="285" t="s">
        <v>14</v>
      </c>
      <c r="B18" s="284" t="s">
        <v>11</v>
      </c>
      <c r="C18" s="15">
        <v>12636.72</v>
      </c>
      <c r="D18" s="16"/>
      <c r="E18" s="433">
        <f>C18-C20</f>
        <v>11818.511999999999</v>
      </c>
      <c r="F18" s="270"/>
      <c r="G18" s="270"/>
      <c r="H18" s="270"/>
    </row>
    <row r="19" spans="1:8" ht="15">
      <c r="A19" s="281" t="s">
        <v>15</v>
      </c>
      <c r="B19" s="284" t="s">
        <v>11</v>
      </c>
      <c r="C19" s="15">
        <f>C18-C20-C21</f>
        <v>6636.527999999998</v>
      </c>
      <c r="D19" s="16"/>
      <c r="E19" s="433">
        <f>E18-E39</f>
        <v>-0.04800000000068394</v>
      </c>
      <c r="F19" s="270"/>
      <c r="G19" s="270"/>
      <c r="H19" s="270"/>
    </row>
    <row r="20" spans="1:8" ht="15">
      <c r="A20" s="281" t="s">
        <v>16</v>
      </c>
      <c r="B20" s="284" t="s">
        <v>11</v>
      </c>
      <c r="C20" s="15">
        <f>(0.74+0.7)*6*94.7</f>
        <v>818.2080000000001</v>
      </c>
      <c r="D20" s="16"/>
      <c r="E20" s="434"/>
      <c r="F20" s="270"/>
      <c r="G20" s="270"/>
      <c r="H20" s="270"/>
    </row>
    <row r="21" spans="1:8" ht="15">
      <c r="A21" s="281" t="s">
        <v>17</v>
      </c>
      <c r="B21" s="284" t="s">
        <v>11</v>
      </c>
      <c r="C21" s="19">
        <f>94.7*(4.44+4.68)*6</f>
        <v>5181.984</v>
      </c>
      <c r="D21" s="16"/>
      <c r="E21" s="435"/>
      <c r="F21" s="270"/>
      <c r="G21" s="270"/>
      <c r="H21" s="270"/>
    </row>
    <row r="22" spans="1:8" ht="15.75">
      <c r="A22" s="286" t="s">
        <v>18</v>
      </c>
      <c r="B22" s="284" t="s">
        <v>11</v>
      </c>
      <c r="C22" s="15">
        <f>C23+C24+C25+C26+C27</f>
        <v>12750.450479999998</v>
      </c>
      <c r="D22" s="16" t="s">
        <v>19</v>
      </c>
      <c r="E22" s="271" t="e">
        <f>B24+B25+B26+B27+B28</f>
        <v>#VALUE!</v>
      </c>
      <c r="F22" s="270"/>
      <c r="G22" s="270"/>
      <c r="H22" s="270"/>
    </row>
    <row r="23" spans="1:8" ht="15">
      <c r="A23" s="281" t="s">
        <v>20</v>
      </c>
      <c r="B23" s="284" t="s">
        <v>11</v>
      </c>
      <c r="C23" s="15">
        <f>C18*1.009</f>
        <v>12750.450479999998</v>
      </c>
      <c r="D23" s="16"/>
      <c r="E23" s="270"/>
      <c r="F23" s="270"/>
      <c r="G23" s="270"/>
      <c r="H23" s="270"/>
    </row>
    <row r="24" spans="1:8" ht="15">
      <c r="A24" s="281" t="s">
        <v>21</v>
      </c>
      <c r="B24" s="284" t="s">
        <v>11</v>
      </c>
      <c r="C24" s="15">
        <v>0</v>
      </c>
      <c r="D24" s="21">
        <v>65.21</v>
      </c>
      <c r="E24" s="272" t="e">
        <f>B24/#REF!*1</f>
        <v>#VALUE!</v>
      </c>
      <c r="F24" s="270"/>
      <c r="G24" s="270"/>
      <c r="H24" s="270" t="s">
        <v>22</v>
      </c>
    </row>
    <row r="25" spans="1:8" ht="15">
      <c r="A25" s="281" t="s">
        <v>23</v>
      </c>
      <c r="B25" s="284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273" t="s">
        <v>24</v>
      </c>
      <c r="B26" s="284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287" t="s">
        <v>91</v>
      </c>
      <c r="B27" s="284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281" t="s">
        <v>25</v>
      </c>
      <c r="B28" s="284" t="s">
        <v>11</v>
      </c>
      <c r="C28" s="15">
        <f>C15+C22</f>
        <v>50016.61048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88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30">
      <c r="A31" s="289" t="s">
        <v>32</v>
      </c>
      <c r="B31" s="27" t="s">
        <v>33</v>
      </c>
      <c r="C31" s="28" t="s">
        <v>34</v>
      </c>
      <c r="D31" s="79">
        <f>(2.03+2.11)*6*94.7</f>
        <v>2352.3479999999995</v>
      </c>
      <c r="E31" s="88"/>
      <c r="F31" s="88"/>
      <c r="G31" s="88"/>
      <c r="H31" s="88"/>
    </row>
    <row r="32" spans="1:8" ht="15">
      <c r="A32" s="290" t="s">
        <v>36</v>
      </c>
      <c r="B32" s="30" t="s">
        <v>75</v>
      </c>
      <c r="C32" s="31" t="s">
        <v>37</v>
      </c>
      <c r="D32" s="80">
        <f>(0.52+0.55)*6*94.7</f>
        <v>607.974</v>
      </c>
      <c r="E32" s="88"/>
      <c r="F32" s="88"/>
      <c r="G32" s="88"/>
      <c r="H32" s="88"/>
    </row>
    <row r="33" spans="1:8" ht="15">
      <c r="A33" s="291" t="s">
        <v>156</v>
      </c>
      <c r="B33" s="30" t="s">
        <v>33</v>
      </c>
      <c r="C33" s="31" t="s">
        <v>34</v>
      </c>
      <c r="D33" s="80">
        <f>(1.03+1.09)*6*94.7</f>
        <v>1204.584</v>
      </c>
      <c r="E33" s="88"/>
      <c r="F33" s="88"/>
      <c r="G33" s="88"/>
      <c r="H33" s="88"/>
    </row>
    <row r="34" spans="1:8" ht="15">
      <c r="A34" s="290" t="s">
        <v>78</v>
      </c>
      <c r="B34" s="78" t="s">
        <v>79</v>
      </c>
      <c r="C34" s="31" t="s">
        <v>34</v>
      </c>
      <c r="D34" s="80">
        <f>(1.4+1.52)*6*94.7</f>
        <v>1659.144</v>
      </c>
      <c r="E34" s="88"/>
      <c r="F34" s="88"/>
      <c r="G34" s="88"/>
      <c r="H34" s="88"/>
    </row>
    <row r="35" spans="1:8" ht="15">
      <c r="A35" s="290" t="s">
        <v>38</v>
      </c>
      <c r="B35" s="30" t="s">
        <v>35</v>
      </c>
      <c r="C35" s="306" t="s">
        <v>194</v>
      </c>
      <c r="D35" s="80">
        <f>(4.44+4.68)*94.7*6</f>
        <v>5181.984</v>
      </c>
      <c r="E35" s="88"/>
      <c r="F35" s="88"/>
      <c r="G35" s="88"/>
      <c r="H35" s="88"/>
    </row>
    <row r="36" spans="1:8" ht="15">
      <c r="A36" s="290" t="s">
        <v>82</v>
      </c>
      <c r="B36" s="30" t="s">
        <v>195</v>
      </c>
      <c r="C36" s="143" t="s">
        <v>37</v>
      </c>
      <c r="D36" s="80">
        <f>94.7*(0.73+0.7)*6</f>
        <v>812.526</v>
      </c>
      <c r="E36" s="88"/>
      <c r="F36" s="88"/>
      <c r="G36" s="88"/>
      <c r="H36" s="88"/>
    </row>
    <row r="37" spans="1:14" s="1" customFormat="1" ht="45">
      <c r="A37" s="292" t="s">
        <v>40</v>
      </c>
      <c r="B37" s="34" t="s">
        <v>41</v>
      </c>
      <c r="C37" s="87"/>
      <c r="D37" s="36">
        <f>D38</f>
        <v>1518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423" t="s">
        <v>300</v>
      </c>
      <c r="B38" s="82" t="s">
        <v>148</v>
      </c>
      <c r="C38" s="31" t="s">
        <v>34</v>
      </c>
      <c r="D38" s="120">
        <v>1518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293" t="s">
        <v>42</v>
      </c>
      <c r="B39" s="38"/>
      <c r="C39" s="39"/>
      <c r="D39" s="84">
        <f>SUM(D31:D37)</f>
        <v>13336.56</v>
      </c>
      <c r="E39" s="151">
        <f>D39-D37</f>
        <v>11818.56</v>
      </c>
      <c r="F39" s="88"/>
      <c r="G39" s="88"/>
      <c r="H39" s="88"/>
      <c r="K39"/>
      <c r="L39"/>
      <c r="M39"/>
      <c r="N39"/>
    </row>
    <row r="40" spans="1:14" s="1" customFormat="1" ht="15.75">
      <c r="A40" s="226" t="s">
        <v>43</v>
      </c>
      <c r="B40" s="294" t="s">
        <v>11</v>
      </c>
      <c r="C40" s="42"/>
      <c r="D40" s="43">
        <f>C28-D39</f>
        <v>36680.050480000005</v>
      </c>
      <c r="E40" s="151"/>
      <c r="F40" s="88"/>
      <c r="G40" s="88"/>
      <c r="H40" s="88"/>
      <c r="K40"/>
      <c r="L40"/>
      <c r="M40"/>
      <c r="N40"/>
    </row>
    <row r="41" spans="1:14" s="1" customFormat="1" ht="15">
      <c r="A41" s="31" t="s">
        <v>12</v>
      </c>
      <c r="B41" s="30" t="s">
        <v>11</v>
      </c>
      <c r="C41" s="31"/>
      <c r="D41" s="14"/>
      <c r="E41" s="270"/>
      <c r="F41" s="88"/>
      <c r="G41" s="88"/>
      <c r="H41" s="88"/>
      <c r="K41"/>
      <c r="L41"/>
      <c r="M41"/>
      <c r="N41"/>
    </row>
    <row r="42" spans="1:14" s="1" customFormat="1" ht="15">
      <c r="A42" s="31" t="s">
        <v>13</v>
      </c>
      <c r="B42" s="30" t="s">
        <v>11</v>
      </c>
      <c r="C42" s="31"/>
      <c r="D42" s="16">
        <v>592.26</v>
      </c>
      <c r="E42" s="270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31" t="s">
        <v>45</v>
      </c>
      <c r="B44" s="30" t="s">
        <v>46</v>
      </c>
      <c r="C44" s="31">
        <v>0</v>
      </c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31" t="s">
        <v>47</v>
      </c>
      <c r="B45" s="30" t="s">
        <v>46</v>
      </c>
      <c r="C45" s="31">
        <v>0</v>
      </c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30">
      <c r="A46" s="35" t="s">
        <v>48</v>
      </c>
      <c r="B46" s="30" t="s">
        <v>46</v>
      </c>
      <c r="C46" s="31">
        <v>0</v>
      </c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31" t="s">
        <v>49</v>
      </c>
      <c r="B47" s="30" t="s">
        <v>11</v>
      </c>
      <c r="C47" s="31">
        <v>0</v>
      </c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78.75">
      <c r="A49" s="296" t="s">
        <v>54</v>
      </c>
      <c r="B49" s="297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5.75" thickBot="1">
      <c r="A50" s="298" t="s">
        <v>202</v>
      </c>
      <c r="B50" s="103">
        <v>6143.04</v>
      </c>
      <c r="C50" s="86">
        <f>B50</f>
        <v>6143.04</v>
      </c>
      <c r="D50" s="105">
        <f>B50-C50</f>
        <v>0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126">
      <c r="A51" s="299" t="s">
        <v>59</v>
      </c>
      <c r="B51" s="108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5">
      <c r="A52" s="298" t="s">
        <v>202</v>
      </c>
      <c r="B52" s="103">
        <f>B50</f>
        <v>6143.04</v>
      </c>
      <c r="C52" s="86">
        <f>B52</f>
        <v>6143.04</v>
      </c>
      <c r="D52" s="105">
        <f>B52-C52</f>
        <v>0</v>
      </c>
      <c r="E52" s="93"/>
      <c r="F52" s="96"/>
      <c r="G52" s="88"/>
      <c r="H52" s="98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70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300" t="s">
        <v>45</v>
      </c>
      <c r="B54" s="300" t="s">
        <v>46</v>
      </c>
      <c r="C54" s="301"/>
      <c r="D54" s="149">
        <v>0</v>
      </c>
      <c r="E54" s="75"/>
    </row>
    <row r="55" spans="1:5" ht="21" customHeight="1">
      <c r="A55" s="300" t="s">
        <v>47</v>
      </c>
      <c r="B55" s="300" t="s">
        <v>46</v>
      </c>
      <c r="C55" s="300"/>
      <c r="D55" s="149">
        <v>0</v>
      </c>
      <c r="E55" s="75"/>
    </row>
    <row r="56" spans="1:5" ht="18" customHeight="1">
      <c r="A56" s="300" t="s">
        <v>48</v>
      </c>
      <c r="B56" s="300" t="s">
        <v>46</v>
      </c>
      <c r="C56" s="300"/>
      <c r="D56" s="149">
        <v>0</v>
      </c>
      <c r="E56" s="75"/>
    </row>
    <row r="57" spans="1:5" ht="16.5" customHeight="1">
      <c r="A57" s="300" t="s">
        <v>49</v>
      </c>
      <c r="B57" s="300" t="s">
        <v>11</v>
      </c>
      <c r="C57" s="300"/>
      <c r="D57" s="149">
        <v>0</v>
      </c>
      <c r="E57" s="75"/>
    </row>
    <row r="58" spans="1:5" ht="15.75" customHeight="1">
      <c r="A58" s="457" t="s">
        <v>232</v>
      </c>
      <c r="B58" s="457"/>
      <c r="C58" s="457"/>
      <c r="D58" s="457"/>
      <c r="E58" s="75"/>
    </row>
    <row r="59" spans="1:5" ht="18.75" customHeight="1">
      <c r="A59" s="300" t="s">
        <v>66</v>
      </c>
      <c r="B59" s="300" t="s">
        <v>46</v>
      </c>
      <c r="C59" s="300"/>
      <c r="D59" s="149">
        <v>0</v>
      </c>
      <c r="E59" s="75"/>
    </row>
    <row r="60" spans="1:5" ht="21.75" customHeight="1">
      <c r="A60" s="300" t="s">
        <v>67</v>
      </c>
      <c r="B60" s="295" t="s">
        <v>46</v>
      </c>
      <c r="C60" s="295"/>
      <c r="D60" s="149">
        <v>0</v>
      </c>
      <c r="E60" s="75"/>
    </row>
    <row r="61" spans="1:5" ht="36" customHeight="1">
      <c r="A61" s="302" t="s">
        <v>68</v>
      </c>
      <c r="B61" s="300" t="s">
        <v>11</v>
      </c>
      <c r="C61" s="300"/>
      <c r="D61" s="149">
        <v>0</v>
      </c>
      <c r="E61" s="75"/>
    </row>
    <row r="62" spans="1:4" ht="15">
      <c r="A62" s="303"/>
      <c r="B62" s="303"/>
      <c r="C62" s="303"/>
      <c r="D62" s="77"/>
    </row>
    <row r="63" spans="1:14" s="1" customFormat="1" ht="15">
      <c r="A63" s="275"/>
      <c r="B63" s="275"/>
      <c r="C63" s="275"/>
      <c r="D63" s="275"/>
      <c r="H63" s="1" t="s">
        <v>26</v>
      </c>
      <c r="K63"/>
      <c r="L63"/>
      <c r="M63"/>
      <c r="N63"/>
    </row>
    <row r="64" spans="1:14" s="1" customFormat="1" ht="15">
      <c r="A64" s="275" t="s">
        <v>69</v>
      </c>
      <c r="B64" s="275"/>
      <c r="C64" s="275"/>
      <c r="D64" s="275"/>
      <c r="K64"/>
      <c r="L64"/>
      <c r="M64"/>
      <c r="N64"/>
    </row>
    <row r="65" spans="1:14" s="1" customFormat="1" ht="15">
      <c r="A65" s="275"/>
      <c r="B65" s="275"/>
      <c r="C65" s="275"/>
      <c r="D65" s="275"/>
      <c r="H65" s="1" t="s">
        <v>26</v>
      </c>
      <c r="K65"/>
      <c r="L65"/>
      <c r="M65"/>
      <c r="N65"/>
    </row>
    <row r="66" spans="1:14" s="1" customFormat="1" ht="15">
      <c r="A66" s="275" t="s">
        <v>70</v>
      </c>
      <c r="B66" s="275"/>
      <c r="C66" s="275"/>
      <c r="D66" s="275"/>
      <c r="K66"/>
      <c r="L66"/>
      <c r="M66"/>
      <c r="N66"/>
    </row>
    <row r="67" spans="1:4" ht="15">
      <c r="A67" s="275"/>
      <c r="B67" s="275"/>
      <c r="C67" s="275"/>
      <c r="D67" s="275"/>
    </row>
    <row r="68" spans="1:4" ht="15">
      <c r="A68" s="275"/>
      <c r="B68" s="275"/>
      <c r="C68" s="275"/>
      <c r="D68" s="275"/>
    </row>
    <row r="69" spans="1:4" ht="15">
      <c r="A69" s="275"/>
      <c r="B69" s="275"/>
      <c r="C69" s="275"/>
      <c r="D69" s="275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0" zoomScaleNormal="80" zoomScalePageLayoutView="0" workbookViewId="0" topLeftCell="A19">
      <selection activeCell="C53" sqref="C5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124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247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29363.85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1811.37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20130.18</v>
      </c>
      <c r="D18" s="165"/>
      <c r="E18" s="18">
        <f>C18-C20</f>
        <v>19822.38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8593.836</v>
      </c>
      <c r="D19" s="165"/>
      <c r="E19" s="18">
        <f>E18-E39</f>
        <v>-2.44800000000032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205.2*6*(0.12+0.13)</f>
        <v>307.79999999999995</v>
      </c>
      <c r="D20" s="165"/>
      <c r="E20" s="123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205.2*(4.44+4.68)*6</f>
        <v>11228.544000000002</v>
      </c>
      <c r="D21" s="165"/>
      <c r="E21" s="5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C23+C24+C25+C26+C27</f>
        <v>19888.61784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C18*0.988</f>
        <v>19888.61784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49252.46784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(0.71+0.75)*6*205.2</f>
        <v>1797.552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(0.26+0.27)*6*205.2</f>
        <v>652.536</v>
      </c>
      <c r="E32" s="88"/>
      <c r="F32" s="88"/>
      <c r="G32" s="88"/>
      <c r="H32" s="88"/>
    </row>
    <row r="33" spans="1:8" ht="15.75">
      <c r="A33" s="252" t="s">
        <v>156</v>
      </c>
      <c r="B33" s="178" t="s">
        <v>33</v>
      </c>
      <c r="C33" s="179" t="s">
        <v>34</v>
      </c>
      <c r="D33" s="180">
        <f>(0.18+0.2)*6*200.9</f>
        <v>458.0520000000001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(1.52+1.44)*6*205.2</f>
        <v>3644.3519999999994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(4.44+4.68)*205.2*6</f>
        <v>11228.544000000002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226" t="s">
        <v>37</v>
      </c>
      <c r="D36" s="180">
        <f>205.2*6*(0.85+0.81)</f>
        <v>2043.792</v>
      </c>
      <c r="E36" s="88"/>
      <c r="F36" s="88"/>
      <c r="G36" s="88"/>
      <c r="H36" s="88"/>
    </row>
    <row r="37" spans="1:14" s="1" customFormat="1" ht="47.25">
      <c r="A37" s="307" t="s">
        <v>40</v>
      </c>
      <c r="B37" s="185" t="s">
        <v>41</v>
      </c>
      <c r="C37" s="269" t="s">
        <v>74</v>
      </c>
      <c r="D37" s="147">
        <f>D38</f>
        <v>2115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186" t="s">
        <v>136</v>
      </c>
      <c r="B38" s="187" t="s">
        <v>148</v>
      </c>
      <c r="C38" s="369" t="s">
        <v>241</v>
      </c>
      <c r="D38" s="148">
        <v>2115</v>
      </c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D31+D32+D33+D34+D35+D36+D37</f>
        <v>21939.828</v>
      </c>
      <c r="E39" s="91">
        <f>D39-D37</f>
        <v>19824.828</v>
      </c>
      <c r="F39" s="88"/>
      <c r="G39" s="88"/>
      <c r="H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27312.639839999996</v>
      </c>
      <c r="E40" s="91"/>
      <c r="F40" s="88"/>
      <c r="G40" s="88"/>
      <c r="H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/>
      <c r="E41" s="88"/>
      <c r="F41" s="88"/>
      <c r="G41" s="88"/>
      <c r="H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2090.07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/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/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/>
      <c r="D47" s="163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12651.09</v>
      </c>
      <c r="C50" s="208">
        <f>B50*0.988</f>
        <v>12499.27692</v>
      </c>
      <c r="D50" s="231">
        <f>B50-C50</f>
        <v>151.8130799999999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6.5" thickBot="1">
      <c r="A52" s="234" t="s">
        <v>202</v>
      </c>
      <c r="B52" s="235">
        <f>B50</f>
        <v>12651.09</v>
      </c>
      <c r="C52" s="331">
        <f>B52</f>
        <v>12651.09</v>
      </c>
      <c r="D52" s="237">
        <f>B52-C52</f>
        <v>0</v>
      </c>
      <c r="E52" s="93"/>
      <c r="F52" s="96"/>
      <c r="G52" s="88"/>
      <c r="H52" s="98" t="s">
        <v>26</v>
      </c>
      <c r="I52" s="56"/>
      <c r="J52" s="56"/>
      <c r="K52" s="57"/>
      <c r="L52" s="57"/>
      <c r="M52" s="57"/>
      <c r="N52" s="57"/>
    </row>
    <row r="53" spans="1:14" ht="15.75">
      <c r="A53" s="214"/>
      <c r="B53" s="215"/>
      <c r="C53" s="216"/>
      <c r="D53" s="217"/>
      <c r="E53" s="53"/>
      <c r="F53" s="63"/>
      <c r="H53" s="56"/>
      <c r="I53" s="56"/>
      <c r="J53" s="56"/>
      <c r="K53" s="57"/>
      <c r="L53" s="57"/>
      <c r="M53" s="57"/>
      <c r="N53" s="57"/>
    </row>
    <row r="54" spans="1:14" ht="26.25">
      <c r="A54" s="218" t="s">
        <v>63</v>
      </c>
      <c r="B54" s="215" t="s">
        <v>11</v>
      </c>
      <c r="C54" s="219"/>
      <c r="D54" s="220">
        <v>0</v>
      </c>
      <c r="E54" s="53"/>
      <c r="F54" s="63"/>
      <c r="H54" s="56"/>
      <c r="I54" s="56"/>
      <c r="J54" s="56" t="s">
        <v>26</v>
      </c>
      <c r="K54" s="57"/>
      <c r="L54" s="57"/>
      <c r="M54" s="57"/>
      <c r="N54" s="57"/>
    </row>
    <row r="55" spans="1:14" ht="17.25" customHeight="1">
      <c r="A55" s="444" t="s">
        <v>231</v>
      </c>
      <c r="B55" s="444"/>
      <c r="C55" s="444"/>
      <c r="D55" s="444"/>
      <c r="E55" s="70" t="e">
        <f>D55+B19</f>
        <v>#VALUE!</v>
      </c>
      <c r="F55" s="56"/>
      <c r="H55" s="71" t="e">
        <f>E55-B18</f>
        <v>#VALUE!</v>
      </c>
      <c r="I55" s="56"/>
      <c r="J55" s="56"/>
      <c r="K55" s="57"/>
      <c r="L55" s="57"/>
      <c r="M55" s="57"/>
      <c r="N55" s="57"/>
    </row>
    <row r="56" spans="1:5" ht="21" customHeight="1">
      <c r="A56" s="73" t="s">
        <v>45</v>
      </c>
      <c r="B56" s="73" t="s">
        <v>46</v>
      </c>
      <c r="C56" s="73"/>
      <c r="D56" s="149">
        <v>0</v>
      </c>
      <c r="E56" s="75"/>
    </row>
    <row r="57" spans="1:5" ht="21" customHeight="1">
      <c r="A57" s="73" t="s">
        <v>47</v>
      </c>
      <c r="B57" s="73" t="s">
        <v>46</v>
      </c>
      <c r="C57" s="73"/>
      <c r="D57" s="149">
        <v>0</v>
      </c>
      <c r="E57" s="75"/>
    </row>
    <row r="58" spans="1:5" ht="18" customHeight="1">
      <c r="A58" s="73" t="s">
        <v>48</v>
      </c>
      <c r="B58" s="73" t="s">
        <v>46</v>
      </c>
      <c r="C58" s="73"/>
      <c r="D58" s="149">
        <v>0</v>
      </c>
      <c r="E58" s="75"/>
    </row>
    <row r="59" spans="1:5" ht="16.5" customHeight="1">
      <c r="A59" s="73" t="s">
        <v>49</v>
      </c>
      <c r="B59" s="73" t="s">
        <v>11</v>
      </c>
      <c r="C59" s="73"/>
      <c r="D59" s="149">
        <v>0</v>
      </c>
      <c r="E59" s="75"/>
    </row>
    <row r="60" spans="1:5" ht="15.75" customHeight="1">
      <c r="A60" s="440" t="s">
        <v>232</v>
      </c>
      <c r="B60" s="440"/>
      <c r="C60" s="440"/>
      <c r="D60" s="440"/>
      <c r="E60" s="75"/>
    </row>
    <row r="61" spans="1:5" ht="18.75" customHeight="1">
      <c r="A61" s="73" t="s">
        <v>66</v>
      </c>
      <c r="B61" s="73" t="s">
        <v>46</v>
      </c>
      <c r="C61" s="73"/>
      <c r="D61" s="149">
        <v>0</v>
      </c>
      <c r="E61" s="75"/>
    </row>
    <row r="62" spans="1:5" ht="21.75" customHeight="1">
      <c r="A62" s="73" t="s">
        <v>67</v>
      </c>
      <c r="B62" s="221" t="s">
        <v>46</v>
      </c>
      <c r="C62" s="221"/>
      <c r="D62" s="149">
        <v>0</v>
      </c>
      <c r="E62" s="75"/>
    </row>
    <row r="63" spans="1:5" ht="36" customHeight="1">
      <c r="A63" s="222" t="s">
        <v>68</v>
      </c>
      <c r="B63" s="73" t="s">
        <v>11</v>
      </c>
      <c r="C63" s="73"/>
      <c r="D63" s="149">
        <v>0</v>
      </c>
      <c r="E63" s="75"/>
    </row>
    <row r="64" spans="1:4" ht="15.75">
      <c r="A64" s="223"/>
      <c r="B64" s="223"/>
      <c r="C64" s="223"/>
      <c r="D64" s="224"/>
    </row>
    <row r="65" spans="1:14" s="1" customFormat="1" ht="12.75">
      <c r="A65" s="150"/>
      <c r="B65" s="150"/>
      <c r="C65" s="150"/>
      <c r="D65" s="150"/>
      <c r="H65" s="1" t="s">
        <v>26</v>
      </c>
      <c r="K65"/>
      <c r="L65"/>
      <c r="M65"/>
      <c r="N65"/>
    </row>
    <row r="66" spans="1:14" s="1" customFormat="1" ht="12.75">
      <c r="A66" s="150" t="s">
        <v>69</v>
      </c>
      <c r="B66" s="150"/>
      <c r="C66" s="150"/>
      <c r="D66" s="150"/>
      <c r="K66"/>
      <c r="L66"/>
      <c r="M66"/>
      <c r="N66"/>
    </row>
    <row r="67" spans="1:14" s="1" customFormat="1" ht="12.75">
      <c r="A67" s="150"/>
      <c r="B67" s="150"/>
      <c r="C67" s="150"/>
      <c r="D67" s="150"/>
      <c r="H67" s="1" t="s">
        <v>26</v>
      </c>
      <c r="K67"/>
      <c r="L67"/>
      <c r="M67"/>
      <c r="N67"/>
    </row>
    <row r="68" spans="1:14" s="1" customFormat="1" ht="12.75">
      <c r="A68" s="150" t="s">
        <v>70</v>
      </c>
      <c r="B68" s="150"/>
      <c r="C68" s="150"/>
      <c r="D68" s="150"/>
      <c r="K68"/>
      <c r="L68"/>
      <c r="M68"/>
      <c r="N68"/>
    </row>
    <row r="69" spans="1:4" ht="12.75">
      <c r="A69" s="150"/>
      <c r="B69" s="150"/>
      <c r="C69" s="150"/>
      <c r="D69" s="150"/>
    </row>
    <row r="70" spans="1:4" ht="12.75">
      <c r="A70" s="150"/>
      <c r="B70" s="150"/>
      <c r="C70" s="150"/>
      <c r="D70" s="150"/>
    </row>
    <row r="71" spans="1:4" ht="12.75">
      <c r="A71" s="150"/>
      <c r="B71" s="150"/>
      <c r="C71" s="150"/>
      <c r="D71" s="150"/>
    </row>
    <row r="72" spans="1:14" s="1" customFormat="1" ht="12.75">
      <c r="A72"/>
      <c r="B72"/>
      <c r="C72"/>
      <c r="D72"/>
      <c r="E72" s="1" t="s">
        <v>26</v>
      </c>
      <c r="K72"/>
      <c r="L72"/>
      <c r="M72"/>
      <c r="N72"/>
    </row>
  </sheetData>
  <sheetProtection selectLockedCells="1" selectUnlockedCells="1"/>
  <mergeCells count="12">
    <mergeCell ref="A60:D60"/>
    <mergeCell ref="A14:D14"/>
    <mergeCell ref="A29:D29"/>
    <mergeCell ref="A43:D43"/>
    <mergeCell ref="A48:D48"/>
    <mergeCell ref="A55:D55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80" zoomScaleNormal="80" zoomScalePageLayoutView="0" workbookViewId="0" topLeftCell="A13">
      <selection activeCell="C23" sqref="C23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125</v>
      </c>
      <c r="B4" s="448"/>
      <c r="C4" s="448"/>
      <c r="D4" s="448"/>
    </row>
    <row r="5" spans="1:4" ht="12.75">
      <c r="A5" s="449" t="s">
        <v>238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119" t="s">
        <v>314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6</v>
      </c>
      <c r="B11" s="9"/>
      <c r="C11" s="118" t="s">
        <v>252</v>
      </c>
      <c r="D11" s="10"/>
      <c r="E11" s="88"/>
      <c r="F11" s="88"/>
      <c r="G11" s="88"/>
      <c r="H11" s="88"/>
    </row>
    <row r="12" spans="1:8" ht="12.75">
      <c r="A12" s="8" t="s">
        <v>7</v>
      </c>
      <c r="B12" s="9"/>
      <c r="C12" s="118" t="s">
        <v>242</v>
      </c>
      <c r="D12" s="10"/>
      <c r="E12" s="88"/>
      <c r="F12" s="88"/>
      <c r="G12" s="88"/>
      <c r="H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-3379.19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4087.24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f>16741.66+15014</f>
        <v>31755.66</v>
      </c>
      <c r="D18" s="16"/>
      <c r="E18" s="18">
        <f>C18-C20</f>
        <v>19787.760000000002</v>
      </c>
      <c r="F18" s="88"/>
      <c r="G18" s="88"/>
      <c r="H18" s="88"/>
    </row>
    <row r="19" spans="1:10" ht="15">
      <c r="A19" s="8" t="s">
        <v>15</v>
      </c>
      <c r="B19" s="12" t="s">
        <v>11</v>
      </c>
      <c r="C19" s="15">
        <f>C18-C20-C21</f>
        <v>9139.248000000001</v>
      </c>
      <c r="D19" s="16"/>
      <c r="E19" s="18">
        <f>E18-E41</f>
        <v>0.0020000000076834112</v>
      </c>
      <c r="F19" s="88"/>
      <c r="G19" s="88"/>
      <c r="H19" s="317"/>
      <c r="I19" s="50"/>
      <c r="J19" s="50"/>
    </row>
    <row r="20" spans="1:8" ht="15">
      <c r="A20" s="8" t="s">
        <v>16</v>
      </c>
      <c r="B20" s="12" t="s">
        <v>11</v>
      </c>
      <c r="C20" s="15">
        <f>(5.26+4.99)*6*194.6</f>
        <v>11967.9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194.6*(4.44+4.68)*6</f>
        <v>10648.512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43378.23156</v>
      </c>
      <c r="D22" s="16" t="s">
        <v>19</v>
      </c>
      <c r="E22" s="89"/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C18*1.366</f>
        <v>43378.23156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/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/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/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/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39999.04156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(1.06+1.17)*6*194.6</f>
        <v>2603.7479999999996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(0.26+0.27)*6*194.6</f>
        <v>618.828</v>
      </c>
      <c r="E32" s="88"/>
      <c r="F32" s="88"/>
      <c r="G32" s="88"/>
      <c r="H32" s="88"/>
    </row>
    <row r="33" spans="1:8" ht="15">
      <c r="A33" s="127" t="s">
        <v>213</v>
      </c>
      <c r="B33" s="30" t="s">
        <v>33</v>
      </c>
      <c r="C33" s="31" t="s">
        <v>34</v>
      </c>
      <c r="D33" s="80">
        <f>416.34+70.99</f>
        <v>487.33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(1.44+1.52)*6*194.6</f>
        <v>3456.0959999999995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(4.44+4.68)*194.6*6</f>
        <v>10648.512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3">
        <f>194.6*6*(0.87+0.82)</f>
        <v>1973.2439999999997</v>
      </c>
      <c r="E36" s="88"/>
      <c r="F36" s="88"/>
      <c r="G36" s="88"/>
      <c r="H36" s="88"/>
    </row>
    <row r="37" spans="1:14" s="1" customFormat="1" ht="45">
      <c r="A37" s="121" t="s">
        <v>192</v>
      </c>
      <c r="B37" s="34" t="s">
        <v>41</v>
      </c>
      <c r="C37" s="87"/>
      <c r="D37" s="319">
        <f>D38+D39+D40</f>
        <v>26395.35</v>
      </c>
      <c r="E37" s="50"/>
      <c r="F37" s="88"/>
      <c r="G37" s="88"/>
      <c r="H37" s="88"/>
      <c r="K37"/>
      <c r="L37"/>
      <c r="M37"/>
      <c r="N37"/>
    </row>
    <row r="38" spans="1:14" s="1" customFormat="1" ht="15.75">
      <c r="A38" s="122" t="s">
        <v>301</v>
      </c>
      <c r="B38" s="82" t="s">
        <v>143</v>
      </c>
      <c r="C38" s="28" t="s">
        <v>34</v>
      </c>
      <c r="D38" s="320">
        <v>1961.35</v>
      </c>
      <c r="E38" s="50"/>
      <c r="F38" s="88"/>
      <c r="G38" s="88"/>
      <c r="H38" s="88"/>
      <c r="K38"/>
      <c r="L38"/>
      <c r="M38"/>
      <c r="N38"/>
    </row>
    <row r="39" spans="1:14" s="1" customFormat="1" ht="15">
      <c r="A39" s="122" t="s">
        <v>136</v>
      </c>
      <c r="B39" s="82" t="s">
        <v>135</v>
      </c>
      <c r="C39" s="31" t="s">
        <v>241</v>
      </c>
      <c r="D39" s="120">
        <v>9420</v>
      </c>
      <c r="E39" s="50"/>
      <c r="F39" s="88"/>
      <c r="G39" s="88"/>
      <c r="H39" s="88"/>
      <c r="K39"/>
      <c r="L39"/>
      <c r="M39"/>
      <c r="N39"/>
    </row>
    <row r="40" spans="1:14" s="1" customFormat="1" ht="15">
      <c r="A40" s="122" t="s">
        <v>315</v>
      </c>
      <c r="B40" s="82" t="s">
        <v>137</v>
      </c>
      <c r="C40" s="306" t="s">
        <v>194</v>
      </c>
      <c r="D40" s="120">
        <v>15014</v>
      </c>
      <c r="E40" s="50"/>
      <c r="F40" s="88"/>
      <c r="G40" s="88"/>
      <c r="H40" s="88"/>
      <c r="K40"/>
      <c r="L40"/>
      <c r="M40"/>
      <c r="N40"/>
    </row>
    <row r="41" spans="1:14" s="1" customFormat="1" ht="15.75">
      <c r="A41" s="37" t="s">
        <v>42</v>
      </c>
      <c r="B41" s="38"/>
      <c r="C41" s="39"/>
      <c r="D41" s="84">
        <f>D31+D32+D33+D34+D35+D36+D37</f>
        <v>46183.10799999999</v>
      </c>
      <c r="E41" s="44">
        <f>D41-D37</f>
        <v>19787.757999999994</v>
      </c>
      <c r="F41" s="88"/>
      <c r="G41" s="88"/>
      <c r="H41" s="88"/>
      <c r="K41"/>
      <c r="L41"/>
      <c r="M41"/>
      <c r="N41"/>
    </row>
    <row r="42" spans="1:14" s="1" customFormat="1" ht="15">
      <c r="A42" s="40" t="s">
        <v>43</v>
      </c>
      <c r="B42" s="41" t="s">
        <v>11</v>
      </c>
      <c r="C42" s="42"/>
      <c r="D42" s="43">
        <f>C28-D41</f>
        <v>-6184.066439999995</v>
      </c>
      <c r="E42" s="44"/>
      <c r="F42" s="88"/>
      <c r="G42" s="88"/>
      <c r="H42" s="88"/>
      <c r="K42"/>
      <c r="L42"/>
      <c r="M42"/>
      <c r="N42"/>
    </row>
    <row r="43" spans="1:14" s="1" customFormat="1" ht="15">
      <c r="A43" s="45" t="s">
        <v>12</v>
      </c>
      <c r="B43" s="46" t="s">
        <v>11</v>
      </c>
      <c r="C43" s="31"/>
      <c r="D43" s="14"/>
      <c r="E43" s="50"/>
      <c r="F43" s="88"/>
      <c r="G43" s="88"/>
      <c r="H43" s="88"/>
      <c r="K43"/>
      <c r="L43"/>
      <c r="M43"/>
      <c r="N43"/>
    </row>
    <row r="44" spans="1:14" s="1" customFormat="1" ht="15">
      <c r="A44" s="45" t="s">
        <v>13</v>
      </c>
      <c r="B44" s="46" t="s">
        <v>11</v>
      </c>
      <c r="C44" s="31"/>
      <c r="D44" s="16">
        <v>0</v>
      </c>
      <c r="E44" s="50"/>
      <c r="F44" s="88"/>
      <c r="G44" s="88"/>
      <c r="H44" s="88"/>
      <c r="K44"/>
      <c r="L44"/>
      <c r="M44"/>
      <c r="N44"/>
    </row>
    <row r="45" spans="1:14" s="1" customFormat="1" ht="24" customHeight="1">
      <c r="A45" s="443" t="s">
        <v>44</v>
      </c>
      <c r="B45" s="443"/>
      <c r="C45" s="443"/>
      <c r="D45" s="443"/>
      <c r="E45" s="50"/>
      <c r="F45" s="88"/>
      <c r="G45" s="88"/>
      <c r="H45" s="88"/>
      <c r="K45"/>
      <c r="L45"/>
      <c r="M45"/>
      <c r="N45"/>
    </row>
    <row r="46" spans="1:14" s="1" customFormat="1" ht="15">
      <c r="A46" s="45" t="s">
        <v>45</v>
      </c>
      <c r="B46" s="30" t="s">
        <v>46</v>
      </c>
      <c r="C46" s="31"/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47</v>
      </c>
      <c r="B47" s="30" t="s">
        <v>46</v>
      </c>
      <c r="C47" s="31"/>
      <c r="D47" s="14">
        <v>0</v>
      </c>
      <c r="E47" s="88"/>
      <c r="F47" s="88"/>
      <c r="G47" s="88"/>
      <c r="H47" s="88"/>
      <c r="K47"/>
      <c r="L47"/>
      <c r="M47"/>
      <c r="N47"/>
    </row>
    <row r="48" spans="1:14" s="1" customFormat="1" ht="15">
      <c r="A48" s="47" t="s">
        <v>48</v>
      </c>
      <c r="B48" s="30" t="s">
        <v>46</v>
      </c>
      <c r="C48" s="31"/>
      <c r="D48" s="14">
        <v>0</v>
      </c>
      <c r="E48" s="88"/>
      <c r="F48" s="88"/>
      <c r="G48" s="88"/>
      <c r="H48" s="88"/>
      <c r="K48"/>
      <c r="L48"/>
      <c r="M48"/>
      <c r="N48"/>
    </row>
    <row r="49" spans="1:14" s="1" customFormat="1" ht="15">
      <c r="A49" s="45" t="s">
        <v>49</v>
      </c>
      <c r="B49" s="30" t="s">
        <v>11</v>
      </c>
      <c r="C49" s="31"/>
      <c r="D49" s="14">
        <v>0</v>
      </c>
      <c r="E49" s="88"/>
      <c r="F49" s="88"/>
      <c r="G49" s="88"/>
      <c r="H49" s="88"/>
      <c r="K49"/>
      <c r="L49"/>
      <c r="M49"/>
      <c r="N49"/>
    </row>
    <row r="50" spans="1:14" ht="18" customHeight="1" thickBot="1">
      <c r="A50" s="452" t="s">
        <v>230</v>
      </c>
      <c r="B50" s="452"/>
      <c r="C50" s="452"/>
      <c r="D50" s="452"/>
      <c r="E50" s="93"/>
      <c r="F50" s="94"/>
      <c r="G50" s="95"/>
      <c r="H50" s="88"/>
      <c r="I50" s="56"/>
      <c r="J50" s="56"/>
      <c r="K50" s="57"/>
      <c r="L50" s="57"/>
      <c r="M50" s="57"/>
      <c r="N50" s="57"/>
    </row>
    <row r="51" spans="1:14" ht="47.25">
      <c r="A51" s="58" t="s">
        <v>54</v>
      </c>
      <c r="B51" s="59" t="s">
        <v>55</v>
      </c>
      <c r="C51" s="60" t="s">
        <v>56</v>
      </c>
      <c r="D51" s="61" t="s">
        <v>57</v>
      </c>
      <c r="E51" s="93"/>
      <c r="F51" s="94"/>
      <c r="G51" s="95"/>
      <c r="H51" s="88"/>
      <c r="I51" s="56"/>
      <c r="J51" s="62"/>
      <c r="K51" s="57"/>
      <c r="L51" s="57"/>
      <c r="M51" s="57"/>
      <c r="N51" s="57"/>
    </row>
    <row r="52" spans="1:14" ht="15.75" thickBot="1">
      <c r="A52" s="102" t="s">
        <v>202</v>
      </c>
      <c r="B52" s="103">
        <v>11116.5</v>
      </c>
      <c r="C52" s="86">
        <f>B52*1</f>
        <v>11116.5</v>
      </c>
      <c r="D52" s="105">
        <f>B52-C52</f>
        <v>0</v>
      </c>
      <c r="E52" s="93"/>
      <c r="F52" s="96"/>
      <c r="G52" s="97"/>
      <c r="H52" s="88"/>
      <c r="I52" s="56"/>
      <c r="J52" s="56"/>
      <c r="K52" s="57"/>
      <c r="L52" s="57"/>
      <c r="M52" s="57"/>
      <c r="N52" s="57"/>
    </row>
    <row r="53" spans="1:14" ht="63">
      <c r="A53" s="106" t="s">
        <v>59</v>
      </c>
      <c r="B53" s="107" t="s">
        <v>60</v>
      </c>
      <c r="C53" s="108" t="s">
        <v>61</v>
      </c>
      <c r="D53" s="109" t="s">
        <v>62</v>
      </c>
      <c r="E53" s="93"/>
      <c r="F53" s="96"/>
      <c r="G53" s="88"/>
      <c r="H53" s="98"/>
      <c r="I53" s="56"/>
      <c r="J53" s="56"/>
      <c r="K53" s="57"/>
      <c r="L53" s="57"/>
      <c r="M53" s="57"/>
      <c r="N53" s="57"/>
    </row>
    <row r="54" spans="1:14" ht="15.75" thickBot="1">
      <c r="A54" s="110" t="s">
        <v>202</v>
      </c>
      <c r="B54" s="111">
        <f>B52</f>
        <v>11116.5</v>
      </c>
      <c r="C54" s="112">
        <f>B54</f>
        <v>11116.5</v>
      </c>
      <c r="D54" s="113">
        <f>B54-C54</f>
        <v>0</v>
      </c>
      <c r="E54" s="53"/>
      <c r="F54" s="63"/>
      <c r="H54" s="56" t="s">
        <v>26</v>
      </c>
      <c r="I54" s="56"/>
      <c r="J54" s="56"/>
      <c r="K54" s="57"/>
      <c r="L54" s="57"/>
      <c r="M54" s="57"/>
      <c r="N54" s="57"/>
    </row>
    <row r="55" spans="1:14" ht="17.25" customHeight="1">
      <c r="A55" s="444" t="s">
        <v>231</v>
      </c>
      <c r="B55" s="444"/>
      <c r="C55" s="444"/>
      <c r="D55" s="444"/>
      <c r="E55" s="70" t="e">
        <f>D55+B19</f>
        <v>#VALUE!</v>
      </c>
      <c r="F55" s="56"/>
      <c r="H55" s="71" t="e">
        <f>E55-B18</f>
        <v>#VALUE!</v>
      </c>
      <c r="I55" s="56"/>
      <c r="J55" s="56"/>
      <c r="K55" s="57"/>
      <c r="L55" s="57"/>
      <c r="M55" s="57"/>
      <c r="N55" s="57"/>
    </row>
    <row r="56" spans="1:5" ht="21" customHeight="1">
      <c r="A56" s="72" t="s">
        <v>45</v>
      </c>
      <c r="B56" s="72" t="s">
        <v>46</v>
      </c>
      <c r="C56" s="73"/>
      <c r="D56" s="149">
        <v>0</v>
      </c>
      <c r="E56" s="75"/>
    </row>
    <row r="57" spans="1:5" ht="21" customHeight="1">
      <c r="A57" s="72" t="s">
        <v>47</v>
      </c>
      <c r="B57" s="72" t="s">
        <v>46</v>
      </c>
      <c r="C57" s="72"/>
      <c r="D57" s="149">
        <v>0</v>
      </c>
      <c r="E57" s="75"/>
    </row>
    <row r="58" spans="1:5" ht="18" customHeight="1">
      <c r="A58" s="72" t="s">
        <v>48</v>
      </c>
      <c r="B58" s="72" t="s">
        <v>46</v>
      </c>
      <c r="C58" s="72"/>
      <c r="D58" s="149">
        <v>0</v>
      </c>
      <c r="E58" s="75"/>
    </row>
    <row r="59" spans="1:5" ht="16.5" customHeight="1">
      <c r="A59" s="72" t="s">
        <v>49</v>
      </c>
      <c r="B59" s="72" t="s">
        <v>11</v>
      </c>
      <c r="C59" s="72"/>
      <c r="D59" s="149">
        <v>0</v>
      </c>
      <c r="E59" s="75"/>
    </row>
    <row r="60" spans="1:5" ht="15.75" customHeight="1">
      <c r="A60" s="440" t="s">
        <v>232</v>
      </c>
      <c r="B60" s="440"/>
      <c r="C60" s="440"/>
      <c r="D60" s="440"/>
      <c r="E60" s="75"/>
    </row>
    <row r="61" spans="1:5" ht="18.75" customHeight="1">
      <c r="A61" s="72" t="s">
        <v>66</v>
      </c>
      <c r="B61" s="72" t="s">
        <v>46</v>
      </c>
      <c r="C61" s="72"/>
      <c r="D61" s="149">
        <v>0</v>
      </c>
      <c r="E61" s="75"/>
    </row>
    <row r="62" spans="1:5" ht="21.75" customHeight="1">
      <c r="A62" s="72" t="s">
        <v>67</v>
      </c>
      <c r="B62" s="49" t="s">
        <v>46</v>
      </c>
      <c r="C62" s="49"/>
      <c r="D62" s="149">
        <v>0</v>
      </c>
      <c r="E62" s="75"/>
    </row>
    <row r="63" spans="1:5" ht="36" customHeight="1">
      <c r="A63" s="76" t="s">
        <v>68</v>
      </c>
      <c r="B63" s="72" t="s">
        <v>11</v>
      </c>
      <c r="C63" s="72"/>
      <c r="D63" s="149">
        <v>0</v>
      </c>
      <c r="E63" s="75"/>
    </row>
    <row r="64" spans="1:4" ht="15">
      <c r="A64" s="57"/>
      <c r="B64" s="57"/>
      <c r="C64" s="57"/>
      <c r="D64" s="77"/>
    </row>
    <row r="65" spans="1:14" s="1" customFormat="1" ht="12.75">
      <c r="A65"/>
      <c r="B65"/>
      <c r="C65"/>
      <c r="D65"/>
      <c r="H65" s="1" t="s">
        <v>26</v>
      </c>
      <c r="K65"/>
      <c r="L65"/>
      <c r="M65"/>
      <c r="N65"/>
    </row>
    <row r="66" spans="1:14" s="1" customFormat="1" ht="12.75">
      <c r="A66" t="s">
        <v>69</v>
      </c>
      <c r="B66"/>
      <c r="C66"/>
      <c r="D66"/>
      <c r="K66"/>
      <c r="L66"/>
      <c r="M66"/>
      <c r="N66"/>
    </row>
    <row r="67" spans="1:14" s="1" customFormat="1" ht="12.75">
      <c r="A67"/>
      <c r="B67"/>
      <c r="C67"/>
      <c r="D67"/>
      <c r="H67" s="1" t="s">
        <v>26</v>
      </c>
      <c r="K67"/>
      <c r="L67"/>
      <c r="M67"/>
      <c r="N67"/>
    </row>
    <row r="68" spans="1:14" s="1" customFormat="1" ht="12.75">
      <c r="A68" t="s">
        <v>70</v>
      </c>
      <c r="B68"/>
      <c r="C68"/>
      <c r="D68"/>
      <c r="K68"/>
      <c r="L68"/>
      <c r="M68"/>
      <c r="N68"/>
    </row>
    <row r="72" spans="1:14" s="1" customFormat="1" ht="12.75">
      <c r="A72"/>
      <c r="B72"/>
      <c r="C72"/>
      <c r="D72"/>
      <c r="E72" s="1" t="s">
        <v>26</v>
      </c>
      <c r="K72"/>
      <c r="L72"/>
      <c r="M72"/>
      <c r="N72"/>
    </row>
  </sheetData>
  <sheetProtection selectLockedCells="1" selectUnlockedCells="1"/>
  <mergeCells count="12">
    <mergeCell ref="A60:D60"/>
    <mergeCell ref="A14:D14"/>
    <mergeCell ref="A29:D29"/>
    <mergeCell ref="A45:D45"/>
    <mergeCell ref="A50:D50"/>
    <mergeCell ref="A55:D55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3">
      <selection activeCell="C51" sqref="C5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18" customHeight="1">
      <c r="A7" s="450" t="s">
        <v>2</v>
      </c>
      <c r="B7" s="450"/>
      <c r="C7" s="450"/>
      <c r="D7" s="450"/>
    </row>
    <row r="8" spans="1:3" ht="12.75">
      <c r="A8" s="2" t="s">
        <v>237</v>
      </c>
      <c r="C8" s="3"/>
    </row>
    <row r="9" spans="1:4" ht="12.75">
      <c r="A9" s="4" t="s">
        <v>3</v>
      </c>
      <c r="B9" s="4" t="s">
        <v>4</v>
      </c>
      <c r="C9" s="4" t="s">
        <v>5</v>
      </c>
      <c r="D9" s="5"/>
    </row>
    <row r="10" spans="1:4" ht="12.75">
      <c r="A10" s="6">
        <v>1</v>
      </c>
      <c r="B10" s="6">
        <v>2</v>
      </c>
      <c r="C10" s="6">
        <v>3</v>
      </c>
      <c r="D10" s="7">
        <v>4</v>
      </c>
    </row>
    <row r="11" spans="1:8" ht="12.75">
      <c r="A11" s="8" t="s">
        <v>6</v>
      </c>
      <c r="B11" s="9"/>
      <c r="C11" s="118" t="s">
        <v>252</v>
      </c>
      <c r="D11" s="10"/>
      <c r="E11" s="88"/>
      <c r="F11" s="88"/>
      <c r="G11" s="88"/>
      <c r="H11" s="88"/>
    </row>
    <row r="12" spans="1:8" ht="12.75">
      <c r="A12" s="8" t="s">
        <v>7</v>
      </c>
      <c r="B12" s="9"/>
      <c r="C12" s="118" t="s">
        <v>242</v>
      </c>
      <c r="D12" s="10"/>
      <c r="E12" s="88"/>
      <c r="F12" s="88"/>
      <c r="G12" s="88"/>
      <c r="H12" s="88"/>
    </row>
    <row r="13" spans="1:8" ht="12.75">
      <c r="A13" s="8" t="s">
        <v>8</v>
      </c>
      <c r="B13" s="9"/>
      <c r="C13" s="118" t="s">
        <v>243</v>
      </c>
      <c r="D13" s="1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5.5">
      <c r="A15" s="11" t="s">
        <v>10</v>
      </c>
      <c r="B15" s="12" t="s">
        <v>11</v>
      </c>
      <c r="C15" s="15">
        <v>41853.69</v>
      </c>
      <c r="D15" s="14"/>
      <c r="E15" s="88"/>
      <c r="F15" s="88"/>
      <c r="G15" s="88"/>
      <c r="H15" s="88"/>
    </row>
    <row r="16" spans="1:8" ht="15">
      <c r="A16" s="8" t="s">
        <v>12</v>
      </c>
      <c r="B16" s="12" t="s">
        <v>11</v>
      </c>
      <c r="C16" s="13">
        <v>0</v>
      </c>
      <c r="D16" s="14"/>
      <c r="E16" s="88"/>
      <c r="F16" s="88"/>
      <c r="G16" s="88"/>
      <c r="H16" s="88"/>
    </row>
    <row r="17" spans="1:8" ht="15">
      <c r="A17" s="8" t="s">
        <v>13</v>
      </c>
      <c r="B17" s="12" t="s">
        <v>11</v>
      </c>
      <c r="C17" s="15">
        <v>1891.87</v>
      </c>
      <c r="D17" s="16"/>
      <c r="E17" s="88"/>
      <c r="F17" s="88"/>
      <c r="G17" s="88"/>
      <c r="H17" s="88"/>
    </row>
    <row r="18" spans="1:8" ht="31.5" customHeight="1">
      <c r="A18" s="17" t="s">
        <v>14</v>
      </c>
      <c r="B18" s="12" t="s">
        <v>11</v>
      </c>
      <c r="C18" s="15">
        <v>13348.44</v>
      </c>
      <c r="D18" s="16"/>
      <c r="E18" s="18">
        <f>C18-C20</f>
        <v>8916.072</v>
      </c>
      <c r="F18" s="88"/>
      <c r="G18" s="88"/>
      <c r="H18" s="88"/>
    </row>
    <row r="19" spans="1:8" ht="15">
      <c r="A19" s="8" t="s">
        <v>15</v>
      </c>
      <c r="B19" s="12" t="s">
        <v>11</v>
      </c>
      <c r="C19" s="15">
        <f>C18-C20-C21</f>
        <v>4232.04</v>
      </c>
      <c r="D19" s="16"/>
      <c r="E19" s="18">
        <f>E18-E39</f>
        <v>-0.023999999999432475</v>
      </c>
      <c r="F19" s="88"/>
      <c r="G19" s="88"/>
      <c r="H19" s="88"/>
    </row>
    <row r="20" spans="1:8" ht="15">
      <c r="A20" s="8" t="s">
        <v>16</v>
      </c>
      <c r="B20" s="12" t="s">
        <v>11</v>
      </c>
      <c r="C20" s="15">
        <f>(4.43+4.2)*6*85.6</f>
        <v>4432.3679999999995</v>
      </c>
      <c r="D20" s="16"/>
      <c r="E20" s="123"/>
      <c r="F20" s="88"/>
      <c r="G20" s="88"/>
      <c r="H20" s="88"/>
    </row>
    <row r="21" spans="1:8" ht="15">
      <c r="A21" s="8" t="s">
        <v>17</v>
      </c>
      <c r="B21" s="12" t="s">
        <v>11</v>
      </c>
      <c r="C21" s="19">
        <f>85.6*(4.44+4.68)*6</f>
        <v>4684.032</v>
      </c>
      <c r="D21" s="16"/>
      <c r="E21" s="50"/>
      <c r="F21" s="88"/>
      <c r="G21" s="88"/>
      <c r="H21" s="88"/>
    </row>
    <row r="22" spans="1:8" ht="15">
      <c r="A22" s="20" t="s">
        <v>18</v>
      </c>
      <c r="B22" s="12" t="s">
        <v>11</v>
      </c>
      <c r="C22" s="15">
        <f>C23+C24+C25+C26+C27</f>
        <v>13575.36348</v>
      </c>
      <c r="D22" s="16" t="s">
        <v>19</v>
      </c>
      <c r="E22" s="89" t="e">
        <f>B24+B25+B26+B27+B28</f>
        <v>#VALUE!</v>
      </c>
      <c r="F22" s="88"/>
      <c r="G22" s="88"/>
      <c r="H22" s="88"/>
    </row>
    <row r="23" spans="1:8" ht="15">
      <c r="A23" s="8" t="s">
        <v>20</v>
      </c>
      <c r="B23" s="12" t="s">
        <v>11</v>
      </c>
      <c r="C23" s="15">
        <f>C18*1.017</f>
        <v>13575.36348</v>
      </c>
      <c r="D23" s="16"/>
      <c r="E23" s="88"/>
      <c r="F23" s="88"/>
      <c r="G23" s="88"/>
      <c r="H23" s="88"/>
    </row>
    <row r="24" spans="1:8" ht="15">
      <c r="A24" s="8" t="s">
        <v>21</v>
      </c>
      <c r="B24" s="12" t="s">
        <v>11</v>
      </c>
      <c r="C24" s="15">
        <v>0</v>
      </c>
      <c r="D24" s="21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">
      <c r="A25" s="8" t="s">
        <v>23</v>
      </c>
      <c r="B25" s="12" t="s">
        <v>11</v>
      </c>
      <c r="C25" s="15">
        <v>0</v>
      </c>
      <c r="D25" s="21">
        <v>119.63</v>
      </c>
      <c r="E25" s="90" t="e">
        <f>B25/#REF!*1</f>
        <v>#VALUE!</v>
      </c>
      <c r="F25" s="88"/>
      <c r="G25" s="88"/>
      <c r="H25" s="88"/>
    </row>
    <row r="26" spans="1:8" ht="15">
      <c r="A26" s="9" t="s">
        <v>24</v>
      </c>
      <c r="B26" s="12" t="s">
        <v>11</v>
      </c>
      <c r="C26" s="15">
        <v>0</v>
      </c>
      <c r="D26" s="21"/>
      <c r="E26" s="90" t="e">
        <f>B26/#REF!*1</f>
        <v>#VALUE!</v>
      </c>
      <c r="F26" s="88"/>
      <c r="G26" s="88"/>
      <c r="H26" s="88"/>
    </row>
    <row r="27" spans="1:8" ht="16.5" customHeight="1">
      <c r="A27" s="85" t="s">
        <v>91</v>
      </c>
      <c r="B27" s="12" t="s">
        <v>11</v>
      </c>
      <c r="C27" s="15">
        <v>0</v>
      </c>
      <c r="D27" s="21">
        <v>139.18</v>
      </c>
      <c r="E27" s="90" t="e">
        <f>B27/#REF!*1</f>
        <v>#VALUE!</v>
      </c>
      <c r="F27" s="88"/>
      <c r="G27" s="88"/>
      <c r="H27" s="88"/>
    </row>
    <row r="28" spans="1:8" ht="15">
      <c r="A28" s="8" t="s">
        <v>25</v>
      </c>
      <c r="B28" s="12" t="s">
        <v>11</v>
      </c>
      <c r="C28" s="15">
        <f>C15+C22</f>
        <v>55429.05348</v>
      </c>
      <c r="D28" s="16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0">
      <c r="A30" s="22" t="s">
        <v>28</v>
      </c>
      <c r="B30" s="23" t="s">
        <v>29</v>
      </c>
      <c r="C30" s="24" t="s">
        <v>30</v>
      </c>
      <c r="D30" s="25" t="s">
        <v>31</v>
      </c>
      <c r="E30" s="88"/>
      <c r="F30" s="88"/>
      <c r="G30" s="88"/>
      <c r="H30" s="88"/>
    </row>
    <row r="31" spans="1:8" ht="15">
      <c r="A31" s="26" t="s">
        <v>32</v>
      </c>
      <c r="B31" s="27" t="s">
        <v>33</v>
      </c>
      <c r="C31" s="28" t="s">
        <v>34</v>
      </c>
      <c r="D31" s="79">
        <f>(1.2+1.13)*6*85.6</f>
        <v>1196.6879999999999</v>
      </c>
      <c r="E31" s="88"/>
      <c r="F31" s="88"/>
      <c r="G31" s="88"/>
      <c r="H31" s="88"/>
    </row>
    <row r="32" spans="1:8" ht="15">
      <c r="A32" s="29" t="s">
        <v>36</v>
      </c>
      <c r="B32" s="30" t="s">
        <v>33</v>
      </c>
      <c r="C32" s="31" t="s">
        <v>37</v>
      </c>
      <c r="D32" s="80">
        <f>(0.26+0.27)*6*85.6</f>
        <v>272.20799999999997</v>
      </c>
      <c r="E32" s="88"/>
      <c r="F32" s="88"/>
      <c r="G32" s="88"/>
      <c r="H32" s="88"/>
    </row>
    <row r="33" spans="1:8" ht="15">
      <c r="A33" s="127" t="s">
        <v>156</v>
      </c>
      <c r="B33" s="30" t="s">
        <v>33</v>
      </c>
      <c r="C33" s="31" t="s">
        <v>34</v>
      </c>
      <c r="D33" s="80">
        <f>0.39*6*85.6</f>
        <v>200.30399999999997</v>
      </c>
      <c r="E33" s="88"/>
      <c r="F33" s="88"/>
      <c r="G33" s="88"/>
      <c r="H33" s="88"/>
    </row>
    <row r="34" spans="1:8" ht="15">
      <c r="A34" s="29" t="s">
        <v>78</v>
      </c>
      <c r="B34" s="78" t="s">
        <v>79</v>
      </c>
      <c r="C34" s="31" t="s">
        <v>34</v>
      </c>
      <c r="D34" s="80">
        <f>(1.44+1.52)*6*85.6</f>
        <v>1520.2559999999996</v>
      </c>
      <c r="E34" s="88"/>
      <c r="F34" s="88"/>
      <c r="G34" s="88"/>
      <c r="H34" s="88"/>
    </row>
    <row r="35" spans="1:8" ht="15">
      <c r="A35" s="29" t="s">
        <v>38</v>
      </c>
      <c r="B35" s="30" t="s">
        <v>35</v>
      </c>
      <c r="C35" s="306" t="s">
        <v>194</v>
      </c>
      <c r="D35" s="80">
        <f>(4.44+4.68)*85.6*6</f>
        <v>4684.032</v>
      </c>
      <c r="E35" s="88"/>
      <c r="F35" s="88"/>
      <c r="G35" s="88"/>
      <c r="H35" s="88"/>
    </row>
    <row r="36" spans="1:8" ht="15">
      <c r="A36" s="29" t="s">
        <v>82</v>
      </c>
      <c r="B36" s="30" t="s">
        <v>195</v>
      </c>
      <c r="C36" s="143" t="s">
        <v>37</v>
      </c>
      <c r="D36" s="80">
        <f>85.6*6*(1.04+0.99)</f>
        <v>1042.608</v>
      </c>
      <c r="E36" s="88"/>
      <c r="F36" s="88"/>
      <c r="G36" s="88"/>
      <c r="H36" s="88"/>
    </row>
    <row r="37" spans="1:14" s="1" customFormat="1" ht="45">
      <c r="A37" s="33" t="s">
        <v>40</v>
      </c>
      <c r="B37" s="34" t="s">
        <v>41</v>
      </c>
      <c r="C37" s="87" t="s">
        <v>74</v>
      </c>
      <c r="D37" s="36">
        <v>0</v>
      </c>
      <c r="E37" s="88"/>
      <c r="F37" s="88"/>
      <c r="G37" s="88"/>
      <c r="H37" s="88"/>
      <c r="K37"/>
      <c r="L37"/>
      <c r="M37"/>
      <c r="N37"/>
    </row>
    <row r="38" spans="1:14" s="1" customFormat="1" ht="15">
      <c r="A38" s="81"/>
      <c r="B38" s="82"/>
      <c r="C38" s="322"/>
      <c r="D38" s="120"/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38"/>
      <c r="C39" s="39"/>
      <c r="D39" s="84">
        <f>SUM(D31:D37)</f>
        <v>8916.096</v>
      </c>
      <c r="E39" s="91">
        <f>D39-D37</f>
        <v>8916.096</v>
      </c>
      <c r="F39" s="88"/>
      <c r="G39" s="88"/>
      <c r="H39" s="88"/>
      <c r="K39"/>
      <c r="L39"/>
      <c r="M39"/>
      <c r="N39"/>
    </row>
    <row r="40" spans="1:14" s="1" customFormat="1" ht="15">
      <c r="A40" s="40" t="s">
        <v>43</v>
      </c>
      <c r="B40" s="41" t="s">
        <v>11</v>
      </c>
      <c r="C40" s="42"/>
      <c r="D40" s="43">
        <f>C28-D39</f>
        <v>46512.957480000005</v>
      </c>
      <c r="E40" s="91"/>
      <c r="F40" s="88"/>
      <c r="G40" s="88"/>
      <c r="H40" s="88"/>
      <c r="K40"/>
      <c r="L40"/>
      <c r="M40"/>
      <c r="N40"/>
    </row>
    <row r="41" spans="1:14" s="1" customFormat="1" ht="15">
      <c r="A41" s="45" t="s">
        <v>12</v>
      </c>
      <c r="B41" s="46" t="s">
        <v>11</v>
      </c>
      <c r="C41" s="31"/>
      <c r="D41" s="16">
        <v>0</v>
      </c>
      <c r="E41" s="88"/>
      <c r="F41" s="88"/>
      <c r="G41" s="88"/>
      <c r="H41" s="88"/>
      <c r="K41"/>
      <c r="L41"/>
      <c r="M41"/>
      <c r="N41"/>
    </row>
    <row r="42" spans="1:14" s="1" customFormat="1" ht="15">
      <c r="A42" s="45" t="s">
        <v>13</v>
      </c>
      <c r="B42" s="46" t="s">
        <v>11</v>
      </c>
      <c r="C42" s="31"/>
      <c r="D42" s="16">
        <v>1587.51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">
      <c r="A44" s="45" t="s">
        <v>45</v>
      </c>
      <c r="B44" s="30" t="s">
        <v>46</v>
      </c>
      <c r="C44" s="31"/>
      <c r="D44" s="14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">
      <c r="A45" s="45" t="s">
        <v>47</v>
      </c>
      <c r="B45" s="30" t="s">
        <v>46</v>
      </c>
      <c r="C45" s="31"/>
      <c r="D45" s="14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">
      <c r="A46" s="47" t="s">
        <v>48</v>
      </c>
      <c r="B46" s="30" t="s">
        <v>46</v>
      </c>
      <c r="C46" s="31"/>
      <c r="D46" s="14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">
      <c r="A47" s="45" t="s">
        <v>49</v>
      </c>
      <c r="B47" s="30" t="s">
        <v>11</v>
      </c>
      <c r="C47" s="31"/>
      <c r="D47" s="14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230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5.75" thickBot="1">
      <c r="A50" s="102" t="s">
        <v>202</v>
      </c>
      <c r="B50" s="103">
        <v>5552.76</v>
      </c>
      <c r="C50" s="86">
        <f>B50</f>
        <v>5552.76</v>
      </c>
      <c r="D50" s="105">
        <f>B50-C50</f>
        <v>0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5.75" thickBot="1">
      <c r="A52" s="110" t="s">
        <v>202</v>
      </c>
      <c r="B52" s="111">
        <f>B50</f>
        <v>5552.76</v>
      </c>
      <c r="C52" s="112">
        <f>B52</f>
        <v>5552.76</v>
      </c>
      <c r="D52" s="113">
        <v>0</v>
      </c>
      <c r="E52" s="93"/>
      <c r="F52" s="96"/>
      <c r="G52" s="88"/>
      <c r="H52" s="98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231</v>
      </c>
      <c r="B53" s="444"/>
      <c r="C53" s="444"/>
      <c r="D53" s="444"/>
      <c r="E53" s="99" t="e">
        <f>D53+B19</f>
        <v>#VALUE!</v>
      </c>
      <c r="F53" s="98"/>
      <c r="G53" s="88"/>
      <c r="H53" s="100" t="e">
        <f>E53-B18</f>
        <v>#VALUE!</v>
      </c>
      <c r="I53" s="56"/>
      <c r="J53" s="56"/>
      <c r="K53" s="57"/>
      <c r="L53" s="57"/>
      <c r="M53" s="57"/>
      <c r="N53" s="57"/>
    </row>
    <row r="54" spans="1:8" ht="21" customHeight="1">
      <c r="A54" s="72" t="s">
        <v>45</v>
      </c>
      <c r="B54" s="72" t="s">
        <v>46</v>
      </c>
      <c r="C54" s="73"/>
      <c r="D54" s="149">
        <v>0</v>
      </c>
      <c r="E54" s="101"/>
      <c r="F54" s="88"/>
      <c r="G54" s="88"/>
      <c r="H54" s="88"/>
    </row>
    <row r="55" spans="1:8" ht="21" customHeight="1">
      <c r="A55" s="72" t="s">
        <v>47</v>
      </c>
      <c r="B55" s="72" t="s">
        <v>46</v>
      </c>
      <c r="C55" s="72"/>
      <c r="D55" s="149">
        <v>0</v>
      </c>
      <c r="E55" s="101"/>
      <c r="F55" s="88"/>
      <c r="G55" s="88"/>
      <c r="H55" s="88"/>
    </row>
    <row r="56" spans="1:8" ht="18" customHeight="1">
      <c r="A56" s="72" t="s">
        <v>48</v>
      </c>
      <c r="B56" s="72" t="s">
        <v>46</v>
      </c>
      <c r="C56" s="72"/>
      <c r="D56" s="149">
        <v>0</v>
      </c>
      <c r="E56" s="101"/>
      <c r="F56" s="88"/>
      <c r="G56" s="88"/>
      <c r="H56" s="88"/>
    </row>
    <row r="57" spans="1:8" ht="16.5" customHeight="1">
      <c r="A57" s="72" t="s">
        <v>49</v>
      </c>
      <c r="B57" s="72" t="s">
        <v>11</v>
      </c>
      <c r="C57" s="72"/>
      <c r="D57" s="149">
        <v>0</v>
      </c>
      <c r="E57" s="101"/>
      <c r="F57" s="88"/>
      <c r="G57" s="88"/>
      <c r="H57" s="88"/>
    </row>
    <row r="58" spans="1:8" ht="15.75" customHeight="1">
      <c r="A58" s="440" t="s">
        <v>65</v>
      </c>
      <c r="B58" s="440"/>
      <c r="C58" s="440"/>
      <c r="D58" s="440"/>
      <c r="E58" s="101"/>
      <c r="F58" s="88"/>
      <c r="G58" s="88"/>
      <c r="H58" s="88"/>
    </row>
    <row r="59" spans="1:8" ht="18.75" customHeight="1">
      <c r="A59" s="72" t="s">
        <v>66</v>
      </c>
      <c r="B59" s="72" t="s">
        <v>46</v>
      </c>
      <c r="C59" s="72"/>
      <c r="D59" s="149">
        <v>0</v>
      </c>
      <c r="E59" s="101"/>
      <c r="F59" s="88"/>
      <c r="G59" s="88"/>
      <c r="H59" s="88"/>
    </row>
    <row r="60" spans="1:8" ht="21.75" customHeight="1">
      <c r="A60" s="72" t="s">
        <v>67</v>
      </c>
      <c r="B60" s="49" t="s">
        <v>46</v>
      </c>
      <c r="C60" s="49"/>
      <c r="D60" s="149">
        <v>0</v>
      </c>
      <c r="E60" s="101"/>
      <c r="F60" s="88"/>
      <c r="G60" s="88"/>
      <c r="H60" s="88"/>
    </row>
    <row r="61" spans="1:8" ht="36" customHeight="1">
      <c r="A61" s="76" t="s">
        <v>68</v>
      </c>
      <c r="B61" s="72" t="s">
        <v>11</v>
      </c>
      <c r="C61" s="72"/>
      <c r="D61" s="149">
        <v>0</v>
      </c>
      <c r="E61" s="101"/>
      <c r="F61" s="88"/>
      <c r="G61" s="88"/>
      <c r="H61" s="88"/>
    </row>
    <row r="62" spans="1:8" ht="15">
      <c r="A62" s="57"/>
      <c r="B62" s="57"/>
      <c r="C62" s="57"/>
      <c r="D62" s="77"/>
      <c r="E62" s="88"/>
      <c r="F62" s="88"/>
      <c r="G62" s="88"/>
      <c r="H62" s="88"/>
    </row>
    <row r="63" spans="1:14" s="1" customFormat="1" ht="12.75">
      <c r="A63"/>
      <c r="B63"/>
      <c r="C63"/>
      <c r="D63"/>
      <c r="H63" s="1" t="s">
        <v>26</v>
      </c>
      <c r="K63"/>
      <c r="L63"/>
      <c r="M63"/>
      <c r="N63"/>
    </row>
    <row r="64" spans="1:14" s="1" customFormat="1" ht="12.75">
      <c r="A64" t="s">
        <v>69</v>
      </c>
      <c r="B64"/>
      <c r="C64"/>
      <c r="D64"/>
      <c r="K64"/>
      <c r="L64"/>
      <c r="M64"/>
      <c r="N64"/>
    </row>
    <row r="65" spans="1:14" s="1" customFormat="1" ht="12.75">
      <c r="A65"/>
      <c r="B65"/>
      <c r="C65"/>
      <c r="D65"/>
      <c r="H65" s="1" t="s">
        <v>26</v>
      </c>
      <c r="K65"/>
      <c r="L65"/>
      <c r="M65"/>
      <c r="N65"/>
    </row>
    <row r="66" spans="1:14" s="1" customFormat="1" ht="12.75">
      <c r="A66" t="s">
        <v>70</v>
      </c>
      <c r="B66"/>
      <c r="C66"/>
      <c r="D66"/>
      <c r="K66"/>
      <c r="L66"/>
      <c r="M66"/>
      <c r="N66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112" zoomScaleNormal="112" zoomScalePageLayoutView="0" workbookViewId="0" topLeftCell="A38">
      <selection activeCell="C22" sqref="C22"/>
    </sheetView>
  </sheetViews>
  <sheetFormatPr defaultColWidth="11.57421875" defaultRowHeight="12.75"/>
  <cols>
    <col min="1" max="1" width="54.28125" style="0" customWidth="1"/>
    <col min="2" max="2" width="17.8515625" style="0" customWidth="1"/>
    <col min="3" max="3" width="24.57421875" style="0" customWidth="1"/>
    <col min="4" max="4" width="16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127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32.25" customHeight="1">
      <c r="A7" s="450" t="s">
        <v>2</v>
      </c>
      <c r="B7" s="450"/>
      <c r="C7" s="450"/>
      <c r="D7" s="450"/>
    </row>
    <row r="8" spans="1:4" ht="12.75">
      <c r="A8" s="225">
        <v>1262.4</v>
      </c>
      <c r="B8" s="150"/>
      <c r="C8" s="153"/>
      <c r="D8" s="150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-76244.89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117287.7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284721.6</v>
      </c>
      <c r="D18" s="165"/>
      <c r="E18" s="89">
        <f>C18-C20</f>
        <v>231322.07999999996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162243.55199999997</v>
      </c>
      <c r="D19" s="165"/>
      <c r="E19" s="89">
        <f>E18-E46</f>
        <v>-0.09600000007776543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(3.62+3.43)*6*1262.4</f>
        <v>53399.52000000001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1262.4*(4.44+4.68)*6</f>
        <v>69078.528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</f>
        <v>307324.15679999994</v>
      </c>
      <c r="D22" s="165" t="s">
        <v>19</v>
      </c>
      <c r="E22" s="89" t="e">
        <f>B24+B25+B26+#REF!+B27</f>
        <v>#VALUE!</v>
      </c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C18*1.073</f>
        <v>305506.27679999993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249</v>
      </c>
      <c r="B26" s="161" t="s">
        <v>11</v>
      </c>
      <c r="C26" s="164">
        <v>1817.88</v>
      </c>
      <c r="D26" s="167"/>
      <c r="E26" s="90" t="e">
        <f>B26/#REF!*1</f>
        <v>#VALUE!</v>
      </c>
      <c r="F26" s="88"/>
      <c r="G26" s="88"/>
      <c r="H26" s="88"/>
    </row>
    <row r="27" spans="1:8" ht="15.75">
      <c r="A27" s="20" t="s">
        <v>25</v>
      </c>
      <c r="B27" s="161" t="s">
        <v>11</v>
      </c>
      <c r="C27" s="164">
        <f>C15+C22</f>
        <v>231079.26679999992</v>
      </c>
      <c r="D27" s="165" t="s">
        <v>26</v>
      </c>
      <c r="E27" s="90" t="e">
        <f>B27/#REF!*1</f>
        <v>#VALUE!</v>
      </c>
      <c r="F27" s="88"/>
      <c r="G27" s="88"/>
      <c r="H27" s="88"/>
    </row>
    <row r="28" spans="1:8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</row>
    <row r="29" spans="1:8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</row>
    <row r="30" spans="1:8" ht="15.75">
      <c r="A30" s="173" t="s">
        <v>32</v>
      </c>
      <c r="B30" s="174" t="s">
        <v>33</v>
      </c>
      <c r="C30" s="175" t="s">
        <v>34</v>
      </c>
      <c r="D30" s="176">
        <f>(0.91+0.97)*6*1262.4</f>
        <v>14239.872</v>
      </c>
      <c r="E30" s="88"/>
      <c r="F30" s="88"/>
      <c r="G30" s="88"/>
      <c r="H30" s="88"/>
    </row>
    <row r="31" spans="1:8" ht="15.75">
      <c r="A31" s="177" t="s">
        <v>72</v>
      </c>
      <c r="B31" s="178" t="s">
        <v>73</v>
      </c>
      <c r="C31" s="175" t="s">
        <v>34</v>
      </c>
      <c r="D31" s="180">
        <f>(2.59+2.73)*6*1262.4</f>
        <v>40295.808000000005</v>
      </c>
      <c r="E31" s="88"/>
      <c r="F31" s="88"/>
      <c r="G31" s="88"/>
      <c r="H31" s="88"/>
    </row>
    <row r="32" spans="1:8" ht="15.75">
      <c r="A32" s="177" t="s">
        <v>203</v>
      </c>
      <c r="B32" s="178" t="s">
        <v>75</v>
      </c>
      <c r="C32" s="304" t="s">
        <v>221</v>
      </c>
      <c r="D32" s="181">
        <f>(0.19+0.2)*6*1262.4</f>
        <v>2954.016</v>
      </c>
      <c r="E32" s="88"/>
      <c r="F32" s="88"/>
      <c r="G32" s="88"/>
      <c r="H32" s="88"/>
    </row>
    <row r="33" spans="1:8" ht="15.75">
      <c r="A33" s="177" t="s">
        <v>36</v>
      </c>
      <c r="B33" s="178" t="s">
        <v>33</v>
      </c>
      <c r="C33" s="179" t="s">
        <v>37</v>
      </c>
      <c r="D33" s="180">
        <f>(0.26+0.27)*6*1262.4</f>
        <v>4014.4320000000007</v>
      </c>
      <c r="E33" s="88"/>
      <c r="F33" s="88"/>
      <c r="G33" s="88"/>
      <c r="H33" s="88"/>
    </row>
    <row r="34" spans="1:8" ht="15.75">
      <c r="A34" s="177" t="s">
        <v>76</v>
      </c>
      <c r="B34" s="305" t="s">
        <v>33</v>
      </c>
      <c r="C34" s="179" t="s">
        <v>34</v>
      </c>
      <c r="D34" s="180">
        <f>(0.77+0.82)*6*1262.4</f>
        <v>12043.296</v>
      </c>
      <c r="E34" s="88"/>
      <c r="F34" s="88"/>
      <c r="G34" s="88"/>
      <c r="H34" s="88"/>
    </row>
    <row r="35" spans="1:8" ht="26.25">
      <c r="A35" s="268" t="s">
        <v>153</v>
      </c>
      <c r="B35" s="178" t="s">
        <v>33</v>
      </c>
      <c r="C35" s="179" t="s">
        <v>34</v>
      </c>
      <c r="D35" s="180">
        <f>1262.4*(2.56+2.7)*6</f>
        <v>39841.344</v>
      </c>
      <c r="E35" s="88"/>
      <c r="F35" s="88"/>
      <c r="G35" s="88"/>
      <c r="H35" s="88"/>
    </row>
    <row r="36" spans="1:8" ht="31.5">
      <c r="A36" s="177" t="s">
        <v>78</v>
      </c>
      <c r="B36" s="183" t="s">
        <v>79</v>
      </c>
      <c r="C36" s="179" t="s">
        <v>34</v>
      </c>
      <c r="D36" s="180">
        <f>(1.44+1.52)*6*1262.4</f>
        <v>22420.224</v>
      </c>
      <c r="E36" s="88"/>
      <c r="F36" s="88"/>
      <c r="G36" s="88"/>
      <c r="H36" s="88"/>
    </row>
    <row r="37" spans="1:8" ht="15.75">
      <c r="A37" s="177" t="s">
        <v>38</v>
      </c>
      <c r="B37" s="178" t="s">
        <v>35</v>
      </c>
      <c r="C37" s="304" t="s">
        <v>194</v>
      </c>
      <c r="D37" s="180">
        <f>(4.44+4.68)*1262.4*6</f>
        <v>69078.528</v>
      </c>
      <c r="E37" s="88"/>
      <c r="F37" s="88"/>
      <c r="G37" s="88"/>
      <c r="H37" s="88"/>
    </row>
    <row r="38" spans="1:8" ht="15.75">
      <c r="A38" s="177" t="s">
        <v>309</v>
      </c>
      <c r="B38" s="178" t="s">
        <v>310</v>
      </c>
      <c r="C38" s="179" t="s">
        <v>34</v>
      </c>
      <c r="D38" s="180">
        <f>1262.4*6*2.61</f>
        <v>19769.184</v>
      </c>
      <c r="E38" s="88"/>
      <c r="F38" s="88"/>
      <c r="G38" s="88"/>
      <c r="H38" s="88"/>
    </row>
    <row r="39" spans="1:8" ht="19.5" customHeight="1">
      <c r="A39" s="177" t="s">
        <v>82</v>
      </c>
      <c r="B39" s="178" t="s">
        <v>195</v>
      </c>
      <c r="C39" s="267" t="s">
        <v>37</v>
      </c>
      <c r="D39" s="180">
        <f>1262.4*6*(0.45+0.43)</f>
        <v>6665.472000000001</v>
      </c>
      <c r="E39" s="88"/>
      <c r="F39" s="88"/>
      <c r="G39" s="88"/>
      <c r="H39" s="88"/>
    </row>
    <row r="40" spans="1:8" ht="19.5" customHeight="1">
      <c r="A40" s="177" t="s">
        <v>184</v>
      </c>
      <c r="B40" s="178"/>
      <c r="C40" s="267"/>
      <c r="D40" s="180"/>
      <c r="E40" s="88"/>
      <c r="F40" s="88"/>
      <c r="G40" s="88"/>
      <c r="H40" s="88"/>
    </row>
    <row r="41" spans="1:8" ht="42" customHeight="1">
      <c r="A41" s="177" t="s">
        <v>186</v>
      </c>
      <c r="B41" s="178" t="s">
        <v>35</v>
      </c>
      <c r="C41" s="267" t="s">
        <v>185</v>
      </c>
      <c r="D41" s="180">
        <v>1817.88</v>
      </c>
      <c r="E41" s="88">
        <v>1598.79</v>
      </c>
      <c r="F41" s="88"/>
      <c r="G41" s="88"/>
      <c r="H41" s="88"/>
    </row>
    <row r="42" spans="1:14" s="1" customFormat="1" ht="67.5" customHeight="1">
      <c r="A42" s="227" t="s">
        <v>177</v>
      </c>
      <c r="B42" s="185" t="s">
        <v>41</v>
      </c>
      <c r="C42" s="269"/>
      <c r="D42" s="319">
        <f>D43+D44+D45</f>
        <v>88378.92</v>
      </c>
      <c r="E42" s="88"/>
      <c r="F42" s="88"/>
      <c r="G42" s="88"/>
      <c r="H42" s="88"/>
      <c r="K42"/>
      <c r="L42"/>
      <c r="M42"/>
      <c r="N42"/>
    </row>
    <row r="43" spans="1:14" s="1" customFormat="1" ht="30.75" customHeight="1">
      <c r="A43" s="190" t="s">
        <v>302</v>
      </c>
      <c r="B43" s="187" t="s">
        <v>303</v>
      </c>
      <c r="C43" s="179" t="s">
        <v>241</v>
      </c>
      <c r="D43" s="148">
        <v>83496.81</v>
      </c>
      <c r="E43" s="88"/>
      <c r="F43" s="88"/>
      <c r="G43" s="88"/>
      <c r="H43" s="88"/>
      <c r="K43"/>
      <c r="L43"/>
      <c r="M43"/>
      <c r="N43"/>
    </row>
    <row r="44" spans="1:14" s="1" customFormat="1" ht="23.25" customHeight="1">
      <c r="A44" s="190" t="s">
        <v>304</v>
      </c>
      <c r="B44" s="187" t="s">
        <v>135</v>
      </c>
      <c r="C44" s="179" t="s">
        <v>34</v>
      </c>
      <c r="D44" s="148">
        <v>2547.11</v>
      </c>
      <c r="E44" s="88"/>
      <c r="F44" s="88"/>
      <c r="G44" s="88"/>
      <c r="H44" s="88"/>
      <c r="K44"/>
      <c r="L44"/>
      <c r="M44"/>
      <c r="N44"/>
    </row>
    <row r="45" spans="1:14" s="1" customFormat="1" ht="18.75" customHeight="1">
      <c r="A45" s="190" t="s">
        <v>305</v>
      </c>
      <c r="B45" s="187" t="s">
        <v>148</v>
      </c>
      <c r="C45" s="179" t="s">
        <v>34</v>
      </c>
      <c r="D45" s="148">
        <v>2335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37" t="s">
        <v>42</v>
      </c>
      <c r="B46" s="192"/>
      <c r="C46" s="193"/>
      <c r="D46" s="84">
        <f>D30+D31+D32+D33+D34+D35+D36+D37+D39+D41+D42+D38</f>
        <v>321518.976</v>
      </c>
      <c r="E46" s="151">
        <f>D46-D42-D41</f>
        <v>231322.17600000004</v>
      </c>
      <c r="F46" s="88"/>
      <c r="G46" s="88"/>
      <c r="H46" s="88"/>
      <c r="K46"/>
      <c r="L46"/>
      <c r="M46"/>
      <c r="N46"/>
    </row>
    <row r="47" spans="1:14" s="1" customFormat="1" ht="15.75">
      <c r="A47" s="40" t="s">
        <v>43</v>
      </c>
      <c r="B47" s="194" t="s">
        <v>11</v>
      </c>
      <c r="C47" s="195"/>
      <c r="D47" s="196">
        <f>C27-D46</f>
        <v>-90439.7092000001</v>
      </c>
      <c r="E47" s="151"/>
      <c r="F47" s="88"/>
      <c r="G47" s="88"/>
      <c r="H47" s="88"/>
      <c r="K47"/>
      <c r="L47"/>
      <c r="M47"/>
      <c r="N47"/>
    </row>
    <row r="48" spans="1:14" s="1" customFormat="1" ht="15.75">
      <c r="A48" s="197" t="s">
        <v>12</v>
      </c>
      <c r="B48" s="198" t="s">
        <v>11</v>
      </c>
      <c r="C48" s="179"/>
      <c r="D48" s="163"/>
      <c r="E48" s="88"/>
      <c r="F48" s="88"/>
      <c r="G48" s="88"/>
      <c r="H48" s="88"/>
      <c r="K48"/>
      <c r="L48"/>
      <c r="M48"/>
      <c r="N48"/>
    </row>
    <row r="49" spans="1:14" s="1" customFormat="1" ht="15.75">
      <c r="A49" s="197" t="s">
        <v>13</v>
      </c>
      <c r="B49" s="198" t="s">
        <v>11</v>
      </c>
      <c r="C49" s="179"/>
      <c r="D49" s="165">
        <v>81240.73</v>
      </c>
      <c r="E49" s="88"/>
      <c r="F49" s="88"/>
      <c r="G49" s="88"/>
      <c r="H49" s="88"/>
      <c r="K49"/>
      <c r="L49"/>
      <c r="M49"/>
      <c r="N49"/>
    </row>
    <row r="50" spans="1:14" s="1" customFormat="1" ht="24" customHeight="1">
      <c r="A50" s="443" t="s">
        <v>44</v>
      </c>
      <c r="B50" s="443"/>
      <c r="C50" s="443"/>
      <c r="D50" s="443"/>
      <c r="E50" s="88"/>
      <c r="F50" s="88"/>
      <c r="G50" s="88"/>
      <c r="H50" s="270"/>
      <c r="K50"/>
      <c r="L50"/>
      <c r="M50"/>
      <c r="N50"/>
    </row>
    <row r="51" spans="1:14" s="1" customFormat="1" ht="15.75">
      <c r="A51" s="197" t="s">
        <v>45</v>
      </c>
      <c r="B51" s="178" t="s">
        <v>46</v>
      </c>
      <c r="C51" s="179"/>
      <c r="D51" s="163">
        <v>0</v>
      </c>
      <c r="E51" s="88"/>
      <c r="F51" s="88"/>
      <c r="G51" s="88"/>
      <c r="H51" s="88"/>
      <c r="K51"/>
      <c r="L51"/>
      <c r="M51"/>
      <c r="N51"/>
    </row>
    <row r="52" spans="1:14" s="1" customFormat="1" ht="15.75">
      <c r="A52" s="197" t="s">
        <v>47</v>
      </c>
      <c r="B52" s="178" t="s">
        <v>46</v>
      </c>
      <c r="C52" s="179"/>
      <c r="D52" s="163">
        <v>0</v>
      </c>
      <c r="E52" s="88"/>
      <c r="F52" s="88"/>
      <c r="G52" s="88"/>
      <c r="H52" s="88"/>
      <c r="K52"/>
      <c r="L52"/>
      <c r="M52"/>
      <c r="N52"/>
    </row>
    <row r="53" spans="1:14" s="1" customFormat="1" ht="26.25">
      <c r="A53" s="199" t="s">
        <v>48</v>
      </c>
      <c r="B53" s="178" t="s">
        <v>46</v>
      </c>
      <c r="C53" s="179"/>
      <c r="D53" s="163">
        <v>0</v>
      </c>
      <c r="E53" s="88"/>
      <c r="F53" s="88"/>
      <c r="G53" s="88"/>
      <c r="H53" s="88"/>
      <c r="K53"/>
      <c r="L53"/>
      <c r="M53"/>
      <c r="N53"/>
    </row>
    <row r="54" spans="1:14" s="1" customFormat="1" ht="15.75">
      <c r="A54" s="197" t="s">
        <v>49</v>
      </c>
      <c r="B54" s="178" t="s">
        <v>11</v>
      </c>
      <c r="C54" s="179"/>
      <c r="D54" s="163">
        <v>0</v>
      </c>
      <c r="E54" s="88"/>
      <c r="F54" s="88"/>
      <c r="G54" s="88"/>
      <c r="H54" s="88"/>
      <c r="K54"/>
      <c r="L54"/>
      <c r="M54"/>
      <c r="N54"/>
    </row>
    <row r="55" spans="1:14" ht="18" customHeight="1" thickBot="1">
      <c r="A55" s="452" t="s">
        <v>235</v>
      </c>
      <c r="B55" s="452"/>
      <c r="C55" s="452"/>
      <c r="D55" s="452"/>
      <c r="E55" s="93"/>
      <c r="F55" s="94"/>
      <c r="G55" s="95"/>
      <c r="H55" s="88"/>
      <c r="I55" s="56"/>
      <c r="J55" s="56"/>
      <c r="K55" s="57"/>
      <c r="L55" s="57"/>
      <c r="M55" s="57"/>
      <c r="N55" s="57"/>
    </row>
    <row r="56" spans="1:14" ht="38.25">
      <c r="A56" s="58" t="s">
        <v>54</v>
      </c>
      <c r="B56" s="59" t="s">
        <v>55</v>
      </c>
      <c r="C56" s="130" t="s">
        <v>56</v>
      </c>
      <c r="D56" s="131" t="s">
        <v>57</v>
      </c>
      <c r="E56" s="93"/>
      <c r="F56" s="94"/>
      <c r="G56" s="95"/>
      <c r="H56" s="88"/>
      <c r="I56" s="56"/>
      <c r="J56" s="62"/>
      <c r="K56" s="57"/>
      <c r="L56" s="57"/>
      <c r="M56" s="57"/>
      <c r="N56" s="57"/>
    </row>
    <row r="57" spans="1:14" ht="16.5" thickBot="1">
      <c r="A57" s="228" t="s">
        <v>202</v>
      </c>
      <c r="B57" s="229">
        <v>81890.88</v>
      </c>
      <c r="C57" s="345">
        <f>B57</f>
        <v>81890.88</v>
      </c>
      <c r="D57" s="347">
        <f>B57-C57</f>
        <v>0</v>
      </c>
      <c r="E57" s="93"/>
      <c r="F57" s="96"/>
      <c r="G57" s="97"/>
      <c r="H57" s="88"/>
      <c r="I57" s="56"/>
      <c r="J57" s="56"/>
      <c r="K57" s="57"/>
      <c r="L57" s="57"/>
      <c r="M57" s="57"/>
      <c r="N57" s="57"/>
    </row>
    <row r="58" spans="1:14" ht="63.75">
      <c r="A58" s="106" t="s">
        <v>59</v>
      </c>
      <c r="B58" s="107" t="s">
        <v>60</v>
      </c>
      <c r="C58" s="107" t="s">
        <v>61</v>
      </c>
      <c r="D58" s="132" t="s">
        <v>62</v>
      </c>
      <c r="E58" s="93"/>
      <c r="F58" s="96"/>
      <c r="G58" s="88"/>
      <c r="H58" s="98"/>
      <c r="I58" s="56"/>
      <c r="J58" s="56"/>
      <c r="K58" s="57"/>
      <c r="L58" s="57"/>
      <c r="M58" s="57"/>
      <c r="N58" s="57"/>
    </row>
    <row r="59" spans="1:14" ht="16.5" thickBot="1">
      <c r="A59" s="375" t="s">
        <v>202</v>
      </c>
      <c r="B59" s="376">
        <f>B57</f>
        <v>81890.88</v>
      </c>
      <c r="C59" s="377">
        <f>B59</f>
        <v>81890.88</v>
      </c>
      <c r="D59" s="378">
        <v>0</v>
      </c>
      <c r="E59" s="93"/>
      <c r="F59" s="96"/>
      <c r="G59" s="88"/>
      <c r="H59" s="98" t="s">
        <v>26</v>
      </c>
      <c r="I59" s="56"/>
      <c r="J59" s="56"/>
      <c r="K59" s="57"/>
      <c r="L59" s="57"/>
      <c r="M59" s="57"/>
      <c r="N59" s="57"/>
    </row>
    <row r="60" spans="1:14" ht="17.25" customHeight="1">
      <c r="A60" s="444" t="s">
        <v>231</v>
      </c>
      <c r="B60" s="444"/>
      <c r="C60" s="444"/>
      <c r="D60" s="444"/>
      <c r="E60" s="99" t="e">
        <f>D60+B19</f>
        <v>#VALUE!</v>
      </c>
      <c r="F60" s="98"/>
      <c r="G60" s="88"/>
      <c r="H60" s="100" t="e">
        <f>E60-B18</f>
        <v>#VALUE!</v>
      </c>
      <c r="I60" s="56"/>
      <c r="J60" s="56"/>
      <c r="K60" s="57"/>
      <c r="L60" s="57"/>
      <c r="M60" s="57"/>
      <c r="N60" s="57"/>
    </row>
    <row r="61" spans="1:8" ht="21" customHeight="1">
      <c r="A61" s="73" t="s">
        <v>45</v>
      </c>
      <c r="B61" s="73" t="s">
        <v>46</v>
      </c>
      <c r="C61" s="73"/>
      <c r="D61" s="149">
        <v>0</v>
      </c>
      <c r="E61" s="101"/>
      <c r="F61" s="88"/>
      <c r="G61" s="88"/>
      <c r="H61" s="88"/>
    </row>
    <row r="62" spans="1:8" ht="21" customHeight="1">
      <c r="A62" s="73" t="s">
        <v>47</v>
      </c>
      <c r="B62" s="73" t="s">
        <v>46</v>
      </c>
      <c r="C62" s="73"/>
      <c r="D62" s="149">
        <v>0</v>
      </c>
      <c r="E62" s="101"/>
      <c r="F62" s="88"/>
      <c r="G62" s="88"/>
      <c r="H62" s="88"/>
    </row>
    <row r="63" spans="1:8" ht="18" customHeight="1">
      <c r="A63" s="73" t="s">
        <v>48</v>
      </c>
      <c r="B63" s="73" t="s">
        <v>46</v>
      </c>
      <c r="C63" s="73"/>
      <c r="D63" s="149">
        <v>0</v>
      </c>
      <c r="E63" s="101"/>
      <c r="F63" s="88"/>
      <c r="G63" s="88"/>
      <c r="H63" s="88"/>
    </row>
    <row r="64" spans="1:8" ht="16.5" customHeight="1">
      <c r="A64" s="73" t="s">
        <v>49</v>
      </c>
      <c r="B64" s="73" t="s">
        <v>11</v>
      </c>
      <c r="C64" s="73"/>
      <c r="D64" s="149">
        <v>0</v>
      </c>
      <c r="E64" s="101"/>
      <c r="F64" s="88"/>
      <c r="G64" s="88"/>
      <c r="H64" s="88"/>
    </row>
    <row r="65" spans="1:8" ht="15.75" customHeight="1">
      <c r="A65" s="440" t="s">
        <v>232</v>
      </c>
      <c r="B65" s="440"/>
      <c r="C65" s="440"/>
      <c r="D65" s="440"/>
      <c r="E65" s="101"/>
      <c r="F65" s="88"/>
      <c r="G65" s="88"/>
      <c r="H65" s="88"/>
    </row>
    <row r="66" spans="1:8" ht="18.75" customHeight="1">
      <c r="A66" s="73" t="s">
        <v>66</v>
      </c>
      <c r="B66" s="73" t="s">
        <v>46</v>
      </c>
      <c r="C66" s="73"/>
      <c r="D66" s="149">
        <v>1</v>
      </c>
      <c r="E66" s="101"/>
      <c r="F66" s="88"/>
      <c r="G66" s="88"/>
      <c r="H66" s="88"/>
    </row>
    <row r="67" spans="1:8" ht="21.75" customHeight="1">
      <c r="A67" s="73" t="s">
        <v>67</v>
      </c>
      <c r="B67" s="221" t="s">
        <v>46</v>
      </c>
      <c r="C67" s="221"/>
      <c r="D67" s="149">
        <v>1</v>
      </c>
      <c r="E67" s="101"/>
      <c r="F67" s="88"/>
      <c r="G67" s="88"/>
      <c r="H67" s="88"/>
    </row>
    <row r="68" spans="1:8" ht="36" customHeight="1">
      <c r="A68" s="222" t="s">
        <v>68</v>
      </c>
      <c r="B68" s="73" t="s">
        <v>11</v>
      </c>
      <c r="C68" s="73"/>
      <c r="D68" s="149">
        <v>36000</v>
      </c>
      <c r="E68" s="101"/>
      <c r="F68" s="88"/>
      <c r="G68" s="88"/>
      <c r="H68" s="88"/>
    </row>
    <row r="69" spans="1:8" ht="15.75">
      <c r="A69" s="223"/>
      <c r="B69" s="223"/>
      <c r="C69" s="223"/>
      <c r="D69" s="224"/>
      <c r="E69" s="88"/>
      <c r="F69" s="88"/>
      <c r="G69" s="88"/>
      <c r="H69" s="88"/>
    </row>
    <row r="70" spans="1:14" s="1" customFormat="1" ht="12.75">
      <c r="A70" s="150"/>
      <c r="B70" s="150"/>
      <c r="C70" s="150"/>
      <c r="D70" s="150"/>
      <c r="E70" s="88"/>
      <c r="F70" s="88"/>
      <c r="G70" s="88"/>
      <c r="H70" s="88" t="s">
        <v>26</v>
      </c>
      <c r="K70"/>
      <c r="L70"/>
      <c r="M70"/>
      <c r="N70"/>
    </row>
    <row r="71" spans="1:14" s="1" customFormat="1" ht="12.75">
      <c r="A71" s="150" t="s">
        <v>69</v>
      </c>
      <c r="B71" s="150"/>
      <c r="C71" s="150" t="s">
        <v>131</v>
      </c>
      <c r="D71" s="150"/>
      <c r="E71" s="88"/>
      <c r="F71" s="88"/>
      <c r="G71" s="88"/>
      <c r="H71" s="88"/>
      <c r="K71"/>
      <c r="L71"/>
      <c r="M71"/>
      <c r="N71"/>
    </row>
    <row r="72" spans="1:14" s="1" customFormat="1" ht="12.75">
      <c r="A72" s="150"/>
      <c r="B72" s="150"/>
      <c r="C72" s="150"/>
      <c r="D72" s="150"/>
      <c r="E72" s="88"/>
      <c r="F72" s="88"/>
      <c r="G72" s="88"/>
      <c r="H72" s="88" t="s">
        <v>26</v>
      </c>
      <c r="K72"/>
      <c r="L72"/>
      <c r="M72"/>
      <c r="N72"/>
    </row>
    <row r="73" spans="1:14" s="1" customFormat="1" ht="12.75">
      <c r="A73" s="150" t="s">
        <v>70</v>
      </c>
      <c r="B73" s="150"/>
      <c r="C73" s="150"/>
      <c r="D73" s="150"/>
      <c r="E73" s="88"/>
      <c r="F73" s="88"/>
      <c r="G73" s="88"/>
      <c r="H73" s="88"/>
      <c r="K73"/>
      <c r="L73"/>
      <c r="M73"/>
      <c r="N73"/>
    </row>
    <row r="74" spans="1:4" ht="12.75">
      <c r="A74" s="150"/>
      <c r="B74" s="150"/>
      <c r="C74" s="150"/>
      <c r="D74" s="150"/>
    </row>
    <row r="77" spans="1:14" s="1" customFormat="1" ht="12.75">
      <c r="A77"/>
      <c r="B77"/>
      <c r="C77"/>
      <c r="D77"/>
      <c r="E77" s="1" t="s">
        <v>26</v>
      </c>
      <c r="K77"/>
      <c r="L77"/>
      <c r="M77"/>
      <c r="N77"/>
    </row>
  </sheetData>
  <sheetProtection selectLockedCells="1" selectUnlockedCells="1"/>
  <mergeCells count="12">
    <mergeCell ref="A65:D65"/>
    <mergeCell ref="A14:D14"/>
    <mergeCell ref="A28:D28"/>
    <mergeCell ref="A50:D50"/>
    <mergeCell ref="A55:D55"/>
    <mergeCell ref="A60:D6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0" zoomScaleNormal="80" zoomScalePageLayoutView="0" workbookViewId="0" topLeftCell="A13">
      <selection activeCell="C51" sqref="C51"/>
    </sheetView>
  </sheetViews>
  <sheetFormatPr defaultColWidth="11.57421875" defaultRowHeight="12.75"/>
  <cols>
    <col min="1" max="1" width="63.28125" style="0" customWidth="1"/>
    <col min="2" max="2" width="20.28125" style="0" customWidth="1"/>
    <col min="3" max="3" width="31.421875" style="0" customWidth="1"/>
    <col min="4" max="4" width="27.57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130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4" ht="9" customHeight="1">
      <c r="A6" s="225"/>
      <c r="B6" s="150"/>
      <c r="C6" s="150"/>
      <c r="D6" s="150"/>
    </row>
    <row r="7" spans="1:4" ht="18" customHeight="1">
      <c r="A7" s="450" t="s">
        <v>2</v>
      </c>
      <c r="B7" s="450"/>
      <c r="C7" s="450"/>
      <c r="D7" s="450"/>
    </row>
    <row r="8" spans="1:4" ht="12.75">
      <c r="A8" s="225" t="s">
        <v>171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33588.34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2845.09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20985.06</v>
      </c>
      <c r="D18" s="165"/>
      <c r="E18" s="18">
        <f>C18-C20</f>
        <v>15375.522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7971.906</v>
      </c>
      <c r="D19" s="165"/>
      <c r="E19" s="18">
        <f>E18-E39</f>
        <v>0.030000000000654836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(3.54+3.37)*6*135.3</f>
        <v>5609.5380000000005</v>
      </c>
      <c r="D20" s="165"/>
      <c r="E20" s="123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135.3*(4.44+4.68)*6</f>
        <v>7403.616000000001</v>
      </c>
      <c r="D21" s="165"/>
      <c r="E21" s="50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</f>
        <v>20985.06</v>
      </c>
      <c r="D22" s="165" t="s">
        <v>19</v>
      </c>
      <c r="E22" s="18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</f>
        <v>20985.06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24</v>
      </c>
      <c r="B26" s="161" t="s">
        <v>11</v>
      </c>
      <c r="C26" s="164">
        <v>0</v>
      </c>
      <c r="D26" s="167"/>
      <c r="E26" s="90" t="e">
        <f>B26/#REF!*1</f>
        <v>#VALUE!</v>
      </c>
      <c r="F26" s="88"/>
      <c r="G26" s="88"/>
      <c r="H26" s="88"/>
    </row>
    <row r="27" spans="1:8" ht="16.5" customHeight="1">
      <c r="A27" s="168" t="s">
        <v>91</v>
      </c>
      <c r="B27" s="161" t="s">
        <v>11</v>
      </c>
      <c r="C27" s="164">
        <v>0</v>
      </c>
      <c r="D27" s="167">
        <v>139.18</v>
      </c>
      <c r="E27" s="90" t="e">
        <f>B27/#REF!*1</f>
        <v>#VALUE!</v>
      </c>
      <c r="F27" s="88"/>
      <c r="G27" s="88"/>
      <c r="H27" s="88"/>
    </row>
    <row r="28" spans="1:8" ht="15.75">
      <c r="A28" s="20" t="s">
        <v>25</v>
      </c>
      <c r="B28" s="161" t="s">
        <v>11</v>
      </c>
      <c r="C28" s="164">
        <f>C15+C22</f>
        <v>54573.399999999994</v>
      </c>
      <c r="D28" s="165" t="s">
        <v>26</v>
      </c>
      <c r="E28" s="90" t="e">
        <f>B28/#REF!*1</f>
        <v>#VALUE!</v>
      </c>
      <c r="F28" s="88"/>
      <c r="G28" s="88"/>
      <c r="H28" s="88"/>
    </row>
    <row r="29" spans="1:8" ht="35.25" customHeight="1">
      <c r="A29" s="442" t="s">
        <v>27</v>
      </c>
      <c r="B29" s="442"/>
      <c r="C29" s="442"/>
      <c r="D29" s="442"/>
      <c r="E29" s="88"/>
      <c r="F29" s="88"/>
      <c r="G29" s="88"/>
      <c r="H29" s="88"/>
    </row>
    <row r="30" spans="1:8" ht="63">
      <c r="A30" s="238" t="s">
        <v>28</v>
      </c>
      <c r="B30" s="259" t="s">
        <v>29</v>
      </c>
      <c r="C30" s="246" t="s">
        <v>30</v>
      </c>
      <c r="D30" s="260" t="s">
        <v>31</v>
      </c>
      <c r="E30" s="88"/>
      <c r="F30" s="88"/>
      <c r="G30" s="88"/>
      <c r="H30" s="88"/>
    </row>
    <row r="31" spans="1:8" ht="15.75">
      <c r="A31" s="173" t="s">
        <v>32</v>
      </c>
      <c r="B31" s="174" t="s">
        <v>33</v>
      </c>
      <c r="C31" s="175" t="s">
        <v>34</v>
      </c>
      <c r="D31" s="176">
        <f>(1.09+1.16)*6*135.3</f>
        <v>1826.5500000000002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(0.26+0.27)*6*135.3</f>
        <v>430.2540000000001</v>
      </c>
      <c r="E32" s="88"/>
      <c r="F32" s="88"/>
      <c r="G32" s="88"/>
      <c r="H32" s="88"/>
    </row>
    <row r="33" spans="1:8" ht="15.75">
      <c r="A33" s="177" t="s">
        <v>101</v>
      </c>
      <c r="B33" s="178" t="s">
        <v>33</v>
      </c>
      <c r="C33" s="179" t="s">
        <v>34</v>
      </c>
      <c r="D33" s="180">
        <f>(1.39+1.48)*6*135.3</f>
        <v>2329.866</v>
      </c>
      <c r="E33" s="88"/>
      <c r="F33" s="88"/>
      <c r="G33" s="88"/>
      <c r="H33" s="88"/>
    </row>
    <row r="34" spans="1:8" ht="15.75">
      <c r="A34" s="177" t="s">
        <v>78</v>
      </c>
      <c r="B34" s="183" t="s">
        <v>79</v>
      </c>
      <c r="C34" s="179" t="s">
        <v>34</v>
      </c>
      <c r="D34" s="180">
        <f>(1.44+1.52)*6*135.3</f>
        <v>2402.928</v>
      </c>
      <c r="E34" s="88"/>
      <c r="F34" s="88"/>
      <c r="G34" s="88"/>
      <c r="H34" s="88"/>
    </row>
    <row r="35" spans="1:8" ht="15.75">
      <c r="A35" s="177" t="s">
        <v>38</v>
      </c>
      <c r="B35" s="178" t="s">
        <v>35</v>
      </c>
      <c r="C35" s="304" t="s">
        <v>194</v>
      </c>
      <c r="D35" s="180">
        <f>(4.44+4.68)*135.3*6</f>
        <v>7403.616000000001</v>
      </c>
      <c r="E35" s="88"/>
      <c r="F35" s="88"/>
      <c r="G35" s="88"/>
      <c r="H35" s="88"/>
    </row>
    <row r="36" spans="1:8" ht="15.75">
      <c r="A36" s="177" t="s">
        <v>82</v>
      </c>
      <c r="B36" s="178" t="s">
        <v>195</v>
      </c>
      <c r="C36" s="226" t="s">
        <v>37</v>
      </c>
      <c r="D36" s="180">
        <f>135.3*6*(0.62+0.59)</f>
        <v>982.278</v>
      </c>
      <c r="E36" s="88"/>
      <c r="F36" s="88"/>
      <c r="G36" s="88"/>
      <c r="H36" s="88"/>
    </row>
    <row r="37" spans="1:14" s="1" customFormat="1" ht="47.25">
      <c r="A37" s="253" t="s">
        <v>190</v>
      </c>
      <c r="B37" s="185" t="s">
        <v>41</v>
      </c>
      <c r="C37" s="269"/>
      <c r="D37" s="147">
        <f>D38</f>
        <v>0</v>
      </c>
      <c r="E37" s="88"/>
      <c r="F37" s="88"/>
      <c r="G37" s="88"/>
      <c r="H37" s="88"/>
      <c r="K37"/>
      <c r="L37"/>
      <c r="M37"/>
      <c r="N37"/>
    </row>
    <row r="38" spans="1:14" s="1" customFormat="1" ht="15.75">
      <c r="A38" s="189"/>
      <c r="B38" s="187"/>
      <c r="C38" s="369"/>
      <c r="D38" s="148"/>
      <c r="E38" s="88"/>
      <c r="F38" s="88"/>
      <c r="G38" s="88"/>
      <c r="H38" s="88"/>
      <c r="K38"/>
      <c r="L38"/>
      <c r="M38"/>
      <c r="N38"/>
    </row>
    <row r="39" spans="1:14" s="1" customFormat="1" ht="15.75">
      <c r="A39" s="37" t="s">
        <v>42</v>
      </c>
      <c r="B39" s="192"/>
      <c r="C39" s="193"/>
      <c r="D39" s="84">
        <f>SUM(D31:D37)</f>
        <v>15375.492</v>
      </c>
      <c r="E39" s="91">
        <f>D39-D37</f>
        <v>15375.492</v>
      </c>
      <c r="F39" s="88"/>
      <c r="G39" s="88"/>
      <c r="H39" s="88"/>
      <c r="K39"/>
      <c r="L39"/>
      <c r="M39"/>
      <c r="N39"/>
    </row>
    <row r="40" spans="1:14" s="1" customFormat="1" ht="15.75">
      <c r="A40" s="40" t="s">
        <v>43</v>
      </c>
      <c r="B40" s="194" t="s">
        <v>11</v>
      </c>
      <c r="C40" s="195"/>
      <c r="D40" s="196">
        <f>C28-D39</f>
        <v>39197.907999999996</v>
      </c>
      <c r="E40" s="91"/>
      <c r="F40" s="88"/>
      <c r="G40" s="88"/>
      <c r="H40" s="88"/>
      <c r="K40"/>
      <c r="L40"/>
      <c r="M40"/>
      <c r="N40"/>
    </row>
    <row r="41" spans="1:14" s="1" customFormat="1" ht="15.75">
      <c r="A41" s="197" t="s">
        <v>12</v>
      </c>
      <c r="B41" s="198" t="s">
        <v>11</v>
      </c>
      <c r="C41" s="179"/>
      <c r="D41" s="163"/>
      <c r="E41" s="88"/>
      <c r="F41" s="88"/>
      <c r="G41" s="88"/>
      <c r="H41" s="88"/>
      <c r="K41"/>
      <c r="L41"/>
      <c r="M41"/>
      <c r="N41"/>
    </row>
    <row r="42" spans="1:14" s="1" customFormat="1" ht="15.75">
      <c r="A42" s="197" t="s">
        <v>13</v>
      </c>
      <c r="B42" s="198" t="s">
        <v>11</v>
      </c>
      <c r="C42" s="179"/>
      <c r="D42" s="165">
        <v>1271.82</v>
      </c>
      <c r="E42" s="88"/>
      <c r="F42" s="88"/>
      <c r="G42" s="88"/>
      <c r="H42" s="88"/>
      <c r="K42"/>
      <c r="L42"/>
      <c r="M42"/>
      <c r="N42"/>
    </row>
    <row r="43" spans="1:14" s="1" customFormat="1" ht="24" customHeight="1">
      <c r="A43" s="443" t="s">
        <v>44</v>
      </c>
      <c r="B43" s="443"/>
      <c r="C43" s="443"/>
      <c r="D43" s="443"/>
      <c r="E43" s="88"/>
      <c r="F43" s="88"/>
      <c r="G43" s="88"/>
      <c r="H43" s="88"/>
      <c r="K43"/>
      <c r="L43"/>
      <c r="M43"/>
      <c r="N43"/>
    </row>
    <row r="44" spans="1:14" s="1" customFormat="1" ht="15.75">
      <c r="A44" s="197" t="s">
        <v>45</v>
      </c>
      <c r="B44" s="178" t="s">
        <v>46</v>
      </c>
      <c r="C44" s="179">
        <v>0</v>
      </c>
      <c r="D44" s="163">
        <v>0</v>
      </c>
      <c r="E44" s="88"/>
      <c r="F44" s="88"/>
      <c r="G44" s="88"/>
      <c r="H44" s="88"/>
      <c r="K44"/>
      <c r="L44"/>
      <c r="M44"/>
      <c r="N44"/>
    </row>
    <row r="45" spans="1:14" s="1" customFormat="1" ht="15.75">
      <c r="A45" s="197" t="s">
        <v>47</v>
      </c>
      <c r="B45" s="178" t="s">
        <v>46</v>
      </c>
      <c r="C45" s="179">
        <v>0</v>
      </c>
      <c r="D45" s="163">
        <v>0</v>
      </c>
      <c r="E45" s="88"/>
      <c r="F45" s="88"/>
      <c r="G45" s="88"/>
      <c r="H45" s="88"/>
      <c r="K45"/>
      <c r="L45"/>
      <c r="M45"/>
      <c r="N45"/>
    </row>
    <row r="46" spans="1:14" s="1" customFormat="1" ht="15.75">
      <c r="A46" s="199" t="s">
        <v>48</v>
      </c>
      <c r="B46" s="178" t="s">
        <v>46</v>
      </c>
      <c r="C46" s="179">
        <v>0</v>
      </c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49</v>
      </c>
      <c r="B47" s="178" t="s">
        <v>11</v>
      </c>
      <c r="C47" s="179">
        <v>0</v>
      </c>
      <c r="D47" s="163">
        <v>0</v>
      </c>
      <c r="E47" s="88"/>
      <c r="F47" s="88"/>
      <c r="G47" s="88"/>
      <c r="H47" s="88"/>
      <c r="K47"/>
      <c r="L47"/>
      <c r="M47"/>
      <c r="N47"/>
    </row>
    <row r="48" spans="1:14" ht="18" customHeight="1" thickBot="1">
      <c r="A48" s="452" t="s">
        <v>53</v>
      </c>
      <c r="B48" s="452"/>
      <c r="C48" s="452"/>
      <c r="D48" s="452"/>
      <c r="E48" s="93"/>
      <c r="F48" s="94"/>
      <c r="G48" s="95"/>
      <c r="H48" s="88"/>
      <c r="I48" s="56"/>
      <c r="J48" s="56"/>
      <c r="K48" s="57"/>
      <c r="L48" s="57"/>
      <c r="M48" s="57"/>
      <c r="N48" s="57"/>
    </row>
    <row r="49" spans="1:14" ht="47.25">
      <c r="A49" s="58" t="s">
        <v>54</v>
      </c>
      <c r="B49" s="59" t="s">
        <v>55</v>
      </c>
      <c r="C49" s="60" t="s">
        <v>56</v>
      </c>
      <c r="D49" s="61" t="s">
        <v>57</v>
      </c>
      <c r="E49" s="93"/>
      <c r="F49" s="94"/>
      <c r="G49" s="95"/>
      <c r="H49" s="88"/>
      <c r="I49" s="56"/>
      <c r="J49" s="62"/>
      <c r="K49" s="57"/>
      <c r="L49" s="57"/>
      <c r="M49" s="57"/>
      <c r="N49" s="57"/>
    </row>
    <row r="50" spans="1:14" ht="16.5" thickBot="1">
      <c r="A50" s="228" t="s">
        <v>202</v>
      </c>
      <c r="B50" s="229">
        <v>8776.8</v>
      </c>
      <c r="C50" s="208">
        <f>B50</f>
        <v>8776.8</v>
      </c>
      <c r="D50" s="231">
        <f>B50-C50</f>
        <v>0</v>
      </c>
      <c r="E50" s="93"/>
      <c r="F50" s="96"/>
      <c r="G50" s="97"/>
      <c r="H50" s="88"/>
      <c r="I50" s="56"/>
      <c r="J50" s="56"/>
      <c r="K50" s="57"/>
      <c r="L50" s="57"/>
      <c r="M50" s="57"/>
      <c r="N50" s="57"/>
    </row>
    <row r="51" spans="1:14" ht="63">
      <c r="A51" s="106" t="s">
        <v>59</v>
      </c>
      <c r="B51" s="107" t="s">
        <v>60</v>
      </c>
      <c r="C51" s="108" t="s">
        <v>61</v>
      </c>
      <c r="D51" s="109" t="s">
        <v>62</v>
      </c>
      <c r="E51" s="93"/>
      <c r="F51" s="96"/>
      <c r="G51" s="88"/>
      <c r="H51" s="98"/>
      <c r="I51" s="56"/>
      <c r="J51" s="56"/>
      <c r="K51" s="57"/>
      <c r="L51" s="57"/>
      <c r="M51" s="57"/>
      <c r="N51" s="57"/>
    </row>
    <row r="52" spans="1:14" ht="16.5" thickBot="1">
      <c r="A52" s="234" t="s">
        <v>202</v>
      </c>
      <c r="B52" s="235">
        <f>B50</f>
        <v>8776.8</v>
      </c>
      <c r="C52" s="236">
        <f>B52</f>
        <v>8776.8</v>
      </c>
      <c r="D52" s="237">
        <f>B52-C52</f>
        <v>0</v>
      </c>
      <c r="E52" s="53"/>
      <c r="F52" s="63"/>
      <c r="H52" s="56" t="s">
        <v>26</v>
      </c>
      <c r="I52" s="56"/>
      <c r="J52" s="56"/>
      <c r="K52" s="57"/>
      <c r="L52" s="57"/>
      <c r="M52" s="57"/>
      <c r="N52" s="57"/>
    </row>
    <row r="53" spans="1:14" ht="17.25" customHeight="1">
      <c r="A53" s="444" t="s">
        <v>64</v>
      </c>
      <c r="B53" s="444"/>
      <c r="C53" s="444"/>
      <c r="D53" s="444"/>
      <c r="E53" s="70" t="e">
        <f>D53+B19</f>
        <v>#VALUE!</v>
      </c>
      <c r="F53" s="56"/>
      <c r="H53" s="71" t="e">
        <f>E53-B18</f>
        <v>#VALUE!</v>
      </c>
      <c r="I53" s="56"/>
      <c r="J53" s="56"/>
      <c r="K53" s="57"/>
      <c r="L53" s="57"/>
      <c r="M53" s="57"/>
      <c r="N53" s="57"/>
    </row>
    <row r="54" spans="1:5" ht="21" customHeight="1">
      <c r="A54" s="73" t="s">
        <v>45</v>
      </c>
      <c r="B54" s="73" t="s">
        <v>46</v>
      </c>
      <c r="C54" s="73"/>
      <c r="D54" s="149">
        <v>0</v>
      </c>
      <c r="E54" s="75"/>
    </row>
    <row r="55" spans="1:5" ht="21" customHeight="1">
      <c r="A55" s="73" t="s">
        <v>47</v>
      </c>
      <c r="B55" s="73" t="s">
        <v>46</v>
      </c>
      <c r="C55" s="73"/>
      <c r="D55" s="149">
        <v>0</v>
      </c>
      <c r="E55" s="75"/>
    </row>
    <row r="56" spans="1:5" ht="18" customHeight="1">
      <c r="A56" s="73" t="s">
        <v>48</v>
      </c>
      <c r="B56" s="73" t="s">
        <v>46</v>
      </c>
      <c r="C56" s="73"/>
      <c r="D56" s="149">
        <v>0</v>
      </c>
      <c r="E56" s="75"/>
    </row>
    <row r="57" spans="1:5" ht="16.5" customHeight="1">
      <c r="A57" s="73" t="s">
        <v>49</v>
      </c>
      <c r="B57" s="73" t="s">
        <v>11</v>
      </c>
      <c r="C57" s="73"/>
      <c r="D57" s="149">
        <v>0</v>
      </c>
      <c r="E57" s="75"/>
    </row>
    <row r="58" spans="1:5" ht="15.75" customHeight="1">
      <c r="A58" s="440" t="s">
        <v>65</v>
      </c>
      <c r="B58" s="440"/>
      <c r="C58" s="440"/>
      <c r="D58" s="440"/>
      <c r="E58" s="75"/>
    </row>
    <row r="59" spans="1:5" ht="18.75" customHeight="1">
      <c r="A59" s="73" t="s">
        <v>66</v>
      </c>
      <c r="B59" s="73" t="s">
        <v>46</v>
      </c>
      <c r="C59" s="73"/>
      <c r="D59" s="149">
        <v>0</v>
      </c>
      <c r="E59" s="75"/>
    </row>
    <row r="60" spans="1:5" ht="21.75" customHeight="1">
      <c r="A60" s="73" t="s">
        <v>67</v>
      </c>
      <c r="B60" s="221" t="s">
        <v>46</v>
      </c>
      <c r="C60" s="221"/>
      <c r="D60" s="149">
        <v>0</v>
      </c>
      <c r="E60" s="75"/>
    </row>
    <row r="61" spans="1:5" ht="36" customHeight="1">
      <c r="A61" s="222" t="s">
        <v>68</v>
      </c>
      <c r="B61" s="73" t="s">
        <v>11</v>
      </c>
      <c r="C61" s="73"/>
      <c r="D61" s="149">
        <v>0</v>
      </c>
      <c r="E61" s="75"/>
    </row>
    <row r="62" spans="1:4" ht="15.75">
      <c r="A62" s="223"/>
      <c r="B62" s="223"/>
      <c r="C62" s="223"/>
      <c r="D62" s="224"/>
    </row>
    <row r="63" spans="1:14" s="1" customFormat="1" ht="12.75">
      <c r="A63" s="150"/>
      <c r="B63" s="150"/>
      <c r="C63" s="150"/>
      <c r="D63" s="150"/>
      <c r="H63" s="1" t="s">
        <v>26</v>
      </c>
      <c r="K63"/>
      <c r="L63"/>
      <c r="M63"/>
      <c r="N63"/>
    </row>
    <row r="64" spans="1:14" s="1" customFormat="1" ht="12.75">
      <c r="A64" s="150" t="s">
        <v>69</v>
      </c>
      <c r="B64" s="150"/>
      <c r="C64" s="150"/>
      <c r="D64" s="150"/>
      <c r="K64"/>
      <c r="L64"/>
      <c r="M64"/>
      <c r="N64"/>
    </row>
    <row r="65" spans="1:14" s="1" customFormat="1" ht="12.75">
      <c r="A65" s="150"/>
      <c r="B65" s="150"/>
      <c r="C65" s="150"/>
      <c r="D65" s="150"/>
      <c r="H65" s="1" t="s">
        <v>26</v>
      </c>
      <c r="K65"/>
      <c r="L65"/>
      <c r="M65"/>
      <c r="N65"/>
    </row>
    <row r="66" spans="1:14" s="1" customFormat="1" ht="12.75">
      <c r="A66" s="150" t="s">
        <v>70</v>
      </c>
      <c r="B66" s="150"/>
      <c r="C66" s="150"/>
      <c r="D66" s="150"/>
      <c r="K66"/>
      <c r="L66"/>
      <c r="M66"/>
      <c r="N66"/>
    </row>
    <row r="67" spans="1:4" ht="12.75">
      <c r="A67" s="150"/>
      <c r="B67" s="150"/>
      <c r="C67" s="150"/>
      <c r="D67" s="150"/>
    </row>
    <row r="70" spans="1:14" s="1" customFormat="1" ht="12.75">
      <c r="A70"/>
      <c r="B70"/>
      <c r="C70"/>
      <c r="D70"/>
      <c r="E70" s="1" t="s">
        <v>26</v>
      </c>
      <c r="K70"/>
      <c r="L70"/>
      <c r="M70"/>
      <c r="N70"/>
    </row>
  </sheetData>
  <sheetProtection selectLockedCells="1" selectUnlockedCells="1"/>
  <mergeCells count="12">
    <mergeCell ref="A58:D58"/>
    <mergeCell ref="A14:D14"/>
    <mergeCell ref="A29:D29"/>
    <mergeCell ref="A43:D43"/>
    <mergeCell ref="A48:D48"/>
    <mergeCell ref="A53:D53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300" verticalDpi="300" orientation="landscape" paperSize="1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9">
      <selection activeCell="C50" sqref="C50"/>
    </sheetView>
  </sheetViews>
  <sheetFormatPr defaultColWidth="9.140625" defaultRowHeight="12.75"/>
  <cols>
    <col min="1" max="1" width="47.28125" style="0" customWidth="1"/>
    <col min="2" max="2" width="22.00390625" style="0" customWidth="1"/>
    <col min="3" max="3" width="24.140625" style="0" customWidth="1"/>
    <col min="4" max="4" width="31.57421875" style="0" customWidth="1"/>
  </cols>
  <sheetData>
    <row r="1" spans="1:4" ht="18">
      <c r="A1" s="458" t="s">
        <v>0</v>
      </c>
      <c r="B1" s="458"/>
      <c r="C1" s="458"/>
      <c r="D1" s="458"/>
    </row>
    <row r="2" spans="1:4" ht="15.75">
      <c r="A2" s="459" t="s">
        <v>193</v>
      </c>
      <c r="B2" s="460"/>
      <c r="C2" s="460"/>
      <c r="D2" s="460"/>
    </row>
    <row r="3" spans="1:4" ht="15.75">
      <c r="A3" s="460" t="s">
        <v>1</v>
      </c>
      <c r="B3" s="460"/>
      <c r="C3" s="460"/>
      <c r="D3" s="460"/>
    </row>
    <row r="4" spans="1:4" ht="12.75">
      <c r="A4" s="461" t="s">
        <v>129</v>
      </c>
      <c r="B4" s="461"/>
      <c r="C4" s="461"/>
      <c r="D4" s="461"/>
    </row>
    <row r="5" spans="1:4" ht="12.75">
      <c r="A5" s="462" t="s">
        <v>244</v>
      </c>
      <c r="B5" s="461"/>
      <c r="C5" s="461"/>
      <c r="D5" s="461"/>
    </row>
    <row r="6" spans="1:4" ht="12.75">
      <c r="A6" s="225"/>
      <c r="B6" s="150"/>
      <c r="C6" s="150"/>
      <c r="D6" s="150"/>
    </row>
    <row r="7" spans="1:4" ht="12.75">
      <c r="A7" s="463" t="s">
        <v>2</v>
      </c>
      <c r="B7" s="463"/>
      <c r="C7" s="463"/>
      <c r="D7" s="463"/>
    </row>
    <row r="8" spans="1:4" ht="12.75">
      <c r="A8" s="225" t="s">
        <v>170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4" ht="12.75">
      <c r="A11" s="20" t="s">
        <v>6</v>
      </c>
      <c r="B11" s="158"/>
      <c r="C11" s="159" t="s">
        <v>252</v>
      </c>
      <c r="D11" s="160"/>
    </row>
    <row r="12" spans="1:4" ht="12.75">
      <c r="A12" s="20" t="s">
        <v>7</v>
      </c>
      <c r="B12" s="158"/>
      <c r="C12" s="159" t="s">
        <v>242</v>
      </c>
      <c r="D12" s="160"/>
    </row>
    <row r="13" spans="1:4" ht="12.75">
      <c r="A13" s="20" t="s">
        <v>8</v>
      </c>
      <c r="B13" s="158"/>
      <c r="C13" s="159" t="s">
        <v>243</v>
      </c>
      <c r="D13" s="160"/>
    </row>
    <row r="14" spans="1:4" ht="15.75">
      <c r="A14" s="441" t="s">
        <v>9</v>
      </c>
      <c r="B14" s="441"/>
      <c r="C14" s="441"/>
      <c r="D14" s="441"/>
    </row>
    <row r="15" spans="1:6" ht="39">
      <c r="A15" s="17" t="s">
        <v>10</v>
      </c>
      <c r="B15" s="161" t="s">
        <v>11</v>
      </c>
      <c r="C15" s="164">
        <v>-15417.05</v>
      </c>
      <c r="D15" s="163"/>
      <c r="E15" s="44">
        <f>C18-C20</f>
        <v>9553.746</v>
      </c>
      <c r="F15" s="50"/>
    </row>
    <row r="16" spans="1:6" ht="15.75">
      <c r="A16" s="20" t="s">
        <v>12</v>
      </c>
      <c r="B16" s="161" t="s">
        <v>11</v>
      </c>
      <c r="C16" s="162">
        <v>0</v>
      </c>
      <c r="D16" s="163"/>
      <c r="E16" s="44">
        <f>E15-E38</f>
        <v>3.035999999998239</v>
      </c>
      <c r="F16" s="50"/>
    </row>
    <row r="17" spans="1:6" ht="15.75">
      <c r="A17" s="20" t="s">
        <v>13</v>
      </c>
      <c r="B17" s="161" t="s">
        <v>11</v>
      </c>
      <c r="C17" s="164">
        <v>1933.17</v>
      </c>
      <c r="D17" s="165"/>
      <c r="E17" s="50"/>
      <c r="F17" s="50"/>
    </row>
    <row r="18" spans="1:6" ht="26.25">
      <c r="A18" s="17" t="s">
        <v>14</v>
      </c>
      <c r="B18" s="161" t="s">
        <v>11</v>
      </c>
      <c r="C18" s="164">
        <v>15033.84</v>
      </c>
      <c r="D18" s="165"/>
      <c r="E18" s="44"/>
      <c r="F18" s="50"/>
    </row>
    <row r="19" spans="1:6" ht="15.75">
      <c r="A19" s="20" t="s">
        <v>15</v>
      </c>
      <c r="B19" s="161" t="s">
        <v>11</v>
      </c>
      <c r="C19" s="164">
        <f>C18-C20-C21</f>
        <v>4590.641999999999</v>
      </c>
      <c r="D19" s="165"/>
      <c r="E19" s="44"/>
      <c r="F19" s="50"/>
    </row>
    <row r="20" spans="1:6" ht="15.75">
      <c r="A20" s="20" t="s">
        <v>16</v>
      </c>
      <c r="B20" s="161" t="s">
        <v>11</v>
      </c>
      <c r="C20" s="164">
        <f>(5.17+4.9)*6*90.7</f>
        <v>5480.094</v>
      </c>
      <c r="D20" s="165"/>
      <c r="E20" s="50"/>
      <c r="F20" s="50"/>
    </row>
    <row r="21" spans="1:6" ht="15.75">
      <c r="A21" s="20" t="s">
        <v>17</v>
      </c>
      <c r="B21" s="161" t="s">
        <v>11</v>
      </c>
      <c r="C21" s="166">
        <f>90.7*(4.44+4.68)*6</f>
        <v>4963.104</v>
      </c>
      <c r="D21" s="165"/>
      <c r="E21" s="50"/>
      <c r="F21" s="50"/>
    </row>
    <row r="22" spans="1:6" ht="15.75">
      <c r="A22" s="20" t="s">
        <v>18</v>
      </c>
      <c r="B22" s="161" t="s">
        <v>11</v>
      </c>
      <c r="C22" s="164">
        <f>C23</f>
        <v>15033.84</v>
      </c>
      <c r="D22" s="165" t="s">
        <v>19</v>
      </c>
      <c r="E22" s="50"/>
      <c r="F22" s="50"/>
    </row>
    <row r="23" spans="1:5" ht="15.75">
      <c r="A23" s="20" t="s">
        <v>20</v>
      </c>
      <c r="B23" s="161" t="s">
        <v>11</v>
      </c>
      <c r="C23" s="164">
        <f>C18*1</f>
        <v>15033.84</v>
      </c>
      <c r="D23" s="165"/>
      <c r="E23" s="88"/>
    </row>
    <row r="24" spans="1:5" ht="15.75">
      <c r="A24" s="20" t="s">
        <v>21</v>
      </c>
      <c r="B24" s="161" t="s">
        <v>11</v>
      </c>
      <c r="C24" s="164">
        <v>0</v>
      </c>
      <c r="D24" s="167">
        <v>65.21</v>
      </c>
      <c r="E24" s="88"/>
    </row>
    <row r="25" spans="1:5" ht="15.75">
      <c r="A25" s="20" t="s">
        <v>23</v>
      </c>
      <c r="B25" s="161" t="s">
        <v>11</v>
      </c>
      <c r="C25" s="164">
        <v>0</v>
      </c>
      <c r="D25" s="167">
        <v>119.63</v>
      </c>
      <c r="E25" s="88"/>
    </row>
    <row r="26" spans="1:5" ht="15.75">
      <c r="A26" s="158" t="s">
        <v>24</v>
      </c>
      <c r="B26" s="161" t="s">
        <v>11</v>
      </c>
      <c r="C26" s="164">
        <v>0</v>
      </c>
      <c r="D26" s="167"/>
      <c r="E26" s="88"/>
    </row>
    <row r="27" spans="1:5" ht="15.75">
      <c r="A27" s="168" t="s">
        <v>91</v>
      </c>
      <c r="B27" s="161" t="s">
        <v>11</v>
      </c>
      <c r="C27" s="164">
        <v>0</v>
      </c>
      <c r="D27" s="167">
        <v>139.18</v>
      </c>
      <c r="E27" s="88"/>
    </row>
    <row r="28" spans="1:5" ht="15.75">
      <c r="A28" s="20" t="s">
        <v>25</v>
      </c>
      <c r="B28" s="161" t="s">
        <v>11</v>
      </c>
      <c r="C28" s="164">
        <f>C15+C22</f>
        <v>-383.2099999999991</v>
      </c>
      <c r="D28" s="165" t="s">
        <v>26</v>
      </c>
      <c r="E28" s="88"/>
    </row>
    <row r="29" spans="1:5" ht="15.75">
      <c r="A29" s="464" t="s">
        <v>27</v>
      </c>
      <c r="B29" s="464"/>
      <c r="C29" s="464"/>
      <c r="D29" s="464"/>
      <c r="E29" s="88"/>
    </row>
    <row r="30" spans="1:5" ht="63">
      <c r="A30" s="383" t="s">
        <v>28</v>
      </c>
      <c r="B30" s="384" t="s">
        <v>29</v>
      </c>
      <c r="C30" s="385" t="s">
        <v>30</v>
      </c>
      <c r="D30" s="260" t="s">
        <v>31</v>
      </c>
      <c r="E30" s="88"/>
    </row>
    <row r="31" spans="1:5" ht="15.75">
      <c r="A31" s="386" t="s">
        <v>32</v>
      </c>
      <c r="B31" s="387" t="s">
        <v>33</v>
      </c>
      <c r="C31" s="388" t="s">
        <v>34</v>
      </c>
      <c r="D31" s="176">
        <f>(1.13+1.2)*6*90.7</f>
        <v>1267.986</v>
      </c>
      <c r="E31" s="88"/>
    </row>
    <row r="32" spans="1:5" ht="15.75">
      <c r="A32" s="389" t="s">
        <v>36</v>
      </c>
      <c r="B32" s="390" t="s">
        <v>33</v>
      </c>
      <c r="C32" s="391" t="s">
        <v>37</v>
      </c>
      <c r="D32" s="180">
        <f>(0.26+0.27)*6*90.7</f>
        <v>288.42600000000004</v>
      </c>
      <c r="E32" s="88"/>
    </row>
    <row r="33" spans="1:5" ht="15.75">
      <c r="A33" s="392" t="s">
        <v>156</v>
      </c>
      <c r="B33" s="390" t="s">
        <v>33</v>
      </c>
      <c r="C33" s="391" t="s">
        <v>34</v>
      </c>
      <c r="D33" s="180">
        <f>90.7*(0.41+0.39)*6</f>
        <v>435.36</v>
      </c>
      <c r="E33" s="88"/>
    </row>
    <row r="34" spans="1:5" ht="15.75">
      <c r="A34" s="389" t="s">
        <v>78</v>
      </c>
      <c r="B34" s="393" t="s">
        <v>79</v>
      </c>
      <c r="C34" s="391" t="s">
        <v>34</v>
      </c>
      <c r="D34" s="180">
        <f>(1.44+1.52)*6*90.7</f>
        <v>1610.8319999999999</v>
      </c>
      <c r="E34" s="88"/>
    </row>
    <row r="35" spans="1:5" ht="15.75">
      <c r="A35" s="389" t="s">
        <v>38</v>
      </c>
      <c r="B35" s="390" t="s">
        <v>35</v>
      </c>
      <c r="C35" s="394" t="s">
        <v>194</v>
      </c>
      <c r="D35" s="180">
        <f>(4.44+4.68)*90.7*6</f>
        <v>4963.104</v>
      </c>
      <c r="E35" s="88"/>
    </row>
    <row r="36" spans="1:5" ht="15.75">
      <c r="A36" s="389" t="s">
        <v>82</v>
      </c>
      <c r="B36" s="390" t="s">
        <v>195</v>
      </c>
      <c r="C36" s="395" t="s">
        <v>37</v>
      </c>
      <c r="D36" s="180">
        <f>90.7*(0.93+0.88)*6</f>
        <v>985.002</v>
      </c>
      <c r="E36" s="88"/>
    </row>
    <row r="37" spans="1:5" ht="47.25">
      <c r="A37" s="396" t="s">
        <v>40</v>
      </c>
      <c r="B37" s="397" t="s">
        <v>41</v>
      </c>
      <c r="C37" s="398" t="s">
        <v>128</v>
      </c>
      <c r="D37" s="319">
        <v>0</v>
      </c>
      <c r="E37" s="50"/>
    </row>
    <row r="38" spans="1:5" ht="15.75">
      <c r="A38" s="399" t="s">
        <v>42</v>
      </c>
      <c r="B38" s="400"/>
      <c r="C38" s="401"/>
      <c r="D38" s="84">
        <f>SUM(D31:D37)</f>
        <v>9550.710000000001</v>
      </c>
      <c r="E38" s="44">
        <f>D38-D37</f>
        <v>9550.710000000001</v>
      </c>
    </row>
    <row r="39" spans="1:5" ht="15.75">
      <c r="A39" s="402" t="s">
        <v>43</v>
      </c>
      <c r="B39" s="403" t="s">
        <v>11</v>
      </c>
      <c r="C39" s="404"/>
      <c r="D39" s="196">
        <f>C28-D38</f>
        <v>-9933.92</v>
      </c>
      <c r="E39" s="50"/>
    </row>
    <row r="40" spans="1:5" ht="15.75">
      <c r="A40" s="158" t="s">
        <v>12</v>
      </c>
      <c r="B40" s="405" t="s">
        <v>11</v>
      </c>
      <c r="C40" s="391"/>
      <c r="D40" s="163">
        <v>0</v>
      </c>
      <c r="E40" s="50"/>
    </row>
    <row r="41" spans="1:5" ht="15.75">
      <c r="A41" s="158" t="s">
        <v>13</v>
      </c>
      <c r="B41" s="405" t="s">
        <v>11</v>
      </c>
      <c r="C41" s="391"/>
      <c r="D41" s="165">
        <v>1776.43</v>
      </c>
      <c r="E41" s="50"/>
    </row>
    <row r="42" spans="1:5" ht="15.75">
      <c r="A42" s="465" t="s">
        <v>44</v>
      </c>
      <c r="B42" s="465"/>
      <c r="C42" s="465"/>
      <c r="D42" s="465"/>
      <c r="E42" s="88"/>
    </row>
    <row r="43" spans="1:5" ht="15.75">
      <c r="A43" s="158" t="s">
        <v>45</v>
      </c>
      <c r="B43" s="390" t="s">
        <v>46</v>
      </c>
      <c r="C43" s="391">
        <v>0</v>
      </c>
      <c r="D43" s="163">
        <v>0</v>
      </c>
      <c r="E43" s="88"/>
    </row>
    <row r="44" spans="1:5" ht="15.75">
      <c r="A44" s="158" t="s">
        <v>47</v>
      </c>
      <c r="B44" s="390" t="s">
        <v>46</v>
      </c>
      <c r="C44" s="391">
        <v>0</v>
      </c>
      <c r="D44" s="163">
        <v>0</v>
      </c>
      <c r="E44" s="88"/>
    </row>
    <row r="45" spans="1:5" ht="26.25">
      <c r="A45" s="168" t="s">
        <v>48</v>
      </c>
      <c r="B45" s="390" t="s">
        <v>46</v>
      </c>
      <c r="C45" s="391">
        <v>0</v>
      </c>
      <c r="D45" s="163">
        <v>0</v>
      </c>
      <c r="E45" s="88"/>
    </row>
    <row r="46" spans="1:5" ht="15.75">
      <c r="A46" s="158" t="s">
        <v>49</v>
      </c>
      <c r="B46" s="390" t="s">
        <v>11</v>
      </c>
      <c r="C46" s="391">
        <v>0</v>
      </c>
      <c r="D46" s="163">
        <v>0</v>
      </c>
      <c r="E46" s="88"/>
    </row>
    <row r="47" spans="1:5" ht="16.5" thickBot="1">
      <c r="A47" s="452" t="s">
        <v>230</v>
      </c>
      <c r="B47" s="452"/>
      <c r="C47" s="452"/>
      <c r="D47" s="452"/>
      <c r="E47" s="88"/>
    </row>
    <row r="48" spans="1:5" ht="47.25">
      <c r="A48" s="58" t="s">
        <v>54</v>
      </c>
      <c r="B48" s="59" t="s">
        <v>55</v>
      </c>
      <c r="C48" s="60" t="s">
        <v>56</v>
      </c>
      <c r="D48" s="61" t="s">
        <v>57</v>
      </c>
      <c r="E48" s="88"/>
    </row>
    <row r="49" spans="1:5" ht="16.5" thickBot="1">
      <c r="A49" s="228" t="s">
        <v>202</v>
      </c>
      <c r="B49" s="229">
        <v>5883.6</v>
      </c>
      <c r="C49" s="230">
        <f>B49</f>
        <v>5883.6</v>
      </c>
      <c r="D49" s="231">
        <f>B49-C49</f>
        <v>0</v>
      </c>
      <c r="E49" s="88"/>
    </row>
    <row r="50" spans="1:5" ht="63">
      <c r="A50" s="106" t="s">
        <v>59</v>
      </c>
      <c r="B50" s="107" t="s">
        <v>60</v>
      </c>
      <c r="C50" s="108" t="s">
        <v>61</v>
      </c>
      <c r="D50" s="109" t="s">
        <v>62</v>
      </c>
      <c r="E50" s="88"/>
    </row>
    <row r="51" spans="1:5" ht="16.5" thickBot="1">
      <c r="A51" s="234" t="s">
        <v>202</v>
      </c>
      <c r="B51" s="235">
        <f>B49</f>
        <v>5883.6</v>
      </c>
      <c r="C51" s="236">
        <f>B51</f>
        <v>5883.6</v>
      </c>
      <c r="D51" s="237">
        <v>0</v>
      </c>
      <c r="E51" s="88"/>
    </row>
    <row r="52" spans="1:5" ht="15.75">
      <c r="A52" s="444" t="s">
        <v>231</v>
      </c>
      <c r="B52" s="444"/>
      <c r="C52" s="444"/>
      <c r="D52" s="444"/>
      <c r="E52" s="88"/>
    </row>
    <row r="53" spans="1:4" ht="15.75">
      <c r="A53" s="73" t="s">
        <v>45</v>
      </c>
      <c r="B53" s="73" t="s">
        <v>46</v>
      </c>
      <c r="C53" s="73"/>
      <c r="D53" s="149">
        <v>0</v>
      </c>
    </row>
    <row r="54" spans="1:4" ht="15.75">
      <c r="A54" s="73" t="s">
        <v>47</v>
      </c>
      <c r="B54" s="73" t="s">
        <v>46</v>
      </c>
      <c r="C54" s="73"/>
      <c r="D54" s="149">
        <v>0</v>
      </c>
    </row>
    <row r="55" spans="1:4" ht="15.75">
      <c r="A55" s="73" t="s">
        <v>48</v>
      </c>
      <c r="B55" s="73" t="s">
        <v>46</v>
      </c>
      <c r="C55" s="73"/>
      <c r="D55" s="149">
        <v>0</v>
      </c>
    </row>
    <row r="56" spans="1:4" ht="15.75">
      <c r="A56" s="73" t="s">
        <v>49</v>
      </c>
      <c r="B56" s="73" t="s">
        <v>11</v>
      </c>
      <c r="C56" s="73"/>
      <c r="D56" s="149">
        <v>0</v>
      </c>
    </row>
    <row r="57" spans="1:4" ht="12.75">
      <c r="A57" s="440" t="s">
        <v>232</v>
      </c>
      <c r="B57" s="440"/>
      <c r="C57" s="440"/>
      <c r="D57" s="440"/>
    </row>
    <row r="58" spans="1:4" ht="15.75">
      <c r="A58" s="73" t="s">
        <v>66</v>
      </c>
      <c r="B58" s="73" t="s">
        <v>46</v>
      </c>
      <c r="C58" s="73"/>
      <c r="D58" s="149">
        <v>0</v>
      </c>
    </row>
    <row r="59" spans="1:4" ht="15.75">
      <c r="A59" s="73" t="s">
        <v>67</v>
      </c>
      <c r="B59" s="221" t="s">
        <v>46</v>
      </c>
      <c r="C59" s="221"/>
      <c r="D59" s="149">
        <v>0</v>
      </c>
    </row>
    <row r="60" spans="1:4" ht="26.25">
      <c r="A60" s="222" t="s">
        <v>68</v>
      </c>
      <c r="B60" s="73" t="s">
        <v>11</v>
      </c>
      <c r="C60" s="73"/>
      <c r="D60" s="149">
        <v>0</v>
      </c>
    </row>
    <row r="61" spans="1:4" ht="15.75">
      <c r="A61" s="150"/>
      <c r="B61" s="150"/>
      <c r="C61" s="150"/>
      <c r="D61" s="406"/>
    </row>
    <row r="62" spans="1:4" ht="12.75">
      <c r="A62" s="150"/>
      <c r="B62" s="150"/>
      <c r="C62" s="150"/>
      <c r="D62" s="150"/>
    </row>
    <row r="63" spans="1:4" ht="12.75">
      <c r="A63" s="150" t="s">
        <v>69</v>
      </c>
      <c r="B63" s="150"/>
      <c r="C63" s="150"/>
      <c r="D63" s="150"/>
    </row>
    <row r="64" spans="1:4" ht="12.75">
      <c r="A64" s="150"/>
      <c r="B64" s="150"/>
      <c r="C64" s="150"/>
      <c r="D64" s="150"/>
    </row>
    <row r="65" spans="1:4" ht="12.75">
      <c r="A65" s="150" t="s">
        <v>70</v>
      </c>
      <c r="B65" s="150"/>
      <c r="C65" s="150"/>
      <c r="D65" s="150"/>
    </row>
  </sheetData>
  <sheetProtection selectLockedCells="1" selectUnlockedCells="1"/>
  <mergeCells count="12">
    <mergeCell ref="A47:D47"/>
    <mergeCell ref="A52:D52"/>
    <mergeCell ref="A57:D57"/>
    <mergeCell ref="A1:D1"/>
    <mergeCell ref="A2:D2"/>
    <mergeCell ref="A3:D3"/>
    <mergeCell ref="A4:D4"/>
    <mergeCell ref="A5:D5"/>
    <mergeCell ref="A7:D7"/>
    <mergeCell ref="A14:D14"/>
    <mergeCell ref="A29:D29"/>
    <mergeCell ref="A42:D4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93" zoomScaleNormal="93" zoomScalePageLayoutView="0" workbookViewId="0" topLeftCell="A43">
      <selection activeCell="A1" sqref="A1:D71"/>
    </sheetView>
  </sheetViews>
  <sheetFormatPr defaultColWidth="11.57421875" defaultRowHeight="12.75"/>
  <cols>
    <col min="1" max="1" width="52.140625" style="0" customWidth="1"/>
    <col min="2" max="2" width="17.28125" style="0" customWidth="1"/>
    <col min="3" max="3" width="22.57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8" ht="12.75">
      <c r="A4" s="448" t="s">
        <v>83</v>
      </c>
      <c r="B4" s="448"/>
      <c r="C4" s="448"/>
      <c r="D4" s="448"/>
      <c r="E4" s="88"/>
      <c r="F4" s="88"/>
      <c r="G4" s="88"/>
      <c r="H4" s="88"/>
    </row>
    <row r="5" spans="1:8" ht="12.75">
      <c r="A5" s="449" t="s">
        <v>244</v>
      </c>
      <c r="B5" s="448"/>
      <c r="C5" s="448"/>
      <c r="D5" s="448"/>
      <c r="E5" s="88"/>
      <c r="F5" s="88"/>
      <c r="G5" s="88"/>
      <c r="H5" s="88"/>
    </row>
    <row r="6" spans="1:8" ht="10.5" customHeight="1">
      <c r="A6" s="225"/>
      <c r="B6" s="150"/>
      <c r="C6" s="150"/>
      <c r="D6" s="150"/>
      <c r="E6" s="88"/>
      <c r="F6" s="88"/>
      <c r="G6" s="88"/>
      <c r="H6" s="88"/>
    </row>
    <row r="7" spans="1:8" ht="32.25" customHeight="1">
      <c r="A7" s="450" t="s">
        <v>2</v>
      </c>
      <c r="B7" s="450"/>
      <c r="C7" s="450"/>
      <c r="D7" s="450"/>
      <c r="E7" s="88"/>
      <c r="F7" s="88"/>
      <c r="G7" s="88"/>
      <c r="H7" s="88"/>
    </row>
    <row r="8" spans="1:8" ht="21" customHeight="1">
      <c r="A8" s="225" t="s">
        <v>142</v>
      </c>
      <c r="B8" s="150"/>
      <c r="C8" s="153"/>
      <c r="D8" s="150"/>
      <c r="E8" s="88"/>
      <c r="F8" s="88"/>
      <c r="G8" s="88"/>
      <c r="H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10" ht="39">
      <c r="A15" s="17" t="s">
        <v>10</v>
      </c>
      <c r="B15" s="161" t="s">
        <v>11</v>
      </c>
      <c r="C15" s="164">
        <v>-74727.72</v>
      </c>
      <c r="D15" s="163"/>
      <c r="E15" s="88"/>
      <c r="F15" s="88"/>
      <c r="G15" s="88"/>
      <c r="H15" s="88"/>
      <c r="I15" s="88"/>
      <c r="J15" s="88"/>
    </row>
    <row r="16" spans="1:10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  <c r="I16" s="88"/>
      <c r="J16" s="88"/>
    </row>
    <row r="17" spans="1:10" ht="15.75">
      <c r="A17" s="20" t="s">
        <v>13</v>
      </c>
      <c r="B17" s="161" t="s">
        <v>11</v>
      </c>
      <c r="C17" s="164">
        <v>310378.43</v>
      </c>
      <c r="D17" s="165"/>
      <c r="E17" s="88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70621.08</v>
      </c>
      <c r="D18" s="165"/>
      <c r="E18" s="88"/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37133.513999999996</v>
      </c>
      <c r="D19" s="165"/>
      <c r="E19" s="89">
        <f>C18-C20</f>
        <v>58312.89</v>
      </c>
      <c r="F19" s="88"/>
      <c r="G19" s="88"/>
      <c r="H19" s="88"/>
      <c r="I19" s="88"/>
      <c r="J19" s="88"/>
    </row>
    <row r="20" spans="1:10" ht="15.75">
      <c r="A20" s="20" t="s">
        <v>16</v>
      </c>
      <c r="B20" s="161" t="s">
        <v>11</v>
      </c>
      <c r="C20" s="164">
        <f>(2.58+2.72)*6*387.05</f>
        <v>12308.190000000002</v>
      </c>
      <c r="D20" s="165"/>
      <c r="E20" s="89">
        <f>E19-E42</f>
        <v>-0.06300000000192085</v>
      </c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387.05*(4.44+4.68)*6</f>
        <v>21179.376000000004</v>
      </c>
      <c r="D21" s="165"/>
      <c r="E21" s="90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C23+C24+C25+C26</f>
        <v>63994.53846</v>
      </c>
      <c r="D22" s="165" t="s">
        <v>19</v>
      </c>
      <c r="E22" s="89" t="e">
        <f>B24+B25+B26+#REF!+B27</f>
        <v>#VALUE!</v>
      </c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C18*0.9</f>
        <v>63558.972</v>
      </c>
      <c r="D23" s="165"/>
      <c r="E23" s="88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  <c r="I25" s="88"/>
      <c r="J25" s="88"/>
    </row>
    <row r="26" spans="1:10" ht="15.75">
      <c r="A26" s="158" t="s">
        <v>249</v>
      </c>
      <c r="B26" s="161" t="s">
        <v>11</v>
      </c>
      <c r="C26" s="164">
        <f>491.61*0.886</f>
        <v>435.56646</v>
      </c>
      <c r="D26" s="167"/>
      <c r="E26" s="90" t="e">
        <f>B26/#REF!*1</f>
        <v>#VALUE!</v>
      </c>
      <c r="F26" s="88"/>
      <c r="G26" s="88"/>
      <c r="H26" s="88"/>
      <c r="I26" s="88"/>
      <c r="J26" s="88"/>
    </row>
    <row r="27" spans="1:10" ht="15.75">
      <c r="A27" s="20" t="s">
        <v>25</v>
      </c>
      <c r="B27" s="161" t="s">
        <v>11</v>
      </c>
      <c r="C27" s="164">
        <f>C15+C22</f>
        <v>-10733.181539999998</v>
      </c>
      <c r="D27" s="165" t="s">
        <v>26</v>
      </c>
      <c r="E27" s="90" t="e">
        <f>B27/#REF!*1</f>
        <v>#VALUE!</v>
      </c>
      <c r="F27" s="88"/>
      <c r="G27" s="88"/>
      <c r="H27" s="88"/>
      <c r="I27" s="88"/>
      <c r="J27" s="88"/>
    </row>
    <row r="28" spans="1:10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  <c r="I28" s="88"/>
      <c r="J28" s="88"/>
    </row>
    <row r="29" spans="1:10" ht="63">
      <c r="A29" s="169" t="s">
        <v>28</v>
      </c>
      <c r="B29" s="245" t="s">
        <v>29</v>
      </c>
      <c r="C29" s="246" t="s">
        <v>30</v>
      </c>
      <c r="D29" s="247" t="s">
        <v>31</v>
      </c>
      <c r="E29" s="88"/>
      <c r="F29" s="88"/>
      <c r="G29" s="88"/>
      <c r="H29" s="88"/>
      <c r="I29" s="88"/>
      <c r="J29" s="88"/>
    </row>
    <row r="30" spans="1:10" ht="31.5">
      <c r="A30" s="173" t="s">
        <v>32</v>
      </c>
      <c r="B30" s="174" t="s">
        <v>33</v>
      </c>
      <c r="C30" s="175" t="s">
        <v>34</v>
      </c>
      <c r="D30" s="176">
        <f>(0.74+0.79)*6*387.05</f>
        <v>3553.119</v>
      </c>
      <c r="E30" s="88"/>
      <c r="F30" s="88"/>
      <c r="G30" s="88"/>
      <c r="H30" s="88"/>
      <c r="I30" s="88"/>
      <c r="J30" s="88"/>
    </row>
    <row r="31" spans="1:10" ht="15.75">
      <c r="A31" s="177" t="s">
        <v>72</v>
      </c>
      <c r="B31" s="178" t="s">
        <v>73</v>
      </c>
      <c r="C31" s="179" t="s">
        <v>34</v>
      </c>
      <c r="D31" s="180">
        <f>(2.59+2.73)*6*387.05</f>
        <v>12354.636</v>
      </c>
      <c r="E31" s="88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33</v>
      </c>
      <c r="C32" s="179" t="s">
        <v>37</v>
      </c>
      <c r="D32" s="180">
        <f>(0.26+0.27)*6*387.05</f>
        <v>1230.8190000000002</v>
      </c>
      <c r="E32" s="88"/>
      <c r="F32" s="88"/>
      <c r="G32" s="88"/>
      <c r="H32" s="88"/>
      <c r="I32" s="88"/>
      <c r="J32" s="88"/>
    </row>
    <row r="33" spans="1:10" ht="15.75">
      <c r="A33" s="177" t="s">
        <v>76</v>
      </c>
      <c r="B33" s="305" t="s">
        <v>33</v>
      </c>
      <c r="C33" s="179" t="s">
        <v>34</v>
      </c>
      <c r="D33" s="180">
        <f>(0.79+0.83)*6*387.05</f>
        <v>3762.126</v>
      </c>
      <c r="E33" s="88"/>
      <c r="F33" s="88"/>
      <c r="G33" s="88"/>
      <c r="H33" s="88"/>
      <c r="I33" s="88"/>
      <c r="J33" s="88"/>
    </row>
    <row r="34" spans="1:10" ht="15.75">
      <c r="A34" s="177" t="s">
        <v>77</v>
      </c>
      <c r="B34" s="178" t="s">
        <v>33</v>
      </c>
      <c r="C34" s="179" t="s">
        <v>34</v>
      </c>
      <c r="D34" s="180">
        <f>(1.48+1.57)*6*387.05</f>
        <v>7083.014999999999</v>
      </c>
      <c r="E34" s="88"/>
      <c r="F34" s="88"/>
      <c r="G34" s="88"/>
      <c r="H34" s="88"/>
      <c r="I34" s="88"/>
      <c r="J34" s="88"/>
    </row>
    <row r="35" spans="1:10" ht="31.5">
      <c r="A35" s="177" t="s">
        <v>78</v>
      </c>
      <c r="B35" s="183" t="s">
        <v>79</v>
      </c>
      <c r="C35" s="179" t="s">
        <v>34</v>
      </c>
      <c r="D35" s="180">
        <f>(1.44+1.52)*6*387.05</f>
        <v>6874.008</v>
      </c>
      <c r="E35" s="88"/>
      <c r="F35" s="88"/>
      <c r="G35" s="88"/>
      <c r="H35" s="88"/>
      <c r="I35" s="88"/>
      <c r="J35" s="88"/>
    </row>
    <row r="36" spans="1:10" ht="15.75">
      <c r="A36" s="177" t="s">
        <v>38</v>
      </c>
      <c r="B36" s="178" t="s">
        <v>35</v>
      </c>
      <c r="C36" s="304" t="s">
        <v>194</v>
      </c>
      <c r="D36" s="181">
        <f>(4.44+4.68)*387.05*6</f>
        <v>21179.376000000004</v>
      </c>
      <c r="E36" s="88"/>
      <c r="F36" s="88"/>
      <c r="G36" s="88"/>
      <c r="H36" s="88"/>
      <c r="I36" s="88"/>
      <c r="J36" s="88"/>
    </row>
    <row r="37" spans="1:10" ht="15.75">
      <c r="A37" s="177" t="s">
        <v>200</v>
      </c>
      <c r="B37" s="178" t="s">
        <v>195</v>
      </c>
      <c r="C37" s="241" t="s">
        <v>37</v>
      </c>
      <c r="D37" s="180">
        <f>387.05*(0.5+0.48)*6</f>
        <v>2275.8540000000003</v>
      </c>
      <c r="E37" s="88"/>
      <c r="F37" s="88"/>
      <c r="G37" s="88"/>
      <c r="H37" s="88"/>
      <c r="I37" s="88"/>
      <c r="J37" s="88"/>
    </row>
    <row r="38" spans="1:10" ht="15.75">
      <c r="A38" s="177" t="s">
        <v>184</v>
      </c>
      <c r="B38" s="178"/>
      <c r="C38" s="184"/>
      <c r="D38" s="180"/>
      <c r="E38" s="88"/>
      <c r="F38" s="88"/>
      <c r="G38" s="88"/>
      <c r="H38" s="88"/>
      <c r="I38" s="88"/>
      <c r="J38" s="88"/>
    </row>
    <row r="39" spans="1:10" ht="47.25">
      <c r="A39" s="177" t="s">
        <v>186</v>
      </c>
      <c r="B39" s="178" t="s">
        <v>35</v>
      </c>
      <c r="C39" s="241" t="s">
        <v>185</v>
      </c>
      <c r="D39" s="180">
        <v>435.57</v>
      </c>
      <c r="E39" s="411">
        <v>464.52</v>
      </c>
      <c r="F39" s="88"/>
      <c r="G39" s="88"/>
      <c r="H39" s="88"/>
      <c r="I39" s="88"/>
      <c r="J39" s="88"/>
    </row>
    <row r="40" spans="1:14" s="1" customFormat="1" ht="78.75">
      <c r="A40" s="227" t="s">
        <v>179</v>
      </c>
      <c r="B40" s="185" t="s">
        <v>41</v>
      </c>
      <c r="C40" s="191"/>
      <c r="D40" s="319">
        <f>D41</f>
        <v>3765</v>
      </c>
      <c r="E40" s="88"/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190" t="s">
        <v>136</v>
      </c>
      <c r="B41" s="187" t="s">
        <v>148</v>
      </c>
      <c r="C41" s="191" t="s">
        <v>241</v>
      </c>
      <c r="D41" s="320">
        <v>3765</v>
      </c>
      <c r="E41" s="88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37" t="s">
        <v>42</v>
      </c>
      <c r="B42" s="192"/>
      <c r="C42" s="193"/>
      <c r="D42" s="84">
        <f>D30+D31+D32+D33+D34+D35+D36+D37+D39+D40</f>
        <v>62513.523</v>
      </c>
      <c r="E42" s="91">
        <f>D42-D39-D40</f>
        <v>58312.953</v>
      </c>
      <c r="F42" s="88"/>
      <c r="G42" s="88"/>
      <c r="H42" s="88"/>
      <c r="I42" s="88"/>
      <c r="J42" s="88"/>
      <c r="K42"/>
      <c r="L42"/>
      <c r="M42"/>
      <c r="N42"/>
    </row>
    <row r="43" spans="1:14" s="1" customFormat="1" ht="15.75">
      <c r="A43" s="40" t="s">
        <v>43</v>
      </c>
      <c r="B43" s="194" t="s">
        <v>11</v>
      </c>
      <c r="C43" s="195"/>
      <c r="D43" s="196">
        <f>C27-D42</f>
        <v>-73246.70454</v>
      </c>
      <c r="E43" s="91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12</v>
      </c>
      <c r="B44" s="198" t="s">
        <v>11</v>
      </c>
      <c r="C44" s="179"/>
      <c r="D44" s="163">
        <v>0</v>
      </c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7" t="s">
        <v>13</v>
      </c>
      <c r="B45" s="198" t="s">
        <v>11</v>
      </c>
      <c r="C45" s="179"/>
      <c r="D45" s="165">
        <v>319596.61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24" customHeight="1">
      <c r="A46" s="443" t="s">
        <v>44</v>
      </c>
      <c r="B46" s="443"/>
      <c r="C46" s="443"/>
      <c r="D46" s="443"/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15.75">
      <c r="A47" s="197" t="s">
        <v>45</v>
      </c>
      <c r="B47" s="178" t="s">
        <v>46</v>
      </c>
      <c r="C47" s="179"/>
      <c r="D47" s="163">
        <v>0</v>
      </c>
      <c r="E47" s="88"/>
      <c r="F47" s="88"/>
      <c r="G47" s="88"/>
      <c r="H47" s="88"/>
      <c r="I47" s="88"/>
      <c r="J47" s="88"/>
      <c r="K47"/>
      <c r="L47"/>
      <c r="M47"/>
      <c r="N47"/>
    </row>
    <row r="48" spans="1:14" s="1" customFormat="1" ht="15.75">
      <c r="A48" s="197" t="s">
        <v>47</v>
      </c>
      <c r="B48" s="178" t="s">
        <v>46</v>
      </c>
      <c r="C48" s="179"/>
      <c r="D48" s="163">
        <v>0</v>
      </c>
      <c r="E48" s="88"/>
      <c r="F48" s="88"/>
      <c r="G48" s="88"/>
      <c r="H48" s="88"/>
      <c r="I48" s="88"/>
      <c r="J48" s="88"/>
      <c r="K48"/>
      <c r="L48"/>
      <c r="M48"/>
      <c r="N48"/>
    </row>
    <row r="49" spans="1:14" s="1" customFormat="1" ht="26.25">
      <c r="A49" s="199" t="s">
        <v>48</v>
      </c>
      <c r="B49" s="178" t="s">
        <v>46</v>
      </c>
      <c r="C49" s="179"/>
      <c r="D49" s="163">
        <v>0</v>
      </c>
      <c r="E49" s="88"/>
      <c r="F49" s="88"/>
      <c r="G49" s="88"/>
      <c r="H49" s="88"/>
      <c r="I49" s="88"/>
      <c r="J49" s="88"/>
      <c r="K49"/>
      <c r="L49"/>
      <c r="M49"/>
      <c r="N49"/>
    </row>
    <row r="50" spans="1:14" s="1" customFormat="1" ht="15.75">
      <c r="A50" s="197" t="s">
        <v>49</v>
      </c>
      <c r="B50" s="178" t="s">
        <v>11</v>
      </c>
      <c r="C50" s="179"/>
      <c r="D50" s="163">
        <v>0</v>
      </c>
      <c r="E50" s="88"/>
      <c r="F50" s="88"/>
      <c r="G50" s="88"/>
      <c r="H50" s="88"/>
      <c r="I50" s="88"/>
      <c r="J50" s="88"/>
      <c r="K50"/>
      <c r="L50"/>
      <c r="M50"/>
      <c r="N50"/>
    </row>
    <row r="51" spans="1:14" ht="18" customHeight="1" thickBot="1">
      <c r="A51" s="452" t="s">
        <v>233</v>
      </c>
      <c r="B51" s="452"/>
      <c r="C51" s="452"/>
      <c r="D51" s="452"/>
      <c r="E51" s="93"/>
      <c r="F51" s="94"/>
      <c r="G51" s="95"/>
      <c r="H51" s="88"/>
      <c r="I51" s="56"/>
      <c r="J51" s="56"/>
      <c r="K51" s="57"/>
      <c r="L51" s="57"/>
      <c r="M51" s="57"/>
      <c r="N51" s="57"/>
    </row>
    <row r="52" spans="1:14" ht="38.25">
      <c r="A52" s="133" t="s">
        <v>54</v>
      </c>
      <c r="B52" s="59" t="s">
        <v>55</v>
      </c>
      <c r="C52" s="130" t="s">
        <v>56</v>
      </c>
      <c r="D52" s="131" t="s">
        <v>57</v>
      </c>
      <c r="E52" s="93"/>
      <c r="F52" s="94"/>
      <c r="G52" s="95"/>
      <c r="H52" s="88"/>
      <c r="I52" s="56"/>
      <c r="J52" s="62"/>
      <c r="K52" s="57"/>
      <c r="L52" s="57"/>
      <c r="M52" s="57"/>
      <c r="N52" s="57"/>
    </row>
    <row r="53" spans="1:14" ht="16.5" thickBot="1">
      <c r="A53" s="228" t="s">
        <v>202</v>
      </c>
      <c r="B53" s="248">
        <v>24631.07</v>
      </c>
      <c r="C53" s="355">
        <f>B53*0.9</f>
        <v>22167.963</v>
      </c>
      <c r="D53" s="360">
        <f>B53-C53</f>
        <v>2463.107</v>
      </c>
      <c r="E53" s="93"/>
      <c r="F53" s="96"/>
      <c r="G53" s="97"/>
      <c r="H53" s="88"/>
      <c r="I53" s="56"/>
      <c r="J53" s="56"/>
      <c r="K53" s="57"/>
      <c r="L53" s="57"/>
      <c r="M53" s="57"/>
      <c r="N53" s="57"/>
    </row>
    <row r="54" spans="1:14" ht="78.75">
      <c r="A54" s="106" t="s">
        <v>59</v>
      </c>
      <c r="B54" s="115" t="s">
        <v>60</v>
      </c>
      <c r="C54" s="116" t="s">
        <v>61</v>
      </c>
      <c r="D54" s="117" t="s">
        <v>62</v>
      </c>
      <c r="E54" s="93"/>
      <c r="F54" s="96"/>
      <c r="G54" s="88"/>
      <c r="H54" s="98"/>
      <c r="I54" s="56"/>
      <c r="J54" s="56"/>
      <c r="K54" s="57"/>
      <c r="L54" s="57"/>
      <c r="M54" s="57"/>
      <c r="N54" s="57"/>
    </row>
    <row r="55" spans="1:14" ht="15.75">
      <c r="A55" s="325" t="s">
        <v>202</v>
      </c>
      <c r="B55" s="326">
        <f>B53</f>
        <v>24631.07</v>
      </c>
      <c r="C55" s="361">
        <f>B55</f>
        <v>24631.07</v>
      </c>
      <c r="D55" s="362">
        <f>B55-C55</f>
        <v>0</v>
      </c>
      <c r="E55" s="93"/>
      <c r="F55" s="96"/>
      <c r="G55" s="88"/>
      <c r="H55" s="98"/>
      <c r="I55" s="56"/>
      <c r="J55" s="56"/>
      <c r="K55" s="57"/>
      <c r="L55" s="57"/>
      <c r="M55" s="57"/>
      <c r="N55" s="57"/>
    </row>
    <row r="56" spans="1:14" ht="17.25" customHeight="1">
      <c r="A56" s="444" t="s">
        <v>231</v>
      </c>
      <c r="B56" s="444"/>
      <c r="C56" s="444"/>
      <c r="D56" s="444"/>
      <c r="E56" s="99" t="e">
        <f>D56+B19</f>
        <v>#VALUE!</v>
      </c>
      <c r="F56" s="98"/>
      <c r="G56" s="88"/>
      <c r="H56" s="100" t="e">
        <f>E56-B18</f>
        <v>#VALUE!</v>
      </c>
      <c r="I56" s="56"/>
      <c r="J56" s="56"/>
      <c r="K56" s="57"/>
      <c r="L56" s="57"/>
      <c r="M56" s="57"/>
      <c r="N56" s="57"/>
    </row>
    <row r="57" spans="1:5" ht="21" customHeight="1">
      <c r="A57" s="73" t="s">
        <v>45</v>
      </c>
      <c r="B57" s="73" t="s">
        <v>46</v>
      </c>
      <c r="C57" s="73"/>
      <c r="D57" s="149">
        <v>0</v>
      </c>
      <c r="E57" s="101"/>
    </row>
    <row r="58" spans="1:5" ht="21" customHeight="1">
      <c r="A58" s="73" t="s">
        <v>47</v>
      </c>
      <c r="B58" s="73" t="s">
        <v>46</v>
      </c>
      <c r="C58" s="73"/>
      <c r="D58" s="149">
        <v>0</v>
      </c>
      <c r="E58" s="101"/>
    </row>
    <row r="59" spans="1:5" ht="18" customHeight="1">
      <c r="A59" s="73" t="s">
        <v>48</v>
      </c>
      <c r="B59" s="73" t="s">
        <v>46</v>
      </c>
      <c r="C59" s="73"/>
      <c r="D59" s="149">
        <v>0</v>
      </c>
      <c r="E59" s="101"/>
    </row>
    <row r="60" spans="1:5" ht="16.5" customHeight="1">
      <c r="A60" s="73" t="s">
        <v>49</v>
      </c>
      <c r="B60" s="73" t="s">
        <v>11</v>
      </c>
      <c r="C60" s="73"/>
      <c r="D60" s="149">
        <v>0</v>
      </c>
      <c r="E60" s="101"/>
    </row>
    <row r="61" spans="1:5" ht="15.75" customHeight="1">
      <c r="A61" s="440" t="s">
        <v>232</v>
      </c>
      <c r="B61" s="440"/>
      <c r="C61" s="440"/>
      <c r="D61" s="440"/>
      <c r="E61" s="101"/>
    </row>
    <row r="62" spans="1:5" ht="18.75" customHeight="1">
      <c r="A62" s="73" t="s">
        <v>66</v>
      </c>
      <c r="B62" s="73" t="s">
        <v>46</v>
      </c>
      <c r="C62" s="73"/>
      <c r="D62" s="149">
        <v>0</v>
      </c>
      <c r="E62" s="101"/>
    </row>
    <row r="63" spans="1:5" ht="21.75" customHeight="1">
      <c r="A63" s="73" t="s">
        <v>67</v>
      </c>
      <c r="B63" s="221" t="s">
        <v>46</v>
      </c>
      <c r="C63" s="221"/>
      <c r="D63" s="149">
        <v>0</v>
      </c>
      <c r="E63" s="101"/>
    </row>
    <row r="64" spans="1:5" ht="36" customHeight="1">
      <c r="A64" s="222" t="s">
        <v>68</v>
      </c>
      <c r="B64" s="73" t="s">
        <v>11</v>
      </c>
      <c r="C64" s="73"/>
      <c r="D64" s="149">
        <v>0</v>
      </c>
      <c r="E64" s="75"/>
    </row>
    <row r="65" spans="1:4" ht="15.75">
      <c r="A65" s="223"/>
      <c r="B65" s="223"/>
      <c r="C65" s="223"/>
      <c r="D65" s="224"/>
    </row>
    <row r="66" spans="1:14" s="1" customFormat="1" ht="12.75">
      <c r="A66" s="150"/>
      <c r="B66" s="150"/>
      <c r="C66" s="150"/>
      <c r="D66" s="150"/>
      <c r="H66" s="1" t="s">
        <v>26</v>
      </c>
      <c r="K66"/>
      <c r="L66"/>
      <c r="M66"/>
      <c r="N66"/>
    </row>
    <row r="67" spans="1:14" s="1" customFormat="1" ht="12.75">
      <c r="A67" s="150" t="s">
        <v>69</v>
      </c>
      <c r="B67" s="150"/>
      <c r="C67" s="150" t="s">
        <v>131</v>
      </c>
      <c r="D67" s="150"/>
      <c r="K67"/>
      <c r="L67"/>
      <c r="M67"/>
      <c r="N67"/>
    </row>
    <row r="68" spans="1:14" s="1" customFormat="1" ht="12.75">
      <c r="A68" s="150"/>
      <c r="B68" s="150"/>
      <c r="C68" s="150"/>
      <c r="D68" s="150"/>
      <c r="H68" s="1" t="s">
        <v>26</v>
      </c>
      <c r="K68"/>
      <c r="L68"/>
      <c r="M68"/>
      <c r="N68"/>
    </row>
    <row r="69" spans="1:14" s="1" customFormat="1" ht="12.75">
      <c r="A69" s="150" t="s">
        <v>70</v>
      </c>
      <c r="B69" s="150"/>
      <c r="C69" s="150"/>
      <c r="D69" s="150"/>
      <c r="K69"/>
      <c r="L69"/>
      <c r="M69"/>
      <c r="N69"/>
    </row>
    <row r="70" spans="1:4" ht="12.75">
      <c r="A70" s="150"/>
      <c r="B70" s="150"/>
      <c r="C70" s="150"/>
      <c r="D70" s="150"/>
    </row>
    <row r="71" spans="1:4" ht="12.75">
      <c r="A71" s="150"/>
      <c r="B71" s="150"/>
      <c r="C71" s="150"/>
      <c r="D71" s="150"/>
    </row>
    <row r="73" spans="1:14" s="1" customFormat="1" ht="12.75">
      <c r="A73"/>
      <c r="B73"/>
      <c r="C73"/>
      <c r="D73"/>
      <c r="E73" s="1" t="s">
        <v>26</v>
      </c>
      <c r="K73"/>
      <c r="L73"/>
      <c r="M73"/>
      <c r="N73"/>
    </row>
  </sheetData>
  <sheetProtection selectLockedCells="1" selectUnlockedCells="1"/>
  <mergeCells count="12">
    <mergeCell ref="A61:D61"/>
    <mergeCell ref="A14:D14"/>
    <mergeCell ref="A28:D28"/>
    <mergeCell ref="A46:D46"/>
    <mergeCell ref="A51:D51"/>
    <mergeCell ref="A56:D5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45">
      <selection activeCell="A1" sqref="A1:D71"/>
    </sheetView>
  </sheetViews>
  <sheetFormatPr defaultColWidth="11.57421875" defaultRowHeight="12.75"/>
  <cols>
    <col min="1" max="1" width="49.8515625" style="0" customWidth="1"/>
    <col min="2" max="2" width="15.8515625" style="0" customWidth="1"/>
    <col min="3" max="3" width="25.57421875" style="0" customWidth="1"/>
    <col min="4" max="4" width="22.42187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84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4" ht="29.25" customHeight="1">
      <c r="A7" s="450" t="s">
        <v>2</v>
      </c>
      <c r="B7" s="450"/>
      <c r="C7" s="450"/>
      <c r="D7" s="450"/>
    </row>
    <row r="8" spans="1:4" ht="12.75">
      <c r="A8" s="152" t="s">
        <v>306</v>
      </c>
      <c r="B8" s="150"/>
      <c r="C8" s="153"/>
      <c r="D8" s="150"/>
    </row>
    <row r="9" spans="1:4" ht="12.75">
      <c r="A9" s="154" t="s">
        <v>3</v>
      </c>
      <c r="B9" s="154" t="s">
        <v>4</v>
      </c>
      <c r="C9" s="154" t="s">
        <v>5</v>
      </c>
      <c r="D9" s="155"/>
    </row>
    <row r="10" spans="1:4" ht="12.75">
      <c r="A10" s="156">
        <v>1</v>
      </c>
      <c r="B10" s="156">
        <v>2</v>
      </c>
      <c r="C10" s="156">
        <v>3</v>
      </c>
      <c r="D10" s="157">
        <v>4</v>
      </c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39">
      <c r="A15" s="17" t="s">
        <v>10</v>
      </c>
      <c r="B15" s="161" t="s">
        <v>11</v>
      </c>
      <c r="C15" s="164">
        <v>7102.12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9747.88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70072.68</v>
      </c>
      <c r="D18" s="165"/>
      <c r="E18" s="89">
        <f>C18-C20</f>
        <v>57892.00799999999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36932.05919999998</v>
      </c>
      <c r="D19" s="165"/>
      <c r="E19" s="89">
        <f>E44-E18</f>
        <v>-175.40999999998894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(2.58+2.72)*6*383.04</f>
        <v>12180.672000000002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383.04*(4.44+4.68)*6</f>
        <v>20959.948800000006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C23+C24+C25+C26</f>
        <v>72027.09360000001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C18*1.02</f>
        <v>71474.1336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 t="e">
        <f>B24/#REF!*1</f>
        <v>#VALUE!</v>
      </c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158" t="s">
        <v>250</v>
      </c>
      <c r="B26" s="161" t="s">
        <v>11</v>
      </c>
      <c r="C26" s="164">
        <v>552.96</v>
      </c>
      <c r="D26" s="167"/>
      <c r="E26" s="90" t="e">
        <f>B26/#REF!*1</f>
        <v>#VALUE!</v>
      </c>
      <c r="F26" s="88"/>
      <c r="G26" s="88"/>
      <c r="H26" s="88"/>
    </row>
    <row r="27" spans="1:8" ht="15.75">
      <c r="A27" s="20" t="s">
        <v>25</v>
      </c>
      <c r="B27" s="161" t="s">
        <v>11</v>
      </c>
      <c r="C27" s="164">
        <f>C15+C22</f>
        <v>79129.2136</v>
      </c>
      <c r="D27" s="165" t="s">
        <v>26</v>
      </c>
      <c r="E27" s="90" t="e">
        <f>B27/#REF!*1</f>
        <v>#VALUE!</v>
      </c>
      <c r="F27" s="88"/>
      <c r="G27" s="88"/>
      <c r="H27" s="88"/>
    </row>
    <row r="28" spans="1:8" ht="35.25" customHeight="1">
      <c r="A28" s="442" t="s">
        <v>27</v>
      </c>
      <c r="B28" s="442"/>
      <c r="C28" s="442"/>
      <c r="D28" s="442"/>
      <c r="E28" s="88"/>
      <c r="F28" s="88"/>
      <c r="G28" s="88"/>
      <c r="H28" s="88"/>
    </row>
    <row r="29" spans="1:8" ht="51">
      <c r="A29" s="169" t="s">
        <v>28</v>
      </c>
      <c r="B29" s="170" t="s">
        <v>29</v>
      </c>
      <c r="C29" s="171" t="s">
        <v>30</v>
      </c>
      <c r="D29" s="172" t="s">
        <v>31</v>
      </c>
      <c r="E29" s="88"/>
      <c r="F29" s="88"/>
      <c r="G29" s="88"/>
      <c r="H29" s="88"/>
    </row>
    <row r="30" spans="1:8" ht="15.75">
      <c r="A30" s="173" t="s">
        <v>32</v>
      </c>
      <c r="B30" s="174" t="s">
        <v>33</v>
      </c>
      <c r="C30" s="175" t="s">
        <v>34</v>
      </c>
      <c r="D30" s="176">
        <f>383.04*(0.74+0.79)*6</f>
        <v>3516.3072</v>
      </c>
      <c r="E30" s="88"/>
      <c r="F30" s="88"/>
      <c r="G30" s="88"/>
      <c r="H30" s="88"/>
    </row>
    <row r="31" spans="1:8" ht="15.75">
      <c r="A31" s="177" t="s">
        <v>72</v>
      </c>
      <c r="B31" s="178" t="s">
        <v>73</v>
      </c>
      <c r="C31" s="179" t="s">
        <v>34</v>
      </c>
      <c r="D31" s="180">
        <f>(2.59+2.73)*6*383.04</f>
        <v>12226.636800000002</v>
      </c>
      <c r="E31" s="88"/>
      <c r="F31" s="88"/>
      <c r="G31" s="88"/>
      <c r="H31" s="88"/>
    </row>
    <row r="32" spans="1:8" ht="15.75">
      <c r="A32" s="177" t="s">
        <v>36</v>
      </c>
      <c r="B32" s="178" t="s">
        <v>33</v>
      </c>
      <c r="C32" s="179" t="s">
        <v>37</v>
      </c>
      <c r="D32" s="180">
        <f>(0.26+0.27)*6*383.9</f>
        <v>1220.802</v>
      </c>
      <c r="E32" s="88"/>
      <c r="F32" s="88"/>
      <c r="G32" s="88"/>
      <c r="H32" s="88"/>
    </row>
    <row r="33" spans="1:8" ht="15.75">
      <c r="A33" s="177" t="s">
        <v>76</v>
      </c>
      <c r="B33" s="305" t="s">
        <v>33</v>
      </c>
      <c r="C33" s="179" t="s">
        <v>34</v>
      </c>
      <c r="D33" s="180">
        <f>(0.79+0.83)*6*383.04</f>
        <v>3723.1488000000004</v>
      </c>
      <c r="E33" s="88"/>
      <c r="F33" s="88"/>
      <c r="G33" s="88"/>
      <c r="H33" s="88"/>
    </row>
    <row r="34" spans="1:8" ht="26.25">
      <c r="A34" s="370" t="s">
        <v>77</v>
      </c>
      <c r="B34" s="178" t="s">
        <v>33</v>
      </c>
      <c r="C34" s="179" t="s">
        <v>34</v>
      </c>
      <c r="D34" s="181">
        <f>(1.48+1.57)*6*383.04</f>
        <v>7009.632</v>
      </c>
      <c r="E34" s="88"/>
      <c r="F34" s="88"/>
      <c r="G34" s="88"/>
      <c r="H34" s="88"/>
    </row>
    <row r="35" spans="1:8" ht="31.5">
      <c r="A35" s="177" t="s">
        <v>78</v>
      </c>
      <c r="B35" s="183" t="s">
        <v>79</v>
      </c>
      <c r="C35" s="179" t="s">
        <v>34</v>
      </c>
      <c r="D35" s="180">
        <f>(1.44+1.52)*6*383.04</f>
        <v>6802.7904</v>
      </c>
      <c r="E35" s="88"/>
      <c r="F35" s="88"/>
      <c r="G35" s="88"/>
      <c r="H35" s="88"/>
    </row>
    <row r="36" spans="1:8" ht="15.75">
      <c r="A36" s="177" t="s">
        <v>38</v>
      </c>
      <c r="B36" s="178" t="s">
        <v>35</v>
      </c>
      <c r="C36" s="304" t="s">
        <v>194</v>
      </c>
      <c r="D36" s="180">
        <f>383.04*(4.44+4.68)*6</f>
        <v>20959.948800000006</v>
      </c>
      <c r="E36" s="88"/>
      <c r="F36" s="88"/>
      <c r="G36" s="88"/>
      <c r="H36" s="88"/>
    </row>
    <row r="37" spans="1:8" ht="15.75">
      <c r="A37" s="177" t="s">
        <v>200</v>
      </c>
      <c r="B37" s="178" t="s">
        <v>195</v>
      </c>
      <c r="C37" s="241" t="s">
        <v>37</v>
      </c>
      <c r="D37" s="180">
        <f>383.9*(0.5+0.48)*6</f>
        <v>2257.332</v>
      </c>
      <c r="E37" s="88"/>
      <c r="F37" s="88"/>
      <c r="G37" s="88"/>
      <c r="H37" s="88"/>
    </row>
    <row r="38" spans="1:8" ht="15.75">
      <c r="A38" s="177" t="s">
        <v>184</v>
      </c>
      <c r="B38" s="178"/>
      <c r="C38" s="241"/>
      <c r="D38" s="180"/>
      <c r="E38" s="88"/>
      <c r="F38" s="88"/>
      <c r="G38" s="88"/>
      <c r="H38" s="88"/>
    </row>
    <row r="39" spans="1:8" ht="33" customHeight="1">
      <c r="A39" s="177" t="s">
        <v>186</v>
      </c>
      <c r="B39" s="178" t="s">
        <v>35</v>
      </c>
      <c r="C39" s="241" t="s">
        <v>185</v>
      </c>
      <c r="D39" s="180">
        <v>552.96</v>
      </c>
      <c r="E39" s="411">
        <v>483.66</v>
      </c>
      <c r="F39" s="88"/>
      <c r="G39" s="88"/>
      <c r="H39" s="88"/>
    </row>
    <row r="40" spans="1:14" s="1" customFormat="1" ht="78.75">
      <c r="A40" s="227" t="s">
        <v>180</v>
      </c>
      <c r="B40" s="185" t="s">
        <v>41</v>
      </c>
      <c r="C40" s="251"/>
      <c r="D40" s="319">
        <f>D41+D42+D43</f>
        <v>19659</v>
      </c>
      <c r="E40" s="88"/>
      <c r="F40" s="88"/>
      <c r="G40" s="88"/>
      <c r="H40" s="88"/>
      <c r="K40"/>
      <c r="L40"/>
      <c r="M40"/>
      <c r="N40"/>
    </row>
    <row r="41" spans="1:14" s="1" customFormat="1" ht="15.75">
      <c r="A41" s="190" t="s">
        <v>136</v>
      </c>
      <c r="B41" s="187" t="s">
        <v>137</v>
      </c>
      <c r="C41" s="251" t="s">
        <v>259</v>
      </c>
      <c r="D41" s="148">
        <v>14345</v>
      </c>
      <c r="E41" s="88"/>
      <c r="F41" s="88"/>
      <c r="G41" s="88"/>
      <c r="H41" s="88"/>
      <c r="K41"/>
      <c r="L41"/>
      <c r="M41"/>
      <c r="N41"/>
    </row>
    <row r="42" spans="1:14" s="1" customFormat="1" ht="18.75" customHeight="1">
      <c r="A42" s="190" t="s">
        <v>260</v>
      </c>
      <c r="B42" s="187" t="s">
        <v>138</v>
      </c>
      <c r="C42" s="179" t="s">
        <v>34</v>
      </c>
      <c r="D42" s="148">
        <v>1474</v>
      </c>
      <c r="E42" s="88"/>
      <c r="F42" s="88"/>
      <c r="G42" s="88"/>
      <c r="H42" s="88"/>
      <c r="K42"/>
      <c r="L42"/>
      <c r="M42"/>
      <c r="N42"/>
    </row>
    <row r="43" spans="1:14" s="1" customFormat="1" ht="18.75" customHeight="1">
      <c r="A43" s="190" t="s">
        <v>261</v>
      </c>
      <c r="B43" s="187" t="s">
        <v>248</v>
      </c>
      <c r="C43" s="179" t="s">
        <v>34</v>
      </c>
      <c r="D43" s="148">
        <v>3840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37" t="s">
        <v>42</v>
      </c>
      <c r="B44" s="192"/>
      <c r="C44" s="193"/>
      <c r="D44" s="84">
        <f>D30+D31+D32+D33+D34+D35+D36+D37+D39+D40</f>
        <v>77928.558</v>
      </c>
      <c r="E44" s="91">
        <f>D44-D39-D40</f>
        <v>57716.598</v>
      </c>
      <c r="F44" s="88"/>
      <c r="G44" s="88"/>
      <c r="H44" s="88"/>
      <c r="K44"/>
      <c r="L44"/>
      <c r="M44"/>
      <c r="N44"/>
    </row>
    <row r="45" spans="1:14" s="1" customFormat="1" ht="15.75">
      <c r="A45" s="40" t="s">
        <v>43</v>
      </c>
      <c r="B45" s="194" t="s">
        <v>11</v>
      </c>
      <c r="C45" s="195"/>
      <c r="D45" s="196">
        <f>C27-D44</f>
        <v>1200.6555999999982</v>
      </c>
      <c r="E45" s="91"/>
      <c r="F45" s="88"/>
      <c r="G45" s="88"/>
      <c r="H45" s="88"/>
      <c r="K45"/>
      <c r="L45"/>
      <c r="M45"/>
      <c r="N45"/>
    </row>
    <row r="46" spans="1:14" s="1" customFormat="1" ht="15.75">
      <c r="A46" s="197" t="s">
        <v>12</v>
      </c>
      <c r="B46" s="198" t="s">
        <v>11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13</v>
      </c>
      <c r="B47" s="198" t="s">
        <v>11</v>
      </c>
      <c r="C47" s="179"/>
      <c r="D47" s="165">
        <v>6393.56</v>
      </c>
      <c r="E47" s="88"/>
      <c r="F47" s="88"/>
      <c r="G47" s="88"/>
      <c r="H47" s="88"/>
      <c r="K47"/>
      <c r="L47"/>
      <c r="M47"/>
      <c r="N47"/>
    </row>
    <row r="48" spans="1:14" s="1" customFormat="1" ht="24" customHeight="1">
      <c r="A48" s="443" t="s">
        <v>44</v>
      </c>
      <c r="B48" s="443"/>
      <c r="C48" s="443"/>
      <c r="D48" s="443"/>
      <c r="E48" s="88"/>
      <c r="F48" s="88"/>
      <c r="G48" s="88"/>
      <c r="H48" s="88"/>
      <c r="K48"/>
      <c r="L48"/>
      <c r="M48"/>
      <c r="N48"/>
    </row>
    <row r="49" spans="1:14" s="1" customFormat="1" ht="15.75">
      <c r="A49" s="197" t="s">
        <v>45</v>
      </c>
      <c r="B49" s="178" t="s">
        <v>46</v>
      </c>
      <c r="C49" s="179"/>
      <c r="D49" s="163">
        <v>0</v>
      </c>
      <c r="E49" s="88"/>
      <c r="F49" s="88"/>
      <c r="G49" s="88"/>
      <c r="H49" s="88"/>
      <c r="K49"/>
      <c r="L49"/>
      <c r="M49"/>
      <c r="N49"/>
    </row>
    <row r="50" spans="1:14" s="1" customFormat="1" ht="15.75">
      <c r="A50" s="197" t="s">
        <v>47</v>
      </c>
      <c r="B50" s="178" t="s">
        <v>46</v>
      </c>
      <c r="C50" s="179"/>
      <c r="D50" s="163">
        <v>0</v>
      </c>
      <c r="E50" s="88"/>
      <c r="F50" s="88"/>
      <c r="G50" s="88"/>
      <c r="H50" s="88"/>
      <c r="K50"/>
      <c r="L50"/>
      <c r="M50"/>
      <c r="N50"/>
    </row>
    <row r="51" spans="1:14" s="1" customFormat="1" ht="26.25">
      <c r="A51" s="199" t="s">
        <v>48</v>
      </c>
      <c r="B51" s="178" t="s">
        <v>46</v>
      </c>
      <c r="C51" s="179"/>
      <c r="D51" s="163">
        <v>0</v>
      </c>
      <c r="E51" s="88"/>
      <c r="F51" s="88"/>
      <c r="G51" s="88"/>
      <c r="H51" s="88"/>
      <c r="K51"/>
      <c r="L51"/>
      <c r="M51"/>
      <c r="N51"/>
    </row>
    <row r="52" spans="1:14" s="1" customFormat="1" ht="15.75">
      <c r="A52" s="197" t="s">
        <v>49</v>
      </c>
      <c r="B52" s="178" t="s">
        <v>11</v>
      </c>
      <c r="C52" s="179"/>
      <c r="D52" s="163">
        <v>0</v>
      </c>
      <c r="E52" s="88"/>
      <c r="F52" s="88"/>
      <c r="G52" s="88"/>
      <c r="H52" s="88"/>
      <c r="K52"/>
      <c r="L52"/>
      <c r="M52"/>
      <c r="N52"/>
    </row>
    <row r="53" spans="1:14" ht="18" customHeight="1">
      <c r="A53" s="452" t="s">
        <v>233</v>
      </c>
      <c r="B53" s="452"/>
      <c r="C53" s="452"/>
      <c r="D53" s="452"/>
      <c r="E53" s="93"/>
      <c r="F53" s="94"/>
      <c r="G53" s="95"/>
      <c r="H53" s="88"/>
      <c r="I53" s="56"/>
      <c r="J53" s="56"/>
      <c r="K53" s="57"/>
      <c r="L53" s="57"/>
      <c r="M53" s="57"/>
      <c r="N53" s="57"/>
    </row>
    <row r="54" spans="1:14" ht="38.25">
      <c r="A54" s="58" t="s">
        <v>54</v>
      </c>
      <c r="B54" s="59" t="s">
        <v>55</v>
      </c>
      <c r="C54" s="130" t="s">
        <v>56</v>
      </c>
      <c r="D54" s="131" t="s">
        <v>57</v>
      </c>
      <c r="E54" s="93"/>
      <c r="F54" s="94"/>
      <c r="G54" s="95"/>
      <c r="H54" s="88"/>
      <c r="I54" s="56"/>
      <c r="J54" s="62"/>
      <c r="K54" s="57"/>
      <c r="L54" s="57"/>
      <c r="M54" s="57"/>
      <c r="N54" s="57"/>
    </row>
    <row r="55" spans="1:14" ht="15.75">
      <c r="A55" s="210" t="s">
        <v>202</v>
      </c>
      <c r="B55" s="243">
        <v>24912.12</v>
      </c>
      <c r="C55" s="355">
        <f>B55</f>
        <v>24912.12</v>
      </c>
      <c r="D55" s="357">
        <f>B55-C55</f>
        <v>0</v>
      </c>
      <c r="E55" s="93"/>
      <c r="F55" s="96"/>
      <c r="G55" s="97"/>
      <c r="H55" s="88"/>
      <c r="I55" s="56"/>
      <c r="J55" s="56"/>
      <c r="K55" s="57"/>
      <c r="L55" s="57"/>
      <c r="M55" s="57"/>
      <c r="N55" s="57"/>
    </row>
    <row r="56" spans="1:14" ht="51">
      <c r="A56" s="65" t="s">
        <v>59</v>
      </c>
      <c r="B56" s="59" t="s">
        <v>60</v>
      </c>
      <c r="C56" s="130" t="s">
        <v>61</v>
      </c>
      <c r="D56" s="131" t="s">
        <v>62</v>
      </c>
      <c r="E56" s="93"/>
      <c r="F56" s="96"/>
      <c r="G56" s="88"/>
      <c r="H56" s="98"/>
      <c r="I56" s="56"/>
      <c r="J56" s="56"/>
      <c r="K56" s="57"/>
      <c r="L56" s="57"/>
      <c r="M56" s="57"/>
      <c r="N56" s="57"/>
    </row>
    <row r="57" spans="1:14" ht="15.75">
      <c r="A57" s="207" t="s">
        <v>202</v>
      </c>
      <c r="B57" s="215">
        <f>B55</f>
        <v>24912.12</v>
      </c>
      <c r="C57" s="371">
        <f>C55</f>
        <v>24912.12</v>
      </c>
      <c r="D57" s="356">
        <f>C57-B57</f>
        <v>0</v>
      </c>
      <c r="E57" s="93"/>
      <c r="F57" s="96"/>
      <c r="G57" s="88"/>
      <c r="H57" s="98"/>
      <c r="I57" s="56"/>
      <c r="J57" s="56"/>
      <c r="K57" s="57"/>
      <c r="L57" s="57"/>
      <c r="M57" s="57"/>
      <c r="N57" s="57"/>
    </row>
    <row r="58" spans="1:14" ht="17.25" customHeight="1">
      <c r="A58" s="444" t="s">
        <v>231</v>
      </c>
      <c r="B58" s="444"/>
      <c r="C58" s="444"/>
      <c r="D58" s="444"/>
      <c r="E58" s="99" t="e">
        <f>D58+B19</f>
        <v>#VALUE!</v>
      </c>
      <c r="F58" s="98"/>
      <c r="G58" s="88"/>
      <c r="H58" s="100" t="e">
        <f>E58-B18</f>
        <v>#VALUE!</v>
      </c>
      <c r="I58" s="56"/>
      <c r="J58" s="56"/>
      <c r="K58" s="57"/>
      <c r="L58" s="57"/>
      <c r="M58" s="57"/>
      <c r="N58" s="57"/>
    </row>
    <row r="59" spans="1:8" ht="21" customHeight="1">
      <c r="A59" s="73" t="s">
        <v>45</v>
      </c>
      <c r="B59" s="73" t="s">
        <v>46</v>
      </c>
      <c r="C59" s="73"/>
      <c r="D59" s="149"/>
      <c r="E59" s="101"/>
      <c r="F59" s="88"/>
      <c r="G59" s="88"/>
      <c r="H59" s="88"/>
    </row>
    <row r="60" spans="1:8" ht="21" customHeight="1">
      <c r="A60" s="73" t="s">
        <v>47</v>
      </c>
      <c r="B60" s="73" t="s">
        <v>46</v>
      </c>
      <c r="C60" s="73"/>
      <c r="D60" s="149">
        <v>0</v>
      </c>
      <c r="E60" s="101"/>
      <c r="F60" s="88"/>
      <c r="G60" s="88"/>
      <c r="H60" s="88"/>
    </row>
    <row r="61" spans="1:8" ht="18" customHeight="1">
      <c r="A61" s="73" t="s">
        <v>48</v>
      </c>
      <c r="B61" s="73" t="s">
        <v>46</v>
      </c>
      <c r="C61" s="73"/>
      <c r="D61" s="149">
        <v>0</v>
      </c>
      <c r="E61" s="101"/>
      <c r="F61" s="88"/>
      <c r="G61" s="88"/>
      <c r="H61" s="88"/>
    </row>
    <row r="62" spans="1:8" ht="16.5" customHeight="1">
      <c r="A62" s="73" t="s">
        <v>49</v>
      </c>
      <c r="B62" s="73" t="s">
        <v>11</v>
      </c>
      <c r="C62" s="73"/>
      <c r="D62" s="149">
        <v>0</v>
      </c>
      <c r="E62" s="101"/>
      <c r="F62" s="88"/>
      <c r="G62" s="88"/>
      <c r="H62" s="88"/>
    </row>
    <row r="63" spans="1:8" ht="15.75" customHeight="1">
      <c r="A63" s="440" t="s">
        <v>232</v>
      </c>
      <c r="B63" s="440"/>
      <c r="C63" s="440"/>
      <c r="D63" s="440"/>
      <c r="E63" s="101"/>
      <c r="F63" s="88"/>
      <c r="G63" s="88"/>
      <c r="H63" s="88"/>
    </row>
    <row r="64" spans="1:8" ht="18.75" customHeight="1">
      <c r="A64" s="73" t="s">
        <v>66</v>
      </c>
      <c r="B64" s="73" t="s">
        <v>46</v>
      </c>
      <c r="C64" s="73"/>
      <c r="D64" s="149">
        <v>0</v>
      </c>
      <c r="E64" s="101"/>
      <c r="F64" s="88"/>
      <c r="G64" s="88"/>
      <c r="H64" s="88"/>
    </row>
    <row r="65" spans="1:8" ht="21.75" customHeight="1">
      <c r="A65" s="73" t="s">
        <v>67</v>
      </c>
      <c r="B65" s="221" t="s">
        <v>46</v>
      </c>
      <c r="C65" s="221"/>
      <c r="D65" s="149">
        <v>0</v>
      </c>
      <c r="E65" s="101"/>
      <c r="F65" s="88"/>
      <c r="G65" s="88"/>
      <c r="H65" s="88"/>
    </row>
    <row r="66" spans="1:8" ht="36" customHeight="1">
      <c r="A66" s="222" t="s">
        <v>68</v>
      </c>
      <c r="B66" s="73" t="s">
        <v>11</v>
      </c>
      <c r="C66" s="73"/>
      <c r="D66" s="149">
        <v>0</v>
      </c>
      <c r="E66" s="101"/>
      <c r="F66" s="88"/>
      <c r="G66" s="88"/>
      <c r="H66" s="88"/>
    </row>
    <row r="67" spans="1:5" ht="15.75">
      <c r="A67" s="223"/>
      <c r="B67" s="223"/>
      <c r="C67" s="223"/>
      <c r="D67" s="224"/>
      <c r="E67" s="88"/>
    </row>
    <row r="68" spans="1:14" s="1" customFormat="1" ht="12.75">
      <c r="A68" s="150"/>
      <c r="B68" s="150"/>
      <c r="C68" s="150"/>
      <c r="D68" s="150"/>
      <c r="E68" s="88"/>
      <c r="H68" s="1" t="s">
        <v>26</v>
      </c>
      <c r="K68"/>
      <c r="L68"/>
      <c r="M68"/>
      <c r="N68"/>
    </row>
    <row r="69" spans="1:14" s="1" customFormat="1" ht="12.75">
      <c r="A69" s="150" t="s">
        <v>69</v>
      </c>
      <c r="B69" s="150"/>
      <c r="C69" s="150" t="s">
        <v>131</v>
      </c>
      <c r="D69" s="150"/>
      <c r="E69" s="88"/>
      <c r="K69"/>
      <c r="L69"/>
      <c r="M69"/>
      <c r="N69"/>
    </row>
    <row r="70" spans="1:14" s="1" customFormat="1" ht="12.75">
      <c r="A70" s="150"/>
      <c r="B70" s="150"/>
      <c r="C70" s="150"/>
      <c r="D70" s="150"/>
      <c r="E70" s="88"/>
      <c r="H70" s="1" t="s">
        <v>26</v>
      </c>
      <c r="K70"/>
      <c r="L70"/>
      <c r="M70"/>
      <c r="N70"/>
    </row>
    <row r="71" spans="1:14" s="1" customFormat="1" ht="12.75">
      <c r="A71" s="150" t="s">
        <v>70</v>
      </c>
      <c r="B71" s="150"/>
      <c r="C71" s="150"/>
      <c r="D71" s="150"/>
      <c r="E71" s="88"/>
      <c r="K71"/>
      <c r="L71"/>
      <c r="M71"/>
      <c r="N71"/>
    </row>
    <row r="72" spans="1:5" ht="12.75">
      <c r="A72" s="150"/>
      <c r="B72" s="150"/>
      <c r="C72" s="150"/>
      <c r="D72" s="150"/>
      <c r="E72" s="88"/>
    </row>
    <row r="73" spans="1:5" ht="12.75">
      <c r="A73" s="150"/>
      <c r="B73" s="150"/>
      <c r="C73" s="150"/>
      <c r="D73" s="150"/>
      <c r="E73" s="88"/>
    </row>
    <row r="74" spans="1:5" ht="12.75">
      <c r="A74" s="150"/>
      <c r="B74" s="150"/>
      <c r="C74" s="150"/>
      <c r="D74" s="150"/>
      <c r="E74" s="88"/>
    </row>
    <row r="75" spans="1:14" s="1" customFormat="1" ht="12.75">
      <c r="A75" s="150"/>
      <c r="B75" s="150"/>
      <c r="C75" s="150"/>
      <c r="D75" s="150"/>
      <c r="E75" s="1" t="s">
        <v>26</v>
      </c>
      <c r="K75"/>
      <c r="L75"/>
      <c r="M75"/>
      <c r="N75"/>
    </row>
    <row r="76" spans="1:4" ht="12.75">
      <c r="A76" s="150"/>
      <c r="B76" s="150"/>
      <c r="C76" s="150"/>
      <c r="D76" s="150"/>
    </row>
  </sheetData>
  <sheetProtection selectLockedCells="1" selectUnlockedCells="1"/>
  <mergeCells count="12">
    <mergeCell ref="A63:D63"/>
    <mergeCell ref="A14:D14"/>
    <mergeCell ref="A28:D28"/>
    <mergeCell ref="A48:D48"/>
    <mergeCell ref="A53:D53"/>
    <mergeCell ref="A58:D58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106" zoomScaleNormal="106" zoomScalePageLayoutView="0" workbookViewId="0" topLeftCell="A32">
      <selection activeCell="D60" sqref="D60"/>
    </sheetView>
  </sheetViews>
  <sheetFormatPr defaultColWidth="11.57421875" defaultRowHeight="12.75"/>
  <cols>
    <col min="1" max="1" width="53.140625" style="0" customWidth="1"/>
    <col min="2" max="2" width="14.421875" style="0" customWidth="1"/>
    <col min="3" max="3" width="27.57421875" style="0" customWidth="1"/>
    <col min="4" max="4" width="18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85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spans="1:10" ht="17.25" customHeight="1">
      <c r="A6" s="225" t="s">
        <v>144</v>
      </c>
      <c r="B6" s="150"/>
      <c r="C6" s="150"/>
      <c r="D6" s="150"/>
      <c r="E6" s="88"/>
      <c r="F6" s="88"/>
      <c r="G6" s="88"/>
      <c r="H6" s="88"/>
      <c r="I6" s="88"/>
      <c r="J6" s="88"/>
    </row>
    <row r="7" spans="1:10" ht="31.5" customHeight="1">
      <c r="A7" s="450" t="s">
        <v>2</v>
      </c>
      <c r="B7" s="450"/>
      <c r="C7" s="450"/>
      <c r="D7" s="450"/>
      <c r="E7" s="88"/>
      <c r="F7" s="88"/>
      <c r="G7" s="88"/>
      <c r="H7" s="88"/>
      <c r="I7" s="88"/>
      <c r="J7" s="88"/>
    </row>
    <row r="8" spans="1:10" ht="12.75">
      <c r="A8" s="225"/>
      <c r="B8" s="150"/>
      <c r="C8" s="153"/>
      <c r="D8" s="150"/>
      <c r="E8" s="88"/>
      <c r="F8" s="88"/>
      <c r="G8" s="88"/>
      <c r="H8" s="88"/>
      <c r="I8" s="88"/>
      <c r="J8" s="88"/>
    </row>
    <row r="9" spans="1:10" ht="12.75">
      <c r="A9" s="154" t="s">
        <v>3</v>
      </c>
      <c r="B9" s="154" t="s">
        <v>4</v>
      </c>
      <c r="C9" s="154" t="s">
        <v>5</v>
      </c>
      <c r="D9" s="155"/>
      <c r="E9" s="372"/>
      <c r="F9" s="88"/>
      <c r="G9" s="88"/>
      <c r="H9" s="88"/>
      <c r="I9" s="88"/>
      <c r="J9" s="88"/>
    </row>
    <row r="10" spans="1:10" ht="12.75">
      <c r="A10" s="156">
        <v>1</v>
      </c>
      <c r="B10" s="156">
        <v>2</v>
      </c>
      <c r="C10" s="156">
        <v>3</v>
      </c>
      <c r="D10" s="157">
        <v>4</v>
      </c>
      <c r="E10" s="372"/>
      <c r="F10" s="88"/>
      <c r="G10" s="88"/>
      <c r="H10" s="88"/>
      <c r="I10" s="88"/>
      <c r="J10" s="88"/>
    </row>
    <row r="11" spans="1:10" ht="12.75">
      <c r="A11" s="20" t="s">
        <v>6</v>
      </c>
      <c r="B11" s="158"/>
      <c r="C11" s="159" t="s">
        <v>252</v>
      </c>
      <c r="D11" s="160"/>
      <c r="E11" s="372"/>
      <c r="F11" s="88"/>
      <c r="G11" s="88"/>
      <c r="H11" s="88"/>
      <c r="I11" s="88"/>
      <c r="J11" s="88"/>
    </row>
    <row r="12" spans="1:10" ht="12.75">
      <c r="A12" s="20" t="s">
        <v>7</v>
      </c>
      <c r="B12" s="158"/>
      <c r="C12" s="159" t="s">
        <v>242</v>
      </c>
      <c r="D12" s="160"/>
      <c r="E12" s="372"/>
      <c r="F12" s="88"/>
      <c r="G12" s="88"/>
      <c r="H12" s="88"/>
      <c r="I12" s="88"/>
      <c r="J12" s="88"/>
    </row>
    <row r="13" spans="1:10" ht="12.75">
      <c r="A13" s="20" t="s">
        <v>8</v>
      </c>
      <c r="B13" s="158"/>
      <c r="C13" s="159" t="s">
        <v>243</v>
      </c>
      <c r="D13" s="160"/>
      <c r="E13" s="372"/>
      <c r="F13" s="88"/>
      <c r="G13" s="88"/>
      <c r="H13" s="88"/>
      <c r="I13" s="88"/>
      <c r="J13" s="88"/>
    </row>
    <row r="14" spans="1:10" ht="31.5" customHeight="1">
      <c r="A14" s="441" t="s">
        <v>9</v>
      </c>
      <c r="B14" s="441"/>
      <c r="C14" s="441"/>
      <c r="D14" s="441"/>
      <c r="E14" s="372"/>
      <c r="F14" s="88"/>
      <c r="G14" s="88"/>
      <c r="H14" s="88"/>
      <c r="I14" s="88"/>
      <c r="J14" s="88"/>
    </row>
    <row r="15" spans="1:10" ht="26.25">
      <c r="A15" s="17" t="s">
        <v>10</v>
      </c>
      <c r="B15" s="161" t="s">
        <v>11</v>
      </c>
      <c r="C15" s="164">
        <v>25637.05</v>
      </c>
      <c r="D15" s="163"/>
      <c r="E15" s="372"/>
      <c r="F15" s="88"/>
      <c r="G15" s="88"/>
      <c r="H15" s="88"/>
      <c r="I15" s="88"/>
      <c r="J15" s="88"/>
    </row>
    <row r="16" spans="1:10" ht="15.75">
      <c r="A16" s="20" t="s">
        <v>12</v>
      </c>
      <c r="B16" s="161" t="s">
        <v>11</v>
      </c>
      <c r="C16" s="162">
        <v>0</v>
      </c>
      <c r="D16" s="163"/>
      <c r="E16" s="372"/>
      <c r="F16" s="88"/>
      <c r="G16" s="88"/>
      <c r="H16" s="88"/>
      <c r="I16" s="88"/>
      <c r="J16" s="88"/>
    </row>
    <row r="17" spans="1:10" ht="15.75">
      <c r="A17" s="20" t="s">
        <v>13</v>
      </c>
      <c r="B17" s="161" t="s">
        <v>11</v>
      </c>
      <c r="C17" s="164">
        <v>0</v>
      </c>
      <c r="D17" s="165"/>
      <c r="E17" s="372"/>
      <c r="F17" s="88"/>
      <c r="G17" s="88"/>
      <c r="H17" s="88"/>
      <c r="I17" s="88"/>
      <c r="J17" s="88"/>
    </row>
    <row r="18" spans="1:10" ht="31.5" customHeight="1">
      <c r="A18" s="17" t="s">
        <v>14</v>
      </c>
      <c r="B18" s="161" t="s">
        <v>11</v>
      </c>
      <c r="C18" s="164">
        <v>280252.68</v>
      </c>
      <c r="D18" s="165"/>
      <c r="E18" s="438">
        <f>C18-C20</f>
        <v>221606.304</v>
      </c>
      <c r="F18" s="88"/>
      <c r="G18" s="88"/>
      <c r="H18" s="88"/>
      <c r="I18" s="88"/>
      <c r="J18" s="88"/>
    </row>
    <row r="19" spans="1:10" ht="15.75">
      <c r="A19" s="20" t="s">
        <v>15</v>
      </c>
      <c r="B19" s="161" t="s">
        <v>11</v>
      </c>
      <c r="C19" s="164">
        <f>C18-C20-C21</f>
        <v>148538.688</v>
      </c>
      <c r="D19" s="165"/>
      <c r="E19" s="438">
        <f>E18-E42</f>
        <v>-0.08400000000256114</v>
      </c>
      <c r="F19" s="88"/>
      <c r="G19" s="88"/>
      <c r="H19" s="88"/>
      <c r="I19" s="88"/>
      <c r="J19" s="88"/>
    </row>
    <row r="20" spans="1:10" ht="15.75">
      <c r="A20" s="20" t="s">
        <v>16</v>
      </c>
      <c r="B20" s="161" t="s">
        <v>11</v>
      </c>
      <c r="C20" s="164">
        <f>(3.56+3.76)*6*1335.3</f>
        <v>58646.376000000004</v>
      </c>
      <c r="D20" s="165"/>
      <c r="E20" s="379"/>
      <c r="F20" s="88"/>
      <c r="G20" s="88"/>
      <c r="H20" s="88"/>
      <c r="I20" s="88"/>
      <c r="J20" s="88"/>
    </row>
    <row r="21" spans="1:10" ht="15.75">
      <c r="A21" s="20" t="s">
        <v>17</v>
      </c>
      <c r="B21" s="161" t="s">
        <v>11</v>
      </c>
      <c r="C21" s="166">
        <f>1335.3*(4.44+4.68)*6</f>
        <v>73067.61600000001</v>
      </c>
      <c r="D21" s="165"/>
      <c r="E21" s="372"/>
      <c r="F21" s="88"/>
      <c r="G21" s="88"/>
      <c r="H21" s="88"/>
      <c r="I21" s="88"/>
      <c r="J21" s="88"/>
    </row>
    <row r="22" spans="1:10" ht="15.75">
      <c r="A22" s="20" t="s">
        <v>18</v>
      </c>
      <c r="B22" s="161" t="s">
        <v>11</v>
      </c>
      <c r="C22" s="164">
        <f>C23+C24+C25</f>
        <v>275768.63711999997</v>
      </c>
      <c r="D22" s="165" t="s">
        <v>19</v>
      </c>
      <c r="E22" s="438"/>
      <c r="F22" s="88"/>
      <c r="G22" s="88"/>
      <c r="H22" s="88"/>
      <c r="I22" s="88"/>
      <c r="J22" s="88"/>
    </row>
    <row r="23" spans="1:10" ht="15.75">
      <c r="A23" s="20" t="s">
        <v>20</v>
      </c>
      <c r="B23" s="161" t="s">
        <v>11</v>
      </c>
      <c r="C23" s="164">
        <f>C18*0.984</f>
        <v>275768.63711999997</v>
      </c>
      <c r="D23" s="165"/>
      <c r="E23" s="372"/>
      <c r="F23" s="88"/>
      <c r="G23" s="88"/>
      <c r="H23" s="88"/>
      <c r="I23" s="88"/>
      <c r="J23" s="88"/>
    </row>
    <row r="24" spans="1:10" ht="15.75">
      <c r="A24" s="20" t="s">
        <v>21</v>
      </c>
      <c r="B24" s="161" t="s">
        <v>11</v>
      </c>
      <c r="C24" s="164">
        <v>0</v>
      </c>
      <c r="D24" s="167">
        <v>65.21</v>
      </c>
      <c r="E24" s="379"/>
      <c r="F24" s="88"/>
      <c r="G24" s="88"/>
      <c r="H24" s="88" t="s">
        <v>22</v>
      </c>
      <c r="I24" s="88"/>
      <c r="J24" s="88"/>
    </row>
    <row r="25" spans="1:10" ht="15.75">
      <c r="A25" s="20" t="s">
        <v>23</v>
      </c>
      <c r="B25" s="161" t="s">
        <v>11</v>
      </c>
      <c r="C25" s="164">
        <v>0</v>
      </c>
      <c r="D25" s="167">
        <v>119.63</v>
      </c>
      <c r="E25" s="379"/>
      <c r="F25" s="88"/>
      <c r="G25" s="88"/>
      <c r="H25" s="88"/>
      <c r="I25" s="88"/>
      <c r="J25" s="88"/>
    </row>
    <row r="26" spans="1:10" ht="15.75">
      <c r="A26" s="20" t="s">
        <v>25</v>
      </c>
      <c r="B26" s="161" t="s">
        <v>11</v>
      </c>
      <c r="C26" s="164">
        <f>C15+C22</f>
        <v>301405.68711999996</v>
      </c>
      <c r="D26" s="165" t="s">
        <v>26</v>
      </c>
      <c r="E26" s="379"/>
      <c r="F26" s="88"/>
      <c r="G26" s="88"/>
      <c r="H26" s="88"/>
      <c r="I26" s="88"/>
      <c r="J26" s="88"/>
    </row>
    <row r="27" spans="1:10" ht="35.25" customHeight="1">
      <c r="A27" s="442" t="s">
        <v>27</v>
      </c>
      <c r="B27" s="442"/>
      <c r="C27" s="442"/>
      <c r="D27" s="442"/>
      <c r="E27" s="372"/>
      <c r="F27" s="88"/>
      <c r="G27" s="88"/>
      <c r="H27" s="88"/>
      <c r="I27" s="88"/>
      <c r="J27" s="88"/>
    </row>
    <row r="28" spans="1:10" ht="51">
      <c r="A28" s="238" t="s">
        <v>28</v>
      </c>
      <c r="B28" s="239" t="s">
        <v>29</v>
      </c>
      <c r="C28" s="171" t="s">
        <v>30</v>
      </c>
      <c r="D28" s="240" t="s">
        <v>31</v>
      </c>
      <c r="E28" s="372"/>
      <c r="F28" s="88"/>
      <c r="G28" s="88"/>
      <c r="H28" s="88"/>
      <c r="I28" s="88"/>
      <c r="J28" s="88"/>
    </row>
    <row r="29" spans="1:10" ht="15.75">
      <c r="A29" s="173" t="s">
        <v>32</v>
      </c>
      <c r="B29" s="174" t="s">
        <v>33</v>
      </c>
      <c r="C29" s="327" t="s">
        <v>207</v>
      </c>
      <c r="D29" s="176">
        <f>(0.74+0.79)*6*1335.3</f>
        <v>12258.054</v>
      </c>
      <c r="E29" s="372"/>
      <c r="F29" s="88"/>
      <c r="G29" s="88"/>
      <c r="H29" s="88"/>
      <c r="I29" s="88"/>
      <c r="J29" s="88"/>
    </row>
    <row r="30" spans="1:10" ht="15.75">
      <c r="A30" s="177" t="s">
        <v>72</v>
      </c>
      <c r="B30" s="178" t="s">
        <v>73</v>
      </c>
      <c r="C30" s="179" t="s">
        <v>34</v>
      </c>
      <c r="D30" s="180">
        <f>(2.59+2.73)*6*1335.3</f>
        <v>42622.776</v>
      </c>
      <c r="E30" s="372"/>
      <c r="F30" s="88"/>
      <c r="G30" s="88"/>
      <c r="H30" s="88"/>
      <c r="I30" s="88"/>
      <c r="J30" s="88"/>
    </row>
    <row r="31" spans="1:10" ht="15.75">
      <c r="A31" s="177" t="s">
        <v>206</v>
      </c>
      <c r="B31" s="178" t="s">
        <v>75</v>
      </c>
      <c r="C31" s="179" t="s">
        <v>221</v>
      </c>
      <c r="D31" s="328">
        <f>1335.3*6*(0.19+0.2)</f>
        <v>3124.602</v>
      </c>
      <c r="E31" s="372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33</v>
      </c>
      <c r="C32" s="179" t="s">
        <v>37</v>
      </c>
      <c r="D32" s="180">
        <f>(0.26+0.27)*6*1335.3</f>
        <v>4246.254</v>
      </c>
      <c r="E32" s="372"/>
      <c r="F32" s="88"/>
      <c r="G32" s="88"/>
      <c r="H32" s="88"/>
      <c r="I32" s="88"/>
      <c r="J32" s="88"/>
    </row>
    <row r="33" spans="1:10" ht="15.75">
      <c r="A33" s="177" t="s">
        <v>76</v>
      </c>
      <c r="B33" s="305" t="s">
        <v>33</v>
      </c>
      <c r="C33" s="179" t="s">
        <v>34</v>
      </c>
      <c r="D33" s="180">
        <f>(0.86+0.9)*6*1335.3</f>
        <v>14100.768</v>
      </c>
      <c r="E33" s="372"/>
      <c r="F33" s="88"/>
      <c r="G33" s="88"/>
      <c r="H33" s="88"/>
      <c r="I33" s="88"/>
      <c r="J33" s="88"/>
    </row>
    <row r="34" spans="1:10" ht="15.75">
      <c r="A34" s="177" t="s">
        <v>77</v>
      </c>
      <c r="B34" s="178" t="s">
        <v>33</v>
      </c>
      <c r="C34" s="179" t="s">
        <v>34</v>
      </c>
      <c r="D34" s="180">
        <f>1335.3*(2.46+2.61)*6</f>
        <v>40619.826</v>
      </c>
      <c r="E34" s="372"/>
      <c r="F34" s="88"/>
      <c r="G34" s="88"/>
      <c r="H34" s="88"/>
      <c r="I34" s="88"/>
      <c r="J34" s="88"/>
    </row>
    <row r="35" spans="1:10" ht="31.5">
      <c r="A35" s="177" t="s">
        <v>78</v>
      </c>
      <c r="B35" s="183" t="s">
        <v>79</v>
      </c>
      <c r="C35" s="179" t="s">
        <v>34</v>
      </c>
      <c r="D35" s="180">
        <f>(1.44+1.52)*6*1335.3</f>
        <v>23714.927999999996</v>
      </c>
      <c r="E35" s="372"/>
      <c r="F35" s="88"/>
      <c r="G35" s="88"/>
      <c r="H35" s="88"/>
      <c r="I35" s="88"/>
      <c r="J35" s="88"/>
    </row>
    <row r="36" spans="1:10" ht="15.75">
      <c r="A36" s="177" t="s">
        <v>38</v>
      </c>
      <c r="B36" s="178" t="s">
        <v>35</v>
      </c>
      <c r="C36" s="304" t="s">
        <v>194</v>
      </c>
      <c r="D36" s="180">
        <f>(4.44+4.68)*1335.3*6</f>
        <v>73067.61600000001</v>
      </c>
      <c r="E36" s="372"/>
      <c r="F36" s="88"/>
      <c r="G36" s="88"/>
      <c r="H36" s="88"/>
      <c r="I36" s="88"/>
      <c r="J36" s="88"/>
    </row>
    <row r="37" spans="1:10" ht="15.75">
      <c r="A37" s="177" t="s">
        <v>200</v>
      </c>
      <c r="B37" s="178" t="s">
        <v>195</v>
      </c>
      <c r="C37" s="241" t="s">
        <v>37</v>
      </c>
      <c r="D37" s="180">
        <f>(0.5+0.48)*6*1335.3</f>
        <v>7851.563999999999</v>
      </c>
      <c r="E37" s="372"/>
      <c r="F37" s="88"/>
      <c r="G37" s="88"/>
      <c r="H37" s="88"/>
      <c r="I37" s="88"/>
      <c r="J37" s="88"/>
    </row>
    <row r="38" spans="1:14" s="1" customFormat="1" ht="78.75">
      <c r="A38" s="253" t="s">
        <v>181</v>
      </c>
      <c r="B38" s="185" t="s">
        <v>41</v>
      </c>
      <c r="C38" s="179"/>
      <c r="D38" s="319">
        <f>D39+D40+D41</f>
        <v>9460.83</v>
      </c>
      <c r="E38" s="372"/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189" t="s">
        <v>262</v>
      </c>
      <c r="B39" s="187" t="s">
        <v>143</v>
      </c>
      <c r="C39" s="179" t="s">
        <v>34</v>
      </c>
      <c r="D39" s="148">
        <v>1995.79</v>
      </c>
      <c r="E39" s="372"/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414" t="s">
        <v>263</v>
      </c>
      <c r="B40" s="187" t="s">
        <v>135</v>
      </c>
      <c r="C40" s="179" t="s">
        <v>34</v>
      </c>
      <c r="D40" s="148">
        <v>3454.04</v>
      </c>
      <c r="E40" s="372"/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415" t="s">
        <v>264</v>
      </c>
      <c r="B41" s="187" t="s">
        <v>141</v>
      </c>
      <c r="C41" s="179" t="s">
        <v>34</v>
      </c>
      <c r="D41" s="148">
        <v>4011</v>
      </c>
      <c r="E41" s="372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37" t="s">
        <v>42</v>
      </c>
      <c r="B42" s="192"/>
      <c r="C42" s="193"/>
      <c r="D42" s="84">
        <f>D29+D30+D31+D32+D33+D34+D35+D36+D37+D38</f>
        <v>231067.218</v>
      </c>
      <c r="E42" s="439">
        <f>D42-D38</f>
        <v>221606.388</v>
      </c>
      <c r="F42" s="88"/>
      <c r="G42" s="88"/>
      <c r="H42" s="88"/>
      <c r="I42" s="88"/>
      <c r="J42" s="88"/>
      <c r="K42"/>
      <c r="L42"/>
      <c r="M42"/>
      <c r="N42"/>
    </row>
    <row r="43" spans="1:14" s="1" customFormat="1" ht="26.25">
      <c r="A43" s="129" t="s">
        <v>43</v>
      </c>
      <c r="B43" s="194" t="s">
        <v>11</v>
      </c>
      <c r="C43" s="195"/>
      <c r="D43" s="196">
        <f>C26-D42</f>
        <v>70338.46911999997</v>
      </c>
      <c r="E43" s="372"/>
      <c r="F43" s="88"/>
      <c r="G43" s="88"/>
      <c r="H43" s="88"/>
      <c r="I43" s="88"/>
      <c r="J43" s="88"/>
      <c r="K43"/>
      <c r="L43"/>
      <c r="M43"/>
      <c r="N43"/>
    </row>
    <row r="44" spans="1:14" s="1" customFormat="1" ht="15.75">
      <c r="A44" s="197" t="s">
        <v>12</v>
      </c>
      <c r="B44" s="198" t="s">
        <v>11</v>
      </c>
      <c r="C44" s="179"/>
      <c r="D44" s="163">
        <v>0</v>
      </c>
      <c r="E44" s="372"/>
      <c r="F44" s="88"/>
      <c r="G44" s="88"/>
      <c r="H44" s="88"/>
      <c r="I44" s="88"/>
      <c r="J44" s="88"/>
      <c r="K44"/>
      <c r="L44"/>
      <c r="M44"/>
      <c r="N44"/>
    </row>
    <row r="45" spans="1:14" s="1" customFormat="1" ht="24" customHeight="1">
      <c r="A45" s="197" t="s">
        <v>13</v>
      </c>
      <c r="B45" s="198" t="s">
        <v>11</v>
      </c>
      <c r="C45" s="179"/>
      <c r="D45" s="165">
        <v>0</v>
      </c>
      <c r="E45" s="372"/>
      <c r="F45" s="88"/>
      <c r="G45" s="88"/>
      <c r="H45" s="88"/>
      <c r="I45" s="88"/>
      <c r="J45" s="88"/>
      <c r="K45"/>
      <c r="L45"/>
      <c r="M45"/>
      <c r="N45"/>
    </row>
    <row r="46" spans="1:14" s="1" customFormat="1" ht="15.75">
      <c r="A46" s="443" t="s">
        <v>44</v>
      </c>
      <c r="B46" s="443"/>
      <c r="C46" s="443"/>
      <c r="D46" s="443"/>
      <c r="E46" s="372"/>
      <c r="F46" s="88"/>
      <c r="G46" s="88"/>
      <c r="H46" s="88"/>
      <c r="I46" s="88"/>
      <c r="J46" s="88"/>
      <c r="K46"/>
      <c r="L46"/>
      <c r="M46"/>
      <c r="N46"/>
    </row>
    <row r="47" spans="1:14" s="1" customFormat="1" ht="15.75">
      <c r="A47" s="197" t="s">
        <v>45</v>
      </c>
      <c r="B47" s="178" t="s">
        <v>46</v>
      </c>
      <c r="C47" s="179"/>
      <c r="D47" s="163">
        <v>0</v>
      </c>
      <c r="E47" s="372"/>
      <c r="F47" s="88"/>
      <c r="G47" s="88"/>
      <c r="H47" s="88"/>
      <c r="I47" s="88"/>
      <c r="J47" s="88"/>
      <c r="K47"/>
      <c r="L47"/>
      <c r="M47"/>
      <c r="N47"/>
    </row>
    <row r="48" spans="1:14" s="1" customFormat="1" ht="15.75">
      <c r="A48" s="197" t="s">
        <v>47</v>
      </c>
      <c r="B48" s="178" t="s">
        <v>46</v>
      </c>
      <c r="C48" s="179"/>
      <c r="D48" s="163">
        <v>0</v>
      </c>
      <c r="E48" s="372"/>
      <c r="F48" s="88"/>
      <c r="G48" s="88"/>
      <c r="H48" s="88"/>
      <c r="I48" s="88"/>
      <c r="J48" s="88"/>
      <c r="K48"/>
      <c r="L48"/>
      <c r="M48"/>
      <c r="N48"/>
    </row>
    <row r="49" spans="1:14" s="1" customFormat="1" ht="26.25">
      <c r="A49" s="199" t="s">
        <v>48</v>
      </c>
      <c r="B49" s="178" t="s">
        <v>46</v>
      </c>
      <c r="C49" s="179"/>
      <c r="D49" s="163">
        <v>0</v>
      </c>
      <c r="E49" s="372"/>
      <c r="F49" s="88"/>
      <c r="G49" s="88"/>
      <c r="H49" s="88"/>
      <c r="I49" s="88"/>
      <c r="J49" s="88"/>
      <c r="K49"/>
      <c r="L49"/>
      <c r="M49"/>
      <c r="N49"/>
    </row>
    <row r="50" spans="1:10" ht="20.25" customHeight="1">
      <c r="A50" s="197" t="s">
        <v>49</v>
      </c>
      <c r="B50" s="178" t="s">
        <v>11</v>
      </c>
      <c r="C50" s="179"/>
      <c r="D50" s="163">
        <v>0</v>
      </c>
      <c r="E50" s="372"/>
      <c r="F50" s="88"/>
      <c r="G50" s="88"/>
      <c r="H50" s="88"/>
      <c r="I50" s="88"/>
      <c r="J50" s="88"/>
    </row>
    <row r="51" spans="1:14" ht="16.5" thickBot="1">
      <c r="A51" s="452" t="s">
        <v>233</v>
      </c>
      <c r="B51" s="452"/>
      <c r="C51" s="452"/>
      <c r="D51" s="452"/>
      <c r="E51" s="380"/>
      <c r="F51" s="94"/>
      <c r="G51" s="95"/>
      <c r="H51" s="88"/>
      <c r="I51" s="98"/>
      <c r="J51" s="145"/>
      <c r="K51" s="57"/>
      <c r="L51" s="57"/>
      <c r="M51" s="57"/>
      <c r="N51" s="57"/>
    </row>
    <row r="52" spans="1:14" ht="38.25">
      <c r="A52" s="58" t="s">
        <v>54</v>
      </c>
      <c r="B52" s="59" t="s">
        <v>55</v>
      </c>
      <c r="C52" s="130" t="s">
        <v>56</v>
      </c>
      <c r="D52" s="131" t="s">
        <v>57</v>
      </c>
      <c r="E52" s="381"/>
      <c r="F52" s="94"/>
      <c r="G52" s="95"/>
      <c r="H52" s="88"/>
      <c r="I52" s="98"/>
      <c r="J52" s="98"/>
      <c r="K52" s="57"/>
      <c r="L52" s="57"/>
      <c r="M52" s="57"/>
      <c r="N52" s="57"/>
    </row>
    <row r="53" spans="1:14" ht="21" customHeight="1" thickBot="1">
      <c r="A53" s="228" t="s">
        <v>202</v>
      </c>
      <c r="B53" s="229">
        <v>84939.36</v>
      </c>
      <c r="C53" s="345">
        <f>B53*0.984</f>
        <v>83580.33024</v>
      </c>
      <c r="D53" s="347">
        <f>B53-C53</f>
        <v>1359.029760000005</v>
      </c>
      <c r="E53" s="380"/>
      <c r="F53" s="96"/>
      <c r="G53" s="88"/>
      <c r="H53" s="98"/>
      <c r="I53" s="98"/>
      <c r="J53" s="98"/>
      <c r="K53" s="57"/>
      <c r="L53" s="57"/>
      <c r="M53" s="57"/>
      <c r="N53" s="57"/>
    </row>
    <row r="54" spans="1:14" ht="63.75">
      <c r="A54" s="124" t="s">
        <v>59</v>
      </c>
      <c r="B54" s="125" t="s">
        <v>60</v>
      </c>
      <c r="C54" s="125" t="s">
        <v>61</v>
      </c>
      <c r="D54" s="132" t="s">
        <v>62</v>
      </c>
      <c r="E54" s="380"/>
      <c r="F54" s="96"/>
      <c r="G54" s="88"/>
      <c r="H54" s="98"/>
      <c r="I54" s="98"/>
      <c r="J54" s="98" t="s">
        <v>26</v>
      </c>
      <c r="K54" s="57"/>
      <c r="L54" s="57"/>
      <c r="M54" s="57"/>
      <c r="N54" s="57"/>
    </row>
    <row r="55" spans="1:14" ht="16.5" thickBot="1">
      <c r="A55" s="329" t="s">
        <v>202</v>
      </c>
      <c r="B55" s="330">
        <f>B53</f>
        <v>84939.36</v>
      </c>
      <c r="C55" s="350">
        <f>B55</f>
        <v>84939.36</v>
      </c>
      <c r="D55" s="367">
        <f>B55-C55</f>
        <v>0</v>
      </c>
      <c r="E55" s="380"/>
      <c r="F55" s="96"/>
      <c r="G55" s="88"/>
      <c r="H55" s="98"/>
      <c r="I55" s="98"/>
      <c r="J55" s="98"/>
      <c r="K55" s="57"/>
      <c r="L55" s="57"/>
      <c r="M55" s="57"/>
      <c r="N55" s="57"/>
    </row>
    <row r="56" spans="1:10" ht="21" customHeight="1">
      <c r="A56" s="444" t="s">
        <v>231</v>
      </c>
      <c r="B56" s="444"/>
      <c r="C56" s="444"/>
      <c r="D56" s="444"/>
      <c r="E56" s="382"/>
      <c r="F56" s="88"/>
      <c r="G56" s="88"/>
      <c r="H56" s="88"/>
      <c r="I56" s="88"/>
      <c r="J56" s="88"/>
    </row>
    <row r="57" spans="1:10" ht="21" customHeight="1">
      <c r="A57" s="73" t="s">
        <v>45</v>
      </c>
      <c r="B57" s="73" t="s">
        <v>46</v>
      </c>
      <c r="C57" s="73"/>
      <c r="D57" s="149">
        <v>0</v>
      </c>
      <c r="E57" s="382"/>
      <c r="F57" s="88"/>
      <c r="G57" s="88"/>
      <c r="H57" s="88"/>
      <c r="I57" s="88"/>
      <c r="J57" s="88"/>
    </row>
    <row r="58" spans="1:10" ht="18" customHeight="1">
      <c r="A58" s="73" t="s">
        <v>47</v>
      </c>
      <c r="B58" s="73" t="s">
        <v>46</v>
      </c>
      <c r="C58" s="73"/>
      <c r="D58" s="149">
        <v>0</v>
      </c>
      <c r="E58" s="382"/>
      <c r="F58" s="88"/>
      <c r="G58" s="88"/>
      <c r="H58" s="88"/>
      <c r="I58" s="88"/>
      <c r="J58" s="88"/>
    </row>
    <row r="59" spans="1:10" ht="16.5" customHeight="1">
      <c r="A59" s="73" t="s">
        <v>48</v>
      </c>
      <c r="B59" s="73" t="s">
        <v>46</v>
      </c>
      <c r="C59" s="73"/>
      <c r="D59" s="149">
        <v>0</v>
      </c>
      <c r="E59" s="382"/>
      <c r="F59" s="88"/>
      <c r="G59" s="88"/>
      <c r="H59" s="88"/>
      <c r="I59" s="88"/>
      <c r="J59" s="88"/>
    </row>
    <row r="60" spans="1:10" ht="15.75" customHeight="1">
      <c r="A60" s="73" t="s">
        <v>49</v>
      </c>
      <c r="B60" s="73" t="s">
        <v>11</v>
      </c>
      <c r="C60" s="73"/>
      <c r="D60" s="149">
        <v>0</v>
      </c>
      <c r="E60" s="382"/>
      <c r="F60" s="88"/>
      <c r="G60" s="88"/>
      <c r="H60" s="88"/>
      <c r="I60" s="88"/>
      <c r="J60" s="88"/>
    </row>
    <row r="61" spans="1:10" ht="18.75" customHeight="1">
      <c r="A61" s="440" t="s">
        <v>232</v>
      </c>
      <c r="B61" s="440"/>
      <c r="C61" s="440"/>
      <c r="D61" s="440"/>
      <c r="E61" s="382"/>
      <c r="F61" s="88"/>
      <c r="G61" s="88"/>
      <c r="H61" s="88"/>
      <c r="I61" s="88"/>
      <c r="J61" s="88"/>
    </row>
    <row r="62" spans="1:10" ht="21.75" customHeight="1">
      <c r="A62" s="73" t="s">
        <v>66</v>
      </c>
      <c r="B62" s="73" t="s">
        <v>46</v>
      </c>
      <c r="C62" s="73"/>
      <c r="D62" s="149">
        <v>0</v>
      </c>
      <c r="E62" s="382"/>
      <c r="F62" s="88"/>
      <c r="G62" s="88"/>
      <c r="H62" s="88"/>
      <c r="I62" s="88"/>
      <c r="J62" s="88"/>
    </row>
    <row r="63" spans="1:10" ht="36" customHeight="1">
      <c r="A63" s="73" t="s">
        <v>67</v>
      </c>
      <c r="B63" s="221" t="s">
        <v>46</v>
      </c>
      <c r="C63" s="255"/>
      <c r="D63" s="149">
        <v>0</v>
      </c>
      <c r="E63" s="382"/>
      <c r="F63" s="88"/>
      <c r="G63" s="88"/>
      <c r="H63" s="88"/>
      <c r="I63" s="88"/>
      <c r="J63" s="88"/>
    </row>
    <row r="64" spans="1:10" ht="26.25">
      <c r="A64" s="222" t="s">
        <v>68</v>
      </c>
      <c r="B64" s="73" t="s">
        <v>11</v>
      </c>
      <c r="C64" s="73"/>
      <c r="D64" s="149">
        <v>0</v>
      </c>
      <c r="E64" s="372"/>
      <c r="F64" s="88"/>
      <c r="G64" s="88"/>
      <c r="H64" s="88"/>
      <c r="I64" s="88"/>
      <c r="J64" s="88"/>
    </row>
    <row r="65" spans="1:14" s="1" customFormat="1" ht="15.75">
      <c r="A65" s="223"/>
      <c r="B65" s="223"/>
      <c r="C65" s="223"/>
      <c r="D65" s="224"/>
      <c r="E65" s="372"/>
      <c r="F65" s="88"/>
      <c r="G65" s="88"/>
      <c r="H65" s="88" t="s">
        <v>26</v>
      </c>
      <c r="I65" s="88"/>
      <c r="J65" s="88"/>
      <c r="K65"/>
      <c r="L65"/>
      <c r="M65"/>
      <c r="N65"/>
    </row>
    <row r="66" spans="1:14" s="1" customFormat="1" ht="12.75">
      <c r="A66" s="150"/>
      <c r="B66" s="150"/>
      <c r="C66" s="150"/>
      <c r="D66" s="150"/>
      <c r="E66" s="372"/>
      <c r="F66" s="88"/>
      <c r="G66" s="88"/>
      <c r="H66" s="88"/>
      <c r="I66" s="88"/>
      <c r="J66" s="88"/>
      <c r="K66"/>
      <c r="L66"/>
      <c r="M66"/>
      <c r="N66"/>
    </row>
    <row r="67" spans="1:14" s="1" customFormat="1" ht="12.75">
      <c r="A67" s="150" t="s">
        <v>69</v>
      </c>
      <c r="B67" s="150"/>
      <c r="C67" s="150" t="s">
        <v>172</v>
      </c>
      <c r="D67" s="150"/>
      <c r="E67" s="372"/>
      <c r="F67" s="88"/>
      <c r="G67" s="88"/>
      <c r="H67" s="88" t="s">
        <v>26</v>
      </c>
      <c r="I67" s="88"/>
      <c r="J67" s="88"/>
      <c r="K67"/>
      <c r="L67"/>
      <c r="M67"/>
      <c r="N67"/>
    </row>
    <row r="68" spans="1:14" s="1" customFormat="1" ht="12.75">
      <c r="A68" s="150"/>
      <c r="B68" s="150"/>
      <c r="C68" s="150"/>
      <c r="D68" s="150"/>
      <c r="E68" s="372"/>
      <c r="F68" s="88"/>
      <c r="G68" s="88"/>
      <c r="H68" s="88"/>
      <c r="I68" s="88"/>
      <c r="J68" s="88"/>
      <c r="K68"/>
      <c r="L68"/>
      <c r="M68"/>
      <c r="N68"/>
    </row>
    <row r="69" spans="1:10" ht="12.75">
      <c r="A69" s="150" t="s">
        <v>70</v>
      </c>
      <c r="B69" s="150"/>
      <c r="C69" s="150"/>
      <c r="D69" s="150"/>
      <c r="E69" s="372"/>
      <c r="F69" s="88"/>
      <c r="G69" s="88"/>
      <c r="H69" s="88"/>
      <c r="I69" s="88"/>
      <c r="J69" s="88"/>
    </row>
    <row r="70" spans="1:10" ht="12.75">
      <c r="A70" s="150"/>
      <c r="B70" s="150"/>
      <c r="C70" s="150"/>
      <c r="D70" s="150"/>
      <c r="E70" s="372"/>
      <c r="F70" s="88"/>
      <c r="G70" s="88"/>
      <c r="H70" s="88"/>
      <c r="I70" s="88"/>
      <c r="J70" s="88"/>
    </row>
    <row r="71" ht="12.75">
      <c r="E71" s="372"/>
    </row>
    <row r="72" spans="1:14" s="1" customFormat="1" ht="12.75">
      <c r="A72"/>
      <c r="B72"/>
      <c r="C72"/>
      <c r="D72"/>
      <c r="E72" s="372" t="s">
        <v>26</v>
      </c>
      <c r="K72"/>
      <c r="L72"/>
      <c r="M72"/>
      <c r="N72"/>
    </row>
  </sheetData>
  <sheetProtection selectLockedCells="1" selectUnlockedCells="1"/>
  <mergeCells count="12">
    <mergeCell ref="A61:D61"/>
    <mergeCell ref="A14:D14"/>
    <mergeCell ref="A27:D27"/>
    <mergeCell ref="A46:D46"/>
    <mergeCell ref="A51:D51"/>
    <mergeCell ref="A56:D5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112" zoomScaleNormal="112" zoomScalePageLayoutView="0" workbookViewId="0" topLeftCell="A34">
      <selection activeCell="C67" sqref="C67"/>
    </sheetView>
  </sheetViews>
  <sheetFormatPr defaultColWidth="11.57421875" defaultRowHeight="12.75"/>
  <cols>
    <col min="1" max="1" width="51.57421875" style="0" customWidth="1"/>
    <col min="2" max="2" width="13.7109375" style="0" customWidth="1"/>
    <col min="3" max="3" width="24.421875" style="0" customWidth="1"/>
    <col min="4" max="4" width="20.281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26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86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8" ht="30" customHeight="1">
      <c r="A7" s="450" t="s">
        <v>2</v>
      </c>
      <c r="B7" s="450"/>
      <c r="C7" s="450"/>
      <c r="D7" s="450"/>
      <c r="E7" s="88"/>
      <c r="F7" s="88"/>
      <c r="G7" s="88"/>
      <c r="H7" s="88"/>
    </row>
    <row r="8" spans="1:8" ht="19.5" customHeight="1">
      <c r="A8" s="225" t="s">
        <v>146</v>
      </c>
      <c r="B8" s="150"/>
      <c r="C8" s="153"/>
      <c r="D8" s="150"/>
      <c r="E8" s="88"/>
      <c r="F8" s="88"/>
      <c r="G8" s="88"/>
      <c r="H8" s="88"/>
    </row>
    <row r="9" spans="1:8" ht="12.75">
      <c r="A9" s="154" t="s">
        <v>3</v>
      </c>
      <c r="B9" s="154" t="s">
        <v>4</v>
      </c>
      <c r="C9" s="154" t="s">
        <v>5</v>
      </c>
      <c r="D9" s="155"/>
      <c r="E9" s="88"/>
      <c r="F9" s="88"/>
      <c r="G9" s="88"/>
      <c r="H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39">
      <c r="A15" s="17" t="s">
        <v>10</v>
      </c>
      <c r="B15" s="161" t="s">
        <v>11</v>
      </c>
      <c r="C15" s="162">
        <v>94806.79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280323.99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294375.42</v>
      </c>
      <c r="D18" s="165"/>
      <c r="E18" s="89">
        <f>C18-C20</f>
        <v>246460.86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155423.196</v>
      </c>
      <c r="D19" s="165"/>
      <c r="E19" s="89">
        <f>E18-E44</f>
        <v>0.34200000000419095</v>
      </c>
      <c r="F19" s="88"/>
      <c r="G19" s="88"/>
      <c r="H19" s="317"/>
    </row>
    <row r="20" spans="1:8" ht="15.75">
      <c r="A20" s="20" t="s">
        <v>16</v>
      </c>
      <c r="B20" s="161" t="s">
        <v>11</v>
      </c>
      <c r="C20" s="164">
        <f>1663.7*6*(2.34+2.46)</f>
        <v>47914.560000000005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1663.7*(4.44+4.68)*6</f>
        <v>91037.664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</f>
        <v>285838.53281999996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C18*0.971</f>
        <v>285838.53281999996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/>
      <c r="F25" s="88"/>
      <c r="G25" s="88"/>
      <c r="H25" s="88"/>
    </row>
    <row r="26" spans="1:8" ht="15.75">
      <c r="A26" s="20" t="s">
        <v>25</v>
      </c>
      <c r="B26" s="161" t="s">
        <v>11</v>
      </c>
      <c r="C26" s="164">
        <f>C15+C22</f>
        <v>380645.32281999994</v>
      </c>
      <c r="D26" s="165" t="s">
        <v>26</v>
      </c>
      <c r="E26" s="90"/>
      <c r="F26" s="88"/>
      <c r="G26" s="88"/>
      <c r="H26" s="88"/>
    </row>
    <row r="27" spans="1:8" ht="35.25" customHeight="1">
      <c r="A27" s="442" t="s">
        <v>27</v>
      </c>
      <c r="B27" s="442"/>
      <c r="C27" s="442"/>
      <c r="D27" s="442"/>
      <c r="E27" s="88"/>
      <c r="F27" s="88"/>
      <c r="G27" s="88"/>
      <c r="H27" s="88"/>
    </row>
    <row r="28" spans="1:8" ht="51">
      <c r="A28" s="238" t="s">
        <v>28</v>
      </c>
      <c r="B28" s="239" t="s">
        <v>29</v>
      </c>
      <c r="C28" s="171" t="s">
        <v>30</v>
      </c>
      <c r="D28" s="240" t="s">
        <v>31</v>
      </c>
      <c r="E28" s="88"/>
      <c r="F28" s="88"/>
      <c r="G28" s="88"/>
      <c r="H28" s="88"/>
    </row>
    <row r="29" spans="1:8" ht="31.5">
      <c r="A29" s="173" t="s">
        <v>32</v>
      </c>
      <c r="B29" s="174" t="s">
        <v>33</v>
      </c>
      <c r="C29" s="327" t="s">
        <v>207</v>
      </c>
      <c r="D29" s="176">
        <f>(0.35+0.33)*6*1663.7</f>
        <v>6787.896000000001</v>
      </c>
      <c r="E29" s="88"/>
      <c r="F29" s="88"/>
      <c r="G29" s="88"/>
      <c r="H29" s="88"/>
    </row>
    <row r="30" spans="1:8" ht="15.75">
      <c r="A30" s="177" t="s">
        <v>72</v>
      </c>
      <c r="B30" s="178" t="s">
        <v>73</v>
      </c>
      <c r="C30" s="179" t="s">
        <v>34</v>
      </c>
      <c r="D30" s="180">
        <f>(2.59+2.73)*6*1663.7</f>
        <v>53105.304000000004</v>
      </c>
      <c r="E30" s="88"/>
      <c r="F30" s="88"/>
      <c r="G30" s="88"/>
      <c r="H30" s="88"/>
    </row>
    <row r="31" spans="1:8" ht="15.75">
      <c r="A31" s="177" t="s">
        <v>203</v>
      </c>
      <c r="B31" s="178" t="s">
        <v>75</v>
      </c>
      <c r="C31" s="179" t="s">
        <v>221</v>
      </c>
      <c r="D31" s="180">
        <f>1663.7*6*(0.17+0.16)</f>
        <v>3294.126</v>
      </c>
      <c r="E31" s="88"/>
      <c r="F31" s="88"/>
      <c r="G31" s="88"/>
      <c r="H31" s="88"/>
    </row>
    <row r="32" spans="1:8" ht="15.75">
      <c r="A32" s="177" t="s">
        <v>36</v>
      </c>
      <c r="B32" s="178" t="s">
        <v>75</v>
      </c>
      <c r="C32" s="179" t="s">
        <v>37</v>
      </c>
      <c r="D32" s="180">
        <f>1663.7*6*(0.53+0.5)</f>
        <v>10281.666000000001</v>
      </c>
      <c r="E32" s="88"/>
      <c r="F32" s="88"/>
      <c r="G32" s="88"/>
      <c r="H32" s="88"/>
    </row>
    <row r="33" spans="1:8" ht="15.75">
      <c r="A33" s="177" t="s">
        <v>76</v>
      </c>
      <c r="B33" s="305" t="s">
        <v>33</v>
      </c>
      <c r="C33" s="179" t="s">
        <v>34</v>
      </c>
      <c r="D33" s="180">
        <f>(1.14+1.08)*6*1663.7</f>
        <v>22160.483999999997</v>
      </c>
      <c r="E33" s="88"/>
      <c r="F33" s="88"/>
      <c r="G33" s="88"/>
      <c r="H33" s="88"/>
    </row>
    <row r="34" spans="1:8" ht="15.75">
      <c r="A34" s="177" t="s">
        <v>87</v>
      </c>
      <c r="B34" s="178" t="s">
        <v>33</v>
      </c>
      <c r="C34" s="179" t="s">
        <v>34</v>
      </c>
      <c r="D34" s="181">
        <f>(0.46+0.49)*6*1663.7</f>
        <v>9483.089999999998</v>
      </c>
      <c r="E34" s="88"/>
      <c r="F34" s="88"/>
      <c r="G34" s="88"/>
      <c r="H34" s="88"/>
    </row>
    <row r="35" spans="1:8" ht="31.5">
      <c r="A35" s="177" t="s">
        <v>78</v>
      </c>
      <c r="B35" s="183" t="s">
        <v>79</v>
      </c>
      <c r="C35" s="179" t="s">
        <v>34</v>
      </c>
      <c r="D35" s="180">
        <f>(0.68+0.72)*6*1663.7</f>
        <v>13975.079999999998</v>
      </c>
      <c r="E35" s="88"/>
      <c r="F35" s="88"/>
      <c r="G35" s="88"/>
      <c r="H35" s="88"/>
    </row>
    <row r="36" spans="1:8" ht="15.75">
      <c r="A36" s="177" t="s">
        <v>38</v>
      </c>
      <c r="B36" s="178" t="s">
        <v>35</v>
      </c>
      <c r="C36" s="304" t="s">
        <v>194</v>
      </c>
      <c r="D36" s="180">
        <f>(4.44+4.68)*1663.7*6</f>
        <v>91037.664</v>
      </c>
      <c r="E36" s="88"/>
      <c r="F36" s="88"/>
      <c r="G36" s="88"/>
      <c r="H36" s="88"/>
    </row>
    <row r="37" spans="1:8" ht="15.75">
      <c r="A37" s="177" t="s">
        <v>82</v>
      </c>
      <c r="B37" s="305" t="s">
        <v>195</v>
      </c>
      <c r="C37" s="179" t="s">
        <v>37</v>
      </c>
      <c r="D37" s="328">
        <f>1663.7*(0.53+0.5)*6</f>
        <v>10281.666000000001</v>
      </c>
      <c r="E37" s="88"/>
      <c r="F37" s="88"/>
      <c r="G37" s="88"/>
      <c r="H37" s="88"/>
    </row>
    <row r="38" spans="1:8" ht="15.75">
      <c r="A38" s="177" t="s">
        <v>309</v>
      </c>
      <c r="B38" s="305" t="s">
        <v>310</v>
      </c>
      <c r="C38" s="179" t="s">
        <v>34</v>
      </c>
      <c r="D38" s="328">
        <f>1663.7*6*2.61</f>
        <v>26053.542</v>
      </c>
      <c r="E38" s="88"/>
      <c r="F38" s="88"/>
      <c r="G38" s="88"/>
      <c r="H38" s="88"/>
    </row>
    <row r="39" spans="1:14" s="1" customFormat="1" ht="78.75">
      <c r="A39" s="227" t="s">
        <v>182</v>
      </c>
      <c r="B39" s="185" t="s">
        <v>41</v>
      </c>
      <c r="C39" s="191"/>
      <c r="D39" s="319">
        <f>D40+D41+D42+D43</f>
        <v>20991.88</v>
      </c>
      <c r="E39" s="88"/>
      <c r="F39" s="88"/>
      <c r="G39" s="88"/>
      <c r="H39" s="88"/>
      <c r="K39"/>
      <c r="L39"/>
      <c r="M39"/>
      <c r="N39"/>
    </row>
    <row r="40" spans="1:14" s="1" customFormat="1" ht="15.75">
      <c r="A40" s="190" t="s">
        <v>265</v>
      </c>
      <c r="B40" s="187" t="s">
        <v>266</v>
      </c>
      <c r="C40" s="179" t="s">
        <v>34</v>
      </c>
      <c r="D40" s="320">
        <v>1512</v>
      </c>
      <c r="E40" s="88"/>
      <c r="F40" s="88"/>
      <c r="G40" s="88"/>
      <c r="H40" s="88"/>
      <c r="K40"/>
      <c r="L40"/>
      <c r="M40"/>
      <c r="N40"/>
    </row>
    <row r="41" spans="1:14" s="1" customFormat="1" ht="15.75">
      <c r="A41" s="190" t="s">
        <v>267</v>
      </c>
      <c r="B41" s="187" t="s">
        <v>141</v>
      </c>
      <c r="C41" s="179" t="s">
        <v>34</v>
      </c>
      <c r="D41" s="320">
        <v>4689.03</v>
      </c>
      <c r="E41" s="88"/>
      <c r="F41" s="88"/>
      <c r="G41" s="88"/>
      <c r="H41" s="88"/>
      <c r="K41"/>
      <c r="L41"/>
      <c r="M41"/>
      <c r="N41"/>
    </row>
    <row r="42" spans="1:14" s="1" customFormat="1" ht="31.5">
      <c r="A42" s="190" t="s">
        <v>269</v>
      </c>
      <c r="B42" s="187" t="s">
        <v>268</v>
      </c>
      <c r="C42" s="179" t="s">
        <v>34</v>
      </c>
      <c r="D42" s="320">
        <v>7136.85</v>
      </c>
      <c r="E42" s="88"/>
      <c r="F42" s="88"/>
      <c r="G42" s="88"/>
      <c r="H42" s="88"/>
      <c r="K42"/>
      <c r="L42"/>
      <c r="M42"/>
      <c r="N42"/>
    </row>
    <row r="43" spans="1:14" s="1" customFormat="1" ht="15.75">
      <c r="A43" s="190" t="s">
        <v>270</v>
      </c>
      <c r="B43" s="187" t="s">
        <v>138</v>
      </c>
      <c r="C43" s="179" t="s">
        <v>34</v>
      </c>
      <c r="D43" s="320">
        <v>7654</v>
      </c>
      <c r="E43" s="88"/>
      <c r="F43" s="88"/>
      <c r="G43" s="88"/>
      <c r="H43" s="88"/>
      <c r="K43"/>
      <c r="L43"/>
      <c r="M43"/>
      <c r="N43"/>
    </row>
    <row r="44" spans="1:14" s="1" customFormat="1" ht="15.75">
      <c r="A44" s="37" t="s">
        <v>42</v>
      </c>
      <c r="B44" s="192"/>
      <c r="C44" s="193"/>
      <c r="D44" s="84">
        <f>D29+D30+D31+D32+D33+D34+D35+D36+D37+D39+D38</f>
        <v>267452.398</v>
      </c>
      <c r="E44" s="91">
        <f>D44-D39</f>
        <v>246460.51799999998</v>
      </c>
      <c r="F44" s="88"/>
      <c r="G44" s="88"/>
      <c r="H44" s="88"/>
      <c r="K44"/>
      <c r="L44"/>
      <c r="M44"/>
      <c r="N44"/>
    </row>
    <row r="45" spans="1:14" s="1" customFormat="1" ht="15.75">
      <c r="A45" s="40" t="s">
        <v>43</v>
      </c>
      <c r="B45" s="194" t="s">
        <v>11</v>
      </c>
      <c r="C45" s="195"/>
      <c r="D45" s="196">
        <f>C26-D44</f>
        <v>113192.92481999996</v>
      </c>
      <c r="E45" s="91"/>
      <c r="F45" s="88"/>
      <c r="G45" s="88"/>
      <c r="H45" s="88"/>
      <c r="K45"/>
      <c r="L45"/>
      <c r="M45"/>
      <c r="N45"/>
    </row>
    <row r="46" spans="1:14" s="1" customFormat="1" ht="15.75">
      <c r="A46" s="197" t="s">
        <v>12</v>
      </c>
      <c r="B46" s="198" t="s">
        <v>11</v>
      </c>
      <c r="C46" s="179"/>
      <c r="D46" s="163">
        <v>0</v>
      </c>
      <c r="E46" s="88"/>
      <c r="F46" s="88"/>
      <c r="G46" s="88"/>
      <c r="H46" s="88"/>
      <c r="K46"/>
      <c r="L46"/>
      <c r="M46"/>
      <c r="N46"/>
    </row>
    <row r="47" spans="1:14" s="1" customFormat="1" ht="15.75">
      <c r="A47" s="197" t="s">
        <v>13</v>
      </c>
      <c r="B47" s="198" t="s">
        <v>11</v>
      </c>
      <c r="C47" s="179"/>
      <c r="D47" s="165">
        <v>259562.79</v>
      </c>
      <c r="E47" s="88"/>
      <c r="F47" s="88"/>
      <c r="G47" s="88"/>
      <c r="H47" s="88"/>
      <c r="K47"/>
      <c r="L47"/>
      <c r="M47"/>
      <c r="N47"/>
    </row>
    <row r="48" spans="1:14" s="1" customFormat="1" ht="24" customHeight="1">
      <c r="A48" s="443" t="s">
        <v>44</v>
      </c>
      <c r="B48" s="443"/>
      <c r="C48" s="443"/>
      <c r="D48" s="443"/>
      <c r="E48" s="88"/>
      <c r="F48" s="88"/>
      <c r="G48" s="88"/>
      <c r="H48" s="88"/>
      <c r="K48"/>
      <c r="L48"/>
      <c r="M48"/>
      <c r="N48"/>
    </row>
    <row r="49" spans="1:14" s="1" customFormat="1" ht="15.75">
      <c r="A49" s="197" t="s">
        <v>45</v>
      </c>
      <c r="B49" s="178" t="s">
        <v>46</v>
      </c>
      <c r="C49" s="179"/>
      <c r="D49" s="163">
        <v>0</v>
      </c>
      <c r="E49" s="88"/>
      <c r="F49" s="88"/>
      <c r="G49" s="88"/>
      <c r="H49" s="88"/>
      <c r="K49"/>
      <c r="L49"/>
      <c r="M49"/>
      <c r="N49"/>
    </row>
    <row r="50" spans="1:14" s="1" customFormat="1" ht="15.75">
      <c r="A50" s="197" t="s">
        <v>47</v>
      </c>
      <c r="B50" s="178" t="s">
        <v>46</v>
      </c>
      <c r="C50" s="179"/>
      <c r="D50" s="163">
        <v>0</v>
      </c>
      <c r="E50" s="88"/>
      <c r="F50" s="88"/>
      <c r="G50" s="88"/>
      <c r="H50" s="88"/>
      <c r="K50"/>
      <c r="L50"/>
      <c r="M50"/>
      <c r="N50"/>
    </row>
    <row r="51" spans="1:14" s="1" customFormat="1" ht="26.25">
      <c r="A51" s="199" t="s">
        <v>48</v>
      </c>
      <c r="B51" s="178" t="s">
        <v>46</v>
      </c>
      <c r="C51" s="179"/>
      <c r="D51" s="163">
        <v>0</v>
      </c>
      <c r="E51" s="88"/>
      <c r="F51" s="88"/>
      <c r="G51" s="88"/>
      <c r="H51" s="88"/>
      <c r="K51"/>
      <c r="L51"/>
      <c r="M51"/>
      <c r="N51"/>
    </row>
    <row r="52" spans="1:14" s="1" customFormat="1" ht="15.75">
      <c r="A52" s="197" t="s">
        <v>49</v>
      </c>
      <c r="B52" s="178" t="s">
        <v>11</v>
      </c>
      <c r="C52" s="179"/>
      <c r="D52" s="163">
        <v>0</v>
      </c>
      <c r="E52" s="88"/>
      <c r="F52" s="88"/>
      <c r="G52" s="88"/>
      <c r="H52" s="88"/>
      <c r="K52"/>
      <c r="L52"/>
      <c r="M52"/>
      <c r="N52"/>
    </row>
    <row r="53" spans="1:14" ht="18" customHeight="1" thickBot="1">
      <c r="A53" s="452" t="s">
        <v>233</v>
      </c>
      <c r="B53" s="452"/>
      <c r="C53" s="452"/>
      <c r="D53" s="452"/>
      <c r="E53" s="93"/>
      <c r="F53" s="94"/>
      <c r="G53" s="95"/>
      <c r="H53" s="88"/>
      <c r="I53" s="56"/>
      <c r="J53" s="56"/>
      <c r="K53" s="57"/>
      <c r="L53" s="57"/>
      <c r="M53" s="57"/>
      <c r="N53" s="57"/>
    </row>
    <row r="54" spans="1:14" ht="38.25">
      <c r="A54" s="58" t="s">
        <v>54</v>
      </c>
      <c r="B54" s="59" t="s">
        <v>55</v>
      </c>
      <c r="C54" s="130" t="s">
        <v>56</v>
      </c>
      <c r="D54" s="131" t="s">
        <v>57</v>
      </c>
      <c r="E54" s="93"/>
      <c r="F54" s="94"/>
      <c r="G54" s="95"/>
      <c r="H54" s="88"/>
      <c r="I54" s="56"/>
      <c r="J54" s="62"/>
      <c r="K54" s="57"/>
      <c r="L54" s="57"/>
      <c r="M54" s="57"/>
      <c r="N54" s="57"/>
    </row>
    <row r="55" spans="1:14" ht="15.75">
      <c r="A55" s="207" t="s">
        <v>202</v>
      </c>
      <c r="B55" s="209">
        <v>105295.66</v>
      </c>
      <c r="C55" s="345">
        <f>B55*0.971</f>
        <v>102242.08586</v>
      </c>
      <c r="D55" s="346">
        <f>B55-C55</f>
        <v>3053.574139999997</v>
      </c>
      <c r="E55" s="93"/>
      <c r="F55" s="96"/>
      <c r="G55" s="97"/>
      <c r="H55" s="93"/>
      <c r="I55" s="56"/>
      <c r="J55" s="56"/>
      <c r="K55" s="57"/>
      <c r="L55" s="57"/>
      <c r="M55" s="57"/>
      <c r="N55" s="57"/>
    </row>
    <row r="56" spans="1:14" ht="16.5" thickBot="1">
      <c r="A56" s="228" t="s">
        <v>58</v>
      </c>
      <c r="B56" s="229">
        <v>244827.85</v>
      </c>
      <c r="C56" s="345">
        <f>B56*0.971</f>
        <v>237727.84235</v>
      </c>
      <c r="D56" s="347">
        <f>B56-C56</f>
        <v>7100.007650000014</v>
      </c>
      <c r="E56" s="93"/>
      <c r="F56" s="96"/>
      <c r="G56" s="97"/>
      <c r="H56" s="88"/>
      <c r="I56" s="56"/>
      <c r="J56" s="56"/>
      <c r="K56" s="57"/>
      <c r="L56" s="57"/>
      <c r="M56" s="57"/>
      <c r="N56" s="57"/>
    </row>
    <row r="57" spans="1:14" ht="63.75">
      <c r="A57" s="106" t="s">
        <v>59</v>
      </c>
      <c r="B57" s="107" t="s">
        <v>60</v>
      </c>
      <c r="C57" s="107" t="s">
        <v>61</v>
      </c>
      <c r="D57" s="132" t="s">
        <v>62</v>
      </c>
      <c r="E57" s="93"/>
      <c r="F57" s="96"/>
      <c r="G57" s="88"/>
      <c r="H57" s="98"/>
      <c r="I57" s="56"/>
      <c r="J57" s="56"/>
      <c r="K57" s="57"/>
      <c r="L57" s="57"/>
      <c r="M57" s="57"/>
      <c r="N57" s="57"/>
    </row>
    <row r="58" spans="1:14" ht="15.75">
      <c r="A58" s="232" t="s">
        <v>202</v>
      </c>
      <c r="B58" s="256">
        <f>B55</f>
        <v>105295.66</v>
      </c>
      <c r="C58" s="345">
        <f>B58</f>
        <v>105295.66</v>
      </c>
      <c r="D58" s="349">
        <f>B58-C58</f>
        <v>0</v>
      </c>
      <c r="E58" s="93"/>
      <c r="F58" s="96"/>
      <c r="G58" s="88"/>
      <c r="H58" s="98"/>
      <c r="I58" s="56"/>
      <c r="J58" s="56"/>
      <c r="K58" s="57"/>
      <c r="L58" s="57"/>
      <c r="M58" s="57"/>
      <c r="N58" s="57"/>
    </row>
    <row r="59" spans="1:14" ht="16.5" thickBot="1">
      <c r="A59" s="234" t="s">
        <v>58</v>
      </c>
      <c r="B59" s="257">
        <f>B56</f>
        <v>244827.85</v>
      </c>
      <c r="C59" s="366">
        <f>B59</f>
        <v>244827.85</v>
      </c>
      <c r="D59" s="351">
        <f>B59-C59</f>
        <v>0</v>
      </c>
      <c r="E59" s="93"/>
      <c r="F59" s="96"/>
      <c r="G59" s="88"/>
      <c r="H59" s="98" t="s">
        <v>26</v>
      </c>
      <c r="I59" s="56"/>
      <c r="J59" s="56"/>
      <c r="K59" s="57"/>
      <c r="L59" s="57"/>
      <c r="M59" s="57"/>
      <c r="N59" s="57"/>
    </row>
    <row r="60" spans="1:14" ht="17.25" customHeight="1">
      <c r="A60" s="444" t="s">
        <v>231</v>
      </c>
      <c r="B60" s="444"/>
      <c r="C60" s="444"/>
      <c r="D60" s="444"/>
      <c r="E60" s="99" t="e">
        <f>D60+B19</f>
        <v>#VALUE!</v>
      </c>
      <c r="F60" s="98"/>
      <c r="G60" s="88"/>
      <c r="H60" s="100" t="e">
        <f>E60-B18</f>
        <v>#VALUE!</v>
      </c>
      <c r="I60" s="56"/>
      <c r="J60" s="56"/>
      <c r="K60" s="57"/>
      <c r="L60" s="57"/>
      <c r="M60" s="57"/>
      <c r="N60" s="57"/>
    </row>
    <row r="61" spans="1:8" ht="21" customHeight="1">
      <c r="A61" s="73" t="s">
        <v>45</v>
      </c>
      <c r="B61" s="73" t="s">
        <v>46</v>
      </c>
      <c r="C61" s="73"/>
      <c r="D61" s="149">
        <v>0</v>
      </c>
      <c r="E61" s="101"/>
      <c r="F61" s="88"/>
      <c r="G61" s="88"/>
      <c r="H61" s="88"/>
    </row>
    <row r="62" spans="1:8" ht="21" customHeight="1">
      <c r="A62" s="73" t="s">
        <v>47</v>
      </c>
      <c r="B62" s="73" t="s">
        <v>46</v>
      </c>
      <c r="C62" s="73"/>
      <c r="D62" s="149">
        <v>0</v>
      </c>
      <c r="E62" s="101"/>
      <c r="F62" s="88"/>
      <c r="G62" s="88"/>
      <c r="H62" s="88"/>
    </row>
    <row r="63" spans="1:8" ht="18" customHeight="1">
      <c r="A63" s="73" t="s">
        <v>48</v>
      </c>
      <c r="B63" s="73" t="s">
        <v>46</v>
      </c>
      <c r="C63" s="73"/>
      <c r="D63" s="149">
        <v>0</v>
      </c>
      <c r="E63" s="101"/>
      <c r="F63" s="88"/>
      <c r="G63" s="88"/>
      <c r="H63" s="88"/>
    </row>
    <row r="64" spans="1:8" ht="16.5" customHeight="1">
      <c r="A64" s="73" t="s">
        <v>49</v>
      </c>
      <c r="B64" s="73" t="s">
        <v>11</v>
      </c>
      <c r="C64" s="73"/>
      <c r="D64" s="149">
        <v>0</v>
      </c>
      <c r="E64" s="101"/>
      <c r="F64" s="88"/>
      <c r="G64" s="88"/>
      <c r="H64" s="88"/>
    </row>
    <row r="65" spans="1:8" ht="15.75" customHeight="1">
      <c r="A65" s="440" t="s">
        <v>232</v>
      </c>
      <c r="B65" s="440"/>
      <c r="C65" s="440"/>
      <c r="D65" s="440"/>
      <c r="E65" s="101"/>
      <c r="F65" s="88"/>
      <c r="G65" s="88"/>
      <c r="H65" s="88"/>
    </row>
    <row r="66" spans="1:8" ht="18.75" customHeight="1">
      <c r="A66" s="73" t="s">
        <v>66</v>
      </c>
      <c r="B66" s="73" t="s">
        <v>46</v>
      </c>
      <c r="C66" s="73"/>
      <c r="D66" s="149">
        <v>4</v>
      </c>
      <c r="E66" s="101"/>
      <c r="F66" s="88"/>
      <c r="G66" s="88"/>
      <c r="H66" s="88"/>
    </row>
    <row r="67" spans="1:8" ht="21.75" customHeight="1">
      <c r="A67" s="73" t="s">
        <v>67</v>
      </c>
      <c r="B67" s="221" t="s">
        <v>46</v>
      </c>
      <c r="C67" s="221"/>
      <c r="D67" s="149">
        <v>2</v>
      </c>
      <c r="E67" s="101"/>
      <c r="F67" s="88"/>
      <c r="G67" s="88"/>
      <c r="H67" s="88"/>
    </row>
    <row r="68" spans="1:8" ht="36" customHeight="1">
      <c r="A68" s="222" t="s">
        <v>68</v>
      </c>
      <c r="B68" s="73" t="s">
        <v>11</v>
      </c>
      <c r="C68" s="73"/>
      <c r="D68" s="149">
        <v>20760</v>
      </c>
      <c r="E68" s="101"/>
      <c r="F68" s="88"/>
      <c r="G68" s="88"/>
      <c r="H68" s="88"/>
    </row>
    <row r="69" spans="1:8" ht="15.75">
      <c r="A69" s="223"/>
      <c r="B69" s="223"/>
      <c r="C69" s="223"/>
      <c r="D69" s="224"/>
      <c r="E69" s="88"/>
      <c r="F69" s="88"/>
      <c r="G69" s="88"/>
      <c r="H69" s="88"/>
    </row>
    <row r="70" spans="1:14" s="1" customFormat="1" ht="12.75">
      <c r="A70" s="150"/>
      <c r="B70" s="150"/>
      <c r="C70" s="150"/>
      <c r="D70" s="150"/>
      <c r="E70" s="88"/>
      <c r="F70" s="88"/>
      <c r="G70" s="88"/>
      <c r="H70" s="88" t="s">
        <v>26</v>
      </c>
      <c r="K70"/>
      <c r="L70"/>
      <c r="M70"/>
      <c r="N70"/>
    </row>
    <row r="71" spans="1:14" s="1" customFormat="1" ht="12.75">
      <c r="A71" s="152" t="s">
        <v>173</v>
      </c>
      <c r="B71" s="150"/>
      <c r="C71" s="150"/>
      <c r="D71" s="150"/>
      <c r="E71" s="88"/>
      <c r="F71" s="88"/>
      <c r="G71" s="88"/>
      <c r="H71" s="88"/>
      <c r="K71"/>
      <c r="L71"/>
      <c r="M71"/>
      <c r="N71"/>
    </row>
    <row r="72" spans="1:14" s="1" customFormat="1" ht="12.75">
      <c r="A72" s="150"/>
      <c r="B72" s="150"/>
      <c r="C72" s="150"/>
      <c r="D72" s="150"/>
      <c r="E72" s="88"/>
      <c r="F72" s="88"/>
      <c r="G72" s="88"/>
      <c r="H72" s="88" t="s">
        <v>26</v>
      </c>
      <c r="K72"/>
      <c r="L72"/>
      <c r="M72"/>
      <c r="N72"/>
    </row>
    <row r="73" spans="1:14" s="1" customFormat="1" ht="12.75">
      <c r="A73" s="150" t="s">
        <v>70</v>
      </c>
      <c r="B73" s="150"/>
      <c r="C73" s="150"/>
      <c r="D73" s="150"/>
      <c r="E73" s="88"/>
      <c r="F73" s="88"/>
      <c r="G73" s="88"/>
      <c r="H73" s="88"/>
      <c r="K73"/>
      <c r="L73"/>
      <c r="M73"/>
      <c r="N73"/>
    </row>
    <row r="74" spans="5:8" ht="12.75">
      <c r="E74" s="88"/>
      <c r="F74" s="88"/>
      <c r="G74" s="88"/>
      <c r="H74" s="88"/>
    </row>
    <row r="75" spans="5:8" ht="12.75">
      <c r="E75" s="88"/>
      <c r="F75" s="88"/>
      <c r="G75" s="88"/>
      <c r="H75" s="88"/>
    </row>
    <row r="76" spans="5:8" ht="12.75">
      <c r="E76" s="88"/>
      <c r="F76" s="88"/>
      <c r="G76" s="88"/>
      <c r="H76" s="88"/>
    </row>
    <row r="77" spans="1:14" s="1" customFormat="1" ht="12.75">
      <c r="A77"/>
      <c r="B77"/>
      <c r="C77"/>
      <c r="D77"/>
      <c r="E77" s="1" t="s">
        <v>26</v>
      </c>
      <c r="K77"/>
      <c r="L77"/>
      <c r="M77"/>
      <c r="N77"/>
    </row>
  </sheetData>
  <sheetProtection selectLockedCells="1" selectUnlockedCells="1"/>
  <mergeCells count="12">
    <mergeCell ref="A65:D65"/>
    <mergeCell ref="A14:D14"/>
    <mergeCell ref="A27:D27"/>
    <mergeCell ref="A48:D48"/>
    <mergeCell ref="A53:D53"/>
    <mergeCell ref="A60:D60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06" zoomScaleNormal="106" zoomScalePageLayoutView="0" workbookViewId="0" topLeftCell="A33">
      <selection activeCell="A60" sqref="A60"/>
    </sheetView>
  </sheetViews>
  <sheetFormatPr defaultColWidth="11.57421875" defaultRowHeight="12.75"/>
  <cols>
    <col min="1" max="1" width="54.00390625" style="0" customWidth="1"/>
    <col min="2" max="2" width="15.140625" style="0" customWidth="1"/>
    <col min="3" max="3" width="23.00390625" style="0" customWidth="1"/>
    <col min="4" max="4" width="21.8515625" style="0" customWidth="1"/>
    <col min="5" max="5" width="16.8515625" style="1" customWidth="1"/>
    <col min="6" max="7" width="0" style="1" hidden="1" customWidth="1"/>
    <col min="8" max="8" width="11.57421875" style="1" customWidth="1"/>
    <col min="9" max="9" width="5.28125" style="1" customWidth="1"/>
    <col min="10" max="10" width="30.00390625" style="1" customWidth="1"/>
    <col min="11" max="12" width="23.28125" style="0" customWidth="1"/>
    <col min="13" max="13" width="6.57421875" style="0" customWidth="1"/>
    <col min="14" max="14" width="7.00390625" style="0" customWidth="1"/>
  </cols>
  <sheetData>
    <row r="1" spans="1:4" ht="18">
      <c r="A1" s="445" t="s">
        <v>0</v>
      </c>
      <c r="B1" s="445"/>
      <c r="C1" s="445"/>
      <c r="D1" s="445"/>
    </row>
    <row r="2" spans="1:4" ht="15.75">
      <c r="A2" s="446" t="s">
        <v>193</v>
      </c>
      <c r="B2" s="447"/>
      <c r="C2" s="447"/>
      <c r="D2" s="447"/>
    </row>
    <row r="3" spans="1:4" ht="15.75">
      <c r="A3" s="447" t="s">
        <v>1</v>
      </c>
      <c r="B3" s="447"/>
      <c r="C3" s="447"/>
      <c r="D3" s="447"/>
    </row>
    <row r="4" spans="1:4" ht="12.75">
      <c r="A4" s="448" t="s">
        <v>88</v>
      </c>
      <c r="B4" s="448"/>
      <c r="C4" s="448"/>
      <c r="D4" s="448"/>
    </row>
    <row r="5" spans="1:4" ht="12.75">
      <c r="A5" s="449" t="s">
        <v>244</v>
      </c>
      <c r="B5" s="448"/>
      <c r="C5" s="448"/>
      <c r="D5" s="448"/>
    </row>
    <row r="6" ht="9" customHeight="1">
      <c r="A6" s="2"/>
    </row>
    <row r="7" spans="1:5" ht="36.75" customHeight="1">
      <c r="A7" s="450" t="s">
        <v>2</v>
      </c>
      <c r="B7" s="450"/>
      <c r="C7" s="450"/>
      <c r="D7" s="450"/>
      <c r="E7" s="88"/>
    </row>
    <row r="8" spans="1:5" ht="12.75">
      <c r="A8" s="225" t="s">
        <v>147</v>
      </c>
      <c r="B8" s="150"/>
      <c r="C8" s="153"/>
      <c r="D8" s="150"/>
      <c r="E8" s="88"/>
    </row>
    <row r="9" spans="1:5" ht="12.75">
      <c r="A9" s="154" t="s">
        <v>3</v>
      </c>
      <c r="B9" s="154" t="s">
        <v>4</v>
      </c>
      <c r="C9" s="154" t="s">
        <v>5</v>
      </c>
      <c r="D9" s="155"/>
      <c r="E9" s="88"/>
    </row>
    <row r="10" spans="1:8" ht="12.75">
      <c r="A10" s="156">
        <v>1</v>
      </c>
      <c r="B10" s="156">
        <v>2</v>
      </c>
      <c r="C10" s="156">
        <v>3</v>
      </c>
      <c r="D10" s="157">
        <v>4</v>
      </c>
      <c r="E10" s="88"/>
      <c r="F10" s="88"/>
      <c r="G10" s="88"/>
      <c r="H10" s="88"/>
    </row>
    <row r="11" spans="1:8" ht="12.75">
      <c r="A11" s="20" t="s">
        <v>6</v>
      </c>
      <c r="B11" s="158"/>
      <c r="C11" s="159" t="s">
        <v>252</v>
      </c>
      <c r="D11" s="160"/>
      <c r="E11" s="88"/>
      <c r="F11" s="88"/>
      <c r="G11" s="88"/>
      <c r="H11" s="88"/>
    </row>
    <row r="12" spans="1:8" ht="12.75">
      <c r="A12" s="20" t="s">
        <v>7</v>
      </c>
      <c r="B12" s="158"/>
      <c r="C12" s="159" t="s">
        <v>242</v>
      </c>
      <c r="D12" s="160"/>
      <c r="E12" s="88"/>
      <c r="F12" s="88"/>
      <c r="G12" s="88"/>
      <c r="H12" s="88"/>
    </row>
    <row r="13" spans="1:8" ht="12.75">
      <c r="A13" s="20" t="s">
        <v>8</v>
      </c>
      <c r="B13" s="158"/>
      <c r="C13" s="159" t="s">
        <v>243</v>
      </c>
      <c r="D13" s="160"/>
      <c r="E13" s="88"/>
      <c r="F13" s="88"/>
      <c r="G13" s="88"/>
      <c r="H13" s="88"/>
    </row>
    <row r="14" spans="1:8" ht="31.5" customHeight="1">
      <c r="A14" s="441" t="s">
        <v>9</v>
      </c>
      <c r="B14" s="441"/>
      <c r="C14" s="441"/>
      <c r="D14" s="441"/>
      <c r="E14" s="88"/>
      <c r="F14" s="88"/>
      <c r="G14" s="88"/>
      <c r="H14" s="88"/>
    </row>
    <row r="15" spans="1:8" ht="26.25">
      <c r="A15" s="17" t="s">
        <v>10</v>
      </c>
      <c r="B15" s="161" t="s">
        <v>11</v>
      </c>
      <c r="C15" s="164">
        <v>-24156.31</v>
      </c>
      <c r="D15" s="163"/>
      <c r="E15" s="88"/>
      <c r="F15" s="88"/>
      <c r="G15" s="88"/>
      <c r="H15" s="88"/>
    </row>
    <row r="16" spans="1:8" ht="15.75">
      <c r="A16" s="20" t="s">
        <v>12</v>
      </c>
      <c r="B16" s="161" t="s">
        <v>11</v>
      </c>
      <c r="C16" s="162">
        <v>0</v>
      </c>
      <c r="D16" s="163"/>
      <c r="E16" s="88"/>
      <c r="F16" s="88"/>
      <c r="G16" s="88"/>
      <c r="H16" s="88"/>
    </row>
    <row r="17" spans="1:8" ht="15.75">
      <c r="A17" s="20" t="s">
        <v>13</v>
      </c>
      <c r="B17" s="161" t="s">
        <v>11</v>
      </c>
      <c r="C17" s="164">
        <v>642822.92</v>
      </c>
      <c r="D17" s="165"/>
      <c r="E17" s="88"/>
      <c r="F17" s="88"/>
      <c r="G17" s="88"/>
      <c r="H17" s="88"/>
    </row>
    <row r="18" spans="1:8" ht="31.5" customHeight="1">
      <c r="A18" s="17" t="s">
        <v>14</v>
      </c>
      <c r="B18" s="161" t="s">
        <v>11</v>
      </c>
      <c r="C18" s="164">
        <v>311964.42</v>
      </c>
      <c r="D18" s="165"/>
      <c r="E18" s="89">
        <f>C18-C20</f>
        <v>278771.832</v>
      </c>
      <c r="F18" s="88"/>
      <c r="G18" s="88"/>
      <c r="H18" s="88"/>
    </row>
    <row r="19" spans="1:8" ht="15.75">
      <c r="A19" s="20" t="s">
        <v>15</v>
      </c>
      <c r="B19" s="161" t="s">
        <v>11</v>
      </c>
      <c r="C19" s="164">
        <f>C18-C20-C21</f>
        <v>172926.936</v>
      </c>
      <c r="D19" s="165"/>
      <c r="E19" s="89">
        <f>E18-E40</f>
        <v>0.5160000000032596</v>
      </c>
      <c r="F19" s="88"/>
      <c r="G19" s="88"/>
      <c r="H19" s="88"/>
    </row>
    <row r="20" spans="1:8" ht="15.75">
      <c r="A20" s="20" t="s">
        <v>16</v>
      </c>
      <c r="B20" s="161" t="s">
        <v>11</v>
      </c>
      <c r="C20" s="164">
        <f>(1.39+1.47)*6*1934.3</f>
        <v>33192.587999999996</v>
      </c>
      <c r="D20" s="165"/>
      <c r="E20" s="90"/>
      <c r="F20" s="88"/>
      <c r="G20" s="88"/>
      <c r="H20" s="88"/>
    </row>
    <row r="21" spans="1:8" ht="15.75">
      <c r="A21" s="20" t="s">
        <v>17</v>
      </c>
      <c r="B21" s="161" t="s">
        <v>11</v>
      </c>
      <c r="C21" s="166">
        <f>1934.3*(4.44+4.68)*6</f>
        <v>105844.89600000001</v>
      </c>
      <c r="D21" s="165"/>
      <c r="E21" s="88"/>
      <c r="F21" s="88"/>
      <c r="G21" s="88"/>
      <c r="H21" s="88"/>
    </row>
    <row r="22" spans="1:8" ht="15.75">
      <c r="A22" s="20" t="s">
        <v>18</v>
      </c>
      <c r="B22" s="161" t="s">
        <v>11</v>
      </c>
      <c r="C22" s="164">
        <f>C23+C24+C25</f>
        <v>309156.74022</v>
      </c>
      <c r="D22" s="165" t="s">
        <v>19</v>
      </c>
      <c r="E22" s="89"/>
      <c r="F22" s="88"/>
      <c r="G22" s="88"/>
      <c r="H22" s="88"/>
    </row>
    <row r="23" spans="1:8" ht="15.75">
      <c r="A23" s="20" t="s">
        <v>20</v>
      </c>
      <c r="B23" s="161" t="s">
        <v>11</v>
      </c>
      <c r="C23" s="164">
        <f>C18*0.991</f>
        <v>309156.74022</v>
      </c>
      <c r="D23" s="165"/>
      <c r="E23" s="88"/>
      <c r="F23" s="88"/>
      <c r="G23" s="88"/>
      <c r="H23" s="88"/>
    </row>
    <row r="24" spans="1:8" ht="15.75">
      <c r="A24" s="20" t="s">
        <v>21</v>
      </c>
      <c r="B24" s="161" t="s">
        <v>11</v>
      </c>
      <c r="C24" s="164">
        <v>0</v>
      </c>
      <c r="D24" s="167">
        <v>65.21</v>
      </c>
      <c r="E24" s="90"/>
      <c r="F24" s="88"/>
      <c r="G24" s="88"/>
      <c r="H24" s="88" t="s">
        <v>22</v>
      </c>
    </row>
    <row r="25" spans="1:8" ht="15.75">
      <c r="A25" s="20" t="s">
        <v>23</v>
      </c>
      <c r="B25" s="161" t="s">
        <v>11</v>
      </c>
      <c r="C25" s="164">
        <v>0</v>
      </c>
      <c r="D25" s="167">
        <v>119.63</v>
      </c>
      <c r="E25" s="90" t="e">
        <f>B25/#REF!*1</f>
        <v>#VALUE!</v>
      </c>
      <c r="F25" s="88"/>
      <c r="G25" s="88"/>
      <c r="H25" s="88"/>
    </row>
    <row r="26" spans="1:8" ht="15.75">
      <c r="A26" s="20" t="s">
        <v>25</v>
      </c>
      <c r="B26" s="161" t="s">
        <v>11</v>
      </c>
      <c r="C26" s="164">
        <f>C15+C22</f>
        <v>285000.43022</v>
      </c>
      <c r="D26" s="165" t="s">
        <v>26</v>
      </c>
      <c r="E26" s="90" t="e">
        <f>B26/#REF!*1</f>
        <v>#VALUE!</v>
      </c>
      <c r="F26" s="88"/>
      <c r="G26" s="88"/>
      <c r="H26" s="88"/>
    </row>
    <row r="27" spans="1:8" ht="35.25" customHeight="1">
      <c r="A27" s="442" t="s">
        <v>27</v>
      </c>
      <c r="B27" s="442"/>
      <c r="C27" s="442"/>
      <c r="D27" s="442"/>
      <c r="E27" s="88"/>
      <c r="F27" s="88"/>
      <c r="G27" s="88"/>
      <c r="H27" s="88"/>
    </row>
    <row r="28" spans="1:8" ht="63">
      <c r="A28" s="238" t="s">
        <v>28</v>
      </c>
      <c r="B28" s="259" t="s">
        <v>29</v>
      </c>
      <c r="C28" s="246" t="s">
        <v>30</v>
      </c>
      <c r="D28" s="260" t="s">
        <v>31</v>
      </c>
      <c r="E28" s="88"/>
      <c r="F28" s="88"/>
      <c r="G28" s="88"/>
      <c r="H28" s="88"/>
    </row>
    <row r="29" spans="1:10" ht="31.5">
      <c r="A29" s="173" t="s">
        <v>32</v>
      </c>
      <c r="B29" s="174" t="s">
        <v>33</v>
      </c>
      <c r="C29" s="175" t="s">
        <v>34</v>
      </c>
      <c r="D29" s="176">
        <f>(0.47+0.5)*6*1934.3</f>
        <v>11257.626</v>
      </c>
      <c r="E29" s="88"/>
      <c r="F29" s="88"/>
      <c r="G29" s="88"/>
      <c r="H29" s="88"/>
      <c r="I29" s="88"/>
      <c r="J29" s="88"/>
    </row>
    <row r="30" spans="1:10" ht="15.75">
      <c r="A30" s="177" t="s">
        <v>72</v>
      </c>
      <c r="B30" s="178" t="s">
        <v>73</v>
      </c>
      <c r="C30" s="179" t="s">
        <v>34</v>
      </c>
      <c r="D30" s="180">
        <f>(2.59+2.73)*6*1934.3</f>
        <v>61742.856</v>
      </c>
      <c r="E30" s="88"/>
      <c r="F30" s="88"/>
      <c r="G30" s="88"/>
      <c r="H30" s="88"/>
      <c r="I30" s="88"/>
      <c r="J30" s="88"/>
    </row>
    <row r="31" spans="1:10" ht="15.75">
      <c r="A31" s="177" t="s">
        <v>203</v>
      </c>
      <c r="B31" s="178" t="s">
        <v>75</v>
      </c>
      <c r="C31" s="304" t="s">
        <v>221</v>
      </c>
      <c r="D31" s="181">
        <f>1934.3*(0.17+0.16)*6</f>
        <v>3829.9139999999998</v>
      </c>
      <c r="E31" s="88"/>
      <c r="F31" s="88"/>
      <c r="G31" s="88"/>
      <c r="H31" s="88"/>
      <c r="I31" s="88"/>
      <c r="J31" s="88"/>
    </row>
    <row r="32" spans="1:10" ht="15.75">
      <c r="A32" s="177" t="s">
        <v>36</v>
      </c>
      <c r="B32" s="178" t="s">
        <v>75</v>
      </c>
      <c r="C32" s="179" t="s">
        <v>37</v>
      </c>
      <c r="D32" s="180">
        <f>(0.53+0.5)*6*1934.3</f>
        <v>11953.973999999998</v>
      </c>
      <c r="E32" s="88"/>
      <c r="F32" s="88"/>
      <c r="G32" s="88"/>
      <c r="H32" s="88"/>
      <c r="I32" s="88"/>
      <c r="J32" s="88"/>
    </row>
    <row r="33" spans="1:10" ht="15.75">
      <c r="A33" s="177" t="s">
        <v>76</v>
      </c>
      <c r="B33" s="305" t="s">
        <v>33</v>
      </c>
      <c r="C33" s="179" t="s">
        <v>34</v>
      </c>
      <c r="D33" s="180">
        <f>(1.12+1.18)*6*1934.3</f>
        <v>26693.339999999997</v>
      </c>
      <c r="E33" s="88" t="s">
        <v>225</v>
      </c>
      <c r="F33" s="88"/>
      <c r="G33" s="88"/>
      <c r="H33" s="88"/>
      <c r="I33" s="88"/>
      <c r="J33" s="88"/>
    </row>
    <row r="34" spans="1:10" ht="15.75">
      <c r="A34" s="177" t="s">
        <v>87</v>
      </c>
      <c r="B34" s="178" t="s">
        <v>33</v>
      </c>
      <c r="C34" s="179" t="s">
        <v>34</v>
      </c>
      <c r="D34" s="181">
        <f>(0.49+0.52)*6*1934.3</f>
        <v>11721.858</v>
      </c>
      <c r="E34" s="88"/>
      <c r="F34" s="88"/>
      <c r="G34" s="88"/>
      <c r="H34" s="88"/>
      <c r="I34" s="88"/>
      <c r="J34" s="88"/>
    </row>
    <row r="35" spans="1:10" ht="31.5">
      <c r="A35" s="177" t="s">
        <v>78</v>
      </c>
      <c r="B35" s="183" t="s">
        <v>79</v>
      </c>
      <c r="C35" s="179" t="s">
        <v>34</v>
      </c>
      <c r="D35" s="180">
        <f>(1.44+1.52)*6*1934.3</f>
        <v>34353.168</v>
      </c>
      <c r="E35" s="88"/>
      <c r="F35" s="88"/>
      <c r="G35" s="88"/>
      <c r="H35" s="88"/>
      <c r="I35" s="88"/>
      <c r="J35" s="88"/>
    </row>
    <row r="36" spans="1:10" ht="15.75">
      <c r="A36" s="177" t="s">
        <v>38</v>
      </c>
      <c r="B36" s="178" t="s">
        <v>35</v>
      </c>
      <c r="C36" s="304" t="s">
        <v>194</v>
      </c>
      <c r="D36" s="180">
        <f>(4.44+4.68)*1934.3*6</f>
        <v>105844.89600000001</v>
      </c>
      <c r="E36" s="88"/>
      <c r="F36" s="88"/>
      <c r="G36" s="88"/>
      <c r="H36" s="88"/>
      <c r="I36" s="88"/>
      <c r="J36" s="88"/>
    </row>
    <row r="37" spans="1:10" ht="15.75">
      <c r="A37" s="177" t="s">
        <v>82</v>
      </c>
      <c r="B37" s="178" t="s">
        <v>195</v>
      </c>
      <c r="C37" s="179" t="s">
        <v>37</v>
      </c>
      <c r="D37" s="261">
        <f>1934.3*(0.5+0.48)*6</f>
        <v>11373.684000000001</v>
      </c>
      <c r="E37" s="88"/>
      <c r="F37" s="88"/>
      <c r="G37" s="88"/>
      <c r="H37" s="88"/>
      <c r="I37" s="88"/>
      <c r="J37" s="88"/>
    </row>
    <row r="38" spans="1:14" s="1" customFormat="1" ht="78.75">
      <c r="A38" s="227" t="s">
        <v>183</v>
      </c>
      <c r="B38" s="185" t="s">
        <v>41</v>
      </c>
      <c r="C38" s="258"/>
      <c r="D38" s="320">
        <f>D39</f>
        <v>10935</v>
      </c>
      <c r="E38" s="88"/>
      <c r="F38" s="88"/>
      <c r="G38" s="88"/>
      <c r="H38" s="88"/>
      <c r="I38" s="88"/>
      <c r="J38" s="88"/>
      <c r="K38"/>
      <c r="L38"/>
      <c r="M38"/>
      <c r="N38"/>
    </row>
    <row r="39" spans="1:14" s="1" customFormat="1" ht="15.75">
      <c r="A39" s="190" t="s">
        <v>271</v>
      </c>
      <c r="B39" s="187" t="s">
        <v>138</v>
      </c>
      <c r="C39" s="179" t="s">
        <v>34</v>
      </c>
      <c r="D39" s="321">
        <v>10935</v>
      </c>
      <c r="E39" s="88"/>
      <c r="F39" s="88"/>
      <c r="G39" s="88"/>
      <c r="H39" s="88"/>
      <c r="I39" s="88"/>
      <c r="J39" s="88"/>
      <c r="K39"/>
      <c r="L39"/>
      <c r="M39"/>
      <c r="N39"/>
    </row>
    <row r="40" spans="1:14" s="1" customFormat="1" ht="15.75">
      <c r="A40" s="37" t="s">
        <v>42</v>
      </c>
      <c r="B40" s="192"/>
      <c r="C40" s="193"/>
      <c r="D40" s="126">
        <f>D29+D30+D31+D32+D33+D34+D35+D36+D37+D38</f>
        <v>289706.316</v>
      </c>
      <c r="E40" s="91">
        <f>D40-D38</f>
        <v>278771.316</v>
      </c>
      <c r="F40" s="88"/>
      <c r="G40" s="88"/>
      <c r="H40" s="88"/>
      <c r="I40" s="88"/>
      <c r="J40" s="88"/>
      <c r="K40"/>
      <c r="L40"/>
      <c r="M40"/>
      <c r="N40"/>
    </row>
    <row r="41" spans="1:14" s="1" customFormat="1" ht="15.75">
      <c r="A41" s="40" t="s">
        <v>43</v>
      </c>
      <c r="B41" s="194" t="s">
        <v>11</v>
      </c>
      <c r="C41" s="195"/>
      <c r="D41" s="196">
        <f>C26-D40</f>
        <v>-4705.885780000011</v>
      </c>
      <c r="E41" s="91"/>
      <c r="F41" s="88"/>
      <c r="G41" s="88"/>
      <c r="H41" s="88"/>
      <c r="I41" s="88"/>
      <c r="J41" s="88"/>
      <c r="K41"/>
      <c r="L41"/>
      <c r="M41"/>
      <c r="N41"/>
    </row>
    <row r="42" spans="1:14" s="1" customFormat="1" ht="15.75">
      <c r="A42" s="197" t="s">
        <v>12</v>
      </c>
      <c r="B42" s="198" t="s">
        <v>11</v>
      </c>
      <c r="C42" s="179"/>
      <c r="D42" s="163">
        <v>0</v>
      </c>
      <c r="E42" s="88"/>
      <c r="F42" s="88"/>
      <c r="G42" s="88"/>
      <c r="H42" s="88"/>
      <c r="I42" s="88"/>
      <c r="J42" s="88"/>
      <c r="K42"/>
      <c r="L42"/>
      <c r="M42"/>
      <c r="N42"/>
    </row>
    <row r="43" spans="1:14" s="1" customFormat="1" ht="15.75">
      <c r="A43" s="197" t="s">
        <v>13</v>
      </c>
      <c r="B43" s="198" t="s">
        <v>11</v>
      </c>
      <c r="C43" s="179"/>
      <c r="D43" s="165">
        <v>645248.88</v>
      </c>
      <c r="E43" s="88"/>
      <c r="F43" s="88"/>
      <c r="G43" s="88"/>
      <c r="H43" s="88"/>
      <c r="I43" s="88"/>
      <c r="J43" s="88"/>
      <c r="K43"/>
      <c r="L43"/>
      <c r="M43"/>
      <c r="N43"/>
    </row>
    <row r="44" spans="1:14" s="1" customFormat="1" ht="24" customHeight="1">
      <c r="A44" s="443" t="s">
        <v>44</v>
      </c>
      <c r="B44" s="443"/>
      <c r="C44" s="443"/>
      <c r="D44" s="443"/>
      <c r="E44" s="88"/>
      <c r="F44" s="88"/>
      <c r="G44" s="88"/>
      <c r="H44" s="88"/>
      <c r="I44" s="88"/>
      <c r="J44" s="88"/>
      <c r="K44"/>
      <c r="L44"/>
      <c r="M44"/>
      <c r="N44"/>
    </row>
    <row r="45" spans="1:14" s="1" customFormat="1" ht="15.75">
      <c r="A45" s="197" t="s">
        <v>45</v>
      </c>
      <c r="B45" s="178" t="s">
        <v>46</v>
      </c>
      <c r="C45" s="179"/>
      <c r="D45" s="163">
        <v>0</v>
      </c>
      <c r="E45" s="88"/>
      <c r="F45" s="88"/>
      <c r="G45" s="88"/>
      <c r="H45" s="88"/>
      <c r="I45" s="88"/>
      <c r="J45" s="88"/>
      <c r="K45"/>
      <c r="L45"/>
      <c r="M45"/>
      <c r="N45"/>
    </row>
    <row r="46" spans="1:14" s="1" customFormat="1" ht="15.75">
      <c r="A46" s="197" t="s">
        <v>47</v>
      </c>
      <c r="B46" s="178" t="s">
        <v>46</v>
      </c>
      <c r="C46" s="179"/>
      <c r="D46" s="163">
        <v>0</v>
      </c>
      <c r="E46" s="88"/>
      <c r="F46" s="88"/>
      <c r="G46" s="88"/>
      <c r="H46" s="88"/>
      <c r="I46" s="88"/>
      <c r="J46" s="88"/>
      <c r="K46"/>
      <c r="L46"/>
      <c r="M46"/>
      <c r="N46"/>
    </row>
    <row r="47" spans="1:14" s="1" customFormat="1" ht="26.25">
      <c r="A47" s="199" t="s">
        <v>48</v>
      </c>
      <c r="B47" s="178" t="s">
        <v>46</v>
      </c>
      <c r="C47" s="179"/>
      <c r="D47" s="163">
        <v>0</v>
      </c>
      <c r="E47" s="88"/>
      <c r="F47" s="88"/>
      <c r="G47" s="88"/>
      <c r="H47" s="88"/>
      <c r="I47" s="88"/>
      <c r="J47" s="88"/>
      <c r="K47"/>
      <c r="L47"/>
      <c r="M47"/>
      <c r="N47"/>
    </row>
    <row r="48" spans="1:14" s="1" customFormat="1" ht="15.75">
      <c r="A48" s="197" t="s">
        <v>49</v>
      </c>
      <c r="B48" s="178" t="s">
        <v>11</v>
      </c>
      <c r="C48" s="179"/>
      <c r="D48" s="163">
        <v>0</v>
      </c>
      <c r="E48" s="88"/>
      <c r="F48" s="88"/>
      <c r="G48" s="88"/>
      <c r="H48" s="88"/>
      <c r="I48" s="88"/>
      <c r="J48" s="88"/>
      <c r="K48"/>
      <c r="L48"/>
      <c r="M48"/>
      <c r="N48"/>
    </row>
    <row r="49" spans="1:14" ht="18" customHeight="1">
      <c r="A49" s="452" t="s">
        <v>233</v>
      </c>
      <c r="B49" s="452"/>
      <c r="C49" s="452"/>
      <c r="D49" s="452"/>
      <c r="E49" s="93"/>
      <c r="F49" s="94"/>
      <c r="G49" s="95"/>
      <c r="H49" s="88"/>
      <c r="I49" s="98"/>
      <c r="J49" s="98"/>
      <c r="K49" s="57"/>
      <c r="L49" s="57"/>
      <c r="M49" s="57"/>
      <c r="N49" s="57"/>
    </row>
    <row r="50" spans="1:14" ht="47.25">
      <c r="A50" s="139" t="s">
        <v>54</v>
      </c>
      <c r="B50" s="140" t="s">
        <v>55</v>
      </c>
      <c r="C50" s="141" t="s">
        <v>56</v>
      </c>
      <c r="D50" s="142" t="s">
        <v>57</v>
      </c>
      <c r="E50" s="93"/>
      <c r="F50" s="94"/>
      <c r="G50" s="95"/>
      <c r="H50" s="88"/>
      <c r="I50" s="98"/>
      <c r="J50" s="145"/>
      <c r="K50" s="57"/>
      <c r="L50" s="57"/>
      <c r="M50" s="57"/>
      <c r="N50" s="57"/>
    </row>
    <row r="51" spans="1:14" ht="15.75">
      <c r="A51" s="262" t="s">
        <v>202</v>
      </c>
      <c r="B51" s="209">
        <v>123904.77</v>
      </c>
      <c r="C51" s="345">
        <f>B51*0.991</f>
        <v>122789.62707</v>
      </c>
      <c r="D51" s="363">
        <f>B51-C51</f>
        <v>1115.1429300000018</v>
      </c>
      <c r="E51" s="93">
        <f>(2.07+1.8)*6*2301.2-0.37*2301.2*6</f>
        <v>48325.2</v>
      </c>
      <c r="F51" s="96"/>
      <c r="G51" s="97"/>
      <c r="H51" s="93"/>
      <c r="I51" s="98"/>
      <c r="J51" s="98"/>
      <c r="K51" s="57"/>
      <c r="L51" s="57"/>
      <c r="M51" s="57"/>
      <c r="N51" s="57"/>
    </row>
    <row r="52" spans="1:14" ht="15.75">
      <c r="A52" s="263" t="s">
        <v>58</v>
      </c>
      <c r="B52" s="264">
        <v>246177.95</v>
      </c>
      <c r="C52" s="345">
        <f>B52*0.9987</f>
        <v>245857.91866500003</v>
      </c>
      <c r="D52" s="364">
        <f>B52-C52</f>
        <v>320.03133499997784</v>
      </c>
      <c r="E52" s="93"/>
      <c r="F52" s="96"/>
      <c r="G52" s="97"/>
      <c r="H52" s="88"/>
      <c r="I52" s="98"/>
      <c r="J52" s="98"/>
      <c r="K52" s="57"/>
      <c r="L52" s="57"/>
      <c r="M52" s="57"/>
      <c r="N52" s="57"/>
    </row>
    <row r="53" spans="1:14" ht="78.75">
      <c r="A53" s="136" t="s">
        <v>59</v>
      </c>
      <c r="B53" s="137" t="s">
        <v>60</v>
      </c>
      <c r="C53" s="138" t="s">
        <v>61</v>
      </c>
      <c r="D53" s="138" t="s">
        <v>62</v>
      </c>
      <c r="E53" s="93"/>
      <c r="F53" s="96"/>
      <c r="G53" s="88"/>
      <c r="H53" s="98"/>
      <c r="I53" s="98"/>
      <c r="J53" s="98"/>
      <c r="K53" s="57"/>
      <c r="L53" s="57"/>
      <c r="M53" s="57"/>
      <c r="N53" s="57"/>
    </row>
    <row r="54" spans="1:14" ht="15.75">
      <c r="A54" s="262" t="s">
        <v>202</v>
      </c>
      <c r="B54" s="265">
        <f>B51</f>
        <v>123904.77</v>
      </c>
      <c r="C54" s="345">
        <f>B54</f>
        <v>123904.77</v>
      </c>
      <c r="D54" s="365">
        <f>B54-C54</f>
        <v>0</v>
      </c>
      <c r="E54" s="93"/>
      <c r="F54" s="96"/>
      <c r="G54" s="88"/>
      <c r="H54" s="98"/>
      <c r="I54" s="56"/>
      <c r="J54" s="56"/>
      <c r="K54" s="57"/>
      <c r="L54" s="57"/>
      <c r="M54" s="57"/>
      <c r="N54" s="57"/>
    </row>
    <row r="55" spans="1:14" ht="15.75">
      <c r="A55" s="266" t="s">
        <v>58</v>
      </c>
      <c r="B55" s="265">
        <v>246177.95</v>
      </c>
      <c r="C55" s="345">
        <f>B55</f>
        <v>246177.95</v>
      </c>
      <c r="D55" s="365">
        <f>B55-C55</f>
        <v>0</v>
      </c>
      <c r="E55" s="93"/>
      <c r="F55" s="96"/>
      <c r="G55" s="88"/>
      <c r="H55" s="98" t="s">
        <v>26</v>
      </c>
      <c r="I55" s="56"/>
      <c r="J55" s="56"/>
      <c r="K55" s="57"/>
      <c r="L55" s="57"/>
      <c r="M55" s="57"/>
      <c r="N55" s="57"/>
    </row>
    <row r="56" spans="1:14" ht="17.25" customHeight="1">
      <c r="A56" s="444" t="s">
        <v>231</v>
      </c>
      <c r="B56" s="444"/>
      <c r="C56" s="444"/>
      <c r="D56" s="444"/>
      <c r="E56" s="99" t="e">
        <f>D56+B19</f>
        <v>#VALUE!</v>
      </c>
      <c r="F56" s="98"/>
      <c r="G56" s="88"/>
      <c r="H56" s="100" t="e">
        <f>E56-B18</f>
        <v>#VALUE!</v>
      </c>
      <c r="I56" s="56"/>
      <c r="J56" s="56"/>
      <c r="K56" s="57"/>
      <c r="L56" s="57"/>
      <c r="M56" s="57"/>
      <c r="N56" s="57"/>
    </row>
    <row r="57" spans="1:8" ht="21" customHeight="1">
      <c r="A57" s="73" t="s">
        <v>45</v>
      </c>
      <c r="B57" s="73" t="s">
        <v>46</v>
      </c>
      <c r="C57" s="73"/>
      <c r="D57" s="149">
        <v>0</v>
      </c>
      <c r="E57" s="101"/>
      <c r="F57" s="88"/>
      <c r="G57" s="88"/>
      <c r="H57" s="88"/>
    </row>
    <row r="58" spans="1:8" ht="21" customHeight="1">
      <c r="A58" s="73" t="s">
        <v>47</v>
      </c>
      <c r="B58" s="73" t="s">
        <v>46</v>
      </c>
      <c r="C58" s="73"/>
      <c r="D58" s="149">
        <v>0</v>
      </c>
      <c r="E58" s="101"/>
      <c r="F58" s="88"/>
      <c r="G58" s="88"/>
      <c r="H58" s="88"/>
    </row>
    <row r="59" spans="1:8" ht="18" customHeight="1">
      <c r="A59" s="73" t="s">
        <v>48</v>
      </c>
      <c r="B59" s="73" t="s">
        <v>46</v>
      </c>
      <c r="C59" s="73"/>
      <c r="D59" s="149">
        <v>0</v>
      </c>
      <c r="E59" s="101"/>
      <c r="F59" s="88"/>
      <c r="G59" s="88"/>
      <c r="H59" s="88"/>
    </row>
    <row r="60" spans="1:8" ht="16.5" customHeight="1">
      <c r="A60" s="73" t="s">
        <v>49</v>
      </c>
      <c r="B60" s="73" t="s">
        <v>11</v>
      </c>
      <c r="C60" s="73"/>
      <c r="D60" s="149">
        <v>0</v>
      </c>
      <c r="E60" s="101"/>
      <c r="F60" s="88"/>
      <c r="G60" s="88"/>
      <c r="H60" s="88"/>
    </row>
    <row r="61" spans="1:8" ht="15.75" customHeight="1">
      <c r="A61" s="440" t="s">
        <v>232</v>
      </c>
      <c r="B61" s="440"/>
      <c r="C61" s="440"/>
      <c r="D61" s="440"/>
      <c r="E61" s="101"/>
      <c r="F61" s="88"/>
      <c r="G61" s="88"/>
      <c r="H61" s="88"/>
    </row>
    <row r="62" spans="1:8" ht="18.75" customHeight="1">
      <c r="A62" s="73" t="s">
        <v>66</v>
      </c>
      <c r="B62" s="73" t="s">
        <v>46</v>
      </c>
      <c r="C62" s="73"/>
      <c r="D62" s="149">
        <v>4</v>
      </c>
      <c r="E62" s="101"/>
      <c r="F62" s="88"/>
      <c r="G62" s="88"/>
      <c r="H62" s="88"/>
    </row>
    <row r="63" spans="1:8" ht="21.75" customHeight="1">
      <c r="A63" s="73" t="s">
        <v>67</v>
      </c>
      <c r="B63" s="221" t="s">
        <v>46</v>
      </c>
      <c r="C63" s="221"/>
      <c r="D63" s="149">
        <v>4</v>
      </c>
      <c r="E63" s="101"/>
      <c r="F63" s="88"/>
      <c r="G63" s="88"/>
      <c r="H63" s="88"/>
    </row>
    <row r="64" spans="1:8" ht="36" customHeight="1">
      <c r="A64" s="222" t="s">
        <v>68</v>
      </c>
      <c r="B64" s="73" t="s">
        <v>11</v>
      </c>
      <c r="C64" s="73"/>
      <c r="D64" s="149">
        <v>0</v>
      </c>
      <c r="E64" s="101"/>
      <c r="F64" s="88"/>
      <c r="G64" s="88"/>
      <c r="H64" s="88"/>
    </row>
    <row r="65" spans="1:8" ht="15.75">
      <c r="A65" s="223"/>
      <c r="B65" s="223"/>
      <c r="C65" s="223"/>
      <c r="D65" s="224"/>
      <c r="E65" s="88"/>
      <c r="F65" s="88"/>
      <c r="G65" s="88"/>
      <c r="H65" s="88"/>
    </row>
    <row r="66" spans="1:14" s="1" customFormat="1" ht="12.75">
      <c r="A66" s="150"/>
      <c r="B66" s="150"/>
      <c r="C66" s="150"/>
      <c r="D66" s="150"/>
      <c r="E66" s="88"/>
      <c r="F66" s="88"/>
      <c r="G66" s="88"/>
      <c r="H66" s="88" t="s">
        <v>26</v>
      </c>
      <c r="K66"/>
      <c r="L66"/>
      <c r="M66"/>
      <c r="N66"/>
    </row>
    <row r="67" spans="1:14" s="1" customFormat="1" ht="12.75">
      <c r="A67" s="152" t="s">
        <v>174</v>
      </c>
      <c r="B67" s="150"/>
      <c r="C67" s="150"/>
      <c r="D67" s="150"/>
      <c r="E67" s="88"/>
      <c r="F67" s="88"/>
      <c r="G67" s="88"/>
      <c r="H67" s="88"/>
      <c r="K67"/>
      <c r="L67"/>
      <c r="M67"/>
      <c r="N67"/>
    </row>
    <row r="68" spans="1:14" s="1" customFormat="1" ht="12.75">
      <c r="A68" s="150"/>
      <c r="B68" s="150"/>
      <c r="C68" s="150"/>
      <c r="D68" s="150"/>
      <c r="E68" s="88"/>
      <c r="H68" s="1" t="s">
        <v>26</v>
      </c>
      <c r="K68"/>
      <c r="L68"/>
      <c r="M68"/>
      <c r="N68"/>
    </row>
    <row r="69" spans="1:14" s="1" customFormat="1" ht="12.75">
      <c r="A69" s="150" t="s">
        <v>70</v>
      </c>
      <c r="B69" s="150"/>
      <c r="C69" s="150"/>
      <c r="D69" s="150"/>
      <c r="E69" s="88"/>
      <c r="K69"/>
      <c r="L69"/>
      <c r="M69"/>
      <c r="N69"/>
    </row>
    <row r="70" spans="1:5" ht="12.75">
      <c r="A70" s="150"/>
      <c r="B70" s="150"/>
      <c r="C70" s="150"/>
      <c r="D70" s="150"/>
      <c r="E70" s="88"/>
    </row>
    <row r="71" ht="12.75">
      <c r="E71" s="88"/>
    </row>
    <row r="73" spans="1:14" s="1" customFormat="1" ht="12.75">
      <c r="A73"/>
      <c r="B73"/>
      <c r="C73"/>
      <c r="D73"/>
      <c r="E73" s="1" t="s">
        <v>26</v>
      </c>
      <c r="K73"/>
      <c r="L73"/>
      <c r="M73"/>
      <c r="N73"/>
    </row>
  </sheetData>
  <sheetProtection selectLockedCells="1" selectUnlockedCells="1"/>
  <mergeCells count="12">
    <mergeCell ref="A61:D61"/>
    <mergeCell ref="A14:D14"/>
    <mergeCell ref="A27:D27"/>
    <mergeCell ref="A44:D44"/>
    <mergeCell ref="A49:D49"/>
    <mergeCell ref="A56:D56"/>
    <mergeCell ref="A1:D1"/>
    <mergeCell ref="A2:D2"/>
    <mergeCell ref="A3:D3"/>
    <mergeCell ref="A4:D4"/>
    <mergeCell ref="A5:D5"/>
    <mergeCell ref="A7:D7"/>
  </mergeCells>
  <printOptions/>
  <pageMargins left="0.5597222222222222" right="0.7875" top="0.34097222222222223" bottom="0.7875" header="0.5118055555555555" footer="0.5118055555555555"/>
  <pageSetup fitToHeight="3" fitToWidth="2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ChiefEngineer</dc:creator>
  <cp:keywords/>
  <dc:description/>
  <cp:lastModifiedBy>ZVL DUK</cp:lastModifiedBy>
  <cp:lastPrinted>2024-03-13T10:52:40Z</cp:lastPrinted>
  <dcterms:created xsi:type="dcterms:W3CDTF">2016-10-21T05:17:14Z</dcterms:created>
  <dcterms:modified xsi:type="dcterms:W3CDTF">2024-03-22T07:20:47Z</dcterms:modified>
  <cp:category/>
  <cp:version/>
  <cp:contentType/>
  <cp:contentStatus/>
</cp:coreProperties>
</file>