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9" firstSheet="2" activeTab="12"/>
  </bookViews>
  <sheets>
    <sheet name="Дзержинского 14" sheetId="1" r:id="rId1"/>
    <sheet name="Дзержинского 42" sheetId="2" r:id="rId2"/>
    <sheet name="Дзержинского 44" sheetId="3" r:id="rId3"/>
    <sheet name="Рожд 1" sheetId="4" r:id="rId4"/>
    <sheet name="Рожд 2" sheetId="5" r:id="rId5"/>
    <sheet name="Рожд 3" sheetId="6" r:id="rId6"/>
    <sheet name="Рожд 4" sheetId="7" r:id="rId7"/>
    <sheet name="Рожд 5" sheetId="8" r:id="rId8"/>
    <sheet name="Рожд 6" sheetId="9" r:id="rId9"/>
    <sheet name="Рожд7" sheetId="10" r:id="rId10"/>
    <sheet name="Рожд 8 " sheetId="11" r:id="rId11"/>
    <sheet name="Рожд 10 " sheetId="12" r:id="rId12"/>
    <sheet name="Весенняя 2" sheetId="13" r:id="rId13"/>
    <sheet name="Лист1" sheetId="14" r:id="rId14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<sst xmlns="http://schemas.openxmlformats.org/spreadsheetml/2006/main" count="2588" uniqueCount="382">
  <si>
    <t xml:space="preserve"> ОТЧЕТ    </t>
  </si>
  <si>
    <t>ДОГОВОРА УПРАВЛЕНИЯ МНОГОКВАРТИРНЫМ ДОМОМ</t>
  </si>
  <si>
    <t>ПО АДРЕСУ г. Заволжье, ул. Рождественская д.1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</si>
  <si>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</si>
  <si>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</si>
  <si>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</si>
  <si>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</si>
  <si>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</si>
  <si>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</si>
  <si>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</si>
  <si>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</si>
  <si>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</si>
  <si>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</si>
  <si>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</si>
  <si>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</si>
  <si>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</si>
  <si>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</si>
  <si>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</si>
  <si>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</si>
  <si>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</si>
  <si>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</si>
  <si>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</si>
  <si>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</si>
  <si>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</si>
  <si>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</si>
  <si>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</si>
  <si>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</si>
  <si>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</si>
  <si>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</si>
  <si>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</si>
  <si>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</si>
  <si>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</si>
  <si>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</si>
  <si>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</si>
  <si>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</si>
  <si>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 xml:space="preserve">Содержание придомовой территории </t>
  </si>
  <si>
    <t>5 раз в неделю</t>
  </si>
  <si>
    <t>ООО "Жилищные услуги"</t>
  </si>
  <si>
    <t>ежедневно</t>
  </si>
  <si>
    <t>ООО "ЧистоГрад плюс"</t>
  </si>
  <si>
    <t xml:space="preserve">Проверка дымоходов и вентканалов </t>
  </si>
  <si>
    <t>ООО "Патриот"</t>
  </si>
  <si>
    <t>Обслуживание систем электроснабжения</t>
  </si>
  <si>
    <t>4 раза в год</t>
  </si>
  <si>
    <t>ООО "ВДС-Сервис"</t>
  </si>
  <si>
    <t>Обслуживание внутридомовых систем  (ХВС,ГВС, ВО, отопления)</t>
  </si>
  <si>
    <t xml:space="preserve">Аварийно-диспетчерское обслуживание  </t>
  </si>
  <si>
    <t>круглосуточно</t>
  </si>
  <si>
    <t xml:space="preserve">Управление многоквартирным домом </t>
  </si>
  <si>
    <t xml:space="preserve">Уборка лестничных клеток  </t>
  </si>
  <si>
    <t xml:space="preserve">Обслуживание лифтов  </t>
  </si>
  <si>
    <t>ООО "Лифтсервис"</t>
  </si>
  <si>
    <t xml:space="preserve">Обслуживание мусоропроводов 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</si>
  <si>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</si>
  <si>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</si>
  <si>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</si>
  <si>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</si>
  <si>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</si>
  <si>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</si>
  <si>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</si>
  <si>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</si>
  <si>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</si>
  <si>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</si>
  <si>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</si>
  <si>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</si>
  <si>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</si>
  <si>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</si>
  <si>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</si>
  <si>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</si>
  <si>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</si>
  <si>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</si>
  <si>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</si>
  <si>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</si>
  <si>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горячее водоснабжение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</si>
  <si>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</si>
  <si>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</si>
  <si>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</si>
  <si>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</si>
  <si>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</si>
  <si>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</si>
  <si>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</si>
  <si>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</si>
  <si>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</si>
  <si>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</si>
  <si>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</si>
  <si>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М.П.</t>
  </si>
  <si>
    <t>ПО АДРЕСУ г. Заволжье, ул. Рождественская д.2</t>
  </si>
  <si>
    <t xml:space="preserve">Переходящие остатки денежных средств (на начало периода) </t>
  </si>
  <si>
    <t>Содержание придомовой территории</t>
  </si>
  <si>
    <t>Обслуживание внутридомовых систем  (ХВС,ГВС,ВО,отопления)</t>
  </si>
  <si>
    <t xml:space="preserve">Уборка лестничных клеток </t>
  </si>
  <si>
    <t xml:space="preserve">Обслуживание лифтов </t>
  </si>
  <si>
    <t>ИТОГО :</t>
  </si>
  <si>
    <t>ПО АДРЕСУ г. Заволжье, ул. Рождественская д.3</t>
  </si>
  <si>
    <t>Переходящие остатки денежных средств (на начало периода) :</t>
  </si>
  <si>
    <t>Обслуживание общестроит.конструкций</t>
  </si>
  <si>
    <t>Проверка дымоходов и вентканалов</t>
  </si>
  <si>
    <t>Обслуживание внутридомовых систем  (ХВС,ГВС,ВО ,отопления)</t>
  </si>
  <si>
    <t>Управление многоквартирным домом</t>
  </si>
  <si>
    <t>Уборка лестничных клеток</t>
  </si>
  <si>
    <t>Обслуживание мусоропроводов</t>
  </si>
  <si>
    <t>Обслуживание газового оборудования</t>
  </si>
  <si>
    <t>Переходящие остатки денежных средств (на конец  периода)</t>
  </si>
  <si>
    <t>Задолженност потребителей            (руб.)</t>
  </si>
  <si>
    <t>ПО АДРЕСУ г. Заволжье, ул. Рождественская д.4</t>
  </si>
  <si>
    <t>Обслуживание систем  электроснабжения</t>
  </si>
  <si>
    <t xml:space="preserve">Обслуживание газового оборудования </t>
  </si>
  <si>
    <t>ПО АДРЕСУ г. Заволжье, ул. Рождественская д.5</t>
  </si>
  <si>
    <t>ПО АДРЕСУ г. Заволжье, ул. Рождественская д.6</t>
  </si>
  <si>
    <t>ПО АДРЕСУ г. Заволжье, ул. Рождественская д.7</t>
  </si>
  <si>
    <t>ПО АДРЕСУ г. Заволжье, ул. Рождественская д.8</t>
  </si>
  <si>
    <t>ПО АДРЕСУ г. Заволжье, ул. Рождественская д.10</t>
  </si>
  <si>
    <t>Переходящие остатки денежных средств (на конец периода,в том числе:</t>
  </si>
  <si>
    <t>ПО АДРЕСУ г. Заволжье, ул. Весенняя д.2</t>
  </si>
  <si>
    <t>Руководитель управляющей организации /____________________________________/_Кузьмичев Е.М./</t>
  </si>
  <si>
    <t>(юрид)</t>
  </si>
  <si>
    <t>Sдома = 5845,2м2</t>
  </si>
  <si>
    <t>Справочно ,тарифы :</t>
  </si>
  <si>
    <t>Sдома=2169,80м2</t>
  </si>
  <si>
    <t>январь</t>
  </si>
  <si>
    <t>апрель</t>
  </si>
  <si>
    <t>июль</t>
  </si>
  <si>
    <t>август</t>
  </si>
  <si>
    <t>октябрь</t>
  </si>
  <si>
    <t>март</t>
  </si>
  <si>
    <t>сентябрь</t>
  </si>
  <si>
    <t>ноябрь</t>
  </si>
  <si>
    <t>май</t>
  </si>
  <si>
    <t>декабрь</t>
  </si>
  <si>
    <t>июнь</t>
  </si>
  <si>
    <t>Текущий ремонт и подготовка к сезонной эксплуатации , в том числе:</t>
  </si>
  <si>
    <t>Текущий ремонт и подготовка к сезонной эксплуатации, в том числе:</t>
  </si>
  <si>
    <t>Текущий ремонт и подготовка к сезонной эксплуатации (в том числе) :</t>
  </si>
  <si>
    <t>Текущий ремонт и подготовка  к сезонной эксплуатации (в том числе),</t>
  </si>
  <si>
    <t xml:space="preserve">Переходящие остатки денежных средств (на начало периода) : </t>
  </si>
  <si>
    <t>Текущий ремонт и подготовка к сезонной эксплуатации         (в том числе);</t>
  </si>
  <si>
    <t>Текущий ремонт и подготовка к сезонной эксплуатации,          в том числе:</t>
  </si>
  <si>
    <t>Текущий ремонт и подготовка к сезонной эксплуатации     ( в том числе):</t>
  </si>
  <si>
    <t>Текущий ремонт и подготовка к сезонной эксплуатации       (в том числе) ;</t>
  </si>
  <si>
    <t>Текущий ремонт и подготовка к сезонной эксплуатации  (в том числе),</t>
  </si>
  <si>
    <t>Текущий ремонт и подготовка к сезонной эксплуатации (в том числе);</t>
  </si>
  <si>
    <t>Sдома = 6136,8 м2</t>
  </si>
  <si>
    <t>Sдома=4109,6</t>
  </si>
  <si>
    <t>ООО "Металлоконструкция"</t>
  </si>
  <si>
    <t>ХВ, ГВ</t>
  </si>
  <si>
    <t>Электроэнергии</t>
  </si>
  <si>
    <t>Использование энергоресурсов в целях содержания общего имущества, в том числе:</t>
  </si>
  <si>
    <t>МУП "Тепловодоканал"</t>
  </si>
  <si>
    <t>ПАО "ТНС-Энерго"</t>
  </si>
  <si>
    <t>3,03/3,40</t>
  </si>
  <si>
    <t>0,55/0,42</t>
  </si>
  <si>
    <t>1,14/1,02</t>
  </si>
  <si>
    <t>1,33/1,0</t>
  </si>
  <si>
    <t>4,88/4,0</t>
  </si>
  <si>
    <t>2,45/2,05</t>
  </si>
  <si>
    <t>электроэнергии</t>
  </si>
  <si>
    <t>Руководитель управляющей организации /____________________________________/_Кузьмичев Е.М./___________________</t>
  </si>
  <si>
    <t>Руководитель управляющей организации /______________________/_Кузьмичев Е.М./_______________________</t>
  </si>
  <si>
    <t>Руководитель управляющей организации /______________________________/Кузьмичев Е.М./_________________________</t>
  </si>
  <si>
    <t>Руководитель управляющей организации /______________________/Кузьмичев Е.М.____________________________________</t>
  </si>
  <si>
    <t>Руководитель управляющей организации /______________________________/Кузьмичев Е.М./_____________________</t>
  </si>
  <si>
    <t>Руководитель управляющей организации /____________________________________/Кузьмичев Е.М./______________</t>
  </si>
  <si>
    <t>Руководитель управляющей организации /____________________________________/Кузьмичев Е.М._________________</t>
  </si>
  <si>
    <t>остатки по текущему ремонту:(в т.ч.остатки по К.Р.)</t>
  </si>
  <si>
    <t>ремонт лифта</t>
  </si>
  <si>
    <t>ремонт отмостки</t>
  </si>
  <si>
    <t>ремонт пожарной сигнализации</t>
  </si>
  <si>
    <t>март,декабрь</t>
  </si>
  <si>
    <t>ООО "Прибрежье"</t>
  </si>
  <si>
    <t>июнь,октябрь</t>
  </si>
  <si>
    <t>ремонт лифтов</t>
  </si>
  <si>
    <t>герметизация межпанельных швов</t>
  </si>
  <si>
    <t>окраска газовой трубы</t>
  </si>
  <si>
    <t>Обслуживание мусоропроводов и мест складирования мусора</t>
  </si>
  <si>
    <t xml:space="preserve">1 раз в  год </t>
  </si>
  <si>
    <t xml:space="preserve"> ООО" ВДС-Сервис"</t>
  </si>
  <si>
    <t>УПРАВЛЯЮЩЕЙ ОРГАНИЗАЦИИ ООО «Прибрежье» О ВЫПОЛНЕНИИ</t>
  </si>
  <si>
    <t>ПО АДРЕСУ г. Заволжье, пр. Дзержинского д. 14</t>
  </si>
  <si>
    <t>Дезинсекция и дератизация подвальных помещений</t>
  </si>
  <si>
    <t>ООО "ЦентралСервис"</t>
  </si>
  <si>
    <t>ПО АДРЕСУ г. Заволжье, пр. Дзержинского д. 42</t>
  </si>
  <si>
    <t>смена участка ХВС в подвале</t>
  </si>
  <si>
    <t>ПО АДРЕСУ г. Заволжье, пр. Дзержинского д. 44</t>
  </si>
  <si>
    <t>/Кузьмичев Е.М./</t>
  </si>
  <si>
    <t>Sдома=2555,98м2</t>
  </si>
  <si>
    <t>Sдома=3421,67м2</t>
  </si>
  <si>
    <t xml:space="preserve">"ООО "ВДС-Сервис"; </t>
  </si>
  <si>
    <t xml:space="preserve">ООО "ВДС-Сервис" </t>
  </si>
  <si>
    <t>"ООО "ВДС-Сервис"</t>
  </si>
  <si>
    <t>ЗА 2019 ГОД</t>
  </si>
  <si>
    <t>1 квартал 2020г.</t>
  </si>
  <si>
    <t>31.12.2019г.</t>
  </si>
  <si>
    <t>ИП Харин Ю.И.</t>
  </si>
  <si>
    <t>Изготовление информационных досок</t>
  </si>
  <si>
    <t>Установка урн</t>
  </si>
  <si>
    <t>Ремонт кровли</t>
  </si>
  <si>
    <t>ИП Гусева Т.С.</t>
  </si>
  <si>
    <t>программирование электронных ключей</t>
  </si>
  <si>
    <t>СервисЦентр Цифрал"</t>
  </si>
  <si>
    <t>смена участка отопленияв в кв.1</t>
  </si>
  <si>
    <t>смена конвекторов в кв. 3, 14</t>
  </si>
  <si>
    <t>Смена запорной арматуры отопления</t>
  </si>
  <si>
    <t>Смена выключателя в подвале,смена пакетного выключателя во 2м подъезде</t>
  </si>
  <si>
    <t>герметизация панельных швов в кв.26</t>
  </si>
  <si>
    <t>ООО "Альпстрой"</t>
  </si>
  <si>
    <t>01.01.2019г.</t>
  </si>
  <si>
    <t>с 01.12.2019г.по 31.12.19г.</t>
  </si>
  <si>
    <t>с '01.01.2019г.; по 28.02.19г.</t>
  </si>
  <si>
    <t>смена светильника в  3 под-де ,5этаж.</t>
  </si>
  <si>
    <t>устройство проема в кирпичной стене подвала</t>
  </si>
  <si>
    <t>февраль</t>
  </si>
  <si>
    <t>ИП Тупова А.Г.</t>
  </si>
  <si>
    <t>смена крана в кв.3</t>
  </si>
  <si>
    <t>ремонт электропроводки,смена светильника в  1под-де,1этаж.</t>
  </si>
  <si>
    <t>смена пакетных выключателей у кв.11,12,25</t>
  </si>
  <si>
    <t>март,апрель, октябрь</t>
  </si>
  <si>
    <t>Изготовление технического паспорта</t>
  </si>
  <si>
    <t>Нижтехинвентаризация</t>
  </si>
  <si>
    <t>Ремонт лавочек</t>
  </si>
  <si>
    <t>ремонт кровли</t>
  </si>
  <si>
    <t>смена запорной арматуры отопления</t>
  </si>
  <si>
    <t>смена  участка отопления в кв.29</t>
  </si>
  <si>
    <t>смена муфты на стояке отопления в подвале</t>
  </si>
  <si>
    <t>смена участка отопления в кв.18</t>
  </si>
  <si>
    <t>ремонт кровли (после урагана)</t>
  </si>
  <si>
    <t>смена участка отопления в 4м под-де</t>
  </si>
  <si>
    <t>Техническое обслуживание ВДГО</t>
  </si>
  <si>
    <t>ООО"Антисептикстрой"</t>
  </si>
  <si>
    <t>ООО "ЛифтСервис"</t>
  </si>
  <si>
    <t>смена кран-буксы со смесителем в кухне кв. 7</t>
  </si>
  <si>
    <t>смена светильников</t>
  </si>
  <si>
    <t>январь-декабрь</t>
  </si>
  <si>
    <t>смена участков ГВС,ХВС в кв.10,13,24</t>
  </si>
  <si>
    <t>смена эл/комфорки на кухне кв.27</t>
  </si>
  <si>
    <t>феврвль,июнь,  август</t>
  </si>
  <si>
    <t>ремонт остекления 8эт., установка ручек замков на окна, ремонт полов, ремонт деревянной двери</t>
  </si>
  <si>
    <t>февраль,октябрь,  декабрь</t>
  </si>
  <si>
    <t>смена оконного блока в общей кухне кв.7</t>
  </si>
  <si>
    <t>ООО "Резюме"</t>
  </si>
  <si>
    <t>апрель,август,октябрь</t>
  </si>
  <si>
    <t>ООО "Противопожарсер вис"</t>
  </si>
  <si>
    <t>ремонт  качелей и лавок на детской площадке</t>
  </si>
  <si>
    <t>уст-ка урн на детской площадке</t>
  </si>
  <si>
    <t>установка урн на детской площадке</t>
  </si>
  <si>
    <t>закраска надписей на фасаде дома</t>
  </si>
  <si>
    <t>смена кранов в кв.1,13</t>
  </si>
  <si>
    <t>август,декабрь</t>
  </si>
  <si>
    <t>комплектация пожарных гидрантов</t>
  </si>
  <si>
    <t>январь,октябрь</t>
  </si>
  <si>
    <t>смена крана в кв.105,2,74</t>
  </si>
  <si>
    <t>февраль,июнь,октябрь</t>
  </si>
  <si>
    <t>январь,февраль,октябрь</t>
  </si>
  <si>
    <t>установка урн</t>
  </si>
  <si>
    <t>ремонт штукатурки оконных откосов</t>
  </si>
  <si>
    <t>ремонт кровли 1го подъезда</t>
  </si>
  <si>
    <t>ремонт оконных откосов 2,3 подъездов, ремонт швов кв.12</t>
  </si>
  <si>
    <t>смена светильников на светодиодные</t>
  </si>
  <si>
    <t>смена участков ГВС; ХВС  в кв-х .22,90,3,7,86</t>
  </si>
  <si>
    <t>январь,март,апрель,декабрь</t>
  </si>
  <si>
    <t>июнь,август</t>
  </si>
  <si>
    <t>программирование электр.ключей</t>
  </si>
  <si>
    <t>герметизация швов,утепление фасада</t>
  </si>
  <si>
    <t>смена участка отопления в подвале</t>
  </si>
  <si>
    <t>смена кранов кв.11,12,18,90,48, в 3м подъезде</t>
  </si>
  <si>
    <t>февраль,июнь,октябрь,декабрь</t>
  </si>
  <si>
    <t>смена замка на почтовом ящике</t>
  </si>
  <si>
    <t>монтаж пандуса</t>
  </si>
  <si>
    <t>ремонт 3го подъезда</t>
  </si>
  <si>
    <t>ремонт остекления,установка ручек на окна в 3м под-де, установка поручней,изготовление  оконной створки</t>
  </si>
  <si>
    <t>смена участка ХВС в кв.6-10</t>
  </si>
  <si>
    <t>смена светильниковна светодиодн, тамбур,2кв.,; 2под-д,1эт.; тамбур кв.39</t>
  </si>
  <si>
    <t>февраль, декабрь</t>
  </si>
  <si>
    <t>смена обратки ГВС в подвале</t>
  </si>
  <si>
    <t>герметизация межпанельных швов,утепление фасада</t>
  </si>
  <si>
    <t>июнь,декабрь</t>
  </si>
  <si>
    <t>смена кранов в кв.56</t>
  </si>
  <si>
    <t>смена участка розлива ХВС на техэтаже</t>
  </si>
  <si>
    <t>закраска надписей на фасаде</t>
  </si>
  <si>
    <t>ремонт крыльца 2го подъезда</t>
  </si>
  <si>
    <t>смена задвижек в теплоузле. Смена участков отопления  кв.10,27</t>
  </si>
  <si>
    <t>смена замка на техэтаже</t>
  </si>
  <si>
    <t>ЗА 2020 ГОД</t>
  </si>
  <si>
    <t>смена крана в кв.71</t>
  </si>
  <si>
    <t>герметизация  швов кв.21</t>
  </si>
  <si>
    <t xml:space="preserve">ремонт фасада </t>
  </si>
  <si>
    <t>ремонт крылец</t>
  </si>
  <si>
    <t>смена участков канализации в подвале 1го подъезда</t>
  </si>
  <si>
    <t>монтаж ограждений поручней 3 и 4го подъедов</t>
  </si>
  <si>
    <t>ООО Металлоконструкция"</t>
  </si>
  <si>
    <t>смена пакетного выключателя у кв.43</t>
  </si>
  <si>
    <t>смена кранов в кв.10,67,29</t>
  </si>
  <si>
    <t>январь,февраль,март</t>
  </si>
  <si>
    <t>установка антенны 6й под-д</t>
  </si>
  <si>
    <t>ООО "Электроник"</t>
  </si>
  <si>
    <t>уст-ка дверных ручек и шпингалетов в двери пожарного выхода</t>
  </si>
  <si>
    <t>уст-ка урн</t>
  </si>
  <si>
    <t>уст-ка замка на двери запасного выхода</t>
  </si>
  <si>
    <t>смена  участка канализации в  7м подъезде</t>
  </si>
  <si>
    <t>ремонт  металлических ограждений, окраска поручней ремонт примыканий козырьков</t>
  </si>
  <si>
    <t>установка ограждений газона</t>
  </si>
  <si>
    <t>ремонт розлива ХВС в подвале</t>
  </si>
  <si>
    <t>установка желобов и штукатурка фасада</t>
  </si>
  <si>
    <t>герметизация  межпанельных  швов кв.100</t>
  </si>
  <si>
    <t>смена электросчетчика</t>
  </si>
  <si>
    <t>смена участка ГВС,ХВС,канализации в кв.22</t>
  </si>
  <si>
    <t>установка замка в подвал</t>
  </si>
  <si>
    <t>сеетябрь</t>
  </si>
  <si>
    <t>смена крана в кв.32</t>
  </si>
  <si>
    <t>смена участка ГВС в кв. 21</t>
  </si>
  <si>
    <t>смена задвижки на розливе ГВС</t>
  </si>
  <si>
    <t>смена кранов кв.16,42,11, во 2м подъезде</t>
  </si>
  <si>
    <t>январь,февраль,апрель,декабрь</t>
  </si>
  <si>
    <t>смена загрузочных клапанов мусоропровода 1й под-д</t>
  </si>
  <si>
    <t xml:space="preserve">смена светильников кв.45-46 тамбур,1,2 под-ды, улица; 2-й подъезд улица </t>
  </si>
  <si>
    <t>апрель,декабрь</t>
  </si>
  <si>
    <t>утепление фасада</t>
  </si>
  <si>
    <t>Монтаж ограждения  пандуса</t>
  </si>
  <si>
    <t>ООО "Металлоконструкция</t>
  </si>
  <si>
    <t>смена участка ГВС,ХВС в кв.2</t>
  </si>
  <si>
    <t>уст-ка замка в подвал</t>
  </si>
  <si>
    <t>рмонт крыльца 1го под-да</t>
  </si>
  <si>
    <t>ремонт покрытия лоджий кв.77,78</t>
  </si>
  <si>
    <t>монтаж ограждения подъезда № 1</t>
  </si>
  <si>
    <t>герметизация межпанельных  швов 2го под-да, кв.3, утепление кв.64</t>
  </si>
  <si>
    <t>смена уч-ка отопления в кв.4</t>
  </si>
  <si>
    <t>смена крана в кв.29</t>
  </si>
  <si>
    <t>см. светильников 3-4 тамбур,4под-д,2й эт.,установка крышек на распаечные коробки</t>
  </si>
  <si>
    <t>смена участка канализации в подвале</t>
  </si>
  <si>
    <t>герметизация межпанельных швов и утепление фасада</t>
  </si>
  <si>
    <t>август,октябрь,декабрь</t>
  </si>
  <si>
    <t xml:space="preserve">ремонт отмостки </t>
  </si>
  <si>
    <t>ремонт 3-го подъезда</t>
  </si>
  <si>
    <t>ремонт 4-го подъезда</t>
  </si>
  <si>
    <t>изготовление и монтаж ограждений крыльца 2го под-да</t>
  </si>
  <si>
    <t>установка ручек на окна,ремонт тамбурной дери,пропениваеие дверей на кровлю</t>
  </si>
  <si>
    <t>смена светодиодных светильников в тамбуре 12-13кв,53-54кв.61-62кв; 1 подъезд у 13кв.; тамбур 77-78кв,41-42кв. ; 2подъезд (3эт); 3подъезд (1эт); 3подъезд (5эт)</t>
  </si>
  <si>
    <t>февраль,март,июль,октябрь,декабрь</t>
  </si>
  <si>
    <t>смена розлива ХВС в подвале</t>
  </si>
  <si>
    <t>смена запорной арматуры в подвале</t>
  </si>
  <si>
    <t>ремонт розлива ГВС в подвале</t>
  </si>
  <si>
    <t>ремонт лифта 1подъезда, смена электродвигателя</t>
  </si>
  <si>
    <t>смена кранов кв. № 54,51,5,55</t>
  </si>
  <si>
    <t>февраль,июнь,август</t>
  </si>
  <si>
    <t>смена участка канализации в кв.46,68</t>
  </si>
  <si>
    <t>март,апрель</t>
  </si>
  <si>
    <t>ремонт фасадов входных групп</t>
  </si>
  <si>
    <t xml:space="preserve">установка урн </t>
  </si>
  <si>
    <t>установка замков на двери мусорокамер</t>
  </si>
  <si>
    <t>смена запорной арматуры на стояке отопления в подвале 2го под-да</t>
  </si>
  <si>
    <t>герметизация  межпанельных швов кв.50,56,67</t>
  </si>
  <si>
    <t>смена вводного автомата у кв.81</t>
  </si>
  <si>
    <t>смена светильника у кв.90,плафона 2под-д,улица</t>
  </si>
  <si>
    <t>Sдома=2302,6 м2</t>
  </si>
  <si>
    <t>Sдома=6096,5м2</t>
  </si>
  <si>
    <t>Sдома = 4109,6 м2</t>
  </si>
  <si>
    <t>Sдома = 4937,833 м2</t>
  </si>
  <si>
    <t>Sдома = 2169,8 м2</t>
  </si>
  <si>
    <t>Sдома = 4263,3 м2</t>
  </si>
  <si>
    <t>Sдома = 4192,5 м2</t>
  </si>
  <si>
    <t>Sдома = 4851м2</t>
  </si>
  <si>
    <t>Sдома=3092,5м2</t>
  </si>
  <si>
    <t>установка информационной  доски</t>
  </si>
  <si>
    <t>Дератизация и дезинсекция</t>
  </si>
  <si>
    <t>ООО "ЦентрСервис"</t>
  </si>
  <si>
    <t xml:space="preserve">ООО "ВДС-Сервис"; </t>
  </si>
  <si>
    <t>(соглаш)</t>
  </si>
  <si>
    <t>Обращение с ТКО</t>
  </si>
  <si>
    <t>Переходящие остатки денежных средств (на начало периода), втом числе:</t>
  </si>
  <si>
    <t>обращение с ТКО</t>
  </si>
  <si>
    <t>'ООО "ВДС-Сервис"</t>
  </si>
  <si>
    <t xml:space="preserve"> ООО "ЦентрСервис"</t>
  </si>
  <si>
    <t>(дератизация поакту)</t>
  </si>
  <si>
    <t>4раза в год</t>
  </si>
  <si>
    <t>ремонт узла учета тепловой энергии с заменой расходомера</t>
  </si>
  <si>
    <t>ООО "Рассвет"</t>
  </si>
  <si>
    <t>1 раз в неделю</t>
  </si>
  <si>
    <t>проверить</t>
  </si>
  <si>
    <t xml:space="preserve"> (1 раз в год)</t>
  </si>
  <si>
    <t>ремонт тамбура 1го подъезда</t>
  </si>
  <si>
    <t>задолженность потребителей (на начало периода)</t>
  </si>
  <si>
    <t>задолженность потребителей (на конец периода)</t>
  </si>
  <si>
    <t>Руководитель управляющей организации /____________________________________/Кузьмичев Е.М.__________________________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</si>
</sst>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;\-#,##0.00"/>
    <numFmt numFmtId="166" formatCode="#,###.00"/>
    <numFmt numFmtId="167" formatCode="0.0"/>
    <numFmt numFmtId="168" formatCode="0.0000"/>
    <numFmt numFmtId="169" formatCode="0.000"/>
    <numFmt numFmtId="170" formatCode="#,##0.0"/>
    <numFmt numFmtId="171" formatCode="#,###.0"/>
    <numFmt numFmtId="172" formatCode="#,###"/>
    <numFmt numFmtId="173" formatCode="#,###.000"/>
    <numFmt numFmtId="174" formatCode="#,##0.000"/>
    <numFmt numFmtId="175" formatCode="#,##0.0_ ;\-#,##0.0\ 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#,##0_ ;\-#,##0\ "/>
    <numFmt numFmtId="184" formatCode="#,##0.0;\-#,##0.0"/>
    <numFmt numFmtId="185" formatCode="#,##0;\-#,##0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horizontal="center" vertical="center" wrapText="1"/>
    </xf>
    <xf numFmtId="165" fontId="3" fillId="33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165" fontId="3" fillId="33" borderId="23" xfId="0" applyNumberFormat="1" applyFont="1" applyFill="1" applyBorder="1" applyAlignment="1">
      <alignment horizontal="center" vertical="center" wrapText="1"/>
    </xf>
    <xf numFmtId="165" fontId="3" fillId="33" borderId="24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wrapText="1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Fill="1" applyAlignment="1">
      <alignment/>
    </xf>
    <xf numFmtId="2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165" fontId="49" fillId="0" borderId="0" xfId="0" applyNumberFormat="1" applyFont="1" applyFill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164" fontId="49" fillId="0" borderId="0" xfId="0" applyNumberFormat="1" applyFont="1" applyFill="1" applyAlignment="1">
      <alignment/>
    </xf>
    <xf numFmtId="166" fontId="4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165" fontId="4" fillId="33" borderId="13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165" fontId="4" fillId="33" borderId="23" xfId="0" applyNumberFormat="1" applyFont="1" applyFill="1" applyBorder="1" applyAlignment="1">
      <alignment horizontal="center" vertical="center" wrapText="1"/>
    </xf>
    <xf numFmtId="165" fontId="4" fillId="33" borderId="24" xfId="0" applyNumberFormat="1" applyFont="1" applyFill="1" applyBorder="1" applyAlignment="1">
      <alignment horizontal="center" vertical="center" wrapText="1"/>
    </xf>
    <xf numFmtId="165" fontId="4" fillId="33" borderId="20" xfId="0" applyNumberFormat="1" applyFont="1" applyFill="1" applyBorder="1" applyAlignment="1">
      <alignment horizontal="center" vertical="center" wrapText="1"/>
    </xf>
    <xf numFmtId="165" fontId="4" fillId="33" borderId="25" xfId="0" applyNumberFormat="1" applyFont="1" applyFill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  <xf numFmtId="165" fontId="4" fillId="33" borderId="26" xfId="0" applyNumberFormat="1" applyFont="1" applyFill="1" applyBorder="1" applyAlignment="1">
      <alignment horizontal="center" vertical="center" wrapText="1"/>
    </xf>
    <xf numFmtId="0" fontId="49" fillId="0" borderId="0" xfId="0" applyFont="1" applyAlignment="1" quotePrefix="1">
      <alignment horizontal="left"/>
    </xf>
    <xf numFmtId="166" fontId="4" fillId="33" borderId="27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28" xfId="0" applyFont="1" applyFill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0" fillId="0" borderId="0" xfId="0" applyAlignment="1">
      <alignment/>
    </xf>
    <xf numFmtId="0" fontId="50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vertical="top"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 horizontal="right"/>
    </xf>
    <xf numFmtId="0" fontId="4" fillId="0" borderId="30" xfId="0" applyFont="1" applyBorder="1" applyAlignment="1">
      <alignment vertical="top"/>
    </xf>
    <xf numFmtId="0" fontId="0" fillId="0" borderId="0" xfId="0" applyAlignment="1">
      <alignment vertical="center"/>
    </xf>
    <xf numFmtId="4" fontId="4" fillId="33" borderId="31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 wrapText="1"/>
    </xf>
    <xf numFmtId="0" fontId="4" fillId="0" borderId="18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2" fontId="4" fillId="0" borderId="35" xfId="0" applyNumberFormat="1" applyFont="1" applyBorder="1" applyAlignment="1">
      <alignment/>
    </xf>
    <xf numFmtId="0" fontId="4" fillId="0" borderId="36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 horizontal="left" wrapText="1"/>
    </xf>
    <xf numFmtId="2" fontId="4" fillId="0" borderId="37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wrapText="1"/>
    </xf>
    <xf numFmtId="0" fontId="4" fillId="0" borderId="39" xfId="0" applyFont="1" applyFill="1" applyBorder="1" applyAlignment="1" quotePrefix="1">
      <alignment horizontal="left" vertical="top" wrapText="1"/>
    </xf>
    <xf numFmtId="4" fontId="4" fillId="0" borderId="40" xfId="0" applyNumberFormat="1" applyFont="1" applyFill="1" applyBorder="1" applyAlignment="1">
      <alignment vertical="top" wrapText="1"/>
    </xf>
    <xf numFmtId="0" fontId="4" fillId="0" borderId="39" xfId="0" applyFont="1" applyFill="1" applyBorder="1" applyAlignment="1" quotePrefix="1">
      <alignment horizontal="left" vertical="center" wrapText="1"/>
    </xf>
    <xf numFmtId="4" fontId="4" fillId="0" borderId="40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40" xfId="0" applyNumberFormat="1" applyFont="1" applyFill="1" applyBorder="1" applyAlignment="1" quotePrefix="1">
      <alignment horizontal="left" vertical="top" wrapText="1"/>
    </xf>
    <xf numFmtId="4" fontId="4" fillId="0" borderId="32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41" xfId="0" applyFont="1" applyFill="1" applyBorder="1" applyAlignment="1">
      <alignment horizontal="left"/>
    </xf>
    <xf numFmtId="0" fontId="4" fillId="0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5" fontId="6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165" fontId="6" fillId="33" borderId="44" xfId="0" applyNumberFormat="1" applyFont="1" applyFill="1" applyBorder="1" applyAlignment="1">
      <alignment horizontal="right"/>
    </xf>
    <xf numFmtId="0" fontId="4" fillId="33" borderId="45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wrapText="1"/>
    </xf>
    <xf numFmtId="2" fontId="8" fillId="33" borderId="10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wrapText="1"/>
    </xf>
    <xf numFmtId="2" fontId="4" fillId="0" borderId="35" xfId="0" applyNumberFormat="1" applyFont="1" applyBorder="1" applyAlignment="1">
      <alignment wrapText="1"/>
    </xf>
    <xf numFmtId="0" fontId="4" fillId="0" borderId="36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2" fontId="4" fillId="0" borderId="37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horizontal="left" wrapText="1"/>
    </xf>
    <xf numFmtId="4" fontId="4" fillId="0" borderId="38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27" xfId="0" applyFont="1" applyFill="1" applyBorder="1" applyAlignment="1">
      <alignment wrapText="1"/>
    </xf>
    <xf numFmtId="0" fontId="4" fillId="0" borderId="46" xfId="0" applyFont="1" applyBorder="1" applyAlignment="1">
      <alignment vertical="center" wrapText="1"/>
    </xf>
    <xf numFmtId="2" fontId="4" fillId="0" borderId="15" xfId="0" applyNumberFormat="1" applyFont="1" applyFill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41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33" borderId="47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wrapText="1"/>
    </xf>
    <xf numFmtId="4" fontId="4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 horizontal="left" wrapText="1"/>
    </xf>
    <xf numFmtId="4" fontId="4" fillId="33" borderId="27" xfId="0" applyNumberFormat="1" applyFont="1" applyFill="1" applyBorder="1" applyAlignment="1">
      <alignment horizontal="right" wrapText="1"/>
    </xf>
    <xf numFmtId="166" fontId="4" fillId="33" borderId="27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4" fontId="4" fillId="0" borderId="10" xfId="0" applyNumberFormat="1" applyFont="1" applyFill="1" applyBorder="1" applyAlignment="1">
      <alignment vertical="top" wrapText="1"/>
    </xf>
    <xf numFmtId="164" fontId="4" fillId="0" borderId="16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/>
    </xf>
    <xf numFmtId="165" fontId="6" fillId="33" borderId="50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166" fontId="4" fillId="33" borderId="15" xfId="0" applyNumberFormat="1" applyFont="1" applyFill="1" applyBorder="1" applyAlignment="1">
      <alignment/>
    </xf>
    <xf numFmtId="165" fontId="6" fillId="33" borderId="52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 horizontal="left"/>
    </xf>
    <xf numFmtId="0" fontId="4" fillId="33" borderId="54" xfId="0" applyFont="1" applyFill="1" applyBorder="1" applyAlignment="1">
      <alignment/>
    </xf>
    <xf numFmtId="2" fontId="6" fillId="33" borderId="55" xfId="0" applyNumberFormat="1" applyFont="1" applyFill="1" applyBorder="1" applyAlignment="1">
      <alignment horizontal="center"/>
    </xf>
    <xf numFmtId="165" fontId="6" fillId="33" borderId="56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center"/>
    </xf>
    <xf numFmtId="165" fontId="6" fillId="33" borderId="16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165" fontId="6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left" vertical="top"/>
    </xf>
    <xf numFmtId="0" fontId="4" fillId="0" borderId="10" xfId="0" applyFont="1" applyFill="1" applyBorder="1" applyAlignment="1" quotePrefix="1">
      <alignment horizontal="left"/>
    </xf>
    <xf numFmtId="4" fontId="4" fillId="0" borderId="10" xfId="0" applyNumberFormat="1" applyFont="1" applyFill="1" applyBorder="1" applyAlignment="1" quotePrefix="1">
      <alignment horizontal="left" wrapText="1"/>
    </xf>
    <xf numFmtId="0" fontId="4" fillId="0" borderId="10" xfId="0" applyFont="1" applyFill="1" applyBorder="1" applyAlignment="1" quotePrefix="1">
      <alignment horizontal="left" vertical="center"/>
    </xf>
    <xf numFmtId="4" fontId="4" fillId="0" borderId="10" xfId="0" applyNumberFormat="1" applyFont="1" applyFill="1" applyBorder="1" applyAlignment="1" quotePrefix="1">
      <alignment horizontal="left" vertical="top" wrapText="1"/>
    </xf>
    <xf numFmtId="164" fontId="4" fillId="0" borderId="10" xfId="0" applyNumberFormat="1" applyFont="1" applyFill="1" applyBorder="1" applyAlignment="1">
      <alignment/>
    </xf>
    <xf numFmtId="164" fontId="4" fillId="0" borderId="4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horizontal="left" vertical="top" wrapText="1"/>
    </xf>
    <xf numFmtId="164" fontId="3" fillId="0" borderId="10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" fillId="0" borderId="57" xfId="0" applyFont="1" applyFill="1" applyBorder="1" applyAlignment="1">
      <alignment horizontal="left"/>
    </xf>
    <xf numFmtId="4" fontId="4" fillId="0" borderId="58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left" wrapText="1"/>
    </xf>
    <xf numFmtId="0" fontId="4" fillId="0" borderId="59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4" fontId="3" fillId="33" borderId="31" xfId="0" applyNumberFormat="1" applyFont="1" applyFill="1" applyBorder="1" applyAlignment="1">
      <alignment horizontal="right"/>
    </xf>
    <xf numFmtId="166" fontId="3" fillId="33" borderId="31" xfId="0" applyNumberFormat="1" applyFont="1" applyFill="1" applyBorder="1" applyAlignment="1">
      <alignment horizontal="right"/>
    </xf>
    <xf numFmtId="2" fontId="50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 quotePrefix="1">
      <alignment horizontal="center"/>
    </xf>
    <xf numFmtId="2" fontId="50" fillId="0" borderId="0" xfId="0" applyNumberFormat="1" applyFont="1" applyBorder="1" applyAlignment="1" quotePrefix="1">
      <alignment horizontal="center" vertical="center"/>
    </xf>
    <xf numFmtId="2" fontId="4" fillId="0" borderId="33" xfId="0" applyNumberFormat="1" applyFont="1" applyBorder="1" applyAlignment="1">
      <alignment/>
    </xf>
    <xf numFmtId="0" fontId="4" fillId="0" borderId="27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/>
    </xf>
    <xf numFmtId="2" fontId="4" fillId="0" borderId="37" xfId="0" applyNumberFormat="1" applyFont="1" applyBorder="1" applyAlignment="1" quotePrefix="1">
      <alignment horizontal="right" wrapText="1"/>
    </xf>
    <xf numFmtId="0" fontId="4" fillId="0" borderId="36" xfId="0" applyFont="1" applyFill="1" applyBorder="1" applyAlignment="1" quotePrefix="1">
      <alignment horizontal="left" wrapText="1"/>
    </xf>
    <xf numFmtId="0" fontId="4" fillId="0" borderId="60" xfId="0" applyFont="1" applyFill="1" applyBorder="1" applyAlignment="1" quotePrefix="1">
      <alignment horizontal="left" wrapText="1"/>
    </xf>
    <xf numFmtId="0" fontId="4" fillId="0" borderId="41" xfId="0" applyFont="1" applyFill="1" applyBorder="1" applyAlignment="1" quotePrefix="1">
      <alignment horizontal="left" wrapText="1"/>
    </xf>
    <xf numFmtId="2" fontId="4" fillId="0" borderId="61" xfId="0" applyNumberFormat="1" applyFont="1" applyBorder="1" applyAlignment="1">
      <alignment wrapText="1"/>
    </xf>
    <xf numFmtId="2" fontId="4" fillId="0" borderId="33" xfId="0" applyNumberFormat="1" applyFont="1" applyBorder="1" applyAlignment="1">
      <alignment wrapText="1"/>
    </xf>
    <xf numFmtId="4" fontId="4" fillId="0" borderId="41" xfId="0" applyNumberFormat="1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/>
    </xf>
    <xf numFmtId="4" fontId="4" fillId="0" borderId="63" xfId="0" applyNumberFormat="1" applyFont="1" applyFill="1" applyBorder="1" applyAlignment="1">
      <alignment/>
    </xf>
    <xf numFmtId="2" fontId="4" fillId="0" borderId="64" xfId="0" applyNumberFormat="1" applyFont="1" applyBorder="1" applyAlignment="1">
      <alignment/>
    </xf>
    <xf numFmtId="0" fontId="4" fillId="0" borderId="36" xfId="0" applyFont="1" applyFill="1" applyBorder="1" applyAlignment="1" quotePrefix="1">
      <alignment horizontal="left"/>
    </xf>
    <xf numFmtId="0" fontId="4" fillId="0" borderId="37" xfId="0" applyFont="1" applyBorder="1" applyAlignment="1">
      <alignment/>
    </xf>
    <xf numFmtId="0" fontId="4" fillId="0" borderId="36" xfId="0" applyFont="1" applyFill="1" applyBorder="1" applyAlignment="1" quotePrefix="1">
      <alignment horizontal="left" vertical="top" wrapText="1"/>
    </xf>
    <xf numFmtId="0" fontId="4" fillId="0" borderId="60" xfId="0" applyFont="1" applyFill="1" applyBorder="1" applyAlignment="1" quotePrefix="1">
      <alignment horizontal="left" vertical="top"/>
    </xf>
    <xf numFmtId="4" fontId="4" fillId="0" borderId="41" xfId="0" applyNumberFormat="1" applyFont="1" applyFill="1" applyBorder="1" applyAlignment="1" quotePrefix="1">
      <alignment horizontal="left" vertical="top" wrapText="1"/>
    </xf>
    <xf numFmtId="0" fontId="4" fillId="0" borderId="61" xfId="0" applyFont="1" applyBorder="1" applyAlignment="1">
      <alignment vertical="top"/>
    </xf>
    <xf numFmtId="0" fontId="4" fillId="0" borderId="60" xfId="0" applyFont="1" applyFill="1" applyBorder="1" applyAlignment="1" quotePrefix="1">
      <alignment horizontal="left" vertical="top" wrapText="1"/>
    </xf>
    <xf numFmtId="4" fontId="4" fillId="0" borderId="41" xfId="0" applyNumberFormat="1" applyFont="1" applyFill="1" applyBorder="1" applyAlignment="1">
      <alignment vertical="top" wrapText="1"/>
    </xf>
    <xf numFmtId="4" fontId="4" fillId="0" borderId="38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65" xfId="0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5" fontId="3" fillId="33" borderId="44" xfId="0" applyNumberFormat="1" applyFont="1" applyFill="1" applyBorder="1" applyAlignment="1">
      <alignment horizontal="right"/>
    </xf>
    <xf numFmtId="166" fontId="3" fillId="33" borderId="11" xfId="0" applyNumberFormat="1" applyFont="1" applyFill="1" applyBorder="1" applyAlignment="1">
      <alignment horizontal="center"/>
    </xf>
    <xf numFmtId="165" fontId="3" fillId="33" borderId="52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4" fontId="4" fillId="0" borderId="10" xfId="0" applyNumberFormat="1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/>
    </xf>
    <xf numFmtId="0" fontId="3" fillId="0" borderId="4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3" borderId="17" xfId="0" applyFont="1" applyFill="1" applyBorder="1" applyAlignment="1">
      <alignment horizontal="left" wrapText="1"/>
    </xf>
    <xf numFmtId="0" fontId="3" fillId="0" borderId="0" xfId="0" applyFont="1" applyAlignment="1" quotePrefix="1">
      <alignment horizontal="left"/>
    </xf>
    <xf numFmtId="170" fontId="3" fillId="33" borderId="15" xfId="0" applyNumberFormat="1" applyFont="1" applyFill="1" applyBorder="1" applyAlignment="1">
      <alignment/>
    </xf>
    <xf numFmtId="165" fontId="3" fillId="33" borderId="14" xfId="0" applyNumberFormat="1" applyFont="1" applyFill="1" applyBorder="1" applyAlignment="1" quotePrefix="1">
      <alignment horizontal="center" vertical="center" wrapText="1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67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 quotePrefix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left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/>
    </xf>
    <xf numFmtId="0" fontId="4" fillId="33" borderId="66" xfId="0" applyFont="1" applyFill="1" applyBorder="1" applyAlignment="1">
      <alignment horizontal="left"/>
    </xf>
    <xf numFmtId="0" fontId="4" fillId="33" borderId="67" xfId="0" applyFont="1" applyFill="1" applyBorder="1" applyAlignment="1">
      <alignment horizontal="left"/>
    </xf>
    <xf numFmtId="0" fontId="4" fillId="33" borderId="68" xfId="0" applyFont="1" applyFill="1" applyBorder="1" applyAlignment="1">
      <alignment horizontal="left"/>
    </xf>
    <xf numFmtId="0" fontId="4" fillId="33" borderId="69" xfId="0" applyFont="1" applyFill="1" applyBorder="1" applyAlignment="1">
      <alignment horizontal="left"/>
    </xf>
    <xf numFmtId="0" fontId="4" fillId="33" borderId="70" xfId="0" applyFont="1" applyFill="1" applyBorder="1" applyAlignment="1">
      <alignment horizontal="left"/>
    </xf>
    <xf numFmtId="0" fontId="4" fillId="33" borderId="71" xfId="0" applyFont="1" applyFill="1" applyBorder="1" applyAlignment="1">
      <alignment horizontal="left"/>
    </xf>
    <xf numFmtId="0" fontId="4" fillId="33" borderId="72" xfId="0" applyFont="1" applyFill="1" applyBorder="1" applyAlignment="1">
      <alignment horizontal="left"/>
    </xf>
    <xf numFmtId="4" fontId="4" fillId="33" borderId="73" xfId="0" applyNumberFormat="1" applyFont="1" applyFill="1" applyBorder="1" applyAlignment="1">
      <alignment horizontal="right"/>
    </xf>
    <xf numFmtId="0" fontId="4" fillId="33" borderId="70" xfId="0" applyFont="1" applyFill="1" applyBorder="1" applyAlignment="1">
      <alignment horizontal="left" wrapText="1"/>
    </xf>
    <xf numFmtId="167" fontId="4" fillId="0" borderId="11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/>
    </xf>
    <xf numFmtId="175" fontId="4" fillId="0" borderId="16" xfId="0" applyNumberFormat="1" applyFont="1" applyBorder="1" applyAlignment="1">
      <alignment horizontal="right" vertical="center" wrapText="1"/>
    </xf>
    <xf numFmtId="165" fontId="4" fillId="33" borderId="14" xfId="0" applyNumberFormat="1" applyFont="1" applyFill="1" applyBorder="1" applyAlignment="1" quotePrefix="1">
      <alignment horizontal="center" vertical="center" wrapText="1"/>
    </xf>
    <xf numFmtId="171" fontId="4" fillId="33" borderId="7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1" xfId="0" applyFont="1" applyFill="1" applyBorder="1" applyAlignment="1">
      <alignment vertical="top" wrapText="1"/>
    </xf>
    <xf numFmtId="0" fontId="4" fillId="0" borderId="27" xfId="0" applyFont="1" applyFill="1" applyBorder="1" applyAlignment="1" quotePrefix="1">
      <alignment horizontal="left" vertical="top" wrapText="1"/>
    </xf>
    <xf numFmtId="0" fontId="4" fillId="0" borderId="27" xfId="0" applyFont="1" applyFill="1" applyBorder="1" applyAlignment="1">
      <alignment vertical="top" wrapText="1"/>
    </xf>
    <xf numFmtId="0" fontId="51" fillId="0" borderId="30" xfId="0" applyFont="1" applyBorder="1" applyAlignment="1">
      <alignment vertical="top" wrapText="1"/>
    </xf>
    <xf numFmtId="0" fontId="51" fillId="0" borderId="37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4" fillId="0" borderId="11" xfId="0" applyFont="1" applyBorder="1" applyAlignment="1">
      <alignment horizontal="right" vertical="top"/>
    </xf>
    <xf numFmtId="4" fontId="4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65" xfId="0" applyFont="1" applyFill="1" applyBorder="1" applyAlignment="1" quotePrefix="1">
      <alignment horizontal="left" vertical="center" wrapText="1"/>
    </xf>
    <xf numFmtId="2" fontId="51" fillId="0" borderId="11" xfId="0" applyNumberFormat="1" applyFont="1" applyBorder="1" applyAlignment="1">
      <alignment vertical="top"/>
    </xf>
    <xf numFmtId="0" fontId="51" fillId="0" borderId="11" xfId="0" applyFont="1" applyBorder="1" applyAlignment="1">
      <alignment vertical="top"/>
    </xf>
    <xf numFmtId="2" fontId="52" fillId="0" borderId="11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51" fillId="0" borderId="30" xfId="0" applyFont="1" applyBorder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63" xfId="0" applyFont="1" applyFill="1" applyBorder="1" applyAlignment="1" quotePrefix="1">
      <alignment horizontal="left" wrapText="1"/>
    </xf>
    <xf numFmtId="0" fontId="4" fillId="0" borderId="15" xfId="0" applyFont="1" applyFill="1" applyBorder="1" applyAlignment="1" quotePrefix="1">
      <alignment horizontal="left" wrapText="1"/>
    </xf>
    <xf numFmtId="0" fontId="4" fillId="33" borderId="74" xfId="0" applyFont="1" applyFill="1" applyBorder="1" applyAlignment="1">
      <alignment wrapText="1"/>
    </xf>
    <xf numFmtId="165" fontId="4" fillId="33" borderId="75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165" fontId="4" fillId="33" borderId="26" xfId="0" applyNumberFormat="1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76" xfId="0" applyFont="1" applyFill="1" applyBorder="1" applyAlignment="1">
      <alignment horizontal="center" vertical="center"/>
    </xf>
    <xf numFmtId="165" fontId="4" fillId="33" borderId="77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 quotePrefix="1">
      <alignment horizontal="right"/>
    </xf>
    <xf numFmtId="0" fontId="4" fillId="33" borderId="48" xfId="0" applyFont="1" applyFill="1" applyBorder="1" applyAlignment="1">
      <alignment wrapText="1"/>
    </xf>
    <xf numFmtId="0" fontId="4" fillId="33" borderId="76" xfId="0" applyFont="1" applyFill="1" applyBorder="1" applyAlignment="1">
      <alignment horizontal="left" vertical="center"/>
    </xf>
    <xf numFmtId="0" fontId="4" fillId="33" borderId="76" xfId="0" applyFont="1" applyFill="1" applyBorder="1" applyAlignment="1">
      <alignment wrapText="1"/>
    </xf>
    <xf numFmtId="165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5" fontId="3" fillId="33" borderId="26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66" fontId="3" fillId="33" borderId="15" xfId="0" applyNumberFormat="1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76" xfId="0" applyFont="1" applyFill="1" applyBorder="1" applyAlignment="1">
      <alignment horizontal="left" vertical="center"/>
    </xf>
    <xf numFmtId="4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78" xfId="0" applyFont="1" applyFill="1" applyBorder="1" applyAlignment="1">
      <alignment wrapText="1"/>
    </xf>
    <xf numFmtId="0" fontId="4" fillId="0" borderId="79" xfId="0" applyFont="1" applyBorder="1" applyAlignment="1">
      <alignment wrapText="1"/>
    </xf>
    <xf numFmtId="0" fontId="4" fillId="0" borderId="80" xfId="0" applyFont="1" applyBorder="1" applyAlignment="1">
      <alignment wrapText="1"/>
    </xf>
    <xf numFmtId="0" fontId="4" fillId="0" borderId="81" xfId="0" applyFont="1" applyFill="1" applyBorder="1" applyAlignment="1">
      <alignment/>
    </xf>
    <xf numFmtId="0" fontId="4" fillId="0" borderId="82" xfId="0" applyFont="1" applyBorder="1" applyAlignment="1">
      <alignment/>
    </xf>
    <xf numFmtId="2" fontId="4" fillId="0" borderId="82" xfId="0" applyNumberFormat="1" applyFont="1" applyBorder="1" applyAlignment="1">
      <alignment/>
    </xf>
    <xf numFmtId="2" fontId="4" fillId="0" borderId="73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4" fontId="3" fillId="0" borderId="85" xfId="0" applyNumberFormat="1" applyFont="1" applyFill="1" applyBorder="1" applyAlignment="1">
      <alignment/>
    </xf>
    <xf numFmtId="4" fontId="4" fillId="0" borderId="86" xfId="0" applyNumberFormat="1" applyFont="1" applyFill="1" applyBorder="1" applyAlignment="1">
      <alignment wrapText="1"/>
    </xf>
    <xf numFmtId="0" fontId="4" fillId="0" borderId="86" xfId="0" applyFont="1" applyFill="1" applyBorder="1" applyAlignment="1">
      <alignment wrapText="1"/>
    </xf>
    <xf numFmtId="0" fontId="4" fillId="0" borderId="87" xfId="0" applyFont="1" applyBorder="1" applyAlignment="1">
      <alignment wrapText="1"/>
    </xf>
    <xf numFmtId="4" fontId="4" fillId="0" borderId="65" xfId="0" applyNumberFormat="1" applyFont="1" applyFill="1" applyBorder="1" applyAlignment="1">
      <alignment wrapText="1"/>
    </xf>
    <xf numFmtId="0" fontId="4" fillId="0" borderId="65" xfId="0" applyFont="1" applyFill="1" applyBorder="1" applyAlignment="1">
      <alignment wrapText="1"/>
    </xf>
    <xf numFmtId="0" fontId="4" fillId="0" borderId="88" xfId="0" applyFont="1" applyBorder="1" applyAlignment="1">
      <alignment wrapText="1"/>
    </xf>
    <xf numFmtId="2" fontId="3" fillId="0" borderId="85" xfId="0" applyNumberFormat="1" applyFont="1" applyFill="1" applyBorder="1" applyAlignment="1">
      <alignment/>
    </xf>
    <xf numFmtId="4" fontId="3" fillId="0" borderId="56" xfId="0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4" fontId="3" fillId="0" borderId="42" xfId="0" applyNumberFormat="1" applyFont="1" applyBorder="1" applyAlignment="1">
      <alignment/>
    </xf>
    <xf numFmtId="0" fontId="4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2" fontId="3" fillId="33" borderId="10" xfId="0" applyNumberFormat="1" applyFont="1" applyFill="1" applyBorder="1" applyAlignment="1" quotePrefix="1">
      <alignment horizontal="center"/>
    </xf>
    <xf numFmtId="1" fontId="4" fillId="0" borderId="42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0" fontId="49" fillId="34" borderId="0" xfId="0" applyFont="1" applyFill="1" applyAlignment="1">
      <alignment/>
    </xf>
    <xf numFmtId="4" fontId="49" fillId="34" borderId="0" xfId="0" applyNumberFormat="1" applyFont="1" applyFill="1" applyAlignment="1">
      <alignment horizontal="right"/>
    </xf>
    <xf numFmtId="2" fontId="53" fillId="34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49" fillId="34" borderId="0" xfId="0" applyNumberFormat="1" applyFont="1" applyFill="1" applyAlignment="1">
      <alignment/>
    </xf>
    <xf numFmtId="2" fontId="49" fillId="0" borderId="0" xfId="0" applyNumberFormat="1" applyFont="1" applyAlignment="1">
      <alignment horizontal="right"/>
    </xf>
    <xf numFmtId="3" fontId="4" fillId="33" borderId="27" xfId="0" applyNumberFormat="1" applyFont="1" applyFill="1" applyBorder="1" applyAlignment="1">
      <alignment horizontal="right" wrapText="1"/>
    </xf>
    <xf numFmtId="172" fontId="4" fillId="33" borderId="27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 horizontal="center" wrapText="1"/>
    </xf>
    <xf numFmtId="165" fontId="4" fillId="33" borderId="89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center" wrapText="1"/>
    </xf>
    <xf numFmtId="165" fontId="4" fillId="33" borderId="4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165" fontId="4" fillId="33" borderId="35" xfId="0" applyNumberFormat="1" applyFont="1" applyFill="1" applyBorder="1" applyAlignment="1">
      <alignment horizontal="right" wrapText="1"/>
    </xf>
    <xf numFmtId="2" fontId="53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165" fontId="4" fillId="33" borderId="10" xfId="0" applyNumberFormat="1" applyFont="1" applyFill="1" applyBorder="1" applyAlignment="1">
      <alignment horizontal="center"/>
    </xf>
    <xf numFmtId="165" fontId="4" fillId="33" borderId="44" xfId="0" applyNumberFormat="1" applyFont="1" applyFill="1" applyBorder="1" applyAlignment="1">
      <alignment horizontal="right"/>
    </xf>
    <xf numFmtId="166" fontId="4" fillId="33" borderId="11" xfId="0" applyNumberFormat="1" applyFont="1" applyFill="1" applyBorder="1" applyAlignment="1">
      <alignment horizontal="center"/>
    </xf>
    <xf numFmtId="165" fontId="4" fillId="33" borderId="52" xfId="0" applyNumberFormat="1" applyFont="1" applyFill="1" applyBorder="1" applyAlignment="1">
      <alignment horizontal="right"/>
    </xf>
    <xf numFmtId="2" fontId="4" fillId="33" borderId="16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right"/>
    </xf>
    <xf numFmtId="3" fontId="4" fillId="33" borderId="80" xfId="0" applyNumberFormat="1" applyFont="1" applyFill="1" applyBorder="1" applyAlignment="1">
      <alignment horizontal="right"/>
    </xf>
    <xf numFmtId="3" fontId="4" fillId="33" borderId="90" xfId="0" applyNumberFormat="1" applyFont="1" applyFill="1" applyBorder="1" applyAlignment="1">
      <alignment horizontal="right"/>
    </xf>
    <xf numFmtId="172" fontId="4" fillId="33" borderId="80" xfId="0" applyNumberFormat="1" applyFont="1" applyFill="1" applyBorder="1" applyAlignment="1">
      <alignment horizontal="right"/>
    </xf>
    <xf numFmtId="172" fontId="4" fillId="33" borderId="90" xfId="0" applyNumberFormat="1" applyFont="1" applyFill="1" applyBorder="1" applyAlignment="1">
      <alignment horizontal="right"/>
    </xf>
    <xf numFmtId="167" fontId="49" fillId="0" borderId="0" xfId="0" applyNumberFormat="1" applyFont="1" applyAlignment="1">
      <alignment/>
    </xf>
    <xf numFmtId="3" fontId="4" fillId="33" borderId="27" xfId="0" applyNumberFormat="1" applyFont="1" applyFill="1" applyBorder="1" applyAlignment="1">
      <alignment horizontal="right"/>
    </xf>
    <xf numFmtId="171" fontId="4" fillId="33" borderId="27" xfId="0" applyNumberFormat="1" applyFont="1" applyFill="1" applyBorder="1" applyAlignment="1">
      <alignment horizontal="right"/>
    </xf>
    <xf numFmtId="172" fontId="4" fillId="33" borderId="27" xfId="0" applyNumberFormat="1" applyFont="1" applyFill="1" applyBorder="1" applyAlignment="1">
      <alignment horizontal="right"/>
    </xf>
    <xf numFmtId="170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" fillId="0" borderId="16" xfId="0" applyFont="1" applyBorder="1" applyAlignment="1" quotePrefix="1">
      <alignment horizontal="left" vertical="center" wrapText="1"/>
    </xf>
    <xf numFmtId="0" fontId="49" fillId="0" borderId="0" xfId="0" applyFont="1" applyAlignment="1">
      <alignment horizontal="left"/>
    </xf>
    <xf numFmtId="183" fontId="3" fillId="0" borderId="41" xfId="0" applyNumberFormat="1" applyFont="1" applyFill="1" applyBorder="1" applyAlignment="1">
      <alignment horizontal="right"/>
    </xf>
    <xf numFmtId="183" fontId="4" fillId="0" borderId="41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/>
    </xf>
    <xf numFmtId="2" fontId="53" fillId="0" borderId="0" xfId="0" applyNumberFormat="1" applyFont="1" applyAlignment="1">
      <alignment/>
    </xf>
    <xf numFmtId="185" fontId="3" fillId="33" borderId="77" xfId="0" applyNumberFormat="1" applyFont="1" applyFill="1" applyBorder="1" applyAlignment="1">
      <alignment horizontal="right" vertical="center" wrapText="1"/>
    </xf>
    <xf numFmtId="0" fontId="49" fillId="34" borderId="0" xfId="0" applyFont="1" applyFill="1" applyAlignment="1" quotePrefix="1">
      <alignment horizontal="left"/>
    </xf>
    <xf numFmtId="2" fontId="54" fillId="0" borderId="11" xfId="0" applyNumberFormat="1" applyFont="1" applyBorder="1" applyAlignment="1">
      <alignment/>
    </xf>
    <xf numFmtId="185" fontId="3" fillId="33" borderId="77" xfId="0" applyNumberFormat="1" applyFont="1" applyFill="1" applyBorder="1" applyAlignment="1">
      <alignment vertical="center" wrapText="1"/>
    </xf>
    <xf numFmtId="185" fontId="3" fillId="33" borderId="26" xfId="0" applyNumberFormat="1" applyFont="1" applyFill="1" applyBorder="1" applyAlignment="1" quotePrefix="1">
      <alignment horizontal="right" vertical="center" wrapText="1"/>
    </xf>
    <xf numFmtId="4" fontId="3" fillId="33" borderId="11" xfId="0" applyNumberFormat="1" applyFont="1" applyFill="1" applyBorder="1" applyAlignment="1">
      <alignment horizontal="center"/>
    </xf>
    <xf numFmtId="0" fontId="4" fillId="33" borderId="91" xfId="0" applyFont="1" applyFill="1" applyBorder="1" applyAlignment="1">
      <alignment wrapText="1"/>
    </xf>
    <xf numFmtId="0" fontId="4" fillId="33" borderId="92" xfId="0" applyFont="1" applyFill="1" applyBorder="1" applyAlignment="1">
      <alignment horizontal="left"/>
    </xf>
    <xf numFmtId="2" fontId="4" fillId="33" borderId="93" xfId="0" applyNumberFormat="1" applyFont="1" applyFill="1" applyBorder="1" applyAlignment="1">
      <alignment horizontal="center"/>
    </xf>
    <xf numFmtId="165" fontId="4" fillId="33" borderId="94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165" fontId="4" fillId="33" borderId="35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 quotePrefix="1">
      <alignment horizontal="left"/>
    </xf>
    <xf numFmtId="0" fontId="9" fillId="0" borderId="11" xfId="0" applyFont="1" applyBorder="1" applyAlignment="1">
      <alignment/>
    </xf>
    <xf numFmtId="0" fontId="9" fillId="0" borderId="10" xfId="0" applyFont="1" applyBorder="1" applyAlignment="1" quotePrefix="1">
      <alignment horizontal="left" wrapText="1"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left" wrapText="1"/>
    </xf>
    <xf numFmtId="0" fontId="9" fillId="0" borderId="10" xfId="0" applyFont="1" applyFill="1" applyBorder="1" applyAlignment="1" quotePrefix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left"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0" xfId="0" applyFont="1" applyFill="1" applyBorder="1" applyAlignment="1" quotePrefix="1">
      <alignment horizontal="left" vertical="top"/>
    </xf>
    <xf numFmtId="0" fontId="4" fillId="0" borderId="10" xfId="0" applyFont="1" applyFill="1" applyBorder="1" applyAlignment="1">
      <alignment/>
    </xf>
    <xf numFmtId="0" fontId="0" fillId="0" borderId="95" xfId="0" applyBorder="1" applyAlignment="1">
      <alignment/>
    </xf>
    <xf numFmtId="0" fontId="0" fillId="0" borderId="31" xfId="0" applyBorder="1" applyAlignment="1">
      <alignment/>
    </xf>
    <xf numFmtId="0" fontId="4" fillId="0" borderId="41" xfId="0" applyFont="1" applyFill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33" borderId="88" xfId="0" applyFont="1" applyFill="1" applyBorder="1" applyAlignment="1">
      <alignment horizontal="left"/>
    </xf>
    <xf numFmtId="0" fontId="4" fillId="33" borderId="98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4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33" borderId="42" xfId="0" applyFont="1" applyFill="1" applyBorder="1" applyAlignment="1">
      <alignment wrapText="1"/>
    </xf>
    <xf numFmtId="0" fontId="4" fillId="33" borderId="42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4" fillId="33" borderId="99" xfId="0" applyFont="1" applyFill="1" applyBorder="1" applyAlignment="1">
      <alignment horizontal="left" wrapText="1"/>
    </xf>
    <xf numFmtId="0" fontId="4" fillId="33" borderId="10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 horizont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1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3" fillId="33" borderId="9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3" borderId="100" xfId="0" applyFont="1" applyFill="1" applyBorder="1" applyAlignment="1">
      <alignment horizontal="left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67">
      <selection activeCell="A1" sqref="A1:D85"/>
    </sheetView>
  </sheetViews>
  <sheetFormatPr defaultColWidth="11.57421875" defaultRowHeight="12.75"/>
  <cols>
    <col min="1" max="1" width="53.28125" style="0" customWidth="1"/>
    <col min="2" max="2" width="16.28125" style="0" customWidth="1"/>
    <col min="3" max="3" width="24.14062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30" t="s">
        <v>0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3" t="s">
        <v>177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spans="1:4" ht="3" customHeight="1">
      <c r="A6" s="201"/>
      <c r="B6" s="81"/>
      <c r="C6" s="81"/>
      <c r="D6" s="81"/>
    </row>
    <row r="7" spans="1:4" ht="15.75" customHeight="1">
      <c r="A7" s="23" t="s">
        <v>3</v>
      </c>
      <c r="B7" s="23"/>
      <c r="C7" s="23"/>
      <c r="D7" s="23"/>
    </row>
    <row r="8" spans="1:4" ht="16.5" customHeight="1">
      <c r="A8" s="53" t="s">
        <v>360</v>
      </c>
      <c r="B8" s="23"/>
      <c r="C8" s="23"/>
      <c r="D8" s="23"/>
    </row>
    <row r="9" spans="1:4" ht="12.75">
      <c r="A9" s="94">
        <v>1</v>
      </c>
      <c r="B9" s="94">
        <v>2</v>
      </c>
      <c r="C9" s="94">
        <v>3</v>
      </c>
      <c r="D9" s="95">
        <v>4</v>
      </c>
    </row>
    <row r="10" spans="1:4" ht="12.75">
      <c r="A10" s="65" t="s">
        <v>7</v>
      </c>
      <c r="B10" s="96"/>
      <c r="C10" s="97" t="s">
        <v>190</v>
      </c>
      <c r="D10" s="80"/>
    </row>
    <row r="11" spans="1:4" ht="12.75">
      <c r="A11" s="65" t="s">
        <v>8</v>
      </c>
      <c r="B11" s="96"/>
      <c r="C11" s="97" t="s">
        <v>205</v>
      </c>
      <c r="D11" s="80"/>
    </row>
    <row r="12" spans="1:8" ht="12.75">
      <c r="A12" s="65" t="s">
        <v>9</v>
      </c>
      <c r="B12" s="96"/>
      <c r="C12" s="97" t="s">
        <v>191</v>
      </c>
      <c r="D12" s="80"/>
      <c r="E12" s="35"/>
      <c r="F12" s="35"/>
      <c r="G12" s="35"/>
      <c r="H12" s="35"/>
    </row>
    <row r="13" spans="1:8" ht="31.5" customHeight="1">
      <c r="A13" s="535" t="s">
        <v>10</v>
      </c>
      <c r="B13" s="535"/>
      <c r="C13" s="535"/>
      <c r="D13" s="535"/>
      <c r="E13" s="35"/>
      <c r="F13" s="35"/>
      <c r="G13" s="35"/>
      <c r="H13" s="35"/>
    </row>
    <row r="14" spans="1:14" s="1" customFormat="1" ht="15.75">
      <c r="A14" s="65" t="s">
        <v>94</v>
      </c>
      <c r="B14" s="98" t="s">
        <v>12</v>
      </c>
      <c r="C14" s="73">
        <v>1151.03</v>
      </c>
      <c r="D14" s="234"/>
      <c r="E14" s="35"/>
      <c r="F14" s="35"/>
      <c r="G14" s="35"/>
      <c r="H14" s="35"/>
      <c r="K14"/>
      <c r="L14"/>
      <c r="M14"/>
      <c r="N14"/>
    </row>
    <row r="15" spans="1:14" s="1" customFormat="1" ht="15.75">
      <c r="A15" s="65" t="s">
        <v>13</v>
      </c>
      <c r="B15" s="98" t="s">
        <v>12</v>
      </c>
      <c r="C15" s="235">
        <v>0</v>
      </c>
      <c r="D15" s="234"/>
      <c r="E15" s="35"/>
      <c r="F15" s="35"/>
      <c r="G15" s="35"/>
      <c r="H15" s="35"/>
      <c r="K15"/>
      <c r="L15"/>
      <c r="M15"/>
      <c r="N15"/>
    </row>
    <row r="16" spans="1:14" s="1" customFormat="1" ht="15.75">
      <c r="A16" s="65" t="s">
        <v>14</v>
      </c>
      <c r="B16" s="98" t="s">
        <v>12</v>
      </c>
      <c r="C16" s="73">
        <v>7543.89</v>
      </c>
      <c r="D16" s="82"/>
      <c r="E16" s="51"/>
      <c r="F16" s="35"/>
      <c r="G16" s="35"/>
      <c r="H16" s="35"/>
      <c r="K16"/>
      <c r="L16"/>
      <c r="M16"/>
      <c r="N16"/>
    </row>
    <row r="17" spans="1:14" s="1" customFormat="1" ht="31.5" customHeight="1">
      <c r="A17" s="64" t="s">
        <v>15</v>
      </c>
      <c r="B17" s="98" t="s">
        <v>12</v>
      </c>
      <c r="C17" s="73">
        <f>590667.5+2783.34+15400.74</f>
        <v>608851.58</v>
      </c>
      <c r="D17" s="82"/>
      <c r="E17" s="79">
        <f>C17-C19</f>
        <v>484347.52999999997</v>
      </c>
      <c r="F17" s="35"/>
      <c r="G17" s="35"/>
      <c r="H17" s="35"/>
      <c r="K17"/>
      <c r="L17"/>
      <c r="M17"/>
      <c r="N17"/>
    </row>
    <row r="18" spans="1:8" ht="15.75">
      <c r="A18" s="65" t="s">
        <v>16</v>
      </c>
      <c r="B18" s="98" t="s">
        <v>12</v>
      </c>
      <c r="C18" s="73">
        <f>C17-C19-C20</f>
        <v>328856.63</v>
      </c>
      <c r="D18" s="82"/>
      <c r="E18" s="79">
        <f>E17-E53</f>
        <v>18184.0799999999</v>
      </c>
      <c r="F18" s="35"/>
      <c r="G18" s="35"/>
      <c r="H18" s="35"/>
    </row>
    <row r="19" spans="1:8" ht="15.75">
      <c r="A19" s="65" t="s">
        <v>17</v>
      </c>
      <c r="B19" s="98" t="s">
        <v>12</v>
      </c>
      <c r="C19" s="73">
        <f>3092.5*(3.44+3.27)*6</f>
        <v>124504.04999999999</v>
      </c>
      <c r="D19" s="82"/>
      <c r="E19" s="78"/>
      <c r="F19" s="35"/>
      <c r="G19" s="35"/>
      <c r="H19" s="35"/>
    </row>
    <row r="20" spans="1:8" ht="15.75">
      <c r="A20" s="65" t="s">
        <v>18</v>
      </c>
      <c r="B20" s="98" t="s">
        <v>12</v>
      </c>
      <c r="C20" s="73">
        <f>4.19*12*3092.5</f>
        <v>155490.9</v>
      </c>
      <c r="D20" s="82"/>
      <c r="E20" s="43"/>
      <c r="F20" s="35"/>
      <c r="G20" s="35"/>
      <c r="H20" s="35"/>
    </row>
    <row r="21" spans="1:8" ht="15.75">
      <c r="A21" s="65" t="s">
        <v>19</v>
      </c>
      <c r="B21" s="98" t="s">
        <v>12</v>
      </c>
      <c r="C21" s="73">
        <f>C22+C23+C24+C25</f>
        <v>593264.979552</v>
      </c>
      <c r="D21" s="82" t="s">
        <v>20</v>
      </c>
      <c r="E21" s="42"/>
      <c r="F21" s="35"/>
      <c r="G21" s="35"/>
      <c r="H21" s="35"/>
    </row>
    <row r="22" spans="1:8" ht="15.75">
      <c r="A22" s="65" t="s">
        <v>21</v>
      </c>
      <c r="B22" s="98" t="s">
        <v>12</v>
      </c>
      <c r="C22" s="73">
        <f>C17*0.9744</f>
        <v>593264.979552</v>
      </c>
      <c r="D22" s="82"/>
      <c r="E22" s="35"/>
      <c r="F22" s="35"/>
      <c r="G22" s="35"/>
      <c r="H22" s="35"/>
    </row>
    <row r="23" spans="1:8" ht="15.75">
      <c r="A23" s="65" t="s">
        <v>22</v>
      </c>
      <c r="B23" s="98" t="s">
        <v>12</v>
      </c>
      <c r="C23" s="73">
        <v>0</v>
      </c>
      <c r="D23" s="82"/>
      <c r="E23" s="43"/>
      <c r="F23" s="35"/>
      <c r="G23" s="35"/>
      <c r="H23" s="35"/>
    </row>
    <row r="24" spans="1:8" ht="15.75">
      <c r="A24" s="65" t="s">
        <v>24</v>
      </c>
      <c r="B24" s="98" t="s">
        <v>12</v>
      </c>
      <c r="C24" s="73">
        <v>0</v>
      </c>
      <c r="D24" s="82"/>
      <c r="E24" s="43"/>
      <c r="F24" s="35"/>
      <c r="G24" s="35"/>
      <c r="H24" s="35"/>
    </row>
    <row r="25" spans="1:8" ht="15.75">
      <c r="A25" s="96" t="s">
        <v>25</v>
      </c>
      <c r="B25" s="98" t="s">
        <v>12</v>
      </c>
      <c r="C25" s="73">
        <v>0</v>
      </c>
      <c r="D25" s="82"/>
      <c r="E25" s="43"/>
      <c r="F25" s="35"/>
      <c r="G25" s="35"/>
      <c r="H25" s="35"/>
    </row>
    <row r="26" spans="1:8" ht="15.75">
      <c r="A26" s="65" t="s">
        <v>26</v>
      </c>
      <c r="B26" s="98" t="s">
        <v>12</v>
      </c>
      <c r="C26" s="73">
        <f>C14+C21</f>
        <v>594416.009552</v>
      </c>
      <c r="D26" s="82" t="s">
        <v>27</v>
      </c>
      <c r="E26" s="43"/>
      <c r="F26" s="35"/>
      <c r="G26" s="35"/>
      <c r="H26" s="35"/>
    </row>
    <row r="27" spans="1:8" ht="35.25" customHeight="1">
      <c r="A27" s="526" t="s">
        <v>28</v>
      </c>
      <c r="B27" s="526"/>
      <c r="C27" s="526"/>
      <c r="D27" s="526"/>
      <c r="E27" s="35"/>
      <c r="F27" s="35"/>
      <c r="G27" s="35"/>
      <c r="H27" s="35"/>
    </row>
    <row r="28" spans="1:8" ht="65.25" customHeight="1">
      <c r="A28" s="130" t="s">
        <v>29</v>
      </c>
      <c r="B28" s="236" t="s">
        <v>30</v>
      </c>
      <c r="C28" s="237" t="s">
        <v>31</v>
      </c>
      <c r="D28" s="238" t="s">
        <v>32</v>
      </c>
      <c r="E28" s="35"/>
      <c r="F28" s="35"/>
      <c r="G28" s="35"/>
      <c r="H28" s="35"/>
    </row>
    <row r="29" spans="1:8" ht="15.75">
      <c r="A29" s="115" t="s">
        <v>95</v>
      </c>
      <c r="B29" s="239" t="s">
        <v>34</v>
      </c>
      <c r="C29" s="272" t="s">
        <v>44</v>
      </c>
      <c r="D29" s="82">
        <f>3092.5*0.69*12</f>
        <v>25605.899999999998</v>
      </c>
      <c r="E29" s="35"/>
      <c r="F29" s="35"/>
      <c r="G29" s="35"/>
      <c r="H29" s="35"/>
    </row>
    <row r="30" spans="1:8" ht="31.5">
      <c r="A30" s="115" t="s">
        <v>178</v>
      </c>
      <c r="B30" s="239" t="s">
        <v>43</v>
      </c>
      <c r="C30" s="240" t="s">
        <v>179</v>
      </c>
      <c r="D30" s="82">
        <f>3092.5*0.15*12</f>
        <v>5566.5</v>
      </c>
      <c r="E30" s="35"/>
      <c r="F30" s="35"/>
      <c r="G30" s="35"/>
      <c r="H30" s="35"/>
    </row>
    <row r="31" spans="1:8" ht="15.75">
      <c r="A31" s="115" t="s">
        <v>88</v>
      </c>
      <c r="B31" s="239" t="s">
        <v>36</v>
      </c>
      <c r="C31" s="241" t="s">
        <v>44</v>
      </c>
      <c r="D31" s="82">
        <f>3092.5*12*2.4</f>
        <v>89064</v>
      </c>
      <c r="E31" s="35"/>
      <c r="F31" s="35"/>
      <c r="G31" s="35"/>
      <c r="H31" s="35"/>
    </row>
    <row r="32" spans="1:14" s="1" customFormat="1" ht="15.75">
      <c r="A32" s="115" t="s">
        <v>96</v>
      </c>
      <c r="B32" s="239" t="s">
        <v>34</v>
      </c>
      <c r="C32" s="241" t="s">
        <v>41</v>
      </c>
      <c r="D32" s="82">
        <f>3092.5*(0.28+0.24)*6</f>
        <v>9648.6</v>
      </c>
      <c r="E32" s="35"/>
      <c r="F32" s="35"/>
      <c r="G32" s="35"/>
      <c r="H32" s="35"/>
      <c r="K32"/>
      <c r="L32"/>
      <c r="M32"/>
      <c r="N32"/>
    </row>
    <row r="33" spans="1:14" s="1" customFormat="1" ht="15.75">
      <c r="A33" s="115" t="s">
        <v>105</v>
      </c>
      <c r="B33" s="239" t="s">
        <v>34</v>
      </c>
      <c r="C33" s="241" t="s">
        <v>44</v>
      </c>
      <c r="D33" s="82">
        <f>3092.5*12*0.7</f>
        <v>25977</v>
      </c>
      <c r="E33" s="35"/>
      <c r="F33" s="35"/>
      <c r="G33" s="35"/>
      <c r="H33" s="35"/>
      <c r="K33"/>
      <c r="L33"/>
      <c r="M33"/>
      <c r="N33"/>
    </row>
    <row r="34" spans="1:14" s="1" customFormat="1" ht="15.75">
      <c r="A34" s="115" t="s">
        <v>89</v>
      </c>
      <c r="B34" s="239" t="s">
        <v>34</v>
      </c>
      <c r="C34" s="241" t="s">
        <v>44</v>
      </c>
      <c r="D34" s="82">
        <f>3092.5*12*1.96</f>
        <v>72735.6</v>
      </c>
      <c r="E34" s="35"/>
      <c r="F34" s="35"/>
      <c r="G34" s="35"/>
      <c r="H34" s="35"/>
      <c r="K34"/>
      <c r="L34"/>
      <c r="M34"/>
      <c r="N34"/>
    </row>
    <row r="35" spans="1:14" s="1" customFormat="1" ht="15.75">
      <c r="A35" s="115" t="s">
        <v>49</v>
      </c>
      <c r="B35" s="239" t="s">
        <v>375</v>
      </c>
      <c r="C35" s="241" t="s">
        <v>44</v>
      </c>
      <c r="D35" s="82">
        <f>3092.5*6*1.09</f>
        <v>20224.95</v>
      </c>
      <c r="E35" s="35"/>
      <c r="F35" s="35"/>
      <c r="G35" s="35"/>
      <c r="H35" s="35"/>
      <c r="K35"/>
      <c r="L35"/>
      <c r="M35"/>
      <c r="N35"/>
    </row>
    <row r="36" spans="1:14" s="1" customFormat="1" ht="15.75">
      <c r="A36" s="115" t="s">
        <v>46</v>
      </c>
      <c r="B36" s="239" t="s">
        <v>47</v>
      </c>
      <c r="C36" s="241" t="s">
        <v>44</v>
      </c>
      <c r="D36" s="82">
        <f>3092.5*6*(1.44+1.33)</f>
        <v>51397.35</v>
      </c>
      <c r="E36" s="35"/>
      <c r="F36" s="35"/>
      <c r="G36" s="35"/>
      <c r="H36" s="35"/>
      <c r="K36"/>
      <c r="L36"/>
      <c r="M36"/>
      <c r="N36"/>
    </row>
    <row r="37" spans="1:14" s="1" customFormat="1" ht="15.75">
      <c r="A37" s="115" t="s">
        <v>98</v>
      </c>
      <c r="B37" s="239" t="s">
        <v>38</v>
      </c>
      <c r="C37" s="264" t="s">
        <v>168</v>
      </c>
      <c r="D37" s="82">
        <f>3092.5*12*4.19</f>
        <v>155490.90000000002</v>
      </c>
      <c r="E37" s="35"/>
      <c r="F37" s="35"/>
      <c r="G37" s="35"/>
      <c r="H37" s="35"/>
      <c r="K37"/>
      <c r="L37"/>
      <c r="M37"/>
      <c r="N37"/>
    </row>
    <row r="38" spans="1:14" s="1" customFormat="1" ht="15.75">
      <c r="A38" s="115" t="s">
        <v>101</v>
      </c>
      <c r="B38" s="239" t="s">
        <v>174</v>
      </c>
      <c r="C38" s="264" t="s">
        <v>41</v>
      </c>
      <c r="D38" s="82">
        <v>10452.65</v>
      </c>
      <c r="E38" s="35"/>
      <c r="F38" s="35"/>
      <c r="G38" s="35"/>
      <c r="H38" s="35"/>
      <c r="K38"/>
      <c r="L38"/>
      <c r="M38"/>
      <c r="N38"/>
    </row>
    <row r="39" spans="1:14" s="1" customFormat="1" ht="15.75">
      <c r="A39" s="115" t="s">
        <v>146</v>
      </c>
      <c r="B39" s="239"/>
      <c r="C39" s="242"/>
      <c r="D39" s="82"/>
      <c r="E39" s="35"/>
      <c r="F39" s="35"/>
      <c r="G39" s="35"/>
      <c r="H39" s="35"/>
      <c r="K39"/>
      <c r="L39"/>
      <c r="M39"/>
      <c r="N39"/>
    </row>
    <row r="40" spans="1:14" s="1" customFormat="1" ht="15.75">
      <c r="A40" s="115" t="s">
        <v>144</v>
      </c>
      <c r="B40" s="239" t="s">
        <v>38</v>
      </c>
      <c r="C40" s="242" t="s">
        <v>147</v>
      </c>
      <c r="D40" s="82">
        <f>2788.99</f>
        <v>2788.99</v>
      </c>
      <c r="E40" s="35"/>
      <c r="F40" s="35"/>
      <c r="G40" s="35"/>
      <c r="H40" s="35"/>
      <c r="K40"/>
      <c r="L40"/>
      <c r="M40"/>
      <c r="N40"/>
    </row>
    <row r="41" spans="1:14" s="1" customFormat="1" ht="15.75">
      <c r="A41" s="115" t="s">
        <v>145</v>
      </c>
      <c r="B41" s="239" t="s">
        <v>38</v>
      </c>
      <c r="C41" s="242" t="s">
        <v>148</v>
      </c>
      <c r="D41" s="82">
        <f>25447.32</f>
        <v>25447.32</v>
      </c>
      <c r="E41" s="35"/>
      <c r="F41" s="35"/>
      <c r="G41" s="35"/>
      <c r="H41" s="35"/>
      <c r="K41"/>
      <c r="L41"/>
      <c r="M41"/>
      <c r="N41"/>
    </row>
    <row r="42" spans="1:14" s="1" customFormat="1" ht="60" customHeight="1">
      <c r="A42" s="206" t="s">
        <v>135</v>
      </c>
      <c r="B42" s="244" t="s">
        <v>53</v>
      </c>
      <c r="C42" s="250"/>
      <c r="D42" s="371">
        <f>D43+D44+D45+D46+D47+D48+D49+D50+D51</f>
        <v>113502</v>
      </c>
      <c r="E42" s="36"/>
      <c r="F42" s="35"/>
      <c r="G42" s="35"/>
      <c r="H42" s="35"/>
      <c r="K42"/>
      <c r="L42"/>
      <c r="M42"/>
      <c r="N42"/>
    </row>
    <row r="43" spans="1:14" s="1" customFormat="1" ht="37.5" customHeight="1">
      <c r="A43" s="206" t="s">
        <v>193</v>
      </c>
      <c r="B43" s="244" t="s">
        <v>120</v>
      </c>
      <c r="C43" s="250" t="s">
        <v>37</v>
      </c>
      <c r="D43" s="74">
        <v>360</v>
      </c>
      <c r="E43" s="36"/>
      <c r="F43" s="35"/>
      <c r="G43" s="35"/>
      <c r="H43" s="35"/>
      <c r="K43"/>
      <c r="L43"/>
      <c r="M43"/>
      <c r="N43"/>
    </row>
    <row r="44" spans="1:14" s="1" customFormat="1" ht="19.5" customHeight="1">
      <c r="A44" s="206" t="s">
        <v>194</v>
      </c>
      <c r="B44" s="244" t="s">
        <v>129</v>
      </c>
      <c r="C44" s="240" t="s">
        <v>44</v>
      </c>
      <c r="D44" s="74">
        <v>1935</v>
      </c>
      <c r="E44" s="36"/>
      <c r="F44" s="35"/>
      <c r="G44" s="35"/>
      <c r="H44" s="35"/>
      <c r="K44"/>
      <c r="L44"/>
      <c r="M44"/>
      <c r="N44"/>
    </row>
    <row r="45" spans="1:14" s="1" customFormat="1" ht="19.5" customHeight="1">
      <c r="A45" s="206" t="s">
        <v>201</v>
      </c>
      <c r="B45" s="244" t="s">
        <v>129</v>
      </c>
      <c r="C45" s="240" t="s">
        <v>44</v>
      </c>
      <c r="D45" s="74">
        <v>61839</v>
      </c>
      <c r="E45" s="36"/>
      <c r="F45" s="35"/>
      <c r="G45" s="35"/>
      <c r="H45" s="35"/>
      <c r="K45"/>
      <c r="L45"/>
      <c r="M45"/>
      <c r="N45"/>
    </row>
    <row r="46" spans="1:14" s="1" customFormat="1" ht="33.75" customHeight="1">
      <c r="A46" s="206" t="s">
        <v>202</v>
      </c>
      <c r="B46" s="244" t="s">
        <v>129</v>
      </c>
      <c r="C46" s="240" t="s">
        <v>44</v>
      </c>
      <c r="D46" s="74">
        <f>125+397</f>
        <v>522</v>
      </c>
      <c r="E46" s="36"/>
      <c r="F46" s="35"/>
      <c r="G46" s="35"/>
      <c r="H46" s="35"/>
      <c r="K46"/>
      <c r="L46"/>
      <c r="M46"/>
      <c r="N46"/>
    </row>
    <row r="47" spans="1:14" s="1" customFormat="1" ht="20.25" customHeight="1">
      <c r="A47" s="206" t="s">
        <v>195</v>
      </c>
      <c r="B47" s="244" t="s">
        <v>121</v>
      </c>
      <c r="C47" s="250" t="s">
        <v>196</v>
      </c>
      <c r="D47" s="74">
        <v>11116</v>
      </c>
      <c r="E47" s="36"/>
      <c r="F47" s="35"/>
      <c r="G47" s="35"/>
      <c r="H47" s="35"/>
      <c r="K47"/>
      <c r="L47"/>
      <c r="M47"/>
      <c r="N47"/>
    </row>
    <row r="48" spans="1:14" s="1" customFormat="1" ht="32.25" customHeight="1">
      <c r="A48" s="206" t="s">
        <v>197</v>
      </c>
      <c r="B48" s="244" t="s">
        <v>122</v>
      </c>
      <c r="C48" s="315" t="s">
        <v>198</v>
      </c>
      <c r="D48" s="74">
        <v>810</v>
      </c>
      <c r="E48" s="36"/>
      <c r="F48" s="35"/>
      <c r="G48" s="35"/>
      <c r="H48" s="35"/>
      <c r="K48"/>
      <c r="L48"/>
      <c r="M48"/>
      <c r="N48"/>
    </row>
    <row r="49" spans="1:14" s="1" customFormat="1" ht="23.25" customHeight="1">
      <c r="A49" s="206" t="s">
        <v>199</v>
      </c>
      <c r="B49" s="245" t="s">
        <v>125</v>
      </c>
      <c r="C49" s="240" t="s">
        <v>44</v>
      </c>
      <c r="D49" s="74">
        <v>1680</v>
      </c>
      <c r="E49" s="36"/>
      <c r="F49" s="35"/>
      <c r="G49" s="35"/>
      <c r="H49" s="35"/>
      <c r="K49"/>
      <c r="L49"/>
      <c r="M49"/>
      <c r="N49"/>
    </row>
    <row r="50" spans="1:14" s="1" customFormat="1" ht="24" customHeight="1">
      <c r="A50" s="206" t="s">
        <v>200</v>
      </c>
      <c r="B50" s="244" t="s">
        <v>123</v>
      </c>
      <c r="C50" s="240" t="s">
        <v>44</v>
      </c>
      <c r="D50" s="74">
        <v>28755</v>
      </c>
      <c r="E50" s="36"/>
      <c r="F50" s="35"/>
      <c r="G50" s="35"/>
      <c r="H50" s="35"/>
      <c r="K50"/>
      <c r="L50"/>
      <c r="M50"/>
      <c r="N50"/>
    </row>
    <row r="51" spans="1:14" s="1" customFormat="1" ht="27.75" customHeight="1">
      <c r="A51" s="206" t="s">
        <v>203</v>
      </c>
      <c r="B51" s="245" t="s">
        <v>123</v>
      </c>
      <c r="C51" s="240" t="s">
        <v>204</v>
      </c>
      <c r="D51" s="74">
        <v>6485</v>
      </c>
      <c r="E51" s="36"/>
      <c r="F51" s="35"/>
      <c r="G51" s="35"/>
      <c r="H51" s="35"/>
      <c r="K51"/>
      <c r="L51"/>
      <c r="M51"/>
      <c r="N51"/>
    </row>
    <row r="52" spans="1:14" s="1" customFormat="1" ht="15.75">
      <c r="A52" s="24" t="s">
        <v>54</v>
      </c>
      <c r="B52" s="239"/>
      <c r="C52" s="241"/>
      <c r="D52" s="82">
        <f>D29+D30+D31+D32+D33+D34+D35+D36+D37+D38+D40+D41+D42</f>
        <v>607901.76</v>
      </c>
      <c r="E52" s="52"/>
      <c r="F52" s="35"/>
      <c r="G52" s="35"/>
      <c r="H52" s="35"/>
      <c r="K52"/>
      <c r="L52"/>
      <c r="M52"/>
      <c r="N52"/>
    </row>
    <row r="53" spans="1:14" s="1" customFormat="1" ht="15.75">
      <c r="A53" s="24" t="s">
        <v>55</v>
      </c>
      <c r="B53" s="112" t="s">
        <v>12</v>
      </c>
      <c r="C53" s="241"/>
      <c r="D53" s="82">
        <f>C26-D52</f>
        <v>-13485.750448000035</v>
      </c>
      <c r="E53" s="52">
        <f>D52-D40-D41-D42</f>
        <v>466163.45000000007</v>
      </c>
      <c r="F53" s="35"/>
      <c r="G53" s="35"/>
      <c r="H53" s="35"/>
      <c r="K53"/>
      <c r="L53"/>
      <c r="M53"/>
      <c r="N53"/>
    </row>
    <row r="54" spans="1:8" ht="15.75">
      <c r="A54" s="115" t="s">
        <v>13</v>
      </c>
      <c r="B54" s="112" t="s">
        <v>12</v>
      </c>
      <c r="C54" s="241"/>
      <c r="D54" s="234">
        <v>0</v>
      </c>
      <c r="E54" s="35"/>
      <c r="F54" s="35"/>
      <c r="G54" s="35"/>
      <c r="H54" s="35"/>
    </row>
    <row r="55" spans="1:8" ht="15.75">
      <c r="A55" s="115" t="s">
        <v>14</v>
      </c>
      <c r="B55" s="112" t="s">
        <v>12</v>
      </c>
      <c r="C55" s="241"/>
      <c r="D55" s="82">
        <v>74982.2</v>
      </c>
      <c r="E55" s="35"/>
      <c r="F55" s="35"/>
      <c r="G55" s="35"/>
      <c r="H55" s="35"/>
    </row>
    <row r="56" spans="1:8" ht="16.5" customHeight="1">
      <c r="A56" s="527" t="s">
        <v>56</v>
      </c>
      <c r="B56" s="527"/>
      <c r="C56" s="527"/>
      <c r="D56" s="527"/>
      <c r="E56" s="35"/>
      <c r="F56" s="35"/>
      <c r="G56" s="35"/>
      <c r="H56" s="35"/>
    </row>
    <row r="57" spans="1:8" ht="15.75">
      <c r="A57" s="115" t="s">
        <v>57</v>
      </c>
      <c r="B57" s="239" t="s">
        <v>58</v>
      </c>
      <c r="C57" s="241">
        <v>0</v>
      </c>
      <c r="D57" s="234">
        <v>0</v>
      </c>
      <c r="E57" s="35"/>
      <c r="F57" s="35"/>
      <c r="G57" s="35"/>
      <c r="H57" s="35"/>
    </row>
    <row r="58" spans="1:8" ht="15.75">
      <c r="A58" s="115" t="s">
        <v>59</v>
      </c>
      <c r="B58" s="239" t="s">
        <v>58</v>
      </c>
      <c r="C58" s="241">
        <v>0</v>
      </c>
      <c r="D58" s="234">
        <v>0</v>
      </c>
      <c r="E58" s="35"/>
      <c r="F58" s="35"/>
      <c r="G58" s="35"/>
      <c r="H58" s="35"/>
    </row>
    <row r="59" spans="1:8" ht="26.25">
      <c r="A59" s="130" t="s">
        <v>60</v>
      </c>
      <c r="B59" s="239" t="s">
        <v>58</v>
      </c>
      <c r="C59" s="241">
        <v>0</v>
      </c>
      <c r="D59" s="234">
        <v>0</v>
      </c>
      <c r="E59" s="35"/>
      <c r="F59" s="35"/>
      <c r="G59" s="35"/>
      <c r="H59" s="35"/>
    </row>
    <row r="60" spans="1:8" ht="15.75">
      <c r="A60" s="115" t="s">
        <v>61</v>
      </c>
      <c r="B60" s="239" t="s">
        <v>12</v>
      </c>
      <c r="C60" s="241">
        <v>0</v>
      </c>
      <c r="D60" s="234">
        <v>0</v>
      </c>
      <c r="E60" s="35"/>
      <c r="F60" s="35"/>
      <c r="G60" s="35"/>
      <c r="H60" s="35"/>
    </row>
    <row r="61" spans="1:8" ht="12.75">
      <c r="A61" s="520" t="s">
        <v>62</v>
      </c>
      <c r="B61" s="521"/>
      <c r="C61" s="521"/>
      <c r="D61" s="522"/>
      <c r="E61" s="35"/>
      <c r="F61" s="35"/>
      <c r="G61" s="35"/>
      <c r="H61" s="35"/>
    </row>
    <row r="62" spans="1:8" ht="26.25">
      <c r="A62" s="186" t="s">
        <v>63</v>
      </c>
      <c r="B62" s="406" t="s">
        <v>12</v>
      </c>
      <c r="C62" s="407"/>
      <c r="D62" s="439">
        <v>0</v>
      </c>
      <c r="E62" s="35"/>
      <c r="F62" s="35"/>
      <c r="G62" s="35"/>
      <c r="H62" s="35"/>
    </row>
    <row r="63" spans="1:8" ht="15.75">
      <c r="A63" s="186" t="s">
        <v>13</v>
      </c>
      <c r="B63" s="406" t="s">
        <v>12</v>
      </c>
      <c r="C63" s="407"/>
      <c r="D63" s="408">
        <v>0</v>
      </c>
      <c r="E63" s="35"/>
      <c r="F63" s="35"/>
      <c r="G63" s="35"/>
      <c r="H63" s="35"/>
    </row>
    <row r="64" spans="1:8" ht="15.75">
      <c r="A64" s="409" t="s">
        <v>14</v>
      </c>
      <c r="B64" s="406" t="s">
        <v>12</v>
      </c>
      <c r="C64" s="407"/>
      <c r="D64" s="440">
        <f>D67-D70</f>
        <v>0</v>
      </c>
      <c r="E64" s="35"/>
      <c r="F64" s="35"/>
      <c r="G64" s="35"/>
      <c r="H64" s="35"/>
    </row>
    <row r="65" spans="1:8" ht="26.25">
      <c r="A65" s="186" t="s">
        <v>64</v>
      </c>
      <c r="B65" s="406" t="s">
        <v>12</v>
      </c>
      <c r="C65" s="407"/>
      <c r="D65" s="408">
        <v>0</v>
      </c>
      <c r="E65" s="35"/>
      <c r="F65" s="35"/>
      <c r="G65" s="35"/>
      <c r="H65" s="35"/>
    </row>
    <row r="66" spans="1:8" ht="15.75">
      <c r="A66" s="409" t="s">
        <v>13</v>
      </c>
      <c r="B66" s="406" t="s">
        <v>12</v>
      </c>
      <c r="C66" s="407"/>
      <c r="D66" s="408">
        <v>0</v>
      </c>
      <c r="E66" s="35"/>
      <c r="F66" s="35"/>
      <c r="G66" s="35"/>
      <c r="H66" s="35"/>
    </row>
    <row r="67" spans="1:8" ht="15.75">
      <c r="A67" s="409" t="s">
        <v>14</v>
      </c>
      <c r="B67" s="406" t="s">
        <v>12</v>
      </c>
      <c r="C67" s="407"/>
      <c r="D67" s="418">
        <f>D70</f>
        <v>4907.66975999999</v>
      </c>
      <c r="E67" s="35"/>
      <c r="F67" s="35"/>
      <c r="G67" s="35"/>
      <c r="H67" s="35"/>
    </row>
    <row r="68" spans="1:8" ht="13.5" thickBot="1">
      <c r="A68" s="523" t="s">
        <v>65</v>
      </c>
      <c r="B68" s="524"/>
      <c r="C68" s="524"/>
      <c r="D68" s="525"/>
      <c r="E68" s="35"/>
      <c r="F68" s="35"/>
      <c r="G68" s="35"/>
      <c r="H68" s="35"/>
    </row>
    <row r="69" spans="1:8" ht="51">
      <c r="A69" s="411" t="s">
        <v>66</v>
      </c>
      <c r="B69" s="412" t="s">
        <v>67</v>
      </c>
      <c r="C69" s="412" t="s">
        <v>68</v>
      </c>
      <c r="D69" s="413" t="s">
        <v>69</v>
      </c>
      <c r="E69" s="35"/>
      <c r="F69" s="35"/>
      <c r="G69" s="35"/>
      <c r="H69" s="35"/>
    </row>
    <row r="70" spans="1:8" ht="20.25" customHeight="1" thickBot="1">
      <c r="A70" s="414" t="s">
        <v>366</v>
      </c>
      <c r="B70" s="415">
        <v>191705.85</v>
      </c>
      <c r="C70" s="416">
        <f>B70*0.9744</f>
        <v>186798.18024000002</v>
      </c>
      <c r="D70" s="417">
        <f>B70-C70</f>
        <v>4907.66975999999</v>
      </c>
      <c r="E70" s="35"/>
      <c r="F70" s="35"/>
      <c r="G70" s="35"/>
      <c r="H70" s="35"/>
    </row>
    <row r="71" spans="1:8" ht="79.5" customHeight="1">
      <c r="A71" s="411" t="s">
        <v>75</v>
      </c>
      <c r="B71" s="412" t="s">
        <v>76</v>
      </c>
      <c r="C71" s="412" t="s">
        <v>77</v>
      </c>
      <c r="D71" s="413" t="s">
        <v>78</v>
      </c>
      <c r="E71" s="35"/>
      <c r="F71" s="35"/>
      <c r="G71" s="35"/>
      <c r="H71" s="35"/>
    </row>
    <row r="72" spans="1:8" ht="20.25" customHeight="1" thickBot="1">
      <c r="A72" s="414" t="s">
        <v>366</v>
      </c>
      <c r="B72" s="415">
        <f>B70</f>
        <v>191705.85</v>
      </c>
      <c r="C72" s="416">
        <f>C70</f>
        <v>186798.18024000002</v>
      </c>
      <c r="D72" s="417">
        <f>B72-C72</f>
        <v>4907.66975999999</v>
      </c>
      <c r="E72" s="35"/>
      <c r="F72" s="35"/>
      <c r="G72" s="35"/>
      <c r="H72" s="35"/>
    </row>
    <row r="73" spans="1:14" ht="17.25" customHeight="1">
      <c r="A73" s="528" t="s">
        <v>80</v>
      </c>
      <c r="B73" s="528"/>
      <c r="C73" s="528"/>
      <c r="D73" s="528"/>
      <c r="E73" s="18" t="e">
        <f>D73+B18</f>
        <v>#VALUE!</v>
      </c>
      <c r="F73" s="9"/>
      <c r="H73" s="19" t="e">
        <f>E73-B17</f>
        <v>#VALUE!</v>
      </c>
      <c r="I73" s="9"/>
      <c r="J73" s="9"/>
      <c r="K73" s="10"/>
      <c r="L73" s="10"/>
      <c r="M73" s="10"/>
      <c r="N73" s="10"/>
    </row>
    <row r="74" spans="1:5" ht="21" customHeight="1">
      <c r="A74" s="20" t="s">
        <v>57</v>
      </c>
      <c r="B74" s="20" t="s">
        <v>58</v>
      </c>
      <c r="C74" s="28"/>
      <c r="D74" s="83">
        <v>0</v>
      </c>
      <c r="E74" s="21"/>
    </row>
    <row r="75" spans="1:5" ht="21" customHeight="1">
      <c r="A75" s="20" t="s">
        <v>59</v>
      </c>
      <c r="B75" s="20" t="s">
        <v>58</v>
      </c>
      <c r="C75" s="28"/>
      <c r="D75" s="83">
        <v>0</v>
      </c>
      <c r="E75" s="21"/>
    </row>
    <row r="76" spans="1:14" s="1" customFormat="1" ht="18" customHeight="1">
      <c r="A76" s="20" t="s">
        <v>60</v>
      </c>
      <c r="B76" s="20" t="s">
        <v>58</v>
      </c>
      <c r="C76" s="28"/>
      <c r="D76" s="83">
        <v>0</v>
      </c>
      <c r="E76" s="21"/>
      <c r="K76"/>
      <c r="L76"/>
      <c r="M76"/>
      <c r="N76"/>
    </row>
    <row r="77" spans="1:14" s="1" customFormat="1" ht="16.5" customHeight="1">
      <c r="A77" s="20" t="s">
        <v>61</v>
      </c>
      <c r="B77" s="20" t="s">
        <v>12</v>
      </c>
      <c r="C77" s="28"/>
      <c r="D77" s="83">
        <v>0</v>
      </c>
      <c r="E77" s="21"/>
      <c r="K77"/>
      <c r="L77"/>
      <c r="M77"/>
      <c r="N77"/>
    </row>
    <row r="78" spans="1:14" s="1" customFormat="1" ht="15.75" customHeight="1">
      <c r="A78" s="529" t="s">
        <v>81</v>
      </c>
      <c r="B78" s="529"/>
      <c r="C78" s="529"/>
      <c r="D78" s="529"/>
      <c r="E78" s="21"/>
      <c r="K78"/>
      <c r="L78"/>
      <c r="M78"/>
      <c r="N78"/>
    </row>
    <row r="79" spans="1:14" s="1" customFormat="1" ht="18.75" customHeight="1">
      <c r="A79" s="20" t="s">
        <v>82</v>
      </c>
      <c r="B79" s="20" t="s">
        <v>58</v>
      </c>
      <c r="C79" s="28"/>
      <c r="D79" s="83">
        <v>0</v>
      </c>
      <c r="E79" s="21"/>
      <c r="K79"/>
      <c r="L79"/>
      <c r="M79"/>
      <c r="N79"/>
    </row>
    <row r="80" spans="1:14" s="1" customFormat="1" ht="21.75" customHeight="1">
      <c r="A80" s="20" t="s">
        <v>83</v>
      </c>
      <c r="B80" s="135" t="s">
        <v>58</v>
      </c>
      <c r="C80" s="145"/>
      <c r="D80" s="83">
        <v>0</v>
      </c>
      <c r="E80" s="21"/>
      <c r="K80"/>
      <c r="L80"/>
      <c r="M80"/>
      <c r="N80"/>
    </row>
    <row r="81" spans="1:14" s="1" customFormat="1" ht="24.75" customHeight="1">
      <c r="A81" s="146" t="s">
        <v>84</v>
      </c>
      <c r="B81" s="20" t="s">
        <v>12</v>
      </c>
      <c r="C81" s="28"/>
      <c r="D81" s="83">
        <v>0</v>
      </c>
      <c r="E81" s="21"/>
      <c r="K81"/>
      <c r="L81"/>
      <c r="M81"/>
      <c r="N81"/>
    </row>
    <row r="82" spans="1:14" s="1" customFormat="1" ht="12.75">
      <c r="A82" s="81"/>
      <c r="B82" s="81"/>
      <c r="C82" s="81"/>
      <c r="D82" s="81"/>
      <c r="H82" s="1" t="s">
        <v>27</v>
      </c>
      <c r="K82"/>
      <c r="L82"/>
      <c r="M82"/>
      <c r="N82"/>
    </row>
    <row r="83" spans="1:14" s="1" customFormat="1" ht="12.75">
      <c r="A83" s="90" t="s">
        <v>162</v>
      </c>
      <c r="B83" s="81"/>
      <c r="C83" s="81"/>
      <c r="D83" s="81"/>
      <c r="K83"/>
      <c r="L83"/>
      <c r="M83"/>
      <c r="N83"/>
    </row>
    <row r="84" spans="1:14" s="1" customFormat="1" ht="12.75">
      <c r="A84" s="81" t="s">
        <v>85</v>
      </c>
      <c r="B84" s="81"/>
      <c r="C84" s="81"/>
      <c r="D84" s="81"/>
      <c r="H84" s="1" t="s">
        <v>27</v>
      </c>
      <c r="K84"/>
      <c r="L84"/>
      <c r="M84"/>
      <c r="N84"/>
    </row>
    <row r="85" spans="1:14" s="1" customFormat="1" ht="12.75">
      <c r="A85" s="81"/>
      <c r="B85" s="81"/>
      <c r="C85" s="81"/>
      <c r="D85" s="81"/>
      <c r="K85"/>
      <c r="L85"/>
      <c r="M85"/>
      <c r="N85"/>
    </row>
    <row r="86" spans="1:4" ht="12.75">
      <c r="A86" s="81"/>
      <c r="B86" s="81"/>
      <c r="C86" s="81"/>
      <c r="D86" s="81"/>
    </row>
    <row r="89" spans="1:14" s="1" customFormat="1" ht="12.75">
      <c r="A89"/>
      <c r="B89"/>
      <c r="C89"/>
      <c r="D89"/>
      <c r="E89" s="1" t="s">
        <v>27</v>
      </c>
      <c r="K89"/>
      <c r="L89"/>
      <c r="M89"/>
      <c r="N89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13:D13"/>
    <mergeCell ref="A61:D61"/>
    <mergeCell ref="A68:D68"/>
    <mergeCell ref="A27:D27"/>
    <mergeCell ref="A56:D56"/>
    <mergeCell ref="A73:D73"/>
    <mergeCell ref="A78:D78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zoomScale="112" zoomScaleNormal="112" zoomScalePageLayoutView="0" workbookViewId="0" topLeftCell="A76">
      <selection activeCell="A1" sqref="A1:D98"/>
    </sheetView>
  </sheetViews>
  <sheetFormatPr defaultColWidth="11.57421875" defaultRowHeight="12.75"/>
  <cols>
    <col min="1" max="1" width="55.140625" style="0" customWidth="1"/>
    <col min="2" max="2" width="18.421875" style="0" customWidth="1"/>
    <col min="3" max="3" width="23.281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534" t="s">
        <v>0</v>
      </c>
      <c r="B1" s="534"/>
      <c r="C1" s="534"/>
      <c r="D1" s="534"/>
    </row>
    <row r="2" spans="1:4" ht="12.75">
      <c r="A2" s="533" t="s">
        <v>176</v>
      </c>
      <c r="B2" s="534"/>
      <c r="C2" s="534"/>
      <c r="D2" s="534"/>
    </row>
    <row r="3" spans="1:4" ht="12.75">
      <c r="A3" s="534" t="s">
        <v>1</v>
      </c>
      <c r="B3" s="534"/>
      <c r="C3" s="534"/>
      <c r="D3" s="534"/>
    </row>
    <row r="4" spans="1:4" ht="12.75">
      <c r="A4" s="534" t="s">
        <v>109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spans="1:4" ht="16.5" customHeight="1">
      <c r="A6" s="201" t="s">
        <v>118</v>
      </c>
      <c r="B6" s="81"/>
      <c r="C6" s="81"/>
      <c r="D6" s="81"/>
    </row>
    <row r="7" spans="1:4" ht="13.5" customHeight="1">
      <c r="A7" s="23" t="s">
        <v>3</v>
      </c>
      <c r="B7" s="23"/>
      <c r="C7" s="23"/>
      <c r="D7" s="23"/>
    </row>
    <row r="8" spans="1:4" ht="13.5" customHeight="1">
      <c r="A8" s="53" t="s">
        <v>356</v>
      </c>
      <c r="B8" s="23"/>
      <c r="C8" s="23"/>
      <c r="D8" s="23"/>
    </row>
    <row r="9" spans="1:5" ht="12.75">
      <c r="A9" s="94">
        <v>1</v>
      </c>
      <c r="B9" s="94">
        <v>2</v>
      </c>
      <c r="C9" s="94">
        <v>3</v>
      </c>
      <c r="D9" s="95">
        <v>4</v>
      </c>
      <c r="E9" s="35"/>
    </row>
    <row r="10" spans="1:5" ht="12.75">
      <c r="A10" s="65" t="s">
        <v>7</v>
      </c>
      <c r="B10" s="96"/>
      <c r="C10" s="97" t="s">
        <v>190</v>
      </c>
      <c r="D10" s="80"/>
      <c r="E10" s="35"/>
    </row>
    <row r="11" spans="1:5" ht="12.75">
      <c r="A11" s="65" t="s">
        <v>8</v>
      </c>
      <c r="B11" s="96"/>
      <c r="C11" s="97" t="s">
        <v>205</v>
      </c>
      <c r="D11" s="80"/>
      <c r="E11" s="35"/>
    </row>
    <row r="12" spans="1:5" ht="12.75">
      <c r="A12" s="65" t="s">
        <v>9</v>
      </c>
      <c r="B12" s="96"/>
      <c r="C12" s="97" t="s">
        <v>191</v>
      </c>
      <c r="D12" s="80"/>
      <c r="E12" s="35"/>
    </row>
    <row r="13" spans="1:5" ht="31.5" customHeight="1">
      <c r="A13" s="537" t="s">
        <v>10</v>
      </c>
      <c r="B13" s="537"/>
      <c r="C13" s="537"/>
      <c r="D13" s="537"/>
      <c r="E13" s="35"/>
    </row>
    <row r="14" spans="1:14" s="1" customFormat="1" ht="12.75">
      <c r="A14" s="65" t="s">
        <v>94</v>
      </c>
      <c r="B14" s="98" t="s">
        <v>12</v>
      </c>
      <c r="C14" s="72">
        <v>104144.74</v>
      </c>
      <c r="D14" s="80"/>
      <c r="E14" s="35"/>
      <c r="F14" s="35"/>
      <c r="G14" s="35"/>
      <c r="H14" s="35"/>
      <c r="K14"/>
      <c r="L14"/>
      <c r="M14"/>
      <c r="N14"/>
    </row>
    <row r="15" spans="1:14" s="1" customFormat="1" ht="12.75">
      <c r="A15" s="65" t="s">
        <v>13</v>
      </c>
      <c r="B15" s="98" t="s">
        <v>12</v>
      </c>
      <c r="C15" s="99">
        <v>0</v>
      </c>
      <c r="D15" s="80"/>
      <c r="E15" s="35"/>
      <c r="F15" s="35"/>
      <c r="G15" s="35"/>
      <c r="H15" s="35"/>
      <c r="K15"/>
      <c r="L15"/>
      <c r="M15"/>
      <c r="N15"/>
    </row>
    <row r="16" spans="1:14" s="1" customFormat="1" ht="12.75">
      <c r="A16" s="65" t="s">
        <v>14</v>
      </c>
      <c r="B16" s="98" t="s">
        <v>12</v>
      </c>
      <c r="C16" s="72">
        <v>63893.282539999986</v>
      </c>
      <c r="D16" s="76"/>
      <c r="E16" s="35"/>
      <c r="F16" s="35"/>
      <c r="G16" s="35"/>
      <c r="H16" s="35"/>
      <c r="K16"/>
      <c r="L16"/>
      <c r="M16"/>
      <c r="N16"/>
    </row>
    <row r="17" spans="1:14" s="1" customFormat="1" ht="31.5" customHeight="1">
      <c r="A17" s="64" t="s">
        <v>15</v>
      </c>
      <c r="B17" s="98" t="s">
        <v>12</v>
      </c>
      <c r="C17" s="72">
        <f>409311+3775.08+2343.12+22131.84</f>
        <v>437561.04000000004</v>
      </c>
      <c r="D17" s="76"/>
      <c r="E17" s="42">
        <f>C17-C19</f>
        <v>335493.64800000004</v>
      </c>
      <c r="F17" s="35"/>
      <c r="G17" s="35"/>
      <c r="H17" s="35"/>
      <c r="K17"/>
      <c r="L17"/>
      <c r="M17"/>
      <c r="N17"/>
    </row>
    <row r="18" spans="1:8" ht="12.75">
      <c r="A18" s="65" t="s">
        <v>16</v>
      </c>
      <c r="B18" s="98" t="s">
        <v>12</v>
      </c>
      <c r="C18" s="72">
        <f>C17-C19-C20</f>
        <v>226396.10400000002</v>
      </c>
      <c r="D18" s="76"/>
      <c r="E18" s="36">
        <f>E17-E52</f>
        <v>28250.038</v>
      </c>
      <c r="F18" s="35"/>
      <c r="G18" s="35"/>
      <c r="H18" s="35"/>
    </row>
    <row r="19" spans="1:8" ht="12.75">
      <c r="A19" s="65" t="s">
        <v>17</v>
      </c>
      <c r="B19" s="98" t="s">
        <v>12</v>
      </c>
      <c r="C19" s="72">
        <f>(3.89+3.95)*6*2169.8</f>
        <v>102067.392</v>
      </c>
      <c r="D19" s="76"/>
      <c r="E19" s="43"/>
      <c r="F19" s="35"/>
      <c r="G19" s="35"/>
      <c r="H19" s="35"/>
    </row>
    <row r="20" spans="1:8" ht="12.75">
      <c r="A20" s="65" t="s">
        <v>18</v>
      </c>
      <c r="B20" s="98" t="s">
        <v>12</v>
      </c>
      <c r="C20" s="72">
        <f>2169.8*4.19*12</f>
        <v>109097.54400000002</v>
      </c>
      <c r="D20" s="76"/>
      <c r="E20" s="43"/>
      <c r="F20" s="35"/>
      <c r="G20" s="35"/>
      <c r="H20" s="35"/>
    </row>
    <row r="21" spans="1:8" ht="12.75">
      <c r="A21" s="65" t="s">
        <v>19</v>
      </c>
      <c r="B21" s="98" t="s">
        <v>12</v>
      </c>
      <c r="C21" s="72">
        <f>C22+C23+C24+C25</f>
        <v>468346.353432</v>
      </c>
      <c r="D21" s="76" t="s">
        <v>20</v>
      </c>
      <c r="E21" s="42"/>
      <c r="F21" s="35"/>
      <c r="G21" s="35"/>
      <c r="H21" s="35"/>
    </row>
    <row r="22" spans="1:8" ht="12.75">
      <c r="A22" s="65" t="s">
        <v>21</v>
      </c>
      <c r="B22" s="98" t="s">
        <v>12</v>
      </c>
      <c r="C22" s="72">
        <f>C17*1.0533</f>
        <v>460883.043432</v>
      </c>
      <c r="D22" s="76"/>
      <c r="E22" s="35"/>
      <c r="F22" s="35"/>
      <c r="G22" s="35"/>
      <c r="H22" s="35"/>
    </row>
    <row r="23" spans="1:8" ht="12.75">
      <c r="A23" s="65" t="s">
        <v>22</v>
      </c>
      <c r="B23" s="98" t="s">
        <v>12</v>
      </c>
      <c r="C23" s="72">
        <v>0</v>
      </c>
      <c r="D23" s="76"/>
      <c r="E23" s="43"/>
      <c r="F23" s="35"/>
      <c r="G23" s="35"/>
      <c r="H23" s="35"/>
    </row>
    <row r="24" spans="1:5" ht="12.75">
      <c r="A24" s="65" t="s">
        <v>24</v>
      </c>
      <c r="B24" s="98" t="s">
        <v>12</v>
      </c>
      <c r="C24" s="72">
        <v>0</v>
      </c>
      <c r="D24" s="76"/>
      <c r="E24" s="43"/>
    </row>
    <row r="25" spans="1:5" ht="12.75">
      <c r="A25" s="96" t="s">
        <v>25</v>
      </c>
      <c r="B25" s="98" t="s">
        <v>12</v>
      </c>
      <c r="C25" s="72">
        <f>4682.19+2781.12</f>
        <v>7463.3099999999995</v>
      </c>
      <c r="D25" s="76"/>
      <c r="E25" s="43"/>
    </row>
    <row r="26" spans="1:5" ht="12.75">
      <c r="A26" s="65" t="s">
        <v>26</v>
      </c>
      <c r="B26" s="98" t="s">
        <v>12</v>
      </c>
      <c r="C26" s="72">
        <f>C14+C21</f>
        <v>572491.093432</v>
      </c>
      <c r="D26" s="76" t="s">
        <v>27</v>
      </c>
      <c r="E26" s="43"/>
    </row>
    <row r="27" spans="1:5" ht="35.25" customHeight="1">
      <c r="A27" s="540" t="s">
        <v>28</v>
      </c>
      <c r="B27" s="540"/>
      <c r="C27" s="540"/>
      <c r="D27" s="540"/>
      <c r="E27" s="35"/>
    </row>
    <row r="28" spans="1:5" ht="51">
      <c r="A28" s="130" t="s">
        <v>29</v>
      </c>
      <c r="B28" s="172" t="s">
        <v>30</v>
      </c>
      <c r="C28" s="202" t="s">
        <v>31</v>
      </c>
      <c r="D28" s="203" t="s">
        <v>32</v>
      </c>
      <c r="E28" s="35"/>
    </row>
    <row r="29" spans="1:5" ht="12.75">
      <c r="A29" s="115" t="s">
        <v>95</v>
      </c>
      <c r="B29" s="112" t="s">
        <v>34</v>
      </c>
      <c r="C29" s="113" t="s">
        <v>364</v>
      </c>
      <c r="D29" s="76">
        <f>2169.8*0.5*12</f>
        <v>13018.800000000001</v>
      </c>
      <c r="E29" s="35"/>
    </row>
    <row r="30" spans="1:5" ht="12.75">
      <c r="A30" s="225" t="s">
        <v>88</v>
      </c>
      <c r="B30" s="112" t="s">
        <v>36</v>
      </c>
      <c r="C30" s="115" t="s">
        <v>44</v>
      </c>
      <c r="D30" s="76">
        <f>2.4*12*2169.8</f>
        <v>62490.24</v>
      </c>
      <c r="E30" s="35"/>
    </row>
    <row r="31" spans="1:14" s="1" customFormat="1" ht="12.75">
      <c r="A31" s="115" t="s">
        <v>362</v>
      </c>
      <c r="B31" s="112" t="s">
        <v>43</v>
      </c>
      <c r="C31" s="115" t="s">
        <v>363</v>
      </c>
      <c r="D31" s="76">
        <f>0.15*12*2169.8</f>
        <v>3905.64</v>
      </c>
      <c r="E31" s="35"/>
      <c r="K31"/>
      <c r="L31"/>
      <c r="M31"/>
      <c r="N31"/>
    </row>
    <row r="32" spans="1:14" s="1" customFormat="1" ht="12.75">
      <c r="A32" s="115" t="s">
        <v>96</v>
      </c>
      <c r="B32" s="112" t="s">
        <v>34</v>
      </c>
      <c r="C32" s="115" t="s">
        <v>41</v>
      </c>
      <c r="D32" s="76">
        <f>0.24*12*2169.8</f>
        <v>6249.024</v>
      </c>
      <c r="E32" s="35"/>
      <c r="K32"/>
      <c r="L32"/>
      <c r="M32"/>
      <c r="N32"/>
    </row>
    <row r="33" spans="1:14" s="1" customFormat="1" ht="12.75">
      <c r="A33" s="115" t="s">
        <v>105</v>
      </c>
      <c r="B33" s="304" t="s">
        <v>34</v>
      </c>
      <c r="C33" s="115" t="s">
        <v>44</v>
      </c>
      <c r="D33" s="76">
        <f>0.73*12*2169.8</f>
        <v>19007.448</v>
      </c>
      <c r="E33" s="35"/>
      <c r="K33"/>
      <c r="L33"/>
      <c r="M33"/>
      <c r="N33"/>
    </row>
    <row r="34" spans="1:14" s="1" customFormat="1" ht="25.5">
      <c r="A34" s="130" t="s">
        <v>89</v>
      </c>
      <c r="B34" s="112" t="s">
        <v>34</v>
      </c>
      <c r="C34" s="115" t="s">
        <v>44</v>
      </c>
      <c r="D34" s="76">
        <f>2169.8*(1.95+2.12)*6</f>
        <v>52986.516</v>
      </c>
      <c r="E34" s="35"/>
      <c r="K34"/>
      <c r="L34"/>
      <c r="M34"/>
      <c r="N34"/>
    </row>
    <row r="35" spans="1:14" s="1" customFormat="1" ht="12.75">
      <c r="A35" s="115" t="s">
        <v>46</v>
      </c>
      <c r="B35" s="112" t="s">
        <v>47</v>
      </c>
      <c r="C35" s="115" t="s">
        <v>44</v>
      </c>
      <c r="D35" s="76">
        <f>1.33*12*2169.8</f>
        <v>34630.008</v>
      </c>
      <c r="E35" s="35"/>
      <c r="K35"/>
      <c r="L35"/>
      <c r="M35"/>
      <c r="N35"/>
    </row>
    <row r="36" spans="1:14" s="1" customFormat="1" ht="12.75">
      <c r="A36" s="115" t="s">
        <v>98</v>
      </c>
      <c r="B36" s="112" t="s">
        <v>38</v>
      </c>
      <c r="C36" s="115" t="s">
        <v>168</v>
      </c>
      <c r="D36" s="76">
        <v>109097.54400000001</v>
      </c>
      <c r="E36" s="35"/>
      <c r="K36"/>
      <c r="L36"/>
      <c r="M36"/>
      <c r="N36"/>
    </row>
    <row r="37" spans="1:14" s="1" customFormat="1" ht="12.75">
      <c r="A37" s="115" t="s">
        <v>101</v>
      </c>
      <c r="B37" s="112" t="s">
        <v>174</v>
      </c>
      <c r="C37" s="115" t="s">
        <v>41</v>
      </c>
      <c r="D37" s="76">
        <f>2169.8*(0.18+0.27)*6-0.07</f>
        <v>5858.390000000001</v>
      </c>
      <c r="E37" s="35"/>
      <c r="K37"/>
      <c r="L37"/>
      <c r="M37"/>
      <c r="N37"/>
    </row>
    <row r="38" spans="1:14" s="1" customFormat="1" ht="12.75">
      <c r="A38" s="115" t="s">
        <v>146</v>
      </c>
      <c r="B38" s="112"/>
      <c r="C38" s="115"/>
      <c r="D38" s="76"/>
      <c r="E38" s="35"/>
      <c r="F38" s="35"/>
      <c r="G38" s="35"/>
      <c r="H38" s="35"/>
      <c r="K38"/>
      <c r="L38"/>
      <c r="M38"/>
      <c r="N38"/>
    </row>
    <row r="39" spans="1:14" s="1" customFormat="1" ht="12.75">
      <c r="A39" s="115" t="s">
        <v>144</v>
      </c>
      <c r="B39" s="112" t="s">
        <v>38</v>
      </c>
      <c r="C39" s="115" t="s">
        <v>147</v>
      </c>
      <c r="D39" s="76">
        <f>3785.53+2237.08</f>
        <v>6022.610000000001</v>
      </c>
      <c r="E39" s="35"/>
      <c r="F39" s="35"/>
      <c r="G39" s="35"/>
      <c r="H39" s="35"/>
      <c r="K39"/>
      <c r="L39"/>
      <c r="M39"/>
      <c r="N39"/>
    </row>
    <row r="40" spans="1:14" s="1" customFormat="1" ht="12.75">
      <c r="A40" s="115" t="s">
        <v>145</v>
      </c>
      <c r="B40" s="112" t="s">
        <v>38</v>
      </c>
      <c r="C40" s="115" t="s">
        <v>148</v>
      </c>
      <c r="D40" s="76">
        <f>43454.8</f>
        <v>43454.8</v>
      </c>
      <c r="E40" s="35"/>
      <c r="F40" s="35"/>
      <c r="G40" s="35"/>
      <c r="H40" s="35"/>
      <c r="K40"/>
      <c r="L40"/>
      <c r="M40"/>
      <c r="N40"/>
    </row>
    <row r="41" spans="1:14" s="1" customFormat="1" ht="53.25" customHeight="1">
      <c r="A41" s="206" t="s">
        <v>137</v>
      </c>
      <c r="B41" s="207" t="s">
        <v>53</v>
      </c>
      <c r="C41" s="205"/>
      <c r="D41" s="378">
        <f>D42+D43+D44+D45+D46+D47+D48+D49+D50+D51</f>
        <v>53800.6</v>
      </c>
      <c r="E41" s="35"/>
      <c r="F41" s="35"/>
      <c r="G41" s="35"/>
      <c r="H41" s="35"/>
      <c r="K41"/>
      <c r="L41"/>
      <c r="M41"/>
      <c r="N41"/>
    </row>
    <row r="42" spans="1:14" s="1" customFormat="1" ht="19.5" customHeight="1">
      <c r="A42" s="224" t="s">
        <v>304</v>
      </c>
      <c r="B42" s="207" t="s">
        <v>119</v>
      </c>
      <c r="C42" s="115" t="s">
        <v>44</v>
      </c>
      <c r="D42" s="75">
        <v>10988</v>
      </c>
      <c r="E42" s="35"/>
      <c r="F42" s="35"/>
      <c r="G42" s="35"/>
      <c r="H42" s="35"/>
      <c r="K42"/>
      <c r="L42"/>
      <c r="M42"/>
      <c r="N42"/>
    </row>
    <row r="43" spans="1:14" s="1" customFormat="1" ht="15" customHeight="1">
      <c r="A43" s="206" t="s">
        <v>305</v>
      </c>
      <c r="B43" s="207" t="s">
        <v>119</v>
      </c>
      <c r="C43" s="115" t="s">
        <v>44</v>
      </c>
      <c r="D43" s="75">
        <v>649</v>
      </c>
      <c r="E43" s="35"/>
      <c r="F43" s="35"/>
      <c r="G43" s="35"/>
      <c r="H43" s="35"/>
      <c r="K43"/>
      <c r="L43"/>
      <c r="M43"/>
      <c r="N43"/>
    </row>
    <row r="44" spans="1:14" s="1" customFormat="1" ht="37.5" customHeight="1">
      <c r="A44" s="204" t="s">
        <v>193</v>
      </c>
      <c r="B44" s="207" t="s">
        <v>120</v>
      </c>
      <c r="C44" s="205" t="s">
        <v>37</v>
      </c>
      <c r="D44" s="75">
        <v>180</v>
      </c>
      <c r="E44" s="35"/>
      <c r="F44" s="35"/>
      <c r="G44" s="35"/>
      <c r="H44" s="35"/>
      <c r="K44"/>
      <c r="L44"/>
      <c r="M44"/>
      <c r="N44"/>
    </row>
    <row r="45" spans="1:14" s="1" customFormat="1" ht="15.75" customHeight="1">
      <c r="A45" s="204" t="s">
        <v>241</v>
      </c>
      <c r="B45" s="207" t="s">
        <v>127</v>
      </c>
      <c r="C45" s="205" t="s">
        <v>211</v>
      </c>
      <c r="D45" s="75">
        <v>681</v>
      </c>
      <c r="E45" s="35"/>
      <c r="F45" s="35"/>
      <c r="G45" s="35"/>
      <c r="H45" s="35"/>
      <c r="K45"/>
      <c r="L45"/>
      <c r="M45"/>
      <c r="N45"/>
    </row>
    <row r="46" spans="1:14" s="1" customFormat="1" ht="15.75" customHeight="1">
      <c r="A46" s="204" t="s">
        <v>252</v>
      </c>
      <c r="B46" s="207" t="s">
        <v>129</v>
      </c>
      <c r="C46" s="115" t="s">
        <v>44</v>
      </c>
      <c r="D46" s="75">
        <f>967+198.6</f>
        <v>1165.6</v>
      </c>
      <c r="E46" s="35"/>
      <c r="F46" s="35"/>
      <c r="G46" s="35"/>
      <c r="H46" s="35"/>
      <c r="K46"/>
      <c r="L46"/>
      <c r="M46"/>
      <c r="N46"/>
    </row>
    <row r="47" spans="1:14" s="1" customFormat="1" ht="15.75" customHeight="1">
      <c r="A47" s="204" t="s">
        <v>165</v>
      </c>
      <c r="B47" s="207" t="s">
        <v>122</v>
      </c>
      <c r="C47" s="205" t="s">
        <v>211</v>
      </c>
      <c r="D47" s="75">
        <v>30450</v>
      </c>
      <c r="E47" s="35"/>
      <c r="F47" s="35"/>
      <c r="G47" s="35"/>
      <c r="H47" s="35"/>
      <c r="K47"/>
      <c r="L47"/>
      <c r="M47"/>
      <c r="N47"/>
    </row>
    <row r="48" spans="1:14" s="1" customFormat="1" ht="15.75" customHeight="1">
      <c r="A48" s="204" t="s">
        <v>277</v>
      </c>
      <c r="B48" s="207" t="s">
        <v>306</v>
      </c>
      <c r="C48" s="115" t="s">
        <v>44</v>
      </c>
      <c r="D48" s="75">
        <v>1276</v>
      </c>
      <c r="E48" s="35"/>
      <c r="F48" s="35"/>
      <c r="G48" s="35"/>
      <c r="H48" s="35"/>
      <c r="K48"/>
      <c r="L48"/>
      <c r="M48"/>
      <c r="N48"/>
    </row>
    <row r="49" spans="1:14" s="1" customFormat="1" ht="15.75" customHeight="1">
      <c r="A49" s="224" t="s">
        <v>307</v>
      </c>
      <c r="B49" s="207" t="s">
        <v>123</v>
      </c>
      <c r="C49" s="115" t="s">
        <v>44</v>
      </c>
      <c r="D49" s="75">
        <v>680</v>
      </c>
      <c r="E49" s="35"/>
      <c r="F49" s="35"/>
      <c r="G49" s="35"/>
      <c r="H49" s="35"/>
      <c r="K49"/>
      <c r="L49"/>
      <c r="M49"/>
      <c r="N49"/>
    </row>
    <row r="50" spans="1:14" s="1" customFormat="1" ht="15.75" customHeight="1">
      <c r="A50" s="224" t="s">
        <v>308</v>
      </c>
      <c r="B50" s="207" t="s">
        <v>123</v>
      </c>
      <c r="C50" s="115" t="s">
        <v>44</v>
      </c>
      <c r="D50" s="75">
        <v>3585</v>
      </c>
      <c r="E50" s="35"/>
      <c r="F50" s="35"/>
      <c r="G50" s="35"/>
      <c r="H50" s="35"/>
      <c r="K50"/>
      <c r="L50"/>
      <c r="M50"/>
      <c r="N50"/>
    </row>
    <row r="51" spans="1:14" s="1" customFormat="1" ht="15.75" customHeight="1">
      <c r="A51" s="224" t="s">
        <v>309</v>
      </c>
      <c r="B51" s="207" t="s">
        <v>126</v>
      </c>
      <c r="C51" s="115" t="s">
        <v>44</v>
      </c>
      <c r="D51" s="75">
        <v>4146</v>
      </c>
      <c r="E51" s="444"/>
      <c r="F51" s="35"/>
      <c r="G51" s="35"/>
      <c r="H51" s="35"/>
      <c r="K51"/>
      <c r="L51"/>
      <c r="M51"/>
      <c r="N51"/>
    </row>
    <row r="52" spans="1:14" s="1" customFormat="1" ht="12.75">
      <c r="A52" s="24" t="s">
        <v>54</v>
      </c>
      <c r="B52" s="112"/>
      <c r="C52" s="115"/>
      <c r="D52" s="76">
        <f>D29+D30+D31+D32+D33+D34+D35+D36+D37+D39+D40+D41</f>
        <v>410521.62</v>
      </c>
      <c r="E52" s="480">
        <f>D52-D39-D40-D41</f>
        <v>307243.61000000004</v>
      </c>
      <c r="F52" s="35"/>
      <c r="G52" s="35"/>
      <c r="H52" s="35"/>
      <c r="K52"/>
      <c r="L52"/>
      <c r="M52"/>
      <c r="N52"/>
    </row>
    <row r="53" spans="1:14" s="1" customFormat="1" ht="12.75">
      <c r="A53" s="24" t="s">
        <v>55</v>
      </c>
      <c r="B53" s="112"/>
      <c r="C53" s="115"/>
      <c r="D53" s="76">
        <f>C26-D52</f>
        <v>161969.47343200003</v>
      </c>
      <c r="E53" s="455"/>
      <c r="F53" s="35"/>
      <c r="G53" s="35"/>
      <c r="H53" s="35"/>
      <c r="K53"/>
      <c r="L53"/>
      <c r="M53"/>
      <c r="N53"/>
    </row>
    <row r="54" spans="1:8" ht="12.75">
      <c r="A54" s="115" t="s">
        <v>13</v>
      </c>
      <c r="B54" s="112" t="s">
        <v>12</v>
      </c>
      <c r="C54" s="115"/>
      <c r="D54" s="80">
        <v>0</v>
      </c>
      <c r="E54" s="444"/>
      <c r="F54" s="35"/>
      <c r="G54" s="35"/>
      <c r="H54" s="35"/>
    </row>
    <row r="55" spans="1:8" ht="12.75">
      <c r="A55" s="115" t="s">
        <v>14</v>
      </c>
      <c r="B55" s="112" t="s">
        <v>12</v>
      </c>
      <c r="C55" s="115"/>
      <c r="D55" s="76">
        <v>66585.4</v>
      </c>
      <c r="E55" s="35"/>
      <c r="F55" s="35"/>
      <c r="G55" s="35"/>
      <c r="H55" s="35"/>
    </row>
    <row r="56" spans="1:8" ht="24" customHeight="1">
      <c r="A56" s="539" t="s">
        <v>56</v>
      </c>
      <c r="B56" s="539"/>
      <c r="C56" s="539"/>
      <c r="D56" s="539"/>
      <c r="E56" s="35"/>
      <c r="F56" s="35"/>
      <c r="G56" s="35"/>
      <c r="H56" s="35"/>
    </row>
    <row r="57" spans="1:8" ht="12.75">
      <c r="A57" s="115" t="s">
        <v>57</v>
      </c>
      <c r="B57" s="112" t="s">
        <v>58</v>
      </c>
      <c r="C57" s="115"/>
      <c r="D57" s="80">
        <v>0</v>
      </c>
      <c r="E57" s="35"/>
      <c r="F57" s="35"/>
      <c r="G57" s="35"/>
      <c r="H57" s="35"/>
    </row>
    <row r="58" spans="1:8" ht="12.75">
      <c r="A58" s="115" t="s">
        <v>59</v>
      </c>
      <c r="B58" s="112" t="s">
        <v>58</v>
      </c>
      <c r="C58" s="115"/>
      <c r="D58" s="80">
        <v>0</v>
      </c>
      <c r="E58" s="35"/>
      <c r="F58" s="35"/>
      <c r="G58" s="35"/>
      <c r="H58" s="35"/>
    </row>
    <row r="59" spans="1:8" ht="25.5">
      <c r="A59" s="130" t="s">
        <v>60</v>
      </c>
      <c r="B59" s="112" t="s">
        <v>58</v>
      </c>
      <c r="C59" s="115"/>
      <c r="D59" s="80">
        <v>0</v>
      </c>
      <c r="E59" s="35"/>
      <c r="F59" s="35"/>
      <c r="G59" s="35"/>
      <c r="H59" s="35"/>
    </row>
    <row r="60" spans="1:8" ht="12.75">
      <c r="A60" s="115" t="s">
        <v>61</v>
      </c>
      <c r="B60" s="112" t="s">
        <v>12</v>
      </c>
      <c r="C60" s="115"/>
      <c r="D60" s="80">
        <v>0</v>
      </c>
      <c r="E60" s="35"/>
      <c r="F60" s="35"/>
      <c r="G60" s="35"/>
      <c r="H60" s="35"/>
    </row>
    <row r="61" spans="1:8" ht="20.25" customHeight="1">
      <c r="A61" s="540" t="s">
        <v>62</v>
      </c>
      <c r="B61" s="540"/>
      <c r="C61" s="540"/>
      <c r="D61" s="540"/>
      <c r="E61" s="35"/>
      <c r="F61" s="35"/>
      <c r="G61" s="35"/>
      <c r="H61" s="35"/>
    </row>
    <row r="62" spans="1:8" ht="25.5">
      <c r="A62" s="130" t="s">
        <v>63</v>
      </c>
      <c r="B62" s="112" t="s">
        <v>12</v>
      </c>
      <c r="C62" s="115"/>
      <c r="D62" s="115">
        <v>0</v>
      </c>
      <c r="E62" s="35"/>
      <c r="F62" s="35"/>
      <c r="G62" s="35"/>
      <c r="H62" s="35"/>
    </row>
    <row r="63" spans="1:8" ht="12.75">
      <c r="A63" s="115" t="s">
        <v>13</v>
      </c>
      <c r="B63" s="112" t="s">
        <v>12</v>
      </c>
      <c r="C63" s="115"/>
      <c r="D63" s="115">
        <v>0</v>
      </c>
      <c r="E63" s="35"/>
      <c r="F63" s="35"/>
      <c r="G63" s="35"/>
      <c r="H63" s="35"/>
    </row>
    <row r="64" spans="1:8" ht="12.75">
      <c r="A64" s="115" t="s">
        <v>14</v>
      </c>
      <c r="B64" s="112" t="s">
        <v>12</v>
      </c>
      <c r="C64" s="115"/>
      <c r="D64" s="229">
        <f>D67-D70-D71-D72-D73-D74</f>
        <v>280950.3639499999</v>
      </c>
      <c r="E64" s="35"/>
      <c r="F64" s="35"/>
      <c r="G64" s="35"/>
      <c r="H64" s="37"/>
    </row>
    <row r="65" spans="1:8" ht="12.75">
      <c r="A65" s="132" t="s">
        <v>102</v>
      </c>
      <c r="B65" s="112" t="s">
        <v>12</v>
      </c>
      <c r="C65" s="230"/>
      <c r="D65" s="478">
        <v>0</v>
      </c>
      <c r="E65" s="35"/>
      <c r="F65" s="35"/>
      <c r="G65" s="35"/>
      <c r="H65" s="35"/>
    </row>
    <row r="66" spans="1:10" ht="17.25" customHeight="1">
      <c r="A66" s="135" t="s">
        <v>13</v>
      </c>
      <c r="B66" s="112" t="s">
        <v>12</v>
      </c>
      <c r="C66" s="115"/>
      <c r="D66" s="115">
        <v>0</v>
      </c>
      <c r="E66" s="35"/>
      <c r="F66" s="35"/>
      <c r="G66" s="35"/>
      <c r="H66" s="35"/>
      <c r="I66" s="3"/>
      <c r="J66" s="3"/>
    </row>
    <row r="67" spans="1:14" ht="12.75">
      <c r="A67" s="136" t="s">
        <v>14</v>
      </c>
      <c r="B67" s="112" t="s">
        <v>12</v>
      </c>
      <c r="C67" s="208"/>
      <c r="D67" s="208">
        <v>212887.25</v>
      </c>
      <c r="E67" s="35"/>
      <c r="F67" s="35"/>
      <c r="G67" s="35"/>
      <c r="H67" s="35" t="s">
        <v>27</v>
      </c>
      <c r="I67" s="4"/>
      <c r="J67" s="4"/>
      <c r="K67" s="5"/>
      <c r="L67" s="5"/>
      <c r="M67" s="5"/>
      <c r="N67" s="5"/>
    </row>
    <row r="68" spans="1:14" ht="18" customHeight="1">
      <c r="A68" s="541" t="s">
        <v>65</v>
      </c>
      <c r="B68" s="541"/>
      <c r="C68" s="541"/>
      <c r="D68" s="541"/>
      <c r="E68" s="40"/>
      <c r="F68" s="44"/>
      <c r="G68" s="45"/>
      <c r="H68" s="35"/>
      <c r="I68" s="9"/>
      <c r="J68" s="9"/>
      <c r="K68" s="10"/>
      <c r="L68" s="10"/>
      <c r="M68" s="10"/>
      <c r="N68" s="10"/>
    </row>
    <row r="69" spans="1:14" ht="38.25">
      <c r="A69" s="11" t="s">
        <v>66</v>
      </c>
      <c r="B69" s="12" t="s">
        <v>67</v>
      </c>
      <c r="C69" s="54" t="s">
        <v>68</v>
      </c>
      <c r="D69" s="55" t="s">
        <v>103</v>
      </c>
      <c r="E69" s="40"/>
      <c r="F69" s="44"/>
      <c r="G69" s="45"/>
      <c r="H69" s="35"/>
      <c r="I69" s="9"/>
      <c r="J69" s="9"/>
      <c r="K69" s="10"/>
      <c r="L69" s="10"/>
      <c r="M69" s="10"/>
      <c r="N69" s="10"/>
    </row>
    <row r="70" spans="1:14" ht="12.75">
      <c r="A70" s="396" t="s">
        <v>368</v>
      </c>
      <c r="B70" s="25">
        <v>121990.98</v>
      </c>
      <c r="C70" s="60">
        <f>B70</f>
        <v>121990.98</v>
      </c>
      <c r="D70" s="391">
        <f>B70-C70</f>
        <v>0</v>
      </c>
      <c r="E70" s="40"/>
      <c r="F70" s="44"/>
      <c r="G70" s="45"/>
      <c r="H70" s="35"/>
      <c r="I70" s="9"/>
      <c r="J70" s="9"/>
      <c r="K70" s="10"/>
      <c r="L70" s="10"/>
      <c r="M70" s="10"/>
      <c r="N70" s="10"/>
    </row>
    <row r="71" spans="1:14" ht="12.75">
      <c r="A71" s="140" t="s">
        <v>70</v>
      </c>
      <c r="B71" s="99">
        <v>86784.4</v>
      </c>
      <c r="C71" s="60">
        <f>B71*1.0533</f>
        <v>91410.00851999999</v>
      </c>
      <c r="D71" s="458">
        <f>B71-C71</f>
        <v>-4625.608519999994</v>
      </c>
      <c r="E71" s="40"/>
      <c r="F71" s="44"/>
      <c r="G71" s="45"/>
      <c r="H71" s="35"/>
      <c r="I71" s="9"/>
      <c r="J71" s="9"/>
      <c r="K71" s="10"/>
      <c r="L71" s="10"/>
      <c r="M71" s="10"/>
      <c r="N71" s="10"/>
    </row>
    <row r="72" spans="1:14" ht="12.75">
      <c r="A72" s="140" t="s">
        <v>71</v>
      </c>
      <c r="B72" s="99">
        <v>152942.96</v>
      </c>
      <c r="C72" s="60">
        <f>B72*1.0533</f>
        <v>161094.819768</v>
      </c>
      <c r="D72" s="458">
        <f>B72-C72</f>
        <v>-8151.859767999995</v>
      </c>
      <c r="E72" s="40"/>
      <c r="F72" s="44"/>
      <c r="G72" s="45"/>
      <c r="H72" s="35"/>
      <c r="I72" s="9"/>
      <c r="J72" s="9"/>
      <c r="K72" s="10"/>
      <c r="L72" s="10"/>
      <c r="M72" s="10"/>
      <c r="N72" s="10"/>
    </row>
    <row r="73" spans="1:14" ht="12.75">
      <c r="A73" s="140" t="s">
        <v>72</v>
      </c>
      <c r="B73" s="139">
        <v>821204.17</v>
      </c>
      <c r="C73" s="60">
        <f>B73*1.0533</f>
        <v>864974.352261</v>
      </c>
      <c r="D73" s="458">
        <f>B73-C73</f>
        <v>-43770.18226099992</v>
      </c>
      <c r="E73" s="40"/>
      <c r="F73" s="47"/>
      <c r="G73" s="48"/>
      <c r="H73" s="40"/>
      <c r="I73" s="9"/>
      <c r="J73" s="9"/>
      <c r="K73" s="10"/>
      <c r="L73" s="10"/>
      <c r="M73" s="10"/>
      <c r="N73" s="10"/>
    </row>
    <row r="74" spans="1:14" ht="13.5" thickBot="1">
      <c r="A74" s="140" t="s">
        <v>73</v>
      </c>
      <c r="B74" s="139">
        <v>216049.97</v>
      </c>
      <c r="C74" s="60">
        <f>B74*1.0533</f>
        <v>227565.433401</v>
      </c>
      <c r="D74" s="458">
        <f>B74-C74</f>
        <v>-11515.463400999986</v>
      </c>
      <c r="E74" s="40"/>
      <c r="F74" s="47"/>
      <c r="G74" s="48"/>
      <c r="H74" s="35"/>
      <c r="I74" s="9"/>
      <c r="J74" s="9"/>
      <c r="K74" s="10"/>
      <c r="L74" s="10"/>
      <c r="M74" s="10"/>
      <c r="N74" s="10"/>
    </row>
    <row r="75" spans="1:14" ht="63.75">
      <c r="A75" s="30" t="s">
        <v>75</v>
      </c>
      <c r="B75" s="31" t="s">
        <v>76</v>
      </c>
      <c r="C75" s="56" t="s">
        <v>77</v>
      </c>
      <c r="D75" s="57" t="s">
        <v>78</v>
      </c>
      <c r="E75" s="40"/>
      <c r="F75" s="47"/>
      <c r="G75" s="35"/>
      <c r="H75" s="39"/>
      <c r="I75" s="9"/>
      <c r="J75" s="9"/>
      <c r="K75" s="10"/>
      <c r="L75" s="10"/>
      <c r="M75" s="10"/>
      <c r="N75" s="10"/>
    </row>
    <row r="76" spans="1:14" ht="12.75">
      <c r="A76" s="397" t="s">
        <v>368</v>
      </c>
      <c r="B76" s="390">
        <v>121990.98</v>
      </c>
      <c r="C76" s="60">
        <f>B76</f>
        <v>121990.98</v>
      </c>
      <c r="D76" s="394">
        <f>B76-C76</f>
        <v>0</v>
      </c>
      <c r="E76" s="40"/>
      <c r="F76" s="47"/>
      <c r="G76" s="35"/>
      <c r="H76" s="39"/>
      <c r="I76" s="9"/>
      <c r="J76" s="9"/>
      <c r="K76" s="10"/>
      <c r="L76" s="10"/>
      <c r="M76" s="10"/>
      <c r="N76" s="10"/>
    </row>
    <row r="77" spans="1:14" ht="12.75">
      <c r="A77" s="211" t="s">
        <v>70</v>
      </c>
      <c r="B77" s="141">
        <f>B71</f>
        <v>86784.4</v>
      </c>
      <c r="C77" s="479">
        <f>C71</f>
        <v>91410.00851999999</v>
      </c>
      <c r="D77" s="460">
        <f>B77-C77</f>
        <v>-4625.608519999994</v>
      </c>
      <c r="E77" s="40"/>
      <c r="F77" s="47"/>
      <c r="G77" s="35"/>
      <c r="H77" s="39"/>
      <c r="I77" s="9"/>
      <c r="J77" s="9" t="s">
        <v>27</v>
      </c>
      <c r="K77" s="10"/>
      <c r="L77" s="10"/>
      <c r="M77" s="10"/>
      <c r="N77" s="10"/>
    </row>
    <row r="78" spans="1:14" ht="12.75">
      <c r="A78" s="211" t="s">
        <v>71</v>
      </c>
      <c r="B78" s="141">
        <f>B72</f>
        <v>152942.96</v>
      </c>
      <c r="C78" s="479">
        <f>C72</f>
        <v>161094.819768</v>
      </c>
      <c r="D78" s="460">
        <f>B78-C78</f>
        <v>-8151.859767999995</v>
      </c>
      <c r="E78" s="40"/>
      <c r="F78" s="47"/>
      <c r="G78" s="35"/>
      <c r="H78" s="39"/>
      <c r="I78" s="9"/>
      <c r="J78" s="9"/>
      <c r="K78" s="10"/>
      <c r="L78" s="10"/>
      <c r="M78" s="10"/>
      <c r="N78" s="10"/>
    </row>
    <row r="79" spans="1:14" ht="12.75">
      <c r="A79" s="211" t="s">
        <v>72</v>
      </c>
      <c r="B79" s="141">
        <v>829886.08</v>
      </c>
      <c r="C79" s="479">
        <f>C73</f>
        <v>864974.352261</v>
      </c>
      <c r="D79" s="460">
        <f>B79-C79</f>
        <v>-35088.272261000006</v>
      </c>
      <c r="E79" s="40"/>
      <c r="F79" s="47"/>
      <c r="G79" s="35"/>
      <c r="H79" s="39"/>
      <c r="I79" s="9"/>
      <c r="J79" s="9"/>
      <c r="K79" s="10"/>
      <c r="L79" s="10"/>
      <c r="M79" s="10"/>
      <c r="N79" s="10"/>
    </row>
    <row r="80" spans="1:14" ht="12.75">
      <c r="A80" s="211" t="s">
        <v>73</v>
      </c>
      <c r="B80" s="141">
        <f>B74</f>
        <v>216049.97</v>
      </c>
      <c r="C80" s="479">
        <f>C74</f>
        <v>227565.433401</v>
      </c>
      <c r="D80" s="460">
        <f>B80-C80</f>
        <v>-11515.463400999986</v>
      </c>
      <c r="E80" s="40"/>
      <c r="F80" s="47"/>
      <c r="G80" s="35"/>
      <c r="H80" s="39"/>
      <c r="I80" s="9"/>
      <c r="J80" s="9"/>
      <c r="K80" s="10"/>
      <c r="L80" s="10"/>
      <c r="M80" s="10"/>
      <c r="N80" s="10"/>
    </row>
    <row r="81" spans="1:14" ht="12.75">
      <c r="A81" s="218"/>
      <c r="B81" s="144"/>
      <c r="C81" s="219"/>
      <c r="D81" s="220"/>
      <c r="E81" s="40"/>
      <c r="F81" s="47"/>
      <c r="G81" s="35"/>
      <c r="H81" s="39"/>
      <c r="I81" s="9"/>
      <c r="J81" s="9"/>
      <c r="K81" s="10"/>
      <c r="L81" s="10"/>
      <c r="M81" s="10"/>
      <c r="N81" s="10"/>
    </row>
    <row r="82" spans="1:14" ht="25.5">
      <c r="A82" s="221" t="s">
        <v>79</v>
      </c>
      <c r="B82" s="144" t="s">
        <v>12</v>
      </c>
      <c r="C82" s="222"/>
      <c r="D82" s="223">
        <v>46688.96</v>
      </c>
      <c r="E82" s="40"/>
      <c r="F82" s="47"/>
      <c r="G82" s="35"/>
      <c r="H82" s="39"/>
      <c r="I82" s="9"/>
      <c r="J82" s="9" t="s">
        <v>27</v>
      </c>
      <c r="K82" s="10"/>
      <c r="L82" s="10"/>
      <c r="M82" s="10"/>
      <c r="N82" s="10"/>
    </row>
    <row r="83" spans="1:14" ht="17.25" customHeight="1">
      <c r="A83" s="542" t="s">
        <v>80</v>
      </c>
      <c r="B83" s="542"/>
      <c r="C83" s="542"/>
      <c r="D83" s="542"/>
      <c r="E83" s="49" t="e">
        <f>D83+B18</f>
        <v>#VALUE!</v>
      </c>
      <c r="F83" s="39"/>
      <c r="G83" s="35"/>
      <c r="H83" s="41" t="e">
        <f>E83-B17</f>
        <v>#VALUE!</v>
      </c>
      <c r="I83" s="9"/>
      <c r="J83" s="9"/>
      <c r="K83" s="10"/>
      <c r="L83" s="10"/>
      <c r="M83" s="10"/>
      <c r="N83" s="10"/>
    </row>
    <row r="84" spans="1:8" ht="21" customHeight="1">
      <c r="A84" s="20" t="s">
        <v>57</v>
      </c>
      <c r="B84" s="20" t="s">
        <v>58</v>
      </c>
      <c r="C84" s="28"/>
      <c r="D84" s="470">
        <v>1</v>
      </c>
      <c r="E84" s="50"/>
      <c r="F84" s="35"/>
      <c r="G84" s="35"/>
      <c r="H84" s="35"/>
    </row>
    <row r="85" spans="1:8" ht="21" customHeight="1">
      <c r="A85" s="20" t="s">
        <v>59</v>
      </c>
      <c r="B85" s="20" t="s">
        <v>58</v>
      </c>
      <c r="C85" s="28"/>
      <c r="D85" s="470">
        <v>1</v>
      </c>
      <c r="E85" s="50"/>
      <c r="F85" s="35"/>
      <c r="G85" s="35"/>
      <c r="H85" s="35"/>
    </row>
    <row r="86" spans="1:14" s="1" customFormat="1" ht="18" customHeight="1">
      <c r="A86" s="20" t="s">
        <v>60</v>
      </c>
      <c r="B86" s="20" t="s">
        <v>58</v>
      </c>
      <c r="C86" s="28"/>
      <c r="D86" s="470">
        <v>0</v>
      </c>
      <c r="E86" s="50"/>
      <c r="F86" s="35"/>
      <c r="G86" s="35"/>
      <c r="H86" s="35"/>
      <c r="K86"/>
      <c r="L86"/>
      <c r="M86"/>
      <c r="N86"/>
    </row>
    <row r="87" spans="1:14" s="1" customFormat="1" ht="16.5" customHeight="1">
      <c r="A87" s="20" t="s">
        <v>61</v>
      </c>
      <c r="B87" s="20" t="s">
        <v>12</v>
      </c>
      <c r="C87" s="28"/>
      <c r="D87" s="88">
        <v>632.37</v>
      </c>
      <c r="E87" s="50"/>
      <c r="F87" s="35"/>
      <c r="G87" s="35"/>
      <c r="H87" s="35"/>
      <c r="K87"/>
      <c r="L87"/>
      <c r="M87"/>
      <c r="N87"/>
    </row>
    <row r="88" spans="1:14" s="1" customFormat="1" ht="15.75" customHeight="1">
      <c r="A88" s="529" t="s">
        <v>81</v>
      </c>
      <c r="B88" s="529"/>
      <c r="C88" s="529"/>
      <c r="D88" s="529"/>
      <c r="E88" s="50"/>
      <c r="F88" s="35"/>
      <c r="G88" s="35"/>
      <c r="H88" s="35"/>
      <c r="K88"/>
      <c r="L88"/>
      <c r="M88"/>
      <c r="N88"/>
    </row>
    <row r="89" spans="1:14" s="1" customFormat="1" ht="18.75" customHeight="1">
      <c r="A89" s="20" t="s">
        <v>82</v>
      </c>
      <c r="B89" s="20" t="s">
        <v>58</v>
      </c>
      <c r="C89" s="28"/>
      <c r="D89" s="470">
        <v>0</v>
      </c>
      <c r="E89" s="50"/>
      <c r="F89" s="35"/>
      <c r="G89" s="35"/>
      <c r="H89" s="35"/>
      <c r="K89"/>
      <c r="L89"/>
      <c r="M89"/>
      <c r="N89"/>
    </row>
    <row r="90" spans="1:14" s="1" customFormat="1" ht="21.75" customHeight="1">
      <c r="A90" s="20" t="s">
        <v>83</v>
      </c>
      <c r="B90" s="135" t="s">
        <v>58</v>
      </c>
      <c r="C90" s="145"/>
      <c r="D90" s="470">
        <v>1</v>
      </c>
      <c r="E90" s="50"/>
      <c r="F90" s="35"/>
      <c r="G90" s="35"/>
      <c r="H90" s="35"/>
      <c r="K90"/>
      <c r="L90"/>
      <c r="M90"/>
      <c r="N90"/>
    </row>
    <row r="91" spans="1:14" s="1" customFormat="1" ht="36" customHeight="1">
      <c r="A91" s="146" t="s">
        <v>84</v>
      </c>
      <c r="B91" s="20" t="s">
        <v>12</v>
      </c>
      <c r="C91" s="28"/>
      <c r="D91" s="88">
        <v>121000</v>
      </c>
      <c r="E91" s="50"/>
      <c r="F91" s="35"/>
      <c r="G91" s="35"/>
      <c r="H91" s="35"/>
      <c r="K91"/>
      <c r="L91"/>
      <c r="M91"/>
      <c r="N91"/>
    </row>
    <row r="92" spans="1:14" s="1" customFormat="1" ht="12.75">
      <c r="A92" s="147"/>
      <c r="B92" s="147"/>
      <c r="C92" s="147"/>
      <c r="D92" s="148"/>
      <c r="E92" s="35"/>
      <c r="F92" s="35"/>
      <c r="G92" s="35"/>
      <c r="H92" s="35"/>
      <c r="K92"/>
      <c r="L92"/>
      <c r="M92"/>
      <c r="N92"/>
    </row>
    <row r="93" spans="1:14" s="1" customFormat="1" ht="12.75">
      <c r="A93" s="81"/>
      <c r="B93" s="81"/>
      <c r="C93" s="81"/>
      <c r="D93" s="81"/>
      <c r="E93" s="35"/>
      <c r="F93" s="35"/>
      <c r="G93" s="35"/>
      <c r="H93" s="35" t="s">
        <v>27</v>
      </c>
      <c r="K93"/>
      <c r="L93"/>
      <c r="M93"/>
      <c r="N93"/>
    </row>
    <row r="94" spans="1:14" s="1" customFormat="1" ht="12.75">
      <c r="A94" s="90" t="s">
        <v>160</v>
      </c>
      <c r="B94" s="81"/>
      <c r="C94" s="81"/>
      <c r="D94" s="81"/>
      <c r="E94" s="35"/>
      <c r="F94" s="35"/>
      <c r="G94" s="35"/>
      <c r="H94" s="35"/>
      <c r="K94"/>
      <c r="L94"/>
      <c r="M94"/>
      <c r="N94"/>
    </row>
    <row r="95" spans="1:14" s="1" customFormat="1" ht="12.75">
      <c r="A95" s="81"/>
      <c r="B95" s="81"/>
      <c r="C95" s="81"/>
      <c r="D95" s="81"/>
      <c r="E95" s="35"/>
      <c r="F95" s="35"/>
      <c r="G95" s="35"/>
      <c r="H95" s="35" t="s">
        <v>27</v>
      </c>
      <c r="K95"/>
      <c r="L95"/>
      <c r="M95"/>
      <c r="N95"/>
    </row>
    <row r="96" spans="1:14" s="1" customFormat="1" ht="12.75">
      <c r="A96" s="81" t="s">
        <v>85</v>
      </c>
      <c r="B96" s="81"/>
      <c r="C96" s="81"/>
      <c r="D96" s="81"/>
      <c r="E96" s="35"/>
      <c r="F96" s="35"/>
      <c r="G96" s="35"/>
      <c r="H96" s="35"/>
      <c r="K96"/>
      <c r="L96"/>
      <c r="M96"/>
      <c r="N96"/>
    </row>
    <row r="97" spans="1:8" ht="12.75">
      <c r="A97" s="81"/>
      <c r="B97" s="81"/>
      <c r="C97" s="81"/>
      <c r="D97" s="81"/>
      <c r="E97" s="35"/>
      <c r="F97" s="35"/>
      <c r="G97" s="35"/>
      <c r="H97" s="35"/>
    </row>
    <row r="98" spans="1:8" ht="12.75">
      <c r="A98" s="51"/>
      <c r="B98" s="51"/>
      <c r="C98" s="51"/>
      <c r="D98" s="51"/>
      <c r="E98" s="35"/>
      <c r="F98" s="35"/>
      <c r="G98" s="35"/>
      <c r="H98" s="35"/>
    </row>
    <row r="99" spans="1:8" ht="12.75">
      <c r="A99" s="51"/>
      <c r="B99" s="51"/>
      <c r="C99" s="51"/>
      <c r="D99" s="51"/>
      <c r="E99" s="35"/>
      <c r="F99" s="35"/>
      <c r="G99" s="35"/>
      <c r="H99" s="35"/>
    </row>
    <row r="100" spans="1:14" s="1" customFormat="1" ht="12.75">
      <c r="A100" s="51"/>
      <c r="B100" s="51"/>
      <c r="C100" s="51"/>
      <c r="D100" s="51"/>
      <c r="E100" s="35" t="s">
        <v>27</v>
      </c>
      <c r="F100" s="35"/>
      <c r="G100" s="35"/>
      <c r="H100" s="35"/>
      <c r="K100"/>
      <c r="L100"/>
      <c r="M100"/>
      <c r="N100"/>
    </row>
    <row r="101" spans="1:4" ht="12.75">
      <c r="A101" s="51"/>
      <c r="B101" s="51"/>
      <c r="C101" s="51"/>
      <c r="D101" s="51"/>
    </row>
    <row r="102" spans="1:4" ht="12.75">
      <c r="A102" s="51"/>
      <c r="B102" s="51"/>
      <c r="C102" s="51"/>
      <c r="D102" s="51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13:D13"/>
    <mergeCell ref="A27:D27"/>
    <mergeCell ref="A56:D56"/>
    <mergeCell ref="A61:D61"/>
    <mergeCell ref="A68:D68"/>
    <mergeCell ref="A83:D83"/>
    <mergeCell ref="A88:D88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="98" zoomScaleNormal="98" zoomScalePageLayoutView="0" workbookViewId="0" topLeftCell="A84">
      <selection activeCell="A1" sqref="A1:D106"/>
    </sheetView>
  </sheetViews>
  <sheetFormatPr defaultColWidth="11.57421875" defaultRowHeight="12.75"/>
  <cols>
    <col min="1" max="1" width="54.421875" style="0" customWidth="1"/>
    <col min="2" max="2" width="14.8515625" style="0" customWidth="1"/>
    <col min="3" max="3" width="27.421875" style="0" customWidth="1"/>
    <col min="4" max="4" width="17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30" t="s">
        <v>0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4" t="s">
        <v>110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spans="1:4" ht="3" customHeight="1">
      <c r="A6" s="201"/>
      <c r="B6" s="81"/>
      <c r="C6" s="81"/>
      <c r="D6" s="81"/>
    </row>
    <row r="7" spans="1:4" ht="13.5" customHeight="1">
      <c r="A7" s="23" t="s">
        <v>3</v>
      </c>
      <c r="B7" s="23"/>
      <c r="C7" s="23"/>
      <c r="D7" s="23"/>
    </row>
    <row r="8" spans="1:4" ht="13.5" customHeight="1">
      <c r="A8" s="53" t="s">
        <v>357</v>
      </c>
      <c r="B8" s="23"/>
      <c r="C8" s="23"/>
      <c r="D8" s="23"/>
    </row>
    <row r="9" spans="1:4" ht="12.75">
      <c r="A9" s="94">
        <v>1</v>
      </c>
      <c r="B9" s="94">
        <v>2</v>
      </c>
      <c r="C9" s="94">
        <v>3</v>
      </c>
      <c r="D9" s="95">
        <v>4</v>
      </c>
    </row>
    <row r="10" spans="1:4" ht="12.75">
      <c r="A10" s="65" t="s">
        <v>7</v>
      </c>
      <c r="B10" s="96"/>
      <c r="C10" s="97" t="s">
        <v>190</v>
      </c>
      <c r="D10" s="80"/>
    </row>
    <row r="11" spans="1:4" ht="12.75">
      <c r="A11" s="65" t="s">
        <v>8</v>
      </c>
      <c r="B11" s="96"/>
      <c r="C11" s="97" t="s">
        <v>205</v>
      </c>
      <c r="D11" s="80"/>
    </row>
    <row r="12" spans="1:4" ht="12.75">
      <c r="A12" s="65" t="s">
        <v>9</v>
      </c>
      <c r="B12" s="96"/>
      <c r="C12" s="97" t="s">
        <v>191</v>
      </c>
      <c r="D12" s="80"/>
    </row>
    <row r="13" spans="1:8" ht="31.5" customHeight="1">
      <c r="A13" s="535" t="s">
        <v>10</v>
      </c>
      <c r="B13" s="535"/>
      <c r="C13" s="535"/>
      <c r="D13" s="535"/>
      <c r="E13" s="35"/>
      <c r="F13" s="35"/>
      <c r="G13" s="35"/>
      <c r="H13" s="35"/>
    </row>
    <row r="14" spans="1:8" ht="15.75">
      <c r="A14" s="65" t="s">
        <v>94</v>
      </c>
      <c r="B14" s="98" t="s">
        <v>12</v>
      </c>
      <c r="C14" s="73">
        <v>55487.95</v>
      </c>
      <c r="D14" s="234"/>
      <c r="E14" s="35"/>
      <c r="F14" s="35"/>
      <c r="G14" s="35"/>
      <c r="H14" s="35"/>
    </row>
    <row r="15" spans="1:8" ht="13.5" customHeight="1">
      <c r="A15" s="65" t="s">
        <v>13</v>
      </c>
      <c r="B15" s="98" t="s">
        <v>12</v>
      </c>
      <c r="C15" s="235">
        <v>0</v>
      </c>
      <c r="D15" s="234"/>
      <c r="E15" s="35"/>
      <c r="F15" s="35"/>
      <c r="G15" s="35"/>
      <c r="H15" s="35"/>
    </row>
    <row r="16" spans="1:8" ht="15.75">
      <c r="A16" s="65" t="s">
        <v>14</v>
      </c>
      <c r="B16" s="98" t="s">
        <v>12</v>
      </c>
      <c r="C16" s="73">
        <v>118471.81608000002</v>
      </c>
      <c r="D16" s="82"/>
      <c r="E16" s="35"/>
      <c r="F16" s="35"/>
      <c r="G16" s="35"/>
      <c r="H16" s="35"/>
    </row>
    <row r="17" spans="1:8" ht="26.25" customHeight="1">
      <c r="A17" s="64" t="s">
        <v>15</v>
      </c>
      <c r="B17" s="98" t="s">
        <v>12</v>
      </c>
      <c r="C17" s="73">
        <f>1183538.08+5627.28+3069.48+104365.26</f>
        <v>1296600.1</v>
      </c>
      <c r="D17" s="82"/>
      <c r="E17" s="42">
        <f>C17-C19</f>
        <v>1115239.318</v>
      </c>
      <c r="F17" s="35"/>
      <c r="G17" s="35"/>
      <c r="H17" s="35"/>
    </row>
    <row r="18" spans="1:8" ht="15.75">
      <c r="A18" s="65" t="s">
        <v>16</v>
      </c>
      <c r="B18" s="98" t="s">
        <v>12</v>
      </c>
      <c r="C18" s="73">
        <f>C17-C19-C20</f>
        <v>900880.5939999999</v>
      </c>
      <c r="D18" s="82"/>
      <c r="E18" s="42">
        <f>E17-E63</f>
        <v>113062.02000000014</v>
      </c>
      <c r="F18" s="35"/>
      <c r="G18" s="35"/>
      <c r="H18" s="35"/>
    </row>
    <row r="19" spans="1:8" ht="15.75">
      <c r="A19" s="65" t="s">
        <v>17</v>
      </c>
      <c r="B19" s="98" t="s">
        <v>12</v>
      </c>
      <c r="C19" s="73">
        <f>(3.74+3.35)*6*4263.3</f>
        <v>181360.782</v>
      </c>
      <c r="D19" s="82"/>
      <c r="E19" s="42"/>
      <c r="F19" s="35"/>
      <c r="G19" s="35"/>
      <c r="H19" s="35"/>
    </row>
    <row r="20" spans="1:8" ht="15.75">
      <c r="A20" s="65" t="s">
        <v>18</v>
      </c>
      <c r="B20" s="98" t="s">
        <v>12</v>
      </c>
      <c r="C20" s="73">
        <f>4.19*12*4263.3</f>
        <v>214358.72400000002</v>
      </c>
      <c r="D20" s="82"/>
      <c r="E20" s="35"/>
      <c r="F20" s="35"/>
      <c r="G20" s="35"/>
      <c r="H20" s="35"/>
    </row>
    <row r="21" spans="1:8" ht="15.75">
      <c r="A21" s="65" t="s">
        <v>19</v>
      </c>
      <c r="B21" s="98" t="s">
        <v>12</v>
      </c>
      <c r="C21" s="73">
        <f>C22+C23+C24+C25</f>
        <v>1341770.9625300001</v>
      </c>
      <c r="D21" s="82" t="s">
        <v>20</v>
      </c>
      <c r="E21" s="42"/>
      <c r="F21" s="35"/>
      <c r="G21" s="35"/>
      <c r="H21" s="35"/>
    </row>
    <row r="22" spans="1:8" ht="15.75">
      <c r="A22" s="65" t="s">
        <v>21</v>
      </c>
      <c r="B22" s="98" t="s">
        <v>12</v>
      </c>
      <c r="C22" s="73">
        <f>C17*1.0253</f>
        <v>1329404.0825300002</v>
      </c>
      <c r="D22" s="82"/>
      <c r="E22" s="35"/>
      <c r="F22" s="35"/>
      <c r="G22" s="35"/>
      <c r="H22" s="35"/>
    </row>
    <row r="23" spans="1:8" ht="13.5" customHeight="1">
      <c r="A23" s="65" t="s">
        <v>22</v>
      </c>
      <c r="B23" s="98" t="s">
        <v>12</v>
      </c>
      <c r="C23" s="73">
        <v>0</v>
      </c>
      <c r="D23" s="82"/>
      <c r="E23" s="43"/>
      <c r="F23" s="35"/>
      <c r="G23" s="35"/>
      <c r="H23" s="35"/>
    </row>
    <row r="24" spans="1:8" ht="15.75">
      <c r="A24" s="65" t="s">
        <v>24</v>
      </c>
      <c r="B24" s="98" t="s">
        <v>12</v>
      </c>
      <c r="C24" s="73">
        <v>0</v>
      </c>
      <c r="D24" s="82"/>
      <c r="E24" s="43"/>
      <c r="F24" s="35"/>
      <c r="G24" s="35"/>
      <c r="H24" s="35"/>
    </row>
    <row r="25" spans="1:8" ht="15.75">
      <c r="A25" s="96" t="s">
        <v>25</v>
      </c>
      <c r="B25" s="98" t="s">
        <v>12</v>
      </c>
      <c r="C25" s="73">
        <f>4682.19+4903.57+2781.12</f>
        <v>12366.879999999997</v>
      </c>
      <c r="D25" s="82"/>
      <c r="E25" s="43"/>
      <c r="F25" s="35"/>
      <c r="G25" s="35"/>
      <c r="H25" s="35"/>
    </row>
    <row r="26" spans="1:8" ht="15.75">
      <c r="A26" s="65" t="s">
        <v>26</v>
      </c>
      <c r="B26" s="98" t="s">
        <v>12</v>
      </c>
      <c r="C26" s="73">
        <f>C14+C21</f>
        <v>1397258.91253</v>
      </c>
      <c r="D26" s="82" t="s">
        <v>27</v>
      </c>
      <c r="E26" s="43"/>
      <c r="F26" s="35"/>
      <c r="G26" s="35"/>
      <c r="H26" s="35"/>
    </row>
    <row r="27" spans="1:8" ht="35.25" customHeight="1">
      <c r="A27" s="526" t="s">
        <v>28</v>
      </c>
      <c r="B27" s="526"/>
      <c r="C27" s="526"/>
      <c r="D27" s="526"/>
      <c r="E27" s="35"/>
      <c r="F27" s="35"/>
      <c r="G27" s="35"/>
      <c r="H27" s="35"/>
    </row>
    <row r="28" spans="1:8" ht="63">
      <c r="A28" s="130" t="s">
        <v>29</v>
      </c>
      <c r="B28" s="236" t="s">
        <v>30</v>
      </c>
      <c r="C28" s="237" t="s">
        <v>31</v>
      </c>
      <c r="D28" s="238" t="s">
        <v>32</v>
      </c>
      <c r="E28" s="35"/>
      <c r="F28" s="35"/>
      <c r="G28" s="35"/>
      <c r="H28" s="35"/>
    </row>
    <row r="29" spans="1:8" ht="15.75">
      <c r="A29" s="115" t="s">
        <v>95</v>
      </c>
      <c r="B29" s="239" t="s">
        <v>34</v>
      </c>
      <c r="C29" s="272" t="s">
        <v>363</v>
      </c>
      <c r="D29" s="82">
        <f>(0.42+0.32)*6*4263.3</f>
        <v>18929.052</v>
      </c>
      <c r="E29" s="35"/>
      <c r="F29" s="35"/>
      <c r="G29" s="35"/>
      <c r="H29" s="35"/>
    </row>
    <row r="30" spans="1:8" ht="15.75">
      <c r="A30" s="115" t="s">
        <v>88</v>
      </c>
      <c r="B30" s="239" t="s">
        <v>36</v>
      </c>
      <c r="C30" s="241" t="s">
        <v>44</v>
      </c>
      <c r="D30" s="82">
        <f>(2.4+2.1)*6*4263.3</f>
        <v>115109.1</v>
      </c>
      <c r="E30" s="35"/>
      <c r="F30" s="35"/>
      <c r="G30" s="35"/>
      <c r="H30" s="35"/>
    </row>
    <row r="31" spans="1:14" s="1" customFormat="1" ht="15.75">
      <c r="A31" s="115" t="s">
        <v>362</v>
      </c>
      <c r="B31" s="239" t="s">
        <v>43</v>
      </c>
      <c r="C31" s="241" t="s">
        <v>369</v>
      </c>
      <c r="D31" s="82">
        <f>0.15*12*4263.3</f>
        <v>7673.94</v>
      </c>
      <c r="E31" s="35"/>
      <c r="F31" s="35"/>
      <c r="G31" s="35"/>
      <c r="H31" s="35"/>
      <c r="K31"/>
      <c r="L31"/>
      <c r="M31"/>
      <c r="N31"/>
    </row>
    <row r="32" spans="1:14" s="1" customFormat="1" ht="15.75">
      <c r="A32" s="115" t="s">
        <v>96</v>
      </c>
      <c r="B32" s="239" t="s">
        <v>34</v>
      </c>
      <c r="C32" s="241" t="s">
        <v>41</v>
      </c>
      <c r="D32" s="82">
        <f>(0.24+0.24)*6*4263.3</f>
        <v>12278.304</v>
      </c>
      <c r="E32" s="35"/>
      <c r="F32" s="35"/>
      <c r="G32" s="35"/>
      <c r="H32" s="35"/>
      <c r="K32"/>
      <c r="L32"/>
      <c r="M32"/>
      <c r="N32"/>
    </row>
    <row r="33" spans="1:14" s="1" customFormat="1" ht="15.75">
      <c r="A33" s="115" t="s">
        <v>105</v>
      </c>
      <c r="B33" s="305" t="s">
        <v>34</v>
      </c>
      <c r="C33" s="241" t="s">
        <v>44</v>
      </c>
      <c r="D33" s="82">
        <f>(0.6+0.63)*6*4263.3</f>
        <v>31463.154000000002</v>
      </c>
      <c r="E33" s="35"/>
      <c r="F33" s="35"/>
      <c r="G33" s="35"/>
      <c r="H33" s="35"/>
      <c r="K33"/>
      <c r="L33"/>
      <c r="M33"/>
      <c r="N33"/>
    </row>
    <row r="34" spans="1:14" s="1" customFormat="1" ht="26.25">
      <c r="A34" s="130" t="s">
        <v>89</v>
      </c>
      <c r="B34" s="239" t="s">
        <v>34</v>
      </c>
      <c r="C34" s="241" t="s">
        <v>44</v>
      </c>
      <c r="D34" s="82">
        <f>(1.42+1.36)*6*4263.3</f>
        <v>71111.844</v>
      </c>
      <c r="E34" s="35"/>
      <c r="F34" s="35"/>
      <c r="G34" s="35"/>
      <c r="H34" s="35"/>
      <c r="K34"/>
      <c r="L34"/>
      <c r="M34"/>
      <c r="N34"/>
    </row>
    <row r="35" spans="1:14" s="1" customFormat="1" ht="15.75">
      <c r="A35" s="115" t="s">
        <v>46</v>
      </c>
      <c r="B35" s="239" t="s">
        <v>47</v>
      </c>
      <c r="C35" s="241" t="s">
        <v>44</v>
      </c>
      <c r="D35" s="82">
        <f>(1.33+1.1)*6*4263.3</f>
        <v>62158.91400000001</v>
      </c>
      <c r="E35" s="35"/>
      <c r="F35" s="35"/>
      <c r="G35" s="35"/>
      <c r="H35" s="35"/>
      <c r="K35"/>
      <c r="L35"/>
      <c r="M35"/>
      <c r="N35"/>
    </row>
    <row r="36" spans="1:14" s="1" customFormat="1" ht="15.75">
      <c r="A36" s="115" t="s">
        <v>98</v>
      </c>
      <c r="B36" s="239" t="s">
        <v>38</v>
      </c>
      <c r="C36" s="264" t="s">
        <v>168</v>
      </c>
      <c r="D36" s="82">
        <f>4.19*12*4263.3</f>
        <v>214358.72400000002</v>
      </c>
      <c r="E36" s="35"/>
      <c r="F36" s="35"/>
      <c r="G36" s="35"/>
      <c r="H36" s="35"/>
      <c r="K36"/>
      <c r="L36"/>
      <c r="M36"/>
      <c r="N36"/>
    </row>
    <row r="37" spans="1:14" s="1" customFormat="1" ht="15.75">
      <c r="A37" s="115" t="s">
        <v>99</v>
      </c>
      <c r="B37" s="243" t="s">
        <v>36</v>
      </c>
      <c r="C37" s="241" t="s">
        <v>44</v>
      </c>
      <c r="D37" s="82">
        <f>(2.5+2.1)*6*4263.3</f>
        <v>117667.08</v>
      </c>
      <c r="E37" s="35"/>
      <c r="F37" s="35"/>
      <c r="G37" s="35"/>
      <c r="H37" s="35"/>
      <c r="K37"/>
      <c r="L37"/>
      <c r="M37"/>
      <c r="N37"/>
    </row>
    <row r="38" spans="1:14" s="1" customFormat="1" ht="15.75">
      <c r="A38" s="115" t="s">
        <v>91</v>
      </c>
      <c r="B38" s="239" t="s">
        <v>38</v>
      </c>
      <c r="C38" s="241" t="s">
        <v>51</v>
      </c>
      <c r="D38" s="82">
        <f>(839.8*0.87*6)+(3423.5*6.12*6)+(4263.3*4.99*6)-15231.39</f>
        <v>242506.488</v>
      </c>
      <c r="E38" s="35"/>
      <c r="F38" s="35"/>
      <c r="G38" s="35"/>
      <c r="H38" s="35"/>
      <c r="K38"/>
      <c r="L38"/>
      <c r="M38"/>
      <c r="N38"/>
    </row>
    <row r="39" spans="1:14" s="1" customFormat="1" ht="15.75">
      <c r="A39" s="115" t="s">
        <v>100</v>
      </c>
      <c r="B39" s="239" t="s">
        <v>36</v>
      </c>
      <c r="C39" s="241" t="s">
        <v>44</v>
      </c>
      <c r="D39" s="82">
        <f>(2.1*6*4263.3)+(2.56*6*4263.3)-21792.08</f>
        <v>97409.78800000002</v>
      </c>
      <c r="E39" s="35"/>
      <c r="F39" s="35"/>
      <c r="G39" s="35"/>
      <c r="H39" s="35"/>
      <c r="K39"/>
      <c r="L39"/>
      <c r="M39"/>
      <c r="N39"/>
    </row>
    <row r="40" spans="1:14" s="1" customFormat="1" ht="15.75">
      <c r="A40" s="115" t="s">
        <v>101</v>
      </c>
      <c r="B40" s="239" t="s">
        <v>174</v>
      </c>
      <c r="C40" s="241" t="s">
        <v>41</v>
      </c>
      <c r="D40" s="82">
        <f>(0.18+0.27)*6*4263.3</f>
        <v>11510.910000000002</v>
      </c>
      <c r="E40" s="35"/>
      <c r="F40" s="35"/>
      <c r="G40" s="35"/>
      <c r="H40" s="35"/>
      <c r="K40"/>
      <c r="L40"/>
      <c r="M40"/>
      <c r="N40"/>
    </row>
    <row r="41" spans="1:14" s="1" customFormat="1" ht="15.75">
      <c r="A41" s="115" t="s">
        <v>146</v>
      </c>
      <c r="B41" s="239"/>
      <c r="C41" s="242"/>
      <c r="D41" s="82"/>
      <c r="E41" s="35"/>
      <c r="F41" s="35"/>
      <c r="G41" s="35"/>
      <c r="H41" s="35"/>
      <c r="K41"/>
      <c r="L41"/>
      <c r="M41"/>
      <c r="N41"/>
    </row>
    <row r="42" spans="1:14" s="1" customFormat="1" ht="15.75">
      <c r="A42" s="115" t="s">
        <v>144</v>
      </c>
      <c r="B42" s="239" t="s">
        <v>38</v>
      </c>
      <c r="C42" s="242" t="s">
        <v>147</v>
      </c>
      <c r="D42" s="82">
        <f>5461.09+3227.26</f>
        <v>8688.35</v>
      </c>
      <c r="E42" s="35"/>
      <c r="F42" s="35"/>
      <c r="G42" s="35"/>
      <c r="H42" s="35"/>
      <c r="K42"/>
      <c r="L42"/>
      <c r="M42"/>
      <c r="N42"/>
    </row>
    <row r="43" spans="1:14" s="1" customFormat="1" ht="15.75">
      <c r="A43" s="115" t="s">
        <v>145</v>
      </c>
      <c r="B43" s="239" t="s">
        <v>38</v>
      </c>
      <c r="C43" s="242" t="s">
        <v>148</v>
      </c>
      <c r="D43" s="82">
        <v>104365.26</v>
      </c>
      <c r="E43" s="35"/>
      <c r="F43" s="35"/>
      <c r="G43" s="35"/>
      <c r="H43" s="35"/>
      <c r="K43"/>
      <c r="L43"/>
      <c r="M43"/>
      <c r="N43"/>
    </row>
    <row r="44" spans="1:14" s="1" customFormat="1" ht="84" customHeight="1">
      <c r="A44" s="206" t="s">
        <v>136</v>
      </c>
      <c r="B44" s="244" t="s">
        <v>53</v>
      </c>
      <c r="C44" s="240"/>
      <c r="D44" s="379">
        <f>D45+D46+D47+D48+D49+D50+D51+D52+D53+D54+D55+D56+D57+D58+D59+D60+D61+D62</f>
        <v>301679.6</v>
      </c>
      <c r="E44" s="36"/>
      <c r="F44" s="35"/>
      <c r="G44" s="35"/>
      <c r="H44" s="35"/>
      <c r="K44"/>
      <c r="L44"/>
      <c r="M44"/>
      <c r="N44"/>
    </row>
    <row r="45" spans="1:14" s="1" customFormat="1" ht="45" customHeight="1">
      <c r="A45" s="224" t="s">
        <v>310</v>
      </c>
      <c r="B45" s="244" t="s">
        <v>311</v>
      </c>
      <c r="C45" s="241" t="s">
        <v>44</v>
      </c>
      <c r="D45" s="77">
        <v>3432</v>
      </c>
      <c r="E45" s="36"/>
      <c r="F45" s="35"/>
      <c r="G45" s="35"/>
      <c r="H45" s="35"/>
      <c r="K45"/>
      <c r="L45"/>
      <c r="M45"/>
      <c r="N45"/>
    </row>
    <row r="46" spans="1:14" s="1" customFormat="1" ht="18" customHeight="1">
      <c r="A46" s="224" t="s">
        <v>312</v>
      </c>
      <c r="B46" s="245" t="s">
        <v>119</v>
      </c>
      <c r="C46" s="241" t="s">
        <v>44</v>
      </c>
      <c r="D46" s="77">
        <v>7837</v>
      </c>
      <c r="E46" s="36"/>
      <c r="F46" s="35"/>
      <c r="G46" s="35"/>
      <c r="H46" s="35"/>
      <c r="K46"/>
      <c r="L46"/>
      <c r="M46"/>
      <c r="N46"/>
    </row>
    <row r="47" spans="1:14" s="1" customFormat="1" ht="33" customHeight="1">
      <c r="A47" s="206" t="s">
        <v>313</v>
      </c>
      <c r="B47" s="245" t="s">
        <v>314</v>
      </c>
      <c r="C47" s="241" t="s">
        <v>44</v>
      </c>
      <c r="D47" s="77">
        <f>3033+1111</f>
        <v>4144</v>
      </c>
      <c r="E47" s="36"/>
      <c r="F47" s="35"/>
      <c r="G47" s="35"/>
      <c r="H47" s="35"/>
      <c r="K47"/>
      <c r="L47"/>
      <c r="M47"/>
      <c r="N47"/>
    </row>
    <row r="48" spans="1:14" s="1" customFormat="1" ht="31.5" customHeight="1">
      <c r="A48" s="204" t="s">
        <v>193</v>
      </c>
      <c r="B48" s="244" t="s">
        <v>120</v>
      </c>
      <c r="C48" s="241" t="s">
        <v>37</v>
      </c>
      <c r="D48" s="77">
        <v>180</v>
      </c>
      <c r="E48" s="36"/>
      <c r="F48" s="35"/>
      <c r="G48" s="35"/>
      <c r="H48" s="35"/>
      <c r="K48"/>
      <c r="L48"/>
      <c r="M48"/>
      <c r="N48"/>
    </row>
    <row r="49" spans="1:14" s="1" customFormat="1" ht="16.5" customHeight="1">
      <c r="A49" s="224" t="s">
        <v>241</v>
      </c>
      <c r="B49" s="244" t="s">
        <v>127</v>
      </c>
      <c r="C49" s="241" t="s">
        <v>211</v>
      </c>
      <c r="D49" s="77">
        <v>681</v>
      </c>
      <c r="E49" s="36"/>
      <c r="F49" s="35"/>
      <c r="G49" s="35"/>
      <c r="H49" s="35"/>
      <c r="K49"/>
      <c r="L49"/>
      <c r="M49"/>
      <c r="N49"/>
    </row>
    <row r="50" spans="1:14" s="1" customFormat="1" ht="18" customHeight="1">
      <c r="A50" s="224" t="s">
        <v>242</v>
      </c>
      <c r="B50" s="244" t="s">
        <v>129</v>
      </c>
      <c r="C50" s="241" t="s">
        <v>44</v>
      </c>
      <c r="D50" s="77">
        <v>198.6</v>
      </c>
      <c r="E50" s="36"/>
      <c r="F50" s="35"/>
      <c r="G50" s="35"/>
      <c r="H50" s="35"/>
      <c r="K50"/>
      <c r="L50"/>
      <c r="M50"/>
      <c r="N50"/>
    </row>
    <row r="51" spans="1:14" s="1" customFormat="1" ht="15" customHeight="1">
      <c r="A51" s="204" t="s">
        <v>315</v>
      </c>
      <c r="B51" s="244" t="s">
        <v>129</v>
      </c>
      <c r="C51" s="241" t="s">
        <v>204</v>
      </c>
      <c r="D51" s="77">
        <v>104781</v>
      </c>
      <c r="E51" s="36"/>
      <c r="F51" s="35"/>
      <c r="G51" s="35"/>
      <c r="H51" s="35"/>
      <c r="K51"/>
      <c r="L51"/>
      <c r="M51"/>
      <c r="N51"/>
    </row>
    <row r="52" spans="1:14" s="1" customFormat="1" ht="32.25" customHeight="1">
      <c r="A52" s="224" t="s">
        <v>316</v>
      </c>
      <c r="B52" s="245" t="s">
        <v>129</v>
      </c>
      <c r="C52" s="272" t="s">
        <v>317</v>
      </c>
      <c r="D52" s="77">
        <v>11900</v>
      </c>
      <c r="E52" s="36"/>
      <c r="F52" s="35"/>
      <c r="G52" s="35"/>
      <c r="H52" s="35"/>
      <c r="K52"/>
      <c r="L52"/>
      <c r="M52"/>
      <c r="N52"/>
    </row>
    <row r="53" spans="1:14" s="1" customFormat="1" ht="18" customHeight="1">
      <c r="A53" s="224" t="s">
        <v>170</v>
      </c>
      <c r="B53" s="244" t="s">
        <v>121</v>
      </c>
      <c r="C53" s="241" t="s">
        <v>51</v>
      </c>
      <c r="D53" s="77">
        <v>5967</v>
      </c>
      <c r="E53" s="36"/>
      <c r="F53" s="35"/>
      <c r="G53" s="35"/>
      <c r="H53" s="35"/>
      <c r="K53"/>
      <c r="L53"/>
      <c r="M53"/>
      <c r="N53"/>
    </row>
    <row r="54" spans="1:14" s="1" customFormat="1" ht="17.25" customHeight="1">
      <c r="A54" s="224" t="s">
        <v>318</v>
      </c>
      <c r="B54" s="244" t="s">
        <v>121</v>
      </c>
      <c r="C54" s="241" t="s">
        <v>44</v>
      </c>
      <c r="D54" s="77">
        <v>20121</v>
      </c>
      <c r="E54" s="36"/>
      <c r="F54" s="35"/>
      <c r="G54" s="35"/>
      <c r="H54" s="35"/>
      <c r="K54"/>
      <c r="L54"/>
      <c r="M54"/>
      <c r="N54"/>
    </row>
    <row r="55" spans="1:14" s="1" customFormat="1" ht="22.5" customHeight="1">
      <c r="A55" s="206" t="s">
        <v>319</v>
      </c>
      <c r="B55" s="244" t="s">
        <v>121</v>
      </c>
      <c r="C55" s="241" t="s">
        <v>44</v>
      </c>
      <c r="D55" s="77">
        <v>340</v>
      </c>
      <c r="E55" s="36"/>
      <c r="F55" s="35"/>
      <c r="G55" s="35"/>
      <c r="H55" s="35"/>
      <c r="K55"/>
      <c r="L55"/>
      <c r="M55"/>
      <c r="N55"/>
    </row>
    <row r="56" spans="1:14" s="1" customFormat="1" ht="45" customHeight="1">
      <c r="A56" s="224" t="s">
        <v>197</v>
      </c>
      <c r="B56" s="244" t="s">
        <v>121</v>
      </c>
      <c r="C56" s="380" t="s">
        <v>198</v>
      </c>
      <c r="D56" s="77">
        <v>450</v>
      </c>
      <c r="E56" s="36"/>
      <c r="F56" s="35"/>
      <c r="G56" s="35"/>
      <c r="H56" s="35"/>
      <c r="K56"/>
      <c r="L56"/>
      <c r="M56"/>
      <c r="N56"/>
    </row>
    <row r="57" spans="1:14" s="1" customFormat="1" ht="25.5" customHeight="1">
      <c r="A57" s="206" t="s">
        <v>320</v>
      </c>
      <c r="B57" s="244" t="s">
        <v>125</v>
      </c>
      <c r="C57" s="241" t="s">
        <v>211</v>
      </c>
      <c r="D57" s="77">
        <v>15487</v>
      </c>
      <c r="E57" s="36"/>
      <c r="F57" s="35"/>
      <c r="G57" s="35"/>
      <c r="H57" s="35"/>
      <c r="K57"/>
      <c r="L57"/>
      <c r="M57"/>
      <c r="N57"/>
    </row>
    <row r="58" spans="1:14" s="1" customFormat="1" ht="25.5" customHeight="1">
      <c r="A58" s="206" t="s">
        <v>165</v>
      </c>
      <c r="B58" s="244" t="s">
        <v>125</v>
      </c>
      <c r="C58" s="241" t="s">
        <v>211</v>
      </c>
      <c r="D58" s="77">
        <v>17577</v>
      </c>
      <c r="E58" s="36"/>
      <c r="F58" s="35"/>
      <c r="G58" s="35"/>
      <c r="H58" s="35"/>
      <c r="K58"/>
      <c r="L58"/>
      <c r="M58"/>
      <c r="N58"/>
    </row>
    <row r="59" spans="1:14" s="1" customFormat="1" ht="25.5" customHeight="1">
      <c r="A59" s="206" t="s">
        <v>277</v>
      </c>
      <c r="B59" s="244" t="s">
        <v>125</v>
      </c>
      <c r="C59" s="241" t="s">
        <v>44</v>
      </c>
      <c r="D59" s="77">
        <v>238</v>
      </c>
      <c r="E59" s="36"/>
      <c r="F59" s="35"/>
      <c r="G59" s="35"/>
      <c r="H59" s="35"/>
      <c r="K59"/>
      <c r="L59"/>
      <c r="M59"/>
      <c r="N59"/>
    </row>
    <row r="60" spans="1:14" s="1" customFormat="1" ht="25.5" customHeight="1">
      <c r="A60" s="206" t="s">
        <v>321</v>
      </c>
      <c r="B60" s="244" t="s">
        <v>123</v>
      </c>
      <c r="C60" s="241" t="s">
        <v>204</v>
      </c>
      <c r="D60" s="77">
        <v>28505</v>
      </c>
      <c r="E60" s="36"/>
      <c r="F60" s="35"/>
      <c r="G60" s="35"/>
      <c r="H60" s="35"/>
      <c r="K60"/>
      <c r="L60"/>
      <c r="M60"/>
      <c r="N60"/>
    </row>
    <row r="61" spans="1:14" s="1" customFormat="1" ht="32.25" customHeight="1">
      <c r="A61" s="224" t="s">
        <v>322</v>
      </c>
      <c r="B61" s="244" t="s">
        <v>123</v>
      </c>
      <c r="C61" s="272" t="s">
        <v>317</v>
      </c>
      <c r="D61" s="77">
        <v>7425</v>
      </c>
      <c r="E61" s="36"/>
      <c r="F61" s="35"/>
      <c r="G61" s="35"/>
      <c r="H61" s="35"/>
      <c r="K61"/>
      <c r="L61"/>
      <c r="M61"/>
      <c r="N61"/>
    </row>
    <row r="62" spans="1:14" s="1" customFormat="1" ht="27" customHeight="1">
      <c r="A62" s="206" t="s">
        <v>323</v>
      </c>
      <c r="B62" s="244" t="s">
        <v>123</v>
      </c>
      <c r="C62" s="241" t="s">
        <v>204</v>
      </c>
      <c r="D62" s="77">
        <v>72416</v>
      </c>
      <c r="E62" s="36"/>
      <c r="F62" s="35"/>
      <c r="G62" s="35"/>
      <c r="H62" s="35"/>
      <c r="K62"/>
      <c r="L62"/>
      <c r="M62"/>
      <c r="N62"/>
    </row>
    <row r="63" spans="1:14" s="1" customFormat="1" ht="15.75">
      <c r="A63" s="24" t="s">
        <v>54</v>
      </c>
      <c r="B63" s="239"/>
      <c r="C63" s="241"/>
      <c r="D63" s="82">
        <f>D29+D30+D31+D32+D33+D34+D35+D36+D37+D38+D39+D40+D42+D43+D44</f>
        <v>1416910.508</v>
      </c>
      <c r="E63" s="36">
        <f>D63-D42-D43-D44</f>
        <v>1002177.2979999998</v>
      </c>
      <c r="F63" s="35"/>
      <c r="G63" s="35"/>
      <c r="H63" s="35"/>
      <c r="K63"/>
      <c r="L63"/>
      <c r="M63"/>
      <c r="N63"/>
    </row>
    <row r="64" spans="1:14" s="1" customFormat="1" ht="15.75">
      <c r="A64" s="24" t="s">
        <v>55</v>
      </c>
      <c r="B64" s="112" t="s">
        <v>12</v>
      </c>
      <c r="C64" s="241"/>
      <c r="D64" s="82">
        <f>C26-D63</f>
        <v>-19651.595469999826</v>
      </c>
      <c r="E64" s="36">
        <f>C14+C19*0.9872+C25-D44</f>
        <v>-54785.406009599974</v>
      </c>
      <c r="F64" s="35"/>
      <c r="G64" s="35"/>
      <c r="H64" s="35"/>
      <c r="K64"/>
      <c r="L64"/>
      <c r="M64"/>
      <c r="N64"/>
    </row>
    <row r="65" spans="1:8" ht="15.75">
      <c r="A65" s="115" t="s">
        <v>13</v>
      </c>
      <c r="B65" s="112" t="s">
        <v>12</v>
      </c>
      <c r="C65" s="241"/>
      <c r="D65" s="234">
        <v>0</v>
      </c>
      <c r="E65" s="35"/>
      <c r="F65" s="35"/>
      <c r="G65" s="35"/>
      <c r="H65" s="35"/>
    </row>
    <row r="66" spans="1:8" ht="15.75">
      <c r="A66" s="115" t="s">
        <v>14</v>
      </c>
      <c r="B66" s="112" t="s">
        <v>12</v>
      </c>
      <c r="C66" s="241"/>
      <c r="D66" s="82">
        <v>169443.4</v>
      </c>
      <c r="E66" s="35"/>
      <c r="F66" s="35"/>
      <c r="G66" s="35"/>
      <c r="H66" s="35"/>
    </row>
    <row r="67" spans="1:8" ht="24" customHeight="1">
      <c r="A67" s="527" t="s">
        <v>56</v>
      </c>
      <c r="B67" s="527"/>
      <c r="C67" s="527"/>
      <c r="D67" s="527"/>
      <c r="E67" s="35"/>
      <c r="F67" s="35"/>
      <c r="G67" s="35"/>
      <c r="H67" s="35"/>
    </row>
    <row r="68" spans="1:8" ht="15.75">
      <c r="A68" s="115" t="s">
        <v>57</v>
      </c>
      <c r="B68" s="239" t="s">
        <v>58</v>
      </c>
      <c r="C68" s="241">
        <v>0</v>
      </c>
      <c r="D68" s="234">
        <v>0</v>
      </c>
      <c r="E68" s="35"/>
      <c r="F68" s="35"/>
      <c r="G68" s="35"/>
      <c r="H68" s="35"/>
    </row>
    <row r="69" spans="1:8" ht="15.75">
      <c r="A69" s="115" t="s">
        <v>59</v>
      </c>
      <c r="B69" s="239" t="s">
        <v>58</v>
      </c>
      <c r="C69" s="241">
        <v>0</v>
      </c>
      <c r="D69" s="234">
        <v>0</v>
      </c>
      <c r="E69" s="35"/>
      <c r="F69" s="35"/>
      <c r="G69" s="35"/>
      <c r="H69" s="35"/>
    </row>
    <row r="70" spans="1:8" ht="26.25">
      <c r="A70" s="130" t="s">
        <v>60</v>
      </c>
      <c r="B70" s="239" t="s">
        <v>58</v>
      </c>
      <c r="C70" s="241">
        <v>0</v>
      </c>
      <c r="D70" s="234">
        <v>0</v>
      </c>
      <c r="E70" s="35"/>
      <c r="F70" s="35"/>
      <c r="G70" s="35"/>
      <c r="H70" s="35"/>
    </row>
    <row r="71" spans="1:8" ht="15.75">
      <c r="A71" s="115" t="s">
        <v>61</v>
      </c>
      <c r="B71" s="239" t="s">
        <v>12</v>
      </c>
      <c r="C71" s="241">
        <v>0</v>
      </c>
      <c r="D71" s="234">
        <v>0</v>
      </c>
      <c r="E71" s="35"/>
      <c r="F71" s="35"/>
      <c r="G71" s="35"/>
      <c r="H71" s="35"/>
    </row>
    <row r="72" spans="1:8" ht="20.25" customHeight="1">
      <c r="A72" s="526" t="s">
        <v>62</v>
      </c>
      <c r="B72" s="526"/>
      <c r="C72" s="526"/>
      <c r="D72" s="526"/>
      <c r="E72" s="35"/>
      <c r="F72" s="35"/>
      <c r="G72" s="35"/>
      <c r="H72" s="35"/>
    </row>
    <row r="73" spans="1:8" ht="24" customHeight="1">
      <c r="A73" s="130" t="s">
        <v>63</v>
      </c>
      <c r="B73" s="239" t="s">
        <v>12</v>
      </c>
      <c r="C73" s="241"/>
      <c r="D73" s="241">
        <v>0</v>
      </c>
      <c r="E73" s="35"/>
      <c r="F73" s="35"/>
      <c r="G73" s="35"/>
      <c r="H73" s="35"/>
    </row>
    <row r="74" spans="1:8" ht="13.5" customHeight="1">
      <c r="A74" s="115" t="s">
        <v>13</v>
      </c>
      <c r="B74" s="239" t="s">
        <v>12</v>
      </c>
      <c r="C74" s="241"/>
      <c r="D74" s="241">
        <v>0</v>
      </c>
      <c r="E74" s="35"/>
      <c r="F74" s="35"/>
      <c r="G74" s="35"/>
      <c r="H74" s="35"/>
    </row>
    <row r="75" spans="1:8" ht="15.75">
      <c r="A75" s="115" t="s">
        <v>14</v>
      </c>
      <c r="B75" s="239" t="s">
        <v>12</v>
      </c>
      <c r="C75" s="241"/>
      <c r="D75" s="246">
        <f>D78-D81-D82-D83-D84-D85</f>
        <v>478592.0326240004</v>
      </c>
      <c r="E75" s="35"/>
      <c r="F75" s="35"/>
      <c r="G75" s="35"/>
      <c r="H75" s="37"/>
    </row>
    <row r="76" spans="1:8" ht="15.75">
      <c r="A76" s="132" t="s">
        <v>102</v>
      </c>
      <c r="B76" s="239" t="s">
        <v>12</v>
      </c>
      <c r="C76" s="247"/>
      <c r="D76" s="477">
        <v>0</v>
      </c>
      <c r="E76" s="35"/>
      <c r="F76" s="35"/>
      <c r="G76" s="35"/>
      <c r="H76" s="35"/>
    </row>
    <row r="77" spans="1:10" ht="11.25" customHeight="1">
      <c r="A77" s="135" t="s">
        <v>13</v>
      </c>
      <c r="B77" s="239" t="s">
        <v>12</v>
      </c>
      <c r="C77" s="241"/>
      <c r="D77" s="241">
        <v>0</v>
      </c>
      <c r="E77" s="35"/>
      <c r="F77" s="35"/>
      <c r="G77" s="35"/>
      <c r="H77" s="35"/>
      <c r="I77" s="3"/>
      <c r="J77" s="3"/>
    </row>
    <row r="78" spans="1:14" ht="15.75">
      <c r="A78" s="136" t="s">
        <v>14</v>
      </c>
      <c r="B78" s="239" t="s">
        <v>12</v>
      </c>
      <c r="C78" s="248"/>
      <c r="D78" s="248">
        <v>405770.99</v>
      </c>
      <c r="E78" s="35"/>
      <c r="F78" s="35"/>
      <c r="G78" s="35"/>
      <c r="H78" s="35"/>
      <c r="I78" s="4"/>
      <c r="J78" s="4"/>
      <c r="K78" s="5"/>
      <c r="L78" s="5"/>
      <c r="M78" s="5"/>
      <c r="N78" s="5"/>
    </row>
    <row r="79" spans="1:14" ht="18" customHeight="1">
      <c r="A79" s="554" t="s">
        <v>65</v>
      </c>
      <c r="B79" s="554"/>
      <c r="C79" s="554"/>
      <c r="D79" s="554"/>
      <c r="E79" s="40"/>
      <c r="F79" s="44"/>
      <c r="G79" s="45"/>
      <c r="H79" s="35"/>
      <c r="I79" s="9"/>
      <c r="J79" s="9"/>
      <c r="K79" s="10"/>
      <c r="L79" s="10"/>
      <c r="M79" s="10"/>
      <c r="N79" s="10"/>
    </row>
    <row r="80" spans="1:14" ht="72" customHeight="1">
      <c r="A80" s="11" t="s">
        <v>66</v>
      </c>
      <c r="B80" s="12" t="s">
        <v>67</v>
      </c>
      <c r="C80" s="13" t="s">
        <v>68</v>
      </c>
      <c r="D80" s="14" t="s">
        <v>103</v>
      </c>
      <c r="E80" s="40"/>
      <c r="F80" s="44"/>
      <c r="G80" s="45"/>
      <c r="H80" s="35"/>
      <c r="I80" s="9"/>
      <c r="J80" s="9"/>
      <c r="K80" s="10"/>
      <c r="L80" s="10"/>
      <c r="M80" s="10"/>
      <c r="N80" s="10"/>
    </row>
    <row r="81" spans="1:14" ht="19.5" customHeight="1">
      <c r="A81" s="396" t="s">
        <v>368</v>
      </c>
      <c r="B81" s="400">
        <f>226704.02</f>
        <v>226704.02</v>
      </c>
      <c r="C81" s="399">
        <f>B81</f>
        <v>226704.02</v>
      </c>
      <c r="D81" s="401">
        <f>B81-C81</f>
        <v>0</v>
      </c>
      <c r="E81" s="40"/>
      <c r="F81" s="44"/>
      <c r="G81" s="45"/>
      <c r="H81" s="35"/>
      <c r="I81" s="9"/>
      <c r="J81" s="9"/>
      <c r="K81" s="10"/>
      <c r="L81" s="10"/>
      <c r="M81" s="10"/>
      <c r="N81" s="10"/>
    </row>
    <row r="82" spans="1:14" ht="15.75">
      <c r="A82" s="140" t="s">
        <v>70</v>
      </c>
      <c r="B82" s="235">
        <v>162459.68</v>
      </c>
      <c r="C82" s="399">
        <f>B82*1.0253</f>
        <v>166569.909904</v>
      </c>
      <c r="D82" s="295">
        <f>B82-C82</f>
        <v>-4110.229904000007</v>
      </c>
      <c r="E82" s="40"/>
      <c r="F82" s="44"/>
      <c r="G82" s="45"/>
      <c r="H82" s="35"/>
      <c r="I82" s="9"/>
      <c r="J82" s="9"/>
      <c r="K82" s="10"/>
      <c r="L82" s="10"/>
      <c r="M82" s="10"/>
      <c r="N82" s="10"/>
    </row>
    <row r="83" spans="1:14" ht="15.75">
      <c r="A83" s="140" t="s">
        <v>71</v>
      </c>
      <c r="B83" s="235">
        <v>286576.9</v>
      </c>
      <c r="C83" s="399">
        <f>B83*1.0253</f>
        <v>293827.2955700001</v>
      </c>
      <c r="D83" s="295">
        <f>B83-C83</f>
        <v>-7250.3955700000515</v>
      </c>
      <c r="E83" s="40"/>
      <c r="F83" s="44"/>
      <c r="G83" s="45"/>
      <c r="H83" s="35"/>
      <c r="I83" s="9"/>
      <c r="J83" s="9"/>
      <c r="K83" s="10"/>
      <c r="L83" s="10"/>
      <c r="M83" s="10"/>
      <c r="N83" s="10"/>
    </row>
    <row r="84" spans="1:14" ht="15.75">
      <c r="A84" s="140" t="s">
        <v>72</v>
      </c>
      <c r="B84" s="249">
        <v>2001634.74</v>
      </c>
      <c r="C84" s="399">
        <f>B84*1.0253</f>
        <v>2052276.0989220003</v>
      </c>
      <c r="D84" s="295">
        <f>B84-C84</f>
        <v>-50641.358922000276</v>
      </c>
      <c r="E84" s="40"/>
      <c r="F84" s="47"/>
      <c r="G84" s="48"/>
      <c r="H84" s="40"/>
      <c r="I84" s="9"/>
      <c r="J84" s="9"/>
      <c r="K84" s="10"/>
      <c r="L84" s="10"/>
      <c r="M84" s="10"/>
      <c r="N84" s="10"/>
    </row>
    <row r="85" spans="1:14" ht="16.5" thickBot="1">
      <c r="A85" s="140" t="s">
        <v>73</v>
      </c>
      <c r="B85" s="249">
        <v>427630.76</v>
      </c>
      <c r="C85" s="399">
        <f>B85*1.0253</f>
        <v>438449.8182280001</v>
      </c>
      <c r="D85" s="295">
        <f>B85-C85</f>
        <v>-10819.058228000067</v>
      </c>
      <c r="E85" s="40"/>
      <c r="F85" s="47"/>
      <c r="G85" s="48"/>
      <c r="H85" s="35"/>
      <c r="I85" s="9"/>
      <c r="J85" s="9"/>
      <c r="K85" s="10"/>
      <c r="L85" s="10"/>
      <c r="M85" s="10"/>
      <c r="N85" s="10"/>
    </row>
    <row r="86" spans="1:14" ht="104.25" customHeight="1">
      <c r="A86" s="30" t="s">
        <v>75</v>
      </c>
      <c r="B86" s="31" t="s">
        <v>76</v>
      </c>
      <c r="C86" s="32" t="s">
        <v>77</v>
      </c>
      <c r="D86" s="33" t="s">
        <v>78</v>
      </c>
      <c r="E86" s="40"/>
      <c r="F86" s="47"/>
      <c r="G86" s="35"/>
      <c r="H86" s="39"/>
      <c r="I86" s="9"/>
      <c r="J86" s="9"/>
      <c r="K86" s="10"/>
      <c r="L86" s="10"/>
      <c r="M86" s="10"/>
      <c r="N86" s="10"/>
    </row>
    <row r="87" spans="1:14" ht="18" customHeight="1">
      <c r="A87" s="397" t="s">
        <v>368</v>
      </c>
      <c r="B87" s="402">
        <v>226704.02</v>
      </c>
      <c r="C87" s="399">
        <f>B87</f>
        <v>226704.02</v>
      </c>
      <c r="D87" s="481">
        <f>B87-C87</f>
        <v>0</v>
      </c>
      <c r="E87" s="40"/>
      <c r="F87" s="47"/>
      <c r="G87" s="35"/>
      <c r="H87" s="39"/>
      <c r="I87" s="9"/>
      <c r="J87" s="9"/>
      <c r="K87" s="10"/>
      <c r="L87" s="10"/>
      <c r="M87" s="10"/>
      <c r="N87" s="10"/>
    </row>
    <row r="88" spans="1:14" ht="15.75">
      <c r="A88" s="211" t="s">
        <v>70</v>
      </c>
      <c r="B88" s="403">
        <f aca="true" t="shared" si="0" ref="B88:C91">B82</f>
        <v>162459.68</v>
      </c>
      <c r="C88" s="296">
        <f t="shared" si="0"/>
        <v>166569.909904</v>
      </c>
      <c r="D88" s="297">
        <f>B88-C88</f>
        <v>-4110.229904000007</v>
      </c>
      <c r="E88" s="40"/>
      <c r="F88" s="47"/>
      <c r="G88" s="35"/>
      <c r="H88" s="39"/>
      <c r="I88" s="9"/>
      <c r="J88" s="9" t="s">
        <v>27</v>
      </c>
      <c r="K88" s="10"/>
      <c r="L88" s="10"/>
      <c r="M88" s="10"/>
      <c r="N88" s="10"/>
    </row>
    <row r="89" spans="1:14" ht="15.75">
      <c r="A89" s="211" t="s">
        <v>71</v>
      </c>
      <c r="B89" s="403">
        <f t="shared" si="0"/>
        <v>286576.9</v>
      </c>
      <c r="C89" s="296">
        <f t="shared" si="0"/>
        <v>293827.2955700001</v>
      </c>
      <c r="D89" s="297">
        <f>B89-C89</f>
        <v>-7250.3955700000515</v>
      </c>
      <c r="E89" s="40"/>
      <c r="F89" s="47"/>
      <c r="G89" s="35"/>
      <c r="H89" s="39"/>
      <c r="I89" s="9"/>
      <c r="J89" s="9"/>
      <c r="K89" s="10"/>
      <c r="L89" s="10"/>
      <c r="M89" s="10"/>
      <c r="N89" s="10"/>
    </row>
    <row r="90" spans="1:14" ht="15.75">
      <c r="A90" s="211" t="s">
        <v>72</v>
      </c>
      <c r="B90" s="403">
        <v>1872901.76</v>
      </c>
      <c r="C90" s="296">
        <f t="shared" si="0"/>
        <v>2052276.0989220003</v>
      </c>
      <c r="D90" s="297">
        <f>B90-C90</f>
        <v>-179374.33892200026</v>
      </c>
      <c r="E90" s="40"/>
      <c r="F90" s="47"/>
      <c r="G90" s="35"/>
      <c r="H90" s="39"/>
      <c r="I90" s="9"/>
      <c r="J90" s="9"/>
      <c r="K90" s="10"/>
      <c r="L90" s="10"/>
      <c r="M90" s="10"/>
      <c r="N90" s="10"/>
    </row>
    <row r="91" spans="1:14" ht="15.75">
      <c r="A91" s="211" t="s">
        <v>73</v>
      </c>
      <c r="B91" s="403">
        <f t="shared" si="0"/>
        <v>427630.76</v>
      </c>
      <c r="C91" s="296">
        <f t="shared" si="0"/>
        <v>438449.8182280001</v>
      </c>
      <c r="D91" s="297">
        <f>B91-C91</f>
        <v>-10819.058228000067</v>
      </c>
      <c r="E91" s="40"/>
      <c r="F91" s="47"/>
      <c r="G91" s="35"/>
      <c r="H91" s="39"/>
      <c r="I91" s="9"/>
      <c r="J91" s="9"/>
      <c r="K91" s="10"/>
      <c r="L91" s="10"/>
      <c r="M91" s="10"/>
      <c r="N91" s="10"/>
    </row>
    <row r="92" spans="1:14" ht="6.75" customHeight="1" hidden="1">
      <c r="A92" s="218"/>
      <c r="B92" s="144"/>
      <c r="C92" s="298"/>
      <c r="D92" s="299"/>
      <c r="E92" s="40"/>
      <c r="F92" s="47"/>
      <c r="G92" s="35"/>
      <c r="H92" s="39"/>
      <c r="I92" s="9"/>
      <c r="J92" s="9"/>
      <c r="K92" s="10"/>
      <c r="L92" s="10"/>
      <c r="M92" s="10"/>
      <c r="N92" s="10"/>
    </row>
    <row r="93" spans="1:14" ht="26.25">
      <c r="A93" s="221" t="s">
        <v>79</v>
      </c>
      <c r="B93" s="144" t="s">
        <v>12</v>
      </c>
      <c r="C93" s="300"/>
      <c r="D93" s="301">
        <v>95887.31</v>
      </c>
      <c r="E93" s="40"/>
      <c r="F93" s="47"/>
      <c r="G93" s="35"/>
      <c r="H93" s="39"/>
      <c r="I93" s="9"/>
      <c r="J93" s="9" t="s">
        <v>27</v>
      </c>
      <c r="K93" s="10"/>
      <c r="L93" s="10"/>
      <c r="M93" s="10"/>
      <c r="N93" s="10"/>
    </row>
    <row r="94" spans="1:14" ht="12.75" customHeight="1">
      <c r="A94" s="536" t="s">
        <v>80</v>
      </c>
      <c r="B94" s="536"/>
      <c r="C94" s="536"/>
      <c r="D94" s="536"/>
      <c r="E94" s="49" t="e">
        <f>D94+B18</f>
        <v>#VALUE!</v>
      </c>
      <c r="F94" s="39"/>
      <c r="G94" s="35"/>
      <c r="H94" s="41" t="e">
        <f>E94-B17</f>
        <v>#VALUE!</v>
      </c>
      <c r="I94" s="9"/>
      <c r="J94" s="9"/>
      <c r="K94" s="10"/>
      <c r="L94" s="10"/>
      <c r="M94" s="10"/>
      <c r="N94" s="10"/>
    </row>
    <row r="95" spans="1:8" ht="15" customHeight="1">
      <c r="A95" s="20" t="s">
        <v>57</v>
      </c>
      <c r="B95" s="20" t="s">
        <v>58</v>
      </c>
      <c r="C95" s="28"/>
      <c r="D95" s="83">
        <v>1</v>
      </c>
      <c r="E95" s="50"/>
      <c r="F95" s="35"/>
      <c r="G95" s="35"/>
      <c r="H95" s="35"/>
    </row>
    <row r="96" spans="1:8" ht="21" customHeight="1">
      <c r="A96" s="20" t="s">
        <v>59</v>
      </c>
      <c r="B96" s="20" t="s">
        <v>58</v>
      </c>
      <c r="C96" s="28"/>
      <c r="D96" s="83">
        <v>1</v>
      </c>
      <c r="E96" s="50"/>
      <c r="F96" s="35"/>
      <c r="G96" s="35"/>
      <c r="H96" s="35"/>
    </row>
    <row r="97" spans="1:14" s="1" customFormat="1" ht="18" customHeight="1">
      <c r="A97" s="20" t="s">
        <v>60</v>
      </c>
      <c r="B97" s="20" t="s">
        <v>58</v>
      </c>
      <c r="C97" s="28"/>
      <c r="D97" s="83">
        <v>0</v>
      </c>
      <c r="E97" s="50"/>
      <c r="F97" s="35"/>
      <c r="G97" s="35"/>
      <c r="H97" s="35"/>
      <c r="K97"/>
      <c r="L97"/>
      <c r="M97"/>
      <c r="N97"/>
    </row>
    <row r="98" spans="1:14" s="1" customFormat="1" ht="16.5" customHeight="1">
      <c r="A98" s="20" t="s">
        <v>61</v>
      </c>
      <c r="B98" s="20" t="s">
        <v>12</v>
      </c>
      <c r="C98" s="28"/>
      <c r="D98" s="87">
        <v>1151.64</v>
      </c>
      <c r="E98" s="50"/>
      <c r="F98" s="35"/>
      <c r="G98" s="35"/>
      <c r="H98" s="35"/>
      <c r="K98"/>
      <c r="L98"/>
      <c r="M98"/>
      <c r="N98"/>
    </row>
    <row r="99" spans="1:14" s="1" customFormat="1" ht="13.5" customHeight="1">
      <c r="A99" s="529" t="s">
        <v>81</v>
      </c>
      <c r="B99" s="529"/>
      <c r="C99" s="529"/>
      <c r="D99" s="529"/>
      <c r="E99" s="50"/>
      <c r="F99" s="35"/>
      <c r="G99" s="35"/>
      <c r="H99" s="35"/>
      <c r="K99"/>
      <c r="L99"/>
      <c r="M99"/>
      <c r="N99"/>
    </row>
    <row r="100" spans="1:14" s="1" customFormat="1" ht="18.75" customHeight="1">
      <c r="A100" s="20" t="s">
        <v>82</v>
      </c>
      <c r="B100" s="20" t="s">
        <v>58</v>
      </c>
      <c r="C100" s="28"/>
      <c r="D100" s="83">
        <v>1</v>
      </c>
      <c r="E100" s="50"/>
      <c r="F100" s="35"/>
      <c r="G100" s="35"/>
      <c r="H100" s="35"/>
      <c r="K100"/>
      <c r="L100"/>
      <c r="M100"/>
      <c r="N100"/>
    </row>
    <row r="101" spans="1:14" s="1" customFormat="1" ht="15" customHeight="1">
      <c r="A101" s="20" t="s">
        <v>83</v>
      </c>
      <c r="B101" s="135" t="s">
        <v>58</v>
      </c>
      <c r="C101" s="145"/>
      <c r="D101" s="83">
        <v>0</v>
      </c>
      <c r="E101" s="50"/>
      <c r="F101" s="35"/>
      <c r="G101" s="35"/>
      <c r="H101" s="35"/>
      <c r="K101"/>
      <c r="L101"/>
      <c r="M101"/>
      <c r="N101"/>
    </row>
    <row r="102" spans="1:14" s="1" customFormat="1" ht="25.5" customHeight="1">
      <c r="A102" s="146" t="s">
        <v>84</v>
      </c>
      <c r="B102" s="20" t="s">
        <v>12</v>
      </c>
      <c r="C102" s="28"/>
      <c r="D102" s="83">
        <v>290000</v>
      </c>
      <c r="E102" s="50"/>
      <c r="F102" s="35"/>
      <c r="G102" s="35"/>
      <c r="H102" s="35"/>
      <c r="K102"/>
      <c r="L102"/>
      <c r="M102"/>
      <c r="N102"/>
    </row>
    <row r="103" spans="1:14" s="1" customFormat="1" ht="12.75">
      <c r="A103" s="90" t="s">
        <v>161</v>
      </c>
      <c r="B103" s="81"/>
      <c r="C103" s="81"/>
      <c r="D103" s="81"/>
      <c r="E103" s="35"/>
      <c r="F103" s="35"/>
      <c r="G103" s="35"/>
      <c r="H103" s="35"/>
      <c r="K103"/>
      <c r="L103"/>
      <c r="M103"/>
      <c r="N103"/>
    </row>
    <row r="104" spans="1:14" s="1" customFormat="1" ht="12.75">
      <c r="A104" s="81" t="s">
        <v>85</v>
      </c>
      <c r="B104" s="81"/>
      <c r="C104" s="81"/>
      <c r="D104" s="81"/>
      <c r="E104" s="35"/>
      <c r="F104" s="35"/>
      <c r="G104" s="35"/>
      <c r="H104" s="35" t="s">
        <v>27</v>
      </c>
      <c r="K104"/>
      <c r="L104"/>
      <c r="M104"/>
      <c r="N104"/>
    </row>
    <row r="105" spans="1:14" s="1" customFormat="1" ht="12.75">
      <c r="A105" s="81"/>
      <c r="B105" s="81"/>
      <c r="C105" s="81"/>
      <c r="D105" s="81"/>
      <c r="E105" s="35"/>
      <c r="F105" s="35"/>
      <c r="G105" s="35"/>
      <c r="H105" s="35"/>
      <c r="K105"/>
      <c r="L105"/>
      <c r="M105"/>
      <c r="N105"/>
    </row>
    <row r="106" spans="1:8" ht="12.75">
      <c r="A106" s="81"/>
      <c r="B106" s="81"/>
      <c r="C106" s="81"/>
      <c r="D106" s="81"/>
      <c r="E106" s="35"/>
      <c r="F106" s="35"/>
      <c r="G106" s="35"/>
      <c r="H106" s="35"/>
    </row>
    <row r="107" spans="1:8" ht="12.75">
      <c r="A107" s="81"/>
      <c r="B107" s="81"/>
      <c r="C107" s="81"/>
      <c r="D107" s="81"/>
      <c r="E107" s="35"/>
      <c r="F107" s="35"/>
      <c r="G107" s="35"/>
      <c r="H107" s="35"/>
    </row>
    <row r="108" spans="1:4" ht="12.75">
      <c r="A108" s="81"/>
      <c r="B108" s="81"/>
      <c r="C108" s="81"/>
      <c r="D108" s="81"/>
    </row>
    <row r="109" spans="1:14" s="1" customFormat="1" ht="12.75">
      <c r="A109"/>
      <c r="B109"/>
      <c r="C109"/>
      <c r="D109"/>
      <c r="E109" s="1" t="s">
        <v>27</v>
      </c>
      <c r="K109"/>
      <c r="L109"/>
      <c r="M109"/>
      <c r="N109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13:D13"/>
    <mergeCell ref="A27:D27"/>
    <mergeCell ref="A67:D67"/>
    <mergeCell ref="A72:D72"/>
    <mergeCell ref="A79:D79"/>
    <mergeCell ref="A94:D94"/>
    <mergeCell ref="A99:D99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1">
      <selection activeCell="B78" sqref="B78"/>
    </sheetView>
  </sheetViews>
  <sheetFormatPr defaultColWidth="11.57421875" defaultRowHeight="12.75"/>
  <cols>
    <col min="1" max="1" width="51.8515625" style="0" customWidth="1"/>
    <col min="2" max="2" width="13.8515625" style="0" customWidth="1"/>
    <col min="3" max="3" width="32.42187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532" t="s">
        <v>0</v>
      </c>
      <c r="B1" s="532"/>
      <c r="C1" s="532"/>
      <c r="D1" s="532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5.75">
      <c r="A4" s="532" t="s">
        <v>111</v>
      </c>
      <c r="B4" s="532"/>
      <c r="C4" s="532"/>
      <c r="D4" s="532"/>
    </row>
    <row r="5" spans="1:4" ht="15.75">
      <c r="A5" s="531" t="s">
        <v>189</v>
      </c>
      <c r="B5" s="532"/>
      <c r="C5" s="532"/>
      <c r="D5" s="532"/>
    </row>
    <row r="6" spans="1:4" ht="3" customHeight="1">
      <c r="A6" s="306"/>
      <c r="B6" s="307"/>
      <c r="C6" s="307"/>
      <c r="D6" s="307"/>
    </row>
    <row r="7" spans="1:4" ht="30.75" customHeight="1">
      <c r="A7" s="561" t="s">
        <v>3</v>
      </c>
      <c r="B7" s="562"/>
      <c r="C7" s="562"/>
      <c r="D7" s="562"/>
    </row>
    <row r="8" spans="1:4" ht="17.25" customHeight="1">
      <c r="A8" s="385" t="s">
        <v>358</v>
      </c>
      <c r="B8" s="383"/>
      <c r="C8" s="383"/>
      <c r="D8" s="383"/>
    </row>
    <row r="9" spans="1:4" ht="15.75">
      <c r="A9" s="308">
        <v>1</v>
      </c>
      <c r="B9" s="308">
        <v>2</v>
      </c>
      <c r="C9" s="308">
        <v>3</v>
      </c>
      <c r="D9" s="309">
        <v>4</v>
      </c>
    </row>
    <row r="10" spans="1:4" ht="15.75">
      <c r="A10" s="310" t="s">
        <v>7</v>
      </c>
      <c r="B10" s="311"/>
      <c r="C10" s="312" t="s">
        <v>190</v>
      </c>
      <c r="D10" s="234"/>
    </row>
    <row r="11" spans="1:4" ht="15.75">
      <c r="A11" s="310" t="s">
        <v>8</v>
      </c>
      <c r="B11" s="311"/>
      <c r="C11" s="312" t="s">
        <v>205</v>
      </c>
      <c r="D11" s="234"/>
    </row>
    <row r="12" spans="1:8" ht="15.75">
      <c r="A12" s="310" t="s">
        <v>9</v>
      </c>
      <c r="B12" s="311"/>
      <c r="C12" s="312" t="s">
        <v>191</v>
      </c>
      <c r="D12" s="234"/>
      <c r="E12" s="35"/>
      <c r="F12" s="35"/>
      <c r="G12" s="35"/>
      <c r="H12" s="35"/>
    </row>
    <row r="13" spans="1:8" ht="31.5" customHeight="1">
      <c r="A13" s="535" t="s">
        <v>10</v>
      </c>
      <c r="B13" s="535"/>
      <c r="C13" s="535"/>
      <c r="D13" s="535"/>
      <c r="E13" s="35"/>
      <c r="F13" s="35"/>
      <c r="G13" s="35"/>
      <c r="H13" s="35"/>
    </row>
    <row r="14" spans="1:14" s="1" customFormat="1" ht="15.75">
      <c r="A14" s="310" t="s">
        <v>94</v>
      </c>
      <c r="B14" s="313" t="s">
        <v>12</v>
      </c>
      <c r="C14" s="73">
        <v>152110.4</v>
      </c>
      <c r="D14" s="234"/>
      <c r="E14" s="35"/>
      <c r="F14" s="35"/>
      <c r="G14" s="35"/>
      <c r="H14" s="35"/>
      <c r="I14" s="35"/>
      <c r="J14" s="35"/>
      <c r="K14"/>
      <c r="L14"/>
      <c r="M14"/>
      <c r="N14"/>
    </row>
    <row r="15" spans="1:14" s="1" customFormat="1" ht="15.75">
      <c r="A15" s="310" t="s">
        <v>13</v>
      </c>
      <c r="B15" s="313" t="s">
        <v>12</v>
      </c>
      <c r="C15" s="235">
        <v>0</v>
      </c>
      <c r="D15" s="234"/>
      <c r="E15" s="35"/>
      <c r="F15" s="35"/>
      <c r="G15" s="35"/>
      <c r="H15" s="35"/>
      <c r="I15" s="35"/>
      <c r="J15" s="35"/>
      <c r="K15"/>
      <c r="L15"/>
      <c r="M15"/>
      <c r="N15"/>
    </row>
    <row r="16" spans="1:14" s="1" customFormat="1" ht="15.75">
      <c r="A16" s="310" t="s">
        <v>14</v>
      </c>
      <c r="B16" s="313" t="s">
        <v>12</v>
      </c>
      <c r="C16" s="73">
        <v>46966.63</v>
      </c>
      <c r="D16" s="82"/>
      <c r="E16" s="35"/>
      <c r="F16" s="35"/>
      <c r="G16" s="35"/>
      <c r="H16" s="35"/>
      <c r="I16" s="35"/>
      <c r="J16" s="35"/>
      <c r="K16"/>
      <c r="L16"/>
      <c r="M16"/>
      <c r="N16"/>
    </row>
    <row r="17" spans="1:14" s="1" customFormat="1" ht="31.5" customHeight="1">
      <c r="A17" s="314" t="s">
        <v>15</v>
      </c>
      <c r="B17" s="313" t="s">
        <v>12</v>
      </c>
      <c r="C17" s="73">
        <f>790872.96+8301.24+5031+27922.56</f>
        <v>832127.76</v>
      </c>
      <c r="D17" s="82"/>
      <c r="E17" s="42">
        <f>C17-C19</f>
        <v>635667.21</v>
      </c>
      <c r="F17" s="35"/>
      <c r="G17" s="35"/>
      <c r="H17" s="35"/>
      <c r="I17" s="35"/>
      <c r="J17" s="35"/>
      <c r="K17"/>
      <c r="L17"/>
      <c r="M17"/>
      <c r="N17"/>
    </row>
    <row r="18" spans="1:10" ht="15.75">
      <c r="A18" s="310" t="s">
        <v>16</v>
      </c>
      <c r="B18" s="313" t="s">
        <v>12</v>
      </c>
      <c r="C18" s="73">
        <f>C17-C19-C20</f>
        <v>424868.30999999994</v>
      </c>
      <c r="D18" s="82"/>
      <c r="E18" s="42">
        <f>E17-E61</f>
        <v>35151.060000000056</v>
      </c>
      <c r="F18" s="35"/>
      <c r="G18" s="35"/>
      <c r="H18" s="482" t="s">
        <v>371</v>
      </c>
      <c r="I18" s="35"/>
      <c r="J18" s="35"/>
    </row>
    <row r="19" spans="1:10" ht="15.75">
      <c r="A19" s="310" t="s">
        <v>17</v>
      </c>
      <c r="B19" s="313" t="s">
        <v>12</v>
      </c>
      <c r="C19" s="73">
        <f>4192.5*(3.96+3.85)*6</f>
        <v>196460.55000000002</v>
      </c>
      <c r="D19" s="82"/>
      <c r="E19" s="43"/>
      <c r="F19" s="35"/>
      <c r="G19" s="35"/>
      <c r="H19" s="35"/>
      <c r="I19" s="35"/>
      <c r="J19" s="35"/>
    </row>
    <row r="20" spans="1:10" ht="15.75">
      <c r="A20" s="310" t="s">
        <v>18</v>
      </c>
      <c r="B20" s="313" t="s">
        <v>12</v>
      </c>
      <c r="C20" s="73">
        <f>4192.5*4.19*12</f>
        <v>210798.90000000002</v>
      </c>
      <c r="D20" s="82"/>
      <c r="E20" s="43"/>
      <c r="F20" s="35"/>
      <c r="G20" s="35"/>
      <c r="H20" s="35"/>
      <c r="I20" s="35"/>
      <c r="J20" s="35"/>
    </row>
    <row r="21" spans="1:10" ht="15.75">
      <c r="A21" s="310" t="s">
        <v>19</v>
      </c>
      <c r="B21" s="313" t="s">
        <v>12</v>
      </c>
      <c r="C21" s="73">
        <f>C22+C23+C24+C25</f>
        <v>858648.5775040002</v>
      </c>
      <c r="D21" s="82" t="s">
        <v>20</v>
      </c>
      <c r="E21" s="42"/>
      <c r="F21" s="35"/>
      <c r="G21" s="35"/>
      <c r="H21" s="35"/>
      <c r="I21" s="35"/>
      <c r="J21" s="35"/>
    </row>
    <row r="22" spans="1:10" ht="15.75">
      <c r="A22" s="310" t="s">
        <v>21</v>
      </c>
      <c r="B22" s="313" t="s">
        <v>12</v>
      </c>
      <c r="C22" s="73">
        <f>C17*1.0154</f>
        <v>844942.5275040001</v>
      </c>
      <c r="D22" s="82"/>
      <c r="E22" s="35"/>
      <c r="F22" s="35"/>
      <c r="G22" s="35"/>
      <c r="H22" s="35"/>
      <c r="I22" s="35"/>
      <c r="J22" s="35"/>
    </row>
    <row r="23" spans="1:10" ht="15.75">
      <c r="A23" s="310" t="s">
        <v>22</v>
      </c>
      <c r="B23" s="313" t="s">
        <v>12</v>
      </c>
      <c r="C23" s="73">
        <v>0</v>
      </c>
      <c r="D23" s="82"/>
      <c r="E23" s="43"/>
      <c r="F23" s="35"/>
      <c r="G23" s="35"/>
      <c r="H23" s="35"/>
      <c r="I23" s="35"/>
      <c r="J23" s="35"/>
    </row>
    <row r="24" spans="1:10" ht="15.75">
      <c r="A24" s="310" t="s">
        <v>24</v>
      </c>
      <c r="B24" s="313" t="s">
        <v>12</v>
      </c>
      <c r="C24" s="73">
        <v>0</v>
      </c>
      <c r="D24" s="82"/>
      <c r="E24" s="43"/>
      <c r="F24" s="35"/>
      <c r="G24" s="35"/>
      <c r="H24" s="35"/>
      <c r="I24" s="35"/>
      <c r="J24" s="35"/>
    </row>
    <row r="25" spans="1:10" ht="15.75">
      <c r="A25" s="311" t="s">
        <v>25</v>
      </c>
      <c r="B25" s="313" t="s">
        <v>12</v>
      </c>
      <c r="C25" s="73">
        <f>8143.81+5562.24</f>
        <v>13706.05</v>
      </c>
      <c r="D25" s="82"/>
      <c r="E25" s="43"/>
      <c r="F25" s="35"/>
      <c r="G25" s="35"/>
      <c r="H25" s="35"/>
      <c r="I25" s="35"/>
      <c r="J25" s="35"/>
    </row>
    <row r="26" spans="1:10" ht="15.75">
      <c r="A26" s="310" t="s">
        <v>26</v>
      </c>
      <c r="B26" s="313" t="s">
        <v>12</v>
      </c>
      <c r="C26" s="73">
        <f>C14+C21</f>
        <v>1010758.9775040002</v>
      </c>
      <c r="D26" s="82" t="s">
        <v>27</v>
      </c>
      <c r="E26" s="43"/>
      <c r="F26" s="35"/>
      <c r="G26" s="35"/>
      <c r="H26" s="35"/>
      <c r="I26" s="35"/>
      <c r="J26" s="35"/>
    </row>
    <row r="27" spans="1:10" ht="35.25" customHeight="1">
      <c r="A27" s="526" t="s">
        <v>28</v>
      </c>
      <c r="B27" s="526"/>
      <c r="C27" s="526"/>
      <c r="D27" s="526"/>
      <c r="E27" s="35"/>
      <c r="F27" s="35"/>
      <c r="G27" s="35"/>
      <c r="H27" s="35"/>
      <c r="I27" s="35"/>
      <c r="J27" s="35"/>
    </row>
    <row r="28" spans="1:10" ht="65.25" customHeight="1">
      <c r="A28" s="240" t="s">
        <v>29</v>
      </c>
      <c r="B28" s="236" t="s">
        <v>30</v>
      </c>
      <c r="C28" s="237" t="s">
        <v>31</v>
      </c>
      <c r="D28" s="238" t="s">
        <v>32</v>
      </c>
      <c r="E28" s="35"/>
      <c r="F28" s="35"/>
      <c r="G28" s="35"/>
      <c r="H28" s="35"/>
      <c r="I28" s="35"/>
      <c r="J28" s="35"/>
    </row>
    <row r="29" spans="1:10" ht="15.75">
      <c r="A29" s="241" t="s">
        <v>95</v>
      </c>
      <c r="B29" s="239" t="s">
        <v>34</v>
      </c>
      <c r="C29" s="272" t="s">
        <v>364</v>
      </c>
      <c r="D29" s="82">
        <f>0.5*12*4192.5</f>
        <v>25155</v>
      </c>
      <c r="E29" s="35"/>
      <c r="F29" s="35"/>
      <c r="G29" s="35"/>
      <c r="H29" s="35"/>
      <c r="I29" s="35"/>
      <c r="J29" s="35"/>
    </row>
    <row r="30" spans="1:10" ht="15.75">
      <c r="A30" s="241" t="s">
        <v>88</v>
      </c>
      <c r="B30" s="239" t="s">
        <v>36</v>
      </c>
      <c r="C30" s="241" t="s">
        <v>44</v>
      </c>
      <c r="D30" s="82">
        <f>2.4*12*4192.5</f>
        <v>120743.99999999999</v>
      </c>
      <c r="E30" s="35"/>
      <c r="F30" s="35"/>
      <c r="G30" s="35"/>
      <c r="H30" s="35"/>
      <c r="I30" s="35"/>
      <c r="J30" s="35"/>
    </row>
    <row r="31" spans="1:14" s="1" customFormat="1" ht="15.75">
      <c r="A31" s="241" t="s">
        <v>362</v>
      </c>
      <c r="B31" s="239" t="s">
        <v>43</v>
      </c>
      <c r="C31" s="241" t="s">
        <v>370</v>
      </c>
      <c r="D31" s="82">
        <f>(0.15*12*4192.5)+6103.5</f>
        <v>13650</v>
      </c>
      <c r="E31" s="35"/>
      <c r="F31" s="35"/>
      <c r="G31" s="35"/>
      <c r="H31" s="35"/>
      <c r="I31" s="35"/>
      <c r="J31" s="35"/>
      <c r="K31"/>
      <c r="L31"/>
      <c r="M31"/>
      <c r="N31"/>
    </row>
    <row r="32" spans="1:14" s="1" customFormat="1" ht="15.75">
      <c r="A32" s="241" t="s">
        <v>96</v>
      </c>
      <c r="B32" s="239" t="s">
        <v>34</v>
      </c>
      <c r="C32" s="241" t="s">
        <v>41</v>
      </c>
      <c r="D32" s="82">
        <f>0.24*12*4192.5</f>
        <v>12074.4</v>
      </c>
      <c r="E32" s="35"/>
      <c r="F32" s="35"/>
      <c r="G32" s="35"/>
      <c r="H32" s="35"/>
      <c r="I32" s="35"/>
      <c r="J32" s="35"/>
      <c r="K32"/>
      <c r="L32"/>
      <c r="M32"/>
      <c r="N32"/>
    </row>
    <row r="33" spans="1:14" s="1" customFormat="1" ht="15.75">
      <c r="A33" s="241" t="s">
        <v>105</v>
      </c>
      <c r="B33" s="305" t="s">
        <v>34</v>
      </c>
      <c r="C33" s="241" t="s">
        <v>44</v>
      </c>
      <c r="D33" s="82">
        <f>0.73*12*4192.5</f>
        <v>36726.299999999996</v>
      </c>
      <c r="E33" s="35"/>
      <c r="F33" s="35"/>
      <c r="G33" s="35"/>
      <c r="H33" s="35"/>
      <c r="I33" s="35"/>
      <c r="J33" s="35"/>
      <c r="K33"/>
      <c r="L33"/>
      <c r="M33"/>
      <c r="N33"/>
    </row>
    <row r="34" spans="1:14" s="1" customFormat="1" ht="15.75">
      <c r="A34" s="241" t="s">
        <v>89</v>
      </c>
      <c r="B34" s="239" t="s">
        <v>34</v>
      </c>
      <c r="C34" s="241" t="s">
        <v>44</v>
      </c>
      <c r="D34" s="82">
        <f>(2.05+1.95)*6*4192.5</f>
        <v>100620</v>
      </c>
      <c r="E34" s="35"/>
      <c r="F34" s="35"/>
      <c r="G34" s="35"/>
      <c r="H34" s="35"/>
      <c r="I34" s="35"/>
      <c r="J34" s="35"/>
      <c r="K34"/>
      <c r="L34"/>
      <c r="M34"/>
      <c r="N34"/>
    </row>
    <row r="35" spans="1:14" s="1" customFormat="1" ht="15.75">
      <c r="A35" s="241" t="s">
        <v>46</v>
      </c>
      <c r="B35" s="239" t="s">
        <v>47</v>
      </c>
      <c r="C35" s="241" t="s">
        <v>44</v>
      </c>
      <c r="D35" s="82">
        <f>1.33*12*4192.5</f>
        <v>66912.3</v>
      </c>
      <c r="E35" s="35"/>
      <c r="F35" s="35"/>
      <c r="G35" s="35"/>
      <c r="H35" s="35"/>
      <c r="I35" s="35"/>
      <c r="J35" s="35"/>
      <c r="K35"/>
      <c r="L35"/>
      <c r="M35"/>
      <c r="N35"/>
    </row>
    <row r="36" spans="1:14" s="1" customFormat="1" ht="15.75">
      <c r="A36" s="241" t="s">
        <v>98</v>
      </c>
      <c r="B36" s="239" t="s">
        <v>38</v>
      </c>
      <c r="C36" s="264" t="s">
        <v>168</v>
      </c>
      <c r="D36" s="82">
        <f>4.19*12*4192.5</f>
        <v>210798.9</v>
      </c>
      <c r="E36" s="35"/>
      <c r="F36" s="35"/>
      <c r="G36" s="35"/>
      <c r="H36" s="35"/>
      <c r="I36" s="35"/>
      <c r="J36" s="35"/>
      <c r="K36"/>
      <c r="L36"/>
      <c r="M36"/>
      <c r="N36"/>
    </row>
    <row r="37" spans="1:14" s="1" customFormat="1" ht="24.75" customHeight="1">
      <c r="A37" s="241" t="s">
        <v>101</v>
      </c>
      <c r="B37" s="239" t="s">
        <v>174</v>
      </c>
      <c r="C37" s="272" t="s">
        <v>41</v>
      </c>
      <c r="D37" s="82">
        <f>4192.5*(0.31+0.24)*6</f>
        <v>13835.25</v>
      </c>
      <c r="E37" s="35"/>
      <c r="F37" s="35"/>
      <c r="G37" s="35"/>
      <c r="H37" s="35"/>
      <c r="I37" s="35"/>
      <c r="J37" s="35"/>
      <c r="K37"/>
      <c r="L37"/>
      <c r="M37"/>
      <c r="N37"/>
    </row>
    <row r="38" spans="1:14" s="1" customFormat="1" ht="15.75">
      <c r="A38" s="241" t="s">
        <v>146</v>
      </c>
      <c r="B38" s="239"/>
      <c r="C38" s="242"/>
      <c r="D38" s="82"/>
      <c r="E38" s="35"/>
      <c r="F38" s="35"/>
      <c r="G38" s="35"/>
      <c r="H38" s="35"/>
      <c r="I38" s="35"/>
      <c r="J38" s="35"/>
      <c r="K38"/>
      <c r="L38"/>
      <c r="M38"/>
      <c r="N38"/>
    </row>
    <row r="39" spans="1:14" s="1" customFormat="1" ht="15.75">
      <c r="A39" s="241" t="s">
        <v>144</v>
      </c>
      <c r="B39" s="239" t="s">
        <v>38</v>
      </c>
      <c r="C39" s="242" t="s">
        <v>147</v>
      </c>
      <c r="D39" s="82">
        <v>13318</v>
      </c>
      <c r="E39" s="35"/>
      <c r="F39" s="35"/>
      <c r="G39" s="35"/>
      <c r="H39" s="35"/>
      <c r="I39" s="35"/>
      <c r="J39" s="35"/>
      <c r="K39"/>
      <c r="L39"/>
      <c r="M39"/>
      <c r="N39"/>
    </row>
    <row r="40" spans="1:14" s="1" customFormat="1" ht="15.75">
      <c r="A40" s="241" t="s">
        <v>145</v>
      </c>
      <c r="B40" s="239" t="s">
        <v>38</v>
      </c>
      <c r="C40" s="242" t="s">
        <v>148</v>
      </c>
      <c r="D40" s="82">
        <v>47708.04</v>
      </c>
      <c r="E40" s="35"/>
      <c r="F40" s="35"/>
      <c r="G40" s="35"/>
      <c r="H40" s="35"/>
      <c r="I40" s="35"/>
      <c r="J40" s="35"/>
      <c r="K40"/>
      <c r="L40"/>
      <c r="M40"/>
      <c r="N40"/>
    </row>
    <row r="41" spans="1:14" s="1" customFormat="1" ht="29.25" customHeight="1">
      <c r="A41" s="315" t="s">
        <v>135</v>
      </c>
      <c r="B41" s="244" t="s">
        <v>53</v>
      </c>
      <c r="C41" s="250"/>
      <c r="D41" s="371">
        <f>D42+D43+D44+D45+D46+D47+D48+D50+D51+D52+D53+D54+D55+D56+D57+D58+D59+D60+D49</f>
        <v>466694.25</v>
      </c>
      <c r="E41" s="36"/>
      <c r="F41" s="35"/>
      <c r="G41" s="35"/>
      <c r="H41" s="35"/>
      <c r="I41" s="35"/>
      <c r="J41" s="35"/>
      <c r="K41"/>
      <c r="L41"/>
      <c r="M41"/>
      <c r="N41"/>
    </row>
    <row r="42" spans="1:14" s="1" customFormat="1" ht="24" customHeight="1">
      <c r="A42" s="315" t="s">
        <v>324</v>
      </c>
      <c r="B42" s="245" t="s">
        <v>119</v>
      </c>
      <c r="C42" s="240" t="s">
        <v>44</v>
      </c>
      <c r="D42" s="74">
        <v>2102</v>
      </c>
      <c r="E42" s="36"/>
      <c r="F42" s="35"/>
      <c r="G42" s="35"/>
      <c r="H42" s="35"/>
      <c r="I42" s="35"/>
      <c r="J42" s="35"/>
      <c r="K42"/>
      <c r="L42"/>
      <c r="M42"/>
      <c r="N42"/>
    </row>
    <row r="43" spans="1:14" s="1" customFormat="1" ht="83.25" customHeight="1">
      <c r="A43" s="315" t="s">
        <v>335</v>
      </c>
      <c r="B43" s="245" t="s">
        <v>336</v>
      </c>
      <c r="C43" s="381" t="s">
        <v>44</v>
      </c>
      <c r="D43" s="74">
        <f>3151+2021+2032+1111+2335</f>
        <v>10650</v>
      </c>
      <c r="E43" s="36"/>
      <c r="F43" s="35"/>
      <c r="G43" s="35"/>
      <c r="H43" s="35"/>
      <c r="I43" s="35"/>
      <c r="J43" s="35"/>
      <c r="K43"/>
      <c r="L43"/>
      <c r="M43"/>
      <c r="N43"/>
    </row>
    <row r="44" spans="1:14" s="1" customFormat="1" ht="19.5" customHeight="1">
      <c r="A44" s="315" t="s">
        <v>325</v>
      </c>
      <c r="B44" s="245" t="s">
        <v>124</v>
      </c>
      <c r="C44" s="381" t="s">
        <v>44</v>
      </c>
      <c r="D44" s="74">
        <v>678</v>
      </c>
      <c r="E44" s="36"/>
      <c r="F44" s="35"/>
      <c r="G44" s="35"/>
      <c r="H44" s="35"/>
      <c r="I44" s="35"/>
      <c r="J44" s="35"/>
      <c r="K44"/>
      <c r="L44"/>
      <c r="M44"/>
      <c r="N44"/>
    </row>
    <row r="45" spans="1:14" s="1" customFormat="1" ht="51.75" customHeight="1">
      <c r="A45" s="315" t="s">
        <v>326</v>
      </c>
      <c r="B45" s="244" t="s">
        <v>120</v>
      </c>
      <c r="C45" s="381" t="s">
        <v>44</v>
      </c>
      <c r="D45" s="74">
        <v>2592</v>
      </c>
      <c r="E45" s="36"/>
      <c r="F45" s="35"/>
      <c r="G45" s="35"/>
      <c r="H45" s="35"/>
      <c r="I45" s="35"/>
      <c r="J45" s="35"/>
      <c r="K45"/>
      <c r="L45"/>
      <c r="M45"/>
      <c r="N45"/>
    </row>
    <row r="46" spans="1:14" s="1" customFormat="1" ht="21.75" customHeight="1">
      <c r="A46" s="315" t="s">
        <v>327</v>
      </c>
      <c r="B46" s="244" t="s">
        <v>120</v>
      </c>
      <c r="C46" s="381" t="s">
        <v>44</v>
      </c>
      <c r="D46" s="74">
        <v>384</v>
      </c>
      <c r="E46" s="36"/>
      <c r="F46" s="35"/>
      <c r="G46" s="35"/>
      <c r="H46" s="35"/>
      <c r="I46" s="35"/>
      <c r="J46" s="35"/>
      <c r="K46"/>
      <c r="L46"/>
      <c r="M46"/>
      <c r="N46"/>
    </row>
    <row r="47" spans="1:14" s="1" customFormat="1" ht="23.25" customHeight="1">
      <c r="A47" s="315" t="s">
        <v>193</v>
      </c>
      <c r="B47" s="244" t="s">
        <v>120</v>
      </c>
      <c r="C47" s="250" t="s">
        <v>37</v>
      </c>
      <c r="D47" s="74">
        <v>360</v>
      </c>
      <c r="E47" s="36"/>
      <c r="F47" s="35"/>
      <c r="G47" s="35"/>
      <c r="H47" s="35"/>
      <c r="I47" s="35"/>
      <c r="J47" s="35"/>
      <c r="K47"/>
      <c r="L47"/>
      <c r="M47"/>
      <c r="N47"/>
    </row>
    <row r="48" spans="1:14" s="1" customFormat="1" ht="31.5" customHeight="1">
      <c r="A48" s="315" t="s">
        <v>241</v>
      </c>
      <c r="B48" s="244" t="s">
        <v>127</v>
      </c>
      <c r="C48" s="240" t="s">
        <v>211</v>
      </c>
      <c r="D48" s="74">
        <v>681</v>
      </c>
      <c r="E48" s="36"/>
      <c r="F48" s="35"/>
      <c r="G48" s="35"/>
      <c r="H48" s="35"/>
      <c r="I48" s="35"/>
      <c r="J48" s="35"/>
      <c r="K48"/>
      <c r="L48"/>
      <c r="M48"/>
      <c r="N48"/>
    </row>
    <row r="49" spans="1:14" s="1" customFormat="1" ht="25.5" customHeight="1">
      <c r="A49" s="315" t="s">
        <v>242</v>
      </c>
      <c r="B49" s="244" t="s">
        <v>129</v>
      </c>
      <c r="C49" s="381" t="s">
        <v>44</v>
      </c>
      <c r="D49" s="74">
        <v>198.6</v>
      </c>
      <c r="E49" s="36"/>
      <c r="F49" s="35"/>
      <c r="G49" s="35"/>
      <c r="H49" s="35"/>
      <c r="I49" s="35"/>
      <c r="J49" s="35"/>
      <c r="K49"/>
      <c r="L49"/>
      <c r="M49"/>
      <c r="N49"/>
    </row>
    <row r="50" spans="1:14" s="1" customFormat="1" ht="54.75" customHeight="1">
      <c r="A50" s="315" t="s">
        <v>328</v>
      </c>
      <c r="B50" s="244" t="s">
        <v>329</v>
      </c>
      <c r="C50" s="381" t="s">
        <v>204</v>
      </c>
      <c r="D50" s="74">
        <f>31742+37057+14137</f>
        <v>82936</v>
      </c>
      <c r="E50" s="36"/>
      <c r="F50" s="35"/>
      <c r="G50" s="35"/>
      <c r="H50" s="35"/>
      <c r="I50" s="35"/>
      <c r="J50" s="35"/>
      <c r="K50"/>
      <c r="L50"/>
      <c r="M50"/>
      <c r="N50"/>
    </row>
    <row r="51" spans="1:14" s="1" customFormat="1" ht="20.25" customHeight="1">
      <c r="A51" s="316" t="s">
        <v>330</v>
      </c>
      <c r="B51" s="244" t="s">
        <v>122</v>
      </c>
      <c r="C51" s="240" t="s">
        <v>211</v>
      </c>
      <c r="D51" s="74">
        <v>15274</v>
      </c>
      <c r="E51" s="36"/>
      <c r="F51" s="35"/>
      <c r="G51" s="35"/>
      <c r="H51" s="35"/>
      <c r="I51" s="35"/>
      <c r="J51" s="35"/>
      <c r="K51"/>
      <c r="L51"/>
      <c r="M51"/>
      <c r="N51"/>
    </row>
    <row r="52" spans="1:14" s="1" customFormat="1" ht="25.5" customHeight="1">
      <c r="A52" s="316" t="s">
        <v>277</v>
      </c>
      <c r="B52" s="244" t="s">
        <v>125</v>
      </c>
      <c r="C52" s="381" t="s">
        <v>44</v>
      </c>
      <c r="D52" s="74">
        <v>1719</v>
      </c>
      <c r="E52" s="36"/>
      <c r="F52" s="35"/>
      <c r="G52" s="35"/>
      <c r="H52" s="35"/>
      <c r="I52" s="35"/>
      <c r="J52" s="35"/>
      <c r="K52"/>
      <c r="L52"/>
      <c r="M52"/>
      <c r="N52"/>
    </row>
    <row r="53" spans="1:14" s="1" customFormat="1" ht="33" customHeight="1">
      <c r="A53" s="316" t="s">
        <v>331</v>
      </c>
      <c r="B53" s="245" t="s">
        <v>123</v>
      </c>
      <c r="C53" s="240" t="s">
        <v>211</v>
      </c>
      <c r="D53" s="74">
        <v>63141</v>
      </c>
      <c r="E53" s="36"/>
      <c r="F53" s="35"/>
      <c r="G53" s="35"/>
      <c r="H53" s="35"/>
      <c r="I53" s="35"/>
      <c r="J53" s="35"/>
      <c r="K53"/>
      <c r="L53"/>
      <c r="M53"/>
      <c r="N53"/>
    </row>
    <row r="54" spans="1:14" s="1" customFormat="1" ht="25.5" customHeight="1">
      <c r="A54" s="316" t="s">
        <v>332</v>
      </c>
      <c r="B54" s="244" t="s">
        <v>123</v>
      </c>
      <c r="C54" s="381" t="s">
        <v>196</v>
      </c>
      <c r="D54" s="74">
        <v>68754</v>
      </c>
      <c r="E54" s="36"/>
      <c r="F54" s="35"/>
      <c r="G54" s="35"/>
      <c r="H54" s="35"/>
      <c r="I54" s="35"/>
      <c r="J54" s="35"/>
      <c r="K54"/>
      <c r="L54"/>
      <c r="M54"/>
      <c r="N54"/>
    </row>
    <row r="55" spans="1:14" s="1" customFormat="1" ht="34.5" customHeight="1">
      <c r="A55" s="315" t="s">
        <v>333</v>
      </c>
      <c r="B55" s="244" t="s">
        <v>123</v>
      </c>
      <c r="C55" s="381" t="s">
        <v>143</v>
      </c>
      <c r="D55" s="74">
        <v>9650</v>
      </c>
      <c r="E55" s="36"/>
      <c r="F55" s="35"/>
      <c r="G55" s="35"/>
      <c r="H55" s="35"/>
      <c r="I55" s="35"/>
      <c r="J55" s="35"/>
      <c r="K55"/>
      <c r="L55"/>
      <c r="M55"/>
      <c r="N55"/>
    </row>
    <row r="56" spans="1:14" s="1" customFormat="1" ht="41.25" customHeight="1">
      <c r="A56" s="315" t="s">
        <v>334</v>
      </c>
      <c r="B56" s="244" t="s">
        <v>123</v>
      </c>
      <c r="C56" s="381" t="s">
        <v>37</v>
      </c>
      <c r="D56" s="74">
        <v>5329.65</v>
      </c>
      <c r="E56" s="36"/>
      <c r="F56" s="35"/>
      <c r="G56" s="35"/>
      <c r="H56" s="35"/>
      <c r="I56" s="35"/>
      <c r="J56" s="35"/>
      <c r="K56"/>
      <c r="L56"/>
      <c r="M56"/>
      <c r="N56"/>
    </row>
    <row r="57" spans="1:14" s="1" customFormat="1" ht="24.75" customHeight="1">
      <c r="A57" s="315" t="s">
        <v>338</v>
      </c>
      <c r="B57" s="244" t="s">
        <v>123</v>
      </c>
      <c r="C57" s="381" t="s">
        <v>44</v>
      </c>
      <c r="D57" s="74">
        <v>1053</v>
      </c>
      <c r="E57" s="36"/>
      <c r="F57" s="35"/>
      <c r="G57" s="35"/>
      <c r="H57" s="35"/>
      <c r="I57" s="35"/>
      <c r="J57" s="35"/>
      <c r="K57"/>
      <c r="L57"/>
      <c r="M57"/>
      <c r="N57"/>
    </row>
    <row r="58" spans="1:14" s="1" customFormat="1" ht="15.75" customHeight="1">
      <c r="A58" s="315" t="s">
        <v>337</v>
      </c>
      <c r="B58" s="244" t="s">
        <v>126</v>
      </c>
      <c r="C58" s="381" t="s">
        <v>44</v>
      </c>
      <c r="D58" s="74">
        <v>60186</v>
      </c>
      <c r="E58" s="36"/>
      <c r="F58" s="35"/>
      <c r="G58" s="35"/>
      <c r="H58" s="35"/>
      <c r="I58" s="35"/>
      <c r="J58" s="35"/>
      <c r="K58"/>
      <c r="L58"/>
      <c r="M58"/>
      <c r="N58"/>
    </row>
    <row r="59" spans="1:14" s="1" customFormat="1" ht="22.5" customHeight="1">
      <c r="A59" s="315" t="s">
        <v>339</v>
      </c>
      <c r="B59" s="244" t="s">
        <v>128</v>
      </c>
      <c r="C59" s="381" t="s">
        <v>44</v>
      </c>
      <c r="D59" s="74">
        <v>135997</v>
      </c>
      <c r="E59" s="36"/>
      <c r="F59" s="35"/>
      <c r="G59" s="35"/>
      <c r="H59" s="35"/>
      <c r="I59" s="35"/>
      <c r="J59" s="35"/>
      <c r="K59"/>
      <c r="L59"/>
      <c r="M59"/>
      <c r="N59"/>
    </row>
    <row r="60" spans="1:14" s="1" customFormat="1" ht="18.75" customHeight="1">
      <c r="A60" s="316" t="s">
        <v>219</v>
      </c>
      <c r="B60" s="244" t="s">
        <v>128</v>
      </c>
      <c r="C60" s="240" t="s">
        <v>211</v>
      </c>
      <c r="D60" s="74">
        <v>5009</v>
      </c>
      <c r="E60" s="36"/>
      <c r="F60" s="35"/>
      <c r="G60" s="35"/>
      <c r="H60" s="35"/>
      <c r="I60" s="35"/>
      <c r="J60" s="35"/>
      <c r="K60"/>
      <c r="L60"/>
      <c r="M60"/>
      <c r="N60"/>
    </row>
    <row r="61" spans="1:14" s="1" customFormat="1" ht="15.75">
      <c r="A61" s="242" t="s">
        <v>54</v>
      </c>
      <c r="B61" s="239"/>
      <c r="C61" s="241"/>
      <c r="D61" s="82">
        <f>D29+D30+D31+D32+D33+D34+D35+D36+D37+D39+D40+D41</f>
        <v>1128236.44</v>
      </c>
      <c r="E61" s="36">
        <f>D61-D39-D40-D41</f>
        <v>600516.1499999999</v>
      </c>
      <c r="F61" s="35"/>
      <c r="G61" s="35"/>
      <c r="H61" s="35"/>
      <c r="I61" s="35"/>
      <c r="J61" s="35"/>
      <c r="K61"/>
      <c r="L61"/>
      <c r="M61"/>
      <c r="N61"/>
    </row>
    <row r="62" spans="1:14" s="1" customFormat="1" ht="15.75">
      <c r="A62" s="242" t="s">
        <v>55</v>
      </c>
      <c r="B62" s="239" t="s">
        <v>12</v>
      </c>
      <c r="C62" s="241"/>
      <c r="D62" s="82">
        <f>C26-D61</f>
        <v>-117477.46249599976</v>
      </c>
      <c r="E62" s="483"/>
      <c r="F62" s="35"/>
      <c r="G62" s="35"/>
      <c r="H62" s="35"/>
      <c r="I62" s="35"/>
      <c r="J62" s="35"/>
      <c r="K62"/>
      <c r="L62"/>
      <c r="M62"/>
      <c r="N62"/>
    </row>
    <row r="63" spans="1:10" ht="15.75">
      <c r="A63" s="241" t="s">
        <v>13</v>
      </c>
      <c r="B63" s="239" t="s">
        <v>12</v>
      </c>
      <c r="C63" s="241"/>
      <c r="D63" s="234">
        <v>0</v>
      </c>
      <c r="E63" s="35"/>
      <c r="F63" s="35"/>
      <c r="G63" s="35"/>
      <c r="H63" s="35"/>
      <c r="I63" s="35"/>
      <c r="J63" s="35"/>
    </row>
    <row r="64" spans="1:10" ht="15.75">
      <c r="A64" s="241" t="s">
        <v>14</v>
      </c>
      <c r="B64" s="239" t="s">
        <v>12</v>
      </c>
      <c r="C64" s="241"/>
      <c r="D64" s="82">
        <v>67321.8</v>
      </c>
      <c r="E64" s="35"/>
      <c r="F64" s="35"/>
      <c r="G64" s="35"/>
      <c r="H64" s="35"/>
      <c r="I64" s="35"/>
      <c r="J64" s="35"/>
    </row>
    <row r="65" spans="1:10" ht="16.5" customHeight="1">
      <c r="A65" s="527" t="s">
        <v>56</v>
      </c>
      <c r="B65" s="527"/>
      <c r="C65" s="527"/>
      <c r="D65" s="527"/>
      <c r="E65" s="35"/>
      <c r="F65" s="35"/>
      <c r="G65" s="35"/>
      <c r="H65" s="35"/>
      <c r="I65" s="35"/>
      <c r="J65" s="35"/>
    </row>
    <row r="66" spans="1:10" ht="15.75">
      <c r="A66" s="241" t="s">
        <v>57</v>
      </c>
      <c r="B66" s="239" t="s">
        <v>58</v>
      </c>
      <c r="C66" s="241">
        <v>0</v>
      </c>
      <c r="D66" s="234">
        <v>0</v>
      </c>
      <c r="E66" s="35"/>
      <c r="F66" s="35"/>
      <c r="G66" s="35"/>
      <c r="H66" s="35"/>
      <c r="I66" s="35"/>
      <c r="J66" s="35"/>
    </row>
    <row r="67" spans="1:10" ht="15.75">
      <c r="A67" s="241" t="s">
        <v>59</v>
      </c>
      <c r="B67" s="239" t="s">
        <v>58</v>
      </c>
      <c r="C67" s="241">
        <v>0</v>
      </c>
      <c r="D67" s="234">
        <v>0</v>
      </c>
      <c r="E67" s="35"/>
      <c r="F67" s="35"/>
      <c r="G67" s="35"/>
      <c r="H67" s="35"/>
      <c r="I67" s="35"/>
      <c r="J67" s="35"/>
    </row>
    <row r="68" spans="1:10" ht="31.5">
      <c r="A68" s="240" t="s">
        <v>60</v>
      </c>
      <c r="B68" s="239" t="s">
        <v>58</v>
      </c>
      <c r="C68" s="241">
        <v>0</v>
      </c>
      <c r="D68" s="234">
        <v>0</v>
      </c>
      <c r="E68" s="35"/>
      <c r="F68" s="35"/>
      <c r="G68" s="35"/>
      <c r="H68" s="35"/>
      <c r="I68" s="35"/>
      <c r="J68" s="35"/>
    </row>
    <row r="69" spans="1:10" ht="15.75">
      <c r="A69" s="241" t="s">
        <v>61</v>
      </c>
      <c r="B69" s="239" t="s">
        <v>12</v>
      </c>
      <c r="C69" s="241">
        <v>0</v>
      </c>
      <c r="D69" s="234">
        <v>0</v>
      </c>
      <c r="E69" s="35"/>
      <c r="F69" s="35"/>
      <c r="G69" s="35"/>
      <c r="H69" s="35"/>
      <c r="I69" s="35"/>
      <c r="J69" s="35"/>
    </row>
    <row r="70" spans="1:10" ht="13.5" customHeight="1">
      <c r="A70" s="526" t="s">
        <v>62</v>
      </c>
      <c r="B70" s="526"/>
      <c r="C70" s="526"/>
      <c r="D70" s="526"/>
      <c r="E70" s="35"/>
      <c r="F70" s="35"/>
      <c r="G70" s="35"/>
      <c r="H70" s="35"/>
      <c r="I70" s="35"/>
      <c r="J70" s="35"/>
    </row>
    <row r="71" spans="1:10" ht="31.5">
      <c r="A71" s="240" t="s">
        <v>63</v>
      </c>
      <c r="B71" s="239" t="s">
        <v>12</v>
      </c>
      <c r="C71" s="241"/>
      <c r="D71" s="241">
        <v>0</v>
      </c>
      <c r="E71" s="35"/>
      <c r="F71" s="35"/>
      <c r="G71" s="35"/>
      <c r="H71" s="35"/>
      <c r="I71" s="35"/>
      <c r="J71" s="35"/>
    </row>
    <row r="72" spans="1:10" ht="15.75">
      <c r="A72" s="241" t="s">
        <v>13</v>
      </c>
      <c r="B72" s="239" t="s">
        <v>12</v>
      </c>
      <c r="C72" s="241"/>
      <c r="D72" s="241">
        <v>0</v>
      </c>
      <c r="E72" s="35"/>
      <c r="F72" s="35"/>
      <c r="G72" s="35"/>
      <c r="H72" s="35"/>
      <c r="I72" s="35"/>
      <c r="J72" s="35"/>
    </row>
    <row r="73" spans="1:10" ht="15.75">
      <c r="A73" s="241" t="s">
        <v>14</v>
      </c>
      <c r="B73" s="239" t="s">
        <v>12</v>
      </c>
      <c r="C73" s="241"/>
      <c r="D73" s="246">
        <f>D76-D79-D80-D81-D82-D83</f>
        <v>144252.54051200007</v>
      </c>
      <c r="E73" s="35"/>
      <c r="F73" s="35"/>
      <c r="G73" s="35"/>
      <c r="H73" s="37"/>
      <c r="I73" s="35"/>
      <c r="J73" s="35"/>
    </row>
    <row r="74" spans="1:10" ht="15.75">
      <c r="A74" s="317" t="s">
        <v>102</v>
      </c>
      <c r="B74" s="239" t="s">
        <v>12</v>
      </c>
      <c r="C74" s="247"/>
      <c r="D74" s="247">
        <v>0</v>
      </c>
      <c r="E74" s="35"/>
      <c r="F74" s="35"/>
      <c r="G74" s="35"/>
      <c r="H74" s="35"/>
      <c r="I74" s="35"/>
      <c r="J74" s="35"/>
    </row>
    <row r="75" spans="1:10" ht="17.25" customHeight="1">
      <c r="A75" s="318" t="s">
        <v>13</v>
      </c>
      <c r="B75" s="239" t="s">
        <v>12</v>
      </c>
      <c r="C75" s="241"/>
      <c r="D75" s="241">
        <v>0</v>
      </c>
      <c r="E75" s="35"/>
      <c r="F75" s="35"/>
      <c r="G75" s="35"/>
      <c r="H75" s="35"/>
      <c r="I75" s="37"/>
      <c r="J75" s="37"/>
    </row>
    <row r="76" spans="1:14" ht="15.75">
      <c r="A76" s="319" t="s">
        <v>14</v>
      </c>
      <c r="B76" s="239" t="s">
        <v>12</v>
      </c>
      <c r="C76" s="248"/>
      <c r="D76" s="248">
        <v>124313.34</v>
      </c>
      <c r="E76" s="35"/>
      <c r="F76" s="35"/>
      <c r="G76" s="35"/>
      <c r="H76" s="35"/>
      <c r="I76" s="38"/>
      <c r="J76" s="38"/>
      <c r="K76" s="5"/>
      <c r="L76" s="5"/>
      <c r="M76" s="5"/>
      <c r="N76" s="5"/>
    </row>
    <row r="77" spans="1:14" ht="18" customHeight="1" thickBot="1">
      <c r="A77" s="554" t="s">
        <v>65</v>
      </c>
      <c r="B77" s="554"/>
      <c r="C77" s="554"/>
      <c r="D77" s="554"/>
      <c r="E77" s="40"/>
      <c r="F77" s="44"/>
      <c r="G77" s="45"/>
      <c r="H77" s="35"/>
      <c r="I77" s="39"/>
      <c r="J77" s="39"/>
      <c r="K77" s="10"/>
      <c r="L77" s="10"/>
      <c r="M77" s="10"/>
      <c r="N77" s="10"/>
    </row>
    <row r="78" spans="1:14" ht="70.5" customHeight="1">
      <c r="A78" s="320" t="s">
        <v>66</v>
      </c>
      <c r="B78" s="321" t="s">
        <v>67</v>
      </c>
      <c r="C78" s="13" t="s">
        <v>68</v>
      </c>
      <c r="D78" s="336" t="s">
        <v>69</v>
      </c>
      <c r="E78" s="40"/>
      <c r="F78" s="44"/>
      <c r="G78" s="45"/>
      <c r="H78" s="35"/>
      <c r="I78" s="39"/>
      <c r="J78" s="39"/>
      <c r="K78" s="10"/>
      <c r="L78" s="10"/>
      <c r="M78" s="10"/>
      <c r="N78" s="10"/>
    </row>
    <row r="79" spans="1:14" ht="18.75" customHeight="1">
      <c r="A79" s="404" t="s">
        <v>368</v>
      </c>
      <c r="B79" s="400">
        <v>241816.06</v>
      </c>
      <c r="C79" s="399">
        <f>B79</f>
        <v>241816.06</v>
      </c>
      <c r="D79" s="485">
        <f>B79-C79</f>
        <v>0</v>
      </c>
      <c r="E79" s="40"/>
      <c r="F79" s="44"/>
      <c r="G79" s="45"/>
      <c r="H79" s="35"/>
      <c r="I79" s="39"/>
      <c r="J79" s="39"/>
      <c r="K79" s="10"/>
      <c r="L79" s="10"/>
      <c r="M79" s="10"/>
      <c r="N79" s="10"/>
    </row>
    <row r="80" spans="1:14" ht="15.75">
      <c r="A80" s="322" t="s">
        <v>70</v>
      </c>
      <c r="B80" s="235">
        <v>76104.4</v>
      </c>
      <c r="C80" s="399">
        <f>B80*1.0154</f>
        <v>77276.40776</v>
      </c>
      <c r="D80" s="295">
        <f>B80-C80</f>
        <v>-1172.0077600000077</v>
      </c>
      <c r="E80" s="40"/>
      <c r="F80" s="44"/>
      <c r="G80" s="45"/>
      <c r="H80" s="35"/>
      <c r="I80" s="39"/>
      <c r="J80" s="39"/>
      <c r="K80" s="10"/>
      <c r="L80" s="10"/>
      <c r="M80" s="10"/>
      <c r="N80" s="10"/>
    </row>
    <row r="81" spans="1:14" ht="15.75">
      <c r="A81" s="322" t="s">
        <v>71</v>
      </c>
      <c r="B81" s="235">
        <v>150400.7</v>
      </c>
      <c r="C81" s="399">
        <f>B81*1.0154</f>
        <v>152716.87078000003</v>
      </c>
      <c r="D81" s="295">
        <f>B81-C81</f>
        <v>-2316.170780000015</v>
      </c>
      <c r="E81" s="40"/>
      <c r="F81" s="44"/>
      <c r="G81" s="45"/>
      <c r="H81" s="35"/>
      <c r="I81" s="39"/>
      <c r="J81" s="39"/>
      <c r="K81" s="10"/>
      <c r="L81" s="10"/>
      <c r="M81" s="10"/>
      <c r="N81" s="10"/>
    </row>
    <row r="82" spans="1:14" ht="15.75">
      <c r="A82" s="322" t="s">
        <v>72</v>
      </c>
      <c r="B82" s="249">
        <v>828631</v>
      </c>
      <c r="C82" s="399">
        <f>B82*1.0154</f>
        <v>841391.9174</v>
      </c>
      <c r="D82" s="295">
        <f>B82-C82</f>
        <v>-12760.917400000035</v>
      </c>
      <c r="E82" s="40"/>
      <c r="F82" s="47"/>
      <c r="G82" s="48"/>
      <c r="H82" s="40"/>
      <c r="I82" s="39"/>
      <c r="J82" s="39"/>
      <c r="K82" s="10"/>
      <c r="L82" s="10"/>
      <c r="M82" s="10"/>
      <c r="N82" s="10"/>
    </row>
    <row r="83" spans="1:14" ht="16.5" thickBot="1">
      <c r="A83" s="322" t="s">
        <v>73</v>
      </c>
      <c r="B83" s="249">
        <v>239617.18</v>
      </c>
      <c r="C83" s="399">
        <f>B83*1.0154</f>
        <v>243307.284572</v>
      </c>
      <c r="D83" s="295">
        <f>B83-C83</f>
        <v>-3690.104572000011</v>
      </c>
      <c r="E83" s="40"/>
      <c r="F83" s="47"/>
      <c r="G83" s="48"/>
      <c r="H83" s="35"/>
      <c r="I83" s="39"/>
      <c r="J83" s="39"/>
      <c r="K83" s="10"/>
      <c r="L83" s="10"/>
      <c r="M83" s="10"/>
      <c r="N83" s="10"/>
    </row>
    <row r="84" spans="1:14" ht="90" customHeight="1">
      <c r="A84" s="323" t="s">
        <v>75</v>
      </c>
      <c r="B84" s="324" t="s">
        <v>76</v>
      </c>
      <c r="C84" s="32" t="s">
        <v>77</v>
      </c>
      <c r="D84" s="33" t="s">
        <v>78</v>
      </c>
      <c r="E84" s="40"/>
      <c r="F84" s="47"/>
      <c r="G84" s="35"/>
      <c r="H84" s="39"/>
      <c r="I84" s="39"/>
      <c r="J84" s="39"/>
      <c r="K84" s="10"/>
      <c r="L84" s="10"/>
      <c r="M84" s="10"/>
      <c r="N84" s="10"/>
    </row>
    <row r="85" spans="1:14" ht="16.5" customHeight="1">
      <c r="A85" s="405" t="s">
        <v>368</v>
      </c>
      <c r="B85" s="400">
        <v>241816.06</v>
      </c>
      <c r="C85" s="399">
        <f>B85</f>
        <v>241816.06</v>
      </c>
      <c r="D85" s="484">
        <f>B85-C85</f>
        <v>0</v>
      </c>
      <c r="E85" s="40"/>
      <c r="F85" s="47"/>
      <c r="G85" s="35"/>
      <c r="H85" s="39"/>
      <c r="I85" s="39"/>
      <c r="J85" s="39"/>
      <c r="K85" s="10"/>
      <c r="L85" s="10"/>
      <c r="M85" s="10"/>
      <c r="N85" s="10"/>
    </row>
    <row r="86" spans="1:14" ht="15.75">
      <c r="A86" s="325" t="s">
        <v>70</v>
      </c>
      <c r="B86" s="326">
        <f>B80</f>
        <v>76104.4</v>
      </c>
      <c r="C86" s="486">
        <f>C80</f>
        <v>77276.40776</v>
      </c>
      <c r="D86" s="297">
        <f>B86-C86</f>
        <v>-1172.0077600000077</v>
      </c>
      <c r="E86" s="40"/>
      <c r="F86" s="47"/>
      <c r="G86" s="35"/>
      <c r="H86" s="39"/>
      <c r="I86" s="39"/>
      <c r="J86" s="39" t="s">
        <v>27</v>
      </c>
      <c r="K86" s="10"/>
      <c r="L86" s="10"/>
      <c r="M86" s="10"/>
      <c r="N86" s="10"/>
    </row>
    <row r="87" spans="1:14" ht="15.75">
      <c r="A87" s="325" t="s">
        <v>71</v>
      </c>
      <c r="B87" s="326">
        <f>B81</f>
        <v>150400.7</v>
      </c>
      <c r="C87" s="486">
        <f>C81</f>
        <v>152716.87078000003</v>
      </c>
      <c r="D87" s="297">
        <f>B87-C87</f>
        <v>-2316.170780000015</v>
      </c>
      <c r="E87" s="40"/>
      <c r="F87" s="47"/>
      <c r="G87" s="35"/>
      <c r="H87" s="39"/>
      <c r="I87" s="39"/>
      <c r="J87" s="39"/>
      <c r="K87" s="10"/>
      <c r="L87" s="10"/>
      <c r="M87" s="10"/>
      <c r="N87" s="10"/>
    </row>
    <row r="88" spans="1:14" ht="15.75">
      <c r="A88" s="325" t="s">
        <v>72</v>
      </c>
      <c r="B88" s="335">
        <v>623976.86</v>
      </c>
      <c r="C88" s="486">
        <f>C82</f>
        <v>841391.9174</v>
      </c>
      <c r="D88" s="297">
        <f>B88-C88</f>
        <v>-217415.05740000005</v>
      </c>
      <c r="E88" s="6"/>
      <c r="F88" s="16"/>
      <c r="H88" s="9"/>
      <c r="I88" s="9"/>
      <c r="J88" s="9"/>
      <c r="K88" s="10"/>
      <c r="L88" s="10"/>
      <c r="M88" s="10"/>
      <c r="N88" s="10"/>
    </row>
    <row r="89" spans="1:14" ht="15.75">
      <c r="A89" s="325" t="s">
        <v>73</v>
      </c>
      <c r="B89" s="326">
        <f>B83</f>
        <v>239617.18</v>
      </c>
      <c r="C89" s="486">
        <f>C83</f>
        <v>243307.284572</v>
      </c>
      <c r="D89" s="297">
        <f>B89-C89</f>
        <v>-3690.104572000011</v>
      </c>
      <c r="E89" s="6"/>
      <c r="F89" s="16"/>
      <c r="H89" s="9"/>
      <c r="I89" s="9"/>
      <c r="J89" s="9"/>
      <c r="K89" s="10"/>
      <c r="L89" s="10"/>
      <c r="M89" s="10"/>
      <c r="N89" s="10"/>
    </row>
    <row r="90" spans="1:14" ht="3.75" customHeight="1">
      <c r="A90" s="327"/>
      <c r="B90" s="328"/>
      <c r="C90" s="298"/>
      <c r="D90" s="299"/>
      <c r="E90" s="6"/>
      <c r="F90" s="16"/>
      <c r="H90" s="9"/>
      <c r="I90" s="9"/>
      <c r="J90" s="9"/>
      <c r="K90" s="10"/>
      <c r="L90" s="10"/>
      <c r="M90" s="10"/>
      <c r="N90" s="10"/>
    </row>
    <row r="91" spans="1:14" ht="28.5" customHeight="1">
      <c r="A91" s="329" t="s">
        <v>79</v>
      </c>
      <c r="B91" s="328" t="s">
        <v>12</v>
      </c>
      <c r="C91" s="300"/>
      <c r="D91" s="301">
        <v>32144.84</v>
      </c>
      <c r="E91" s="6"/>
      <c r="F91" s="16"/>
      <c r="H91" s="9"/>
      <c r="I91" s="9"/>
      <c r="J91" s="9" t="s">
        <v>27</v>
      </c>
      <c r="K91" s="10"/>
      <c r="L91" s="10"/>
      <c r="M91" s="10"/>
      <c r="N91" s="10"/>
    </row>
    <row r="92" spans="1:14" ht="17.25" customHeight="1">
      <c r="A92" s="536" t="s">
        <v>80</v>
      </c>
      <c r="B92" s="536"/>
      <c r="C92" s="536"/>
      <c r="D92" s="536"/>
      <c r="E92" s="18" t="e">
        <f>D92+B18</f>
        <v>#VALUE!</v>
      </c>
      <c r="F92" s="9"/>
      <c r="H92" s="19" t="e">
        <f>E92-B17</f>
        <v>#VALUE!</v>
      </c>
      <c r="I92" s="9"/>
      <c r="J92" s="9"/>
      <c r="K92" s="10"/>
      <c r="L92" s="10"/>
      <c r="M92" s="10"/>
      <c r="N92" s="10"/>
    </row>
    <row r="93" spans="1:5" ht="16.5" customHeight="1">
      <c r="A93" s="330" t="s">
        <v>57</v>
      </c>
      <c r="B93" s="330" t="s">
        <v>58</v>
      </c>
      <c r="C93" s="331"/>
      <c r="D93" s="83">
        <v>0</v>
      </c>
      <c r="E93" s="21"/>
    </row>
    <row r="94" spans="1:5" ht="15.75" customHeight="1">
      <c r="A94" s="330" t="s">
        <v>59</v>
      </c>
      <c r="B94" s="330" t="s">
        <v>58</v>
      </c>
      <c r="C94" s="331"/>
      <c r="D94" s="83">
        <v>0</v>
      </c>
      <c r="E94" s="21"/>
    </row>
    <row r="95" spans="1:14" s="1" customFormat="1" ht="15" customHeight="1">
      <c r="A95" s="330" t="s">
        <v>60</v>
      </c>
      <c r="B95" s="330" t="s">
        <v>58</v>
      </c>
      <c r="C95" s="331"/>
      <c r="D95" s="83">
        <v>0</v>
      </c>
      <c r="E95" s="21"/>
      <c r="K95"/>
      <c r="L95"/>
      <c r="M95"/>
      <c r="N95"/>
    </row>
    <row r="96" spans="1:14" s="1" customFormat="1" ht="16.5" customHeight="1">
      <c r="A96" s="330" t="s">
        <v>61</v>
      </c>
      <c r="B96" s="330" t="s">
        <v>12</v>
      </c>
      <c r="C96" s="331"/>
      <c r="D96" s="83">
        <v>0</v>
      </c>
      <c r="E96" s="21"/>
      <c r="K96"/>
      <c r="L96"/>
      <c r="M96"/>
      <c r="N96"/>
    </row>
    <row r="97" spans="1:14" s="1" customFormat="1" ht="15.75" customHeight="1">
      <c r="A97" s="560" t="s">
        <v>81</v>
      </c>
      <c r="B97" s="560"/>
      <c r="C97" s="560"/>
      <c r="D97" s="560"/>
      <c r="E97" s="21"/>
      <c r="K97"/>
      <c r="L97"/>
      <c r="M97"/>
      <c r="N97"/>
    </row>
    <row r="98" spans="1:14" s="1" customFormat="1" ht="18.75" customHeight="1">
      <c r="A98" s="330" t="s">
        <v>82</v>
      </c>
      <c r="B98" s="330" t="s">
        <v>58</v>
      </c>
      <c r="C98" s="331"/>
      <c r="D98" s="83">
        <v>4</v>
      </c>
      <c r="E98" s="21"/>
      <c r="K98"/>
      <c r="L98"/>
      <c r="M98"/>
      <c r="N98"/>
    </row>
    <row r="99" spans="1:14" s="1" customFormat="1" ht="17.25" customHeight="1">
      <c r="A99" s="330" t="s">
        <v>83</v>
      </c>
      <c r="B99" s="318" t="s">
        <v>58</v>
      </c>
      <c r="C99" s="332"/>
      <c r="D99" s="83">
        <v>4</v>
      </c>
      <c r="E99" s="21"/>
      <c r="K99"/>
      <c r="L99"/>
      <c r="M99"/>
      <c r="N99"/>
    </row>
    <row r="100" spans="1:14" s="1" customFormat="1" ht="27.75" customHeight="1">
      <c r="A100" s="333" t="s">
        <v>84</v>
      </c>
      <c r="B100" s="330" t="s">
        <v>12</v>
      </c>
      <c r="C100" s="331"/>
      <c r="D100" s="83">
        <v>80000</v>
      </c>
      <c r="E100" s="21"/>
      <c r="K100"/>
      <c r="L100"/>
      <c r="M100"/>
      <c r="N100"/>
    </row>
    <row r="101" spans="1:14" s="1" customFormat="1" ht="15.75">
      <c r="A101" s="334" t="s">
        <v>162</v>
      </c>
      <c r="B101" s="307"/>
      <c r="C101" s="307"/>
      <c r="D101" s="307"/>
      <c r="K101"/>
      <c r="L101"/>
      <c r="M101"/>
      <c r="N101"/>
    </row>
    <row r="102" spans="1:14" s="1" customFormat="1" ht="15.75">
      <c r="A102" s="307" t="s">
        <v>85</v>
      </c>
      <c r="B102" s="307"/>
      <c r="C102" s="307"/>
      <c r="D102" s="307"/>
      <c r="H102" s="1" t="s">
        <v>27</v>
      </c>
      <c r="K102"/>
      <c r="L102"/>
      <c r="M102"/>
      <c r="N102"/>
    </row>
    <row r="103" spans="1:14" s="1" customFormat="1" ht="15.75">
      <c r="A103" s="307"/>
      <c r="B103" s="307"/>
      <c r="C103" s="307"/>
      <c r="D103" s="307"/>
      <c r="K103"/>
      <c r="L103"/>
      <c r="M103"/>
      <c r="N103"/>
    </row>
    <row r="104" spans="1:4" ht="12.75">
      <c r="A104" s="81"/>
      <c r="B104" s="81"/>
      <c r="C104" s="81"/>
      <c r="D104" s="81"/>
    </row>
    <row r="107" spans="1:14" s="1" customFormat="1" ht="12.75">
      <c r="A107"/>
      <c r="B107"/>
      <c r="C107"/>
      <c r="D107"/>
      <c r="E107" s="1" t="s">
        <v>27</v>
      </c>
      <c r="K107"/>
      <c r="L107"/>
      <c r="M107"/>
      <c r="N10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3:D13"/>
    <mergeCell ref="A7:D7"/>
    <mergeCell ref="A27:D27"/>
    <mergeCell ref="A65:D65"/>
    <mergeCell ref="A70:D70"/>
    <mergeCell ref="A77:D77"/>
    <mergeCell ref="A92:D92"/>
    <mergeCell ref="A97:D9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="95" zoomScaleNormal="95" zoomScalePageLayoutView="0" workbookViewId="0" topLeftCell="A4">
      <selection activeCell="D60" sqref="D60"/>
    </sheetView>
  </sheetViews>
  <sheetFormatPr defaultColWidth="11.57421875" defaultRowHeight="12.75"/>
  <cols>
    <col min="1" max="1" width="60.140625" style="0" customWidth="1"/>
    <col min="2" max="2" width="16.140625" style="0" customWidth="1"/>
    <col min="3" max="3" width="23.00390625" style="0" customWidth="1"/>
    <col min="4" max="4" width="13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64" t="s">
        <v>0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4" t="s">
        <v>113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ht="14.25" customHeight="1">
      <c r="A6" s="2"/>
    </row>
    <row r="7" spans="1:4" ht="42" customHeight="1">
      <c r="A7" s="543" t="s">
        <v>3</v>
      </c>
      <c r="B7" s="543"/>
      <c r="C7" s="543"/>
      <c r="D7" s="543"/>
    </row>
    <row r="8" spans="1:4" ht="12.75">
      <c r="A8" s="90" t="s">
        <v>359</v>
      </c>
      <c r="B8" s="81"/>
      <c r="C8" s="91"/>
      <c r="D8" s="81"/>
    </row>
    <row r="9" spans="1:4" ht="12.75">
      <c r="A9" s="92" t="s">
        <v>4</v>
      </c>
      <c r="B9" s="92" t="s">
        <v>5</v>
      </c>
      <c r="C9" s="92" t="s">
        <v>6</v>
      </c>
      <c r="D9" s="93"/>
    </row>
    <row r="10" spans="1:8" ht="12.75">
      <c r="A10" s="94">
        <v>1</v>
      </c>
      <c r="B10" s="94">
        <v>2</v>
      </c>
      <c r="C10" s="94">
        <v>3</v>
      </c>
      <c r="D10" s="95">
        <v>4</v>
      </c>
      <c r="E10" s="35"/>
      <c r="F10" s="35"/>
      <c r="G10" s="35"/>
      <c r="H10" s="35"/>
    </row>
    <row r="11" spans="1:8" ht="12.75">
      <c r="A11" s="65" t="s">
        <v>7</v>
      </c>
      <c r="B11" s="96"/>
      <c r="C11" s="97" t="s">
        <v>190</v>
      </c>
      <c r="D11" s="80"/>
      <c r="E11" s="35"/>
      <c r="F11" s="35"/>
      <c r="G11" s="35"/>
      <c r="H11" s="35"/>
    </row>
    <row r="12" spans="1:8" ht="12.75">
      <c r="A12" s="65" t="s">
        <v>8</v>
      </c>
      <c r="B12" s="96"/>
      <c r="C12" s="97" t="s">
        <v>205</v>
      </c>
      <c r="D12" s="80"/>
      <c r="E12" s="35"/>
      <c r="F12" s="35"/>
      <c r="G12" s="35"/>
      <c r="H12" s="35"/>
    </row>
    <row r="13" spans="1:8" ht="12.75">
      <c r="A13" s="65" t="s">
        <v>9</v>
      </c>
      <c r="B13" s="96"/>
      <c r="C13" s="97" t="s">
        <v>191</v>
      </c>
      <c r="D13" s="80"/>
      <c r="E13" s="35"/>
      <c r="F13" s="35"/>
      <c r="G13" s="35"/>
      <c r="H13" s="35"/>
    </row>
    <row r="14" spans="1:9" ht="31.5" customHeight="1">
      <c r="A14" s="537" t="s">
        <v>10</v>
      </c>
      <c r="B14" s="537"/>
      <c r="C14" s="537"/>
      <c r="D14" s="537"/>
      <c r="E14" s="35"/>
      <c r="F14" s="35"/>
      <c r="G14" s="35"/>
      <c r="H14" s="35"/>
      <c r="I14" s="35"/>
    </row>
    <row r="15" spans="1:9" ht="12.75">
      <c r="A15" s="65" t="s">
        <v>87</v>
      </c>
      <c r="B15" s="98" t="s">
        <v>12</v>
      </c>
      <c r="C15" s="72">
        <v>-66541.9</v>
      </c>
      <c r="D15" s="80"/>
      <c r="E15" s="35"/>
      <c r="F15" s="35"/>
      <c r="G15" s="35"/>
      <c r="H15" s="35"/>
      <c r="I15" s="35"/>
    </row>
    <row r="16" spans="1:9" ht="12.75">
      <c r="A16" s="65" t="s">
        <v>13</v>
      </c>
      <c r="B16" s="98" t="s">
        <v>12</v>
      </c>
      <c r="C16" s="99">
        <v>0</v>
      </c>
      <c r="D16" s="80"/>
      <c r="E16" s="35"/>
      <c r="F16" s="35"/>
      <c r="G16" s="35"/>
      <c r="H16" s="35"/>
      <c r="I16" s="35"/>
    </row>
    <row r="17" spans="1:9" ht="12.75">
      <c r="A17" s="65" t="s">
        <v>14</v>
      </c>
      <c r="B17" s="98" t="s">
        <v>12</v>
      </c>
      <c r="C17" s="72">
        <v>46728.71</v>
      </c>
      <c r="D17" s="76"/>
      <c r="E17" s="35"/>
      <c r="F17" s="35"/>
      <c r="G17" s="35"/>
      <c r="H17" s="35"/>
      <c r="I17" s="35"/>
    </row>
    <row r="18" spans="1:9" ht="31.5" customHeight="1">
      <c r="A18" s="64" t="s">
        <v>15</v>
      </c>
      <c r="B18" s="98" t="s">
        <v>12</v>
      </c>
      <c r="C18" s="72">
        <f>1132922.86+10478.88+6112.56+144075.18</f>
        <v>1293589.48</v>
      </c>
      <c r="D18" s="76"/>
      <c r="E18" s="42">
        <f>C18-C20</f>
        <v>1073839.18</v>
      </c>
      <c r="F18" s="35"/>
      <c r="G18" s="35"/>
      <c r="H18" s="35"/>
      <c r="I18" s="35"/>
    </row>
    <row r="19" spans="1:9" ht="12.75">
      <c r="A19" s="65" t="s">
        <v>16</v>
      </c>
      <c r="B19" s="98" t="s">
        <v>12</v>
      </c>
      <c r="C19" s="72">
        <f>C18-C20-C21</f>
        <v>835461.0399999998</v>
      </c>
      <c r="D19" s="76"/>
      <c r="E19" s="42">
        <f>E18-E59</f>
        <v>-10633.850000000093</v>
      </c>
      <c r="F19" s="35"/>
      <c r="G19" s="35"/>
      <c r="H19" s="35"/>
      <c r="I19" s="35"/>
    </row>
    <row r="20" spans="1:9" ht="12.75">
      <c r="A20" s="65" t="s">
        <v>17</v>
      </c>
      <c r="B20" s="98" t="s">
        <v>12</v>
      </c>
      <c r="C20" s="72">
        <f>4851*(4.54+3.01)*6</f>
        <v>219750.3</v>
      </c>
      <c r="D20" s="76"/>
      <c r="E20" s="42"/>
      <c r="F20" s="35"/>
      <c r="G20" s="35"/>
      <c r="H20" s="35"/>
      <c r="I20" s="35"/>
    </row>
    <row r="21" spans="1:9" ht="12.75">
      <c r="A21" s="65" t="s">
        <v>18</v>
      </c>
      <c r="B21" s="98" t="s">
        <v>12</v>
      </c>
      <c r="C21" s="72">
        <f>4851*(4+4.19)*6</f>
        <v>238378.14000000007</v>
      </c>
      <c r="D21" s="76"/>
      <c r="E21" s="35"/>
      <c r="F21" s="35"/>
      <c r="G21" s="35"/>
      <c r="H21" s="35"/>
      <c r="I21" s="35"/>
    </row>
    <row r="22" spans="1:9" ht="12.75">
      <c r="A22" s="65" t="s">
        <v>19</v>
      </c>
      <c r="B22" s="98" t="s">
        <v>12</v>
      </c>
      <c r="C22" s="72">
        <f>C23+C24+C25+C26</f>
        <v>1317598.6653199997</v>
      </c>
      <c r="D22" s="76" t="s">
        <v>20</v>
      </c>
      <c r="E22" s="42"/>
      <c r="F22" s="35"/>
      <c r="G22" s="35"/>
      <c r="H22" s="35"/>
      <c r="I22" s="35"/>
    </row>
    <row r="23" spans="1:9" ht="12.75">
      <c r="A23" s="65" t="s">
        <v>21</v>
      </c>
      <c r="B23" s="98" t="s">
        <v>12</v>
      </c>
      <c r="C23" s="100">
        <f>C18*1.009</f>
        <v>1305231.7853199998</v>
      </c>
      <c r="D23" s="76"/>
      <c r="E23" s="35"/>
      <c r="F23" s="35"/>
      <c r="G23" s="35"/>
      <c r="H23" s="35"/>
      <c r="I23" s="35"/>
    </row>
    <row r="24" spans="1:9" ht="12.75">
      <c r="A24" s="65" t="s">
        <v>22</v>
      </c>
      <c r="B24" s="98" t="s">
        <v>12</v>
      </c>
      <c r="C24" s="100">
        <v>0</v>
      </c>
      <c r="D24" s="101">
        <v>65.21</v>
      </c>
      <c r="E24" s="43"/>
      <c r="F24" s="35"/>
      <c r="G24" s="35"/>
      <c r="H24" s="35"/>
      <c r="I24" s="35"/>
    </row>
    <row r="25" spans="1:9" ht="12.75">
      <c r="A25" s="65" t="s">
        <v>24</v>
      </c>
      <c r="B25" s="98" t="s">
        <v>12</v>
      </c>
      <c r="C25" s="72">
        <v>0</v>
      </c>
      <c r="D25" s="101">
        <v>119.63</v>
      </c>
      <c r="E25" s="43"/>
      <c r="F25" s="35"/>
      <c r="G25" s="35"/>
      <c r="H25" s="35"/>
      <c r="I25" s="35"/>
    </row>
    <row r="26" spans="1:9" ht="12.75">
      <c r="A26" s="96" t="s">
        <v>25</v>
      </c>
      <c r="B26" s="98" t="s">
        <v>12</v>
      </c>
      <c r="C26" s="72">
        <f>4682.19+4903.57+2781.12</f>
        <v>12366.879999999997</v>
      </c>
      <c r="D26" s="101"/>
      <c r="E26" s="43"/>
      <c r="F26" s="35"/>
      <c r="G26" s="35"/>
      <c r="H26" s="35"/>
      <c r="I26" s="35"/>
    </row>
    <row r="27" spans="1:9" ht="12.75">
      <c r="A27" s="65" t="s">
        <v>26</v>
      </c>
      <c r="B27" s="98" t="s">
        <v>12</v>
      </c>
      <c r="C27" s="72">
        <f>C15+C22</f>
        <v>1251056.7653199998</v>
      </c>
      <c r="D27" s="76" t="s">
        <v>27</v>
      </c>
      <c r="E27" s="43"/>
      <c r="F27" s="35"/>
      <c r="G27" s="35"/>
      <c r="H27" s="35"/>
      <c r="I27" s="35"/>
    </row>
    <row r="28" spans="1:9" ht="35.25" customHeight="1">
      <c r="A28" s="538" t="s">
        <v>28</v>
      </c>
      <c r="B28" s="538"/>
      <c r="C28" s="538"/>
      <c r="D28" s="538"/>
      <c r="E28" s="35"/>
      <c r="F28" s="35"/>
      <c r="G28" s="35"/>
      <c r="H28" s="35"/>
      <c r="I28" s="35"/>
    </row>
    <row r="29" spans="1:9" ht="51">
      <c r="A29" s="103" t="s">
        <v>29</v>
      </c>
      <c r="B29" s="104" t="s">
        <v>30</v>
      </c>
      <c r="C29" s="105" t="s">
        <v>31</v>
      </c>
      <c r="D29" s="106" t="s">
        <v>32</v>
      </c>
      <c r="E29" s="35"/>
      <c r="F29" s="35"/>
      <c r="G29" s="35"/>
      <c r="H29" s="35"/>
      <c r="I29" s="35"/>
    </row>
    <row r="30" spans="1:9" ht="12.75">
      <c r="A30" s="107" t="s">
        <v>33</v>
      </c>
      <c r="B30" s="108" t="s">
        <v>34</v>
      </c>
      <c r="C30" s="387" t="s">
        <v>364</v>
      </c>
      <c r="D30" s="110">
        <f>4851*(0.3+0.32)*6</f>
        <v>18045.72</v>
      </c>
      <c r="E30" s="35"/>
      <c r="F30" s="35"/>
      <c r="G30" s="35"/>
      <c r="H30" s="35"/>
      <c r="I30" s="35"/>
    </row>
    <row r="31" spans="1:9" ht="12.75">
      <c r="A31" s="111" t="s">
        <v>88</v>
      </c>
      <c r="B31" s="112" t="s">
        <v>36</v>
      </c>
      <c r="C31" s="115" t="s">
        <v>44</v>
      </c>
      <c r="D31" s="114">
        <f>4851*6*(2+2.1)</f>
        <v>119334.59999999999</v>
      </c>
      <c r="E31" s="35"/>
      <c r="F31" s="35"/>
      <c r="G31" s="35"/>
      <c r="H31" s="35"/>
      <c r="I31" s="35"/>
    </row>
    <row r="32" spans="1:14" s="1" customFormat="1" ht="12.75">
      <c r="A32" s="111" t="s">
        <v>362</v>
      </c>
      <c r="B32" s="112" t="s">
        <v>372</v>
      </c>
      <c r="C32" s="225" t="s">
        <v>363</v>
      </c>
      <c r="D32" s="114">
        <f>4851*12*0.15</f>
        <v>8731.8</v>
      </c>
      <c r="E32" s="35"/>
      <c r="F32" s="35"/>
      <c r="G32" s="35"/>
      <c r="H32" s="35"/>
      <c r="I32" s="35"/>
      <c r="K32"/>
      <c r="L32"/>
      <c r="M32"/>
      <c r="N32"/>
    </row>
    <row r="33" spans="1:14" s="1" customFormat="1" ht="12.75">
      <c r="A33" s="111" t="s">
        <v>40</v>
      </c>
      <c r="B33" s="112" t="s">
        <v>34</v>
      </c>
      <c r="C33" s="115" t="s">
        <v>41</v>
      </c>
      <c r="D33" s="114">
        <f>4851*12*0.24</f>
        <v>13970.88</v>
      </c>
      <c r="E33" s="35"/>
      <c r="F33" s="35"/>
      <c r="G33" s="35"/>
      <c r="H33" s="35"/>
      <c r="I33" s="35"/>
      <c r="K33"/>
      <c r="L33"/>
      <c r="M33"/>
      <c r="N33"/>
    </row>
    <row r="34" spans="1:14" s="1" customFormat="1" ht="12.75">
      <c r="A34" s="111" t="s">
        <v>42</v>
      </c>
      <c r="B34" s="304" t="s">
        <v>34</v>
      </c>
      <c r="C34" s="115" t="s">
        <v>44</v>
      </c>
      <c r="D34" s="114">
        <f>4851*12*0.6</f>
        <v>34927.2</v>
      </c>
      <c r="E34" s="35"/>
      <c r="F34" s="35"/>
      <c r="G34" s="35"/>
      <c r="H34" s="35"/>
      <c r="I34" s="35"/>
      <c r="K34"/>
      <c r="L34"/>
      <c r="M34"/>
      <c r="N34"/>
    </row>
    <row r="35" spans="1:14" s="1" customFormat="1" ht="12.75">
      <c r="A35" s="111" t="s">
        <v>89</v>
      </c>
      <c r="B35" s="112" t="s">
        <v>34</v>
      </c>
      <c r="C35" s="115" t="s">
        <v>44</v>
      </c>
      <c r="D35" s="114">
        <f>(1.4+1.36)*6*4851</f>
        <v>80332.56</v>
      </c>
      <c r="E35" s="35"/>
      <c r="F35" s="35"/>
      <c r="G35" s="35"/>
      <c r="H35" s="35"/>
      <c r="I35" s="35"/>
      <c r="K35"/>
      <c r="L35"/>
      <c r="M35"/>
      <c r="N35"/>
    </row>
    <row r="36" spans="1:14" s="1" customFormat="1" ht="12.75">
      <c r="A36" s="111" t="s">
        <v>46</v>
      </c>
      <c r="B36" s="112" t="s">
        <v>47</v>
      </c>
      <c r="C36" s="115" t="s">
        <v>44</v>
      </c>
      <c r="D36" s="114">
        <f>4851*6*(1.2+1.1)</f>
        <v>66943.79999999999</v>
      </c>
      <c r="E36" s="35"/>
      <c r="F36" s="35"/>
      <c r="G36" s="35"/>
      <c r="H36" s="35"/>
      <c r="I36" s="35"/>
      <c r="K36"/>
      <c r="L36"/>
      <c r="M36"/>
      <c r="N36"/>
    </row>
    <row r="37" spans="1:14" s="1" customFormat="1" ht="12.75">
      <c r="A37" s="111" t="s">
        <v>48</v>
      </c>
      <c r="B37" s="112" t="s">
        <v>38</v>
      </c>
      <c r="C37" s="225" t="s">
        <v>168</v>
      </c>
      <c r="D37" s="114">
        <f>(4.19+4)*6*4851</f>
        <v>238378.14000000004</v>
      </c>
      <c r="E37" s="35"/>
      <c r="F37" s="35"/>
      <c r="G37" s="35"/>
      <c r="H37" s="35"/>
      <c r="I37" s="35"/>
      <c r="K37"/>
      <c r="L37"/>
      <c r="M37"/>
      <c r="N37"/>
    </row>
    <row r="38" spans="1:14" s="1" customFormat="1" ht="12.75">
      <c r="A38" s="111" t="s">
        <v>90</v>
      </c>
      <c r="B38" s="116" t="s">
        <v>36</v>
      </c>
      <c r="C38" s="115" t="s">
        <v>44</v>
      </c>
      <c r="D38" s="114">
        <f>4851*6*(2.1+2.5)</f>
        <v>133887.59999999998</v>
      </c>
      <c r="E38" s="35"/>
      <c r="F38" s="35"/>
      <c r="G38" s="35"/>
      <c r="H38" s="35"/>
      <c r="I38" s="35"/>
      <c r="K38"/>
      <c r="L38"/>
      <c r="M38"/>
      <c r="N38"/>
    </row>
    <row r="39" spans="1:14" s="1" customFormat="1" ht="12.75">
      <c r="A39" s="111" t="s">
        <v>91</v>
      </c>
      <c r="B39" s="112" t="s">
        <v>38</v>
      </c>
      <c r="C39" s="115" t="s">
        <v>51</v>
      </c>
      <c r="D39" s="114">
        <v>293080.89</v>
      </c>
      <c r="E39" s="35"/>
      <c r="F39" s="35"/>
      <c r="G39" s="35"/>
      <c r="H39" s="35"/>
      <c r="I39" s="35"/>
      <c r="K39"/>
      <c r="L39"/>
      <c r="M39"/>
      <c r="N39"/>
    </row>
    <row r="40" spans="1:14" s="1" customFormat="1" ht="12.75">
      <c r="A40" s="111" t="s">
        <v>100</v>
      </c>
      <c r="B40" s="112" t="s">
        <v>36</v>
      </c>
      <c r="C40" s="115" t="s">
        <v>44</v>
      </c>
      <c r="D40" s="114">
        <f>4851*2.1*6</f>
        <v>61122.600000000006</v>
      </c>
      <c r="E40" s="35"/>
      <c r="F40" s="35"/>
      <c r="G40" s="35"/>
      <c r="H40" s="35"/>
      <c r="I40" s="35"/>
      <c r="K40"/>
      <c r="L40"/>
      <c r="M40"/>
      <c r="N40"/>
    </row>
    <row r="41" spans="1:14" s="1" customFormat="1" ht="12.75">
      <c r="A41" s="111" t="s">
        <v>101</v>
      </c>
      <c r="B41" s="112" t="s">
        <v>174</v>
      </c>
      <c r="C41" s="115" t="s">
        <v>41</v>
      </c>
      <c r="D41" s="114">
        <f>4851*0.27*12</f>
        <v>15717.24</v>
      </c>
      <c r="E41" s="35"/>
      <c r="F41" s="35"/>
      <c r="G41" s="35"/>
      <c r="H41" s="35"/>
      <c r="I41" s="35"/>
      <c r="K41"/>
      <c r="L41"/>
      <c r="M41"/>
      <c r="N41"/>
    </row>
    <row r="42" spans="1:14" s="1" customFormat="1" ht="12.75">
      <c r="A42" s="251" t="s">
        <v>146</v>
      </c>
      <c r="B42" s="252"/>
      <c r="C42" s="253"/>
      <c r="D42" s="254"/>
      <c r="E42" s="35"/>
      <c r="F42" s="35"/>
      <c r="G42" s="35"/>
      <c r="H42" s="35"/>
      <c r="I42" s="35"/>
      <c r="K42"/>
      <c r="L42"/>
      <c r="M42"/>
      <c r="N42"/>
    </row>
    <row r="43" spans="1:14" s="1" customFormat="1" ht="25.5">
      <c r="A43" s="251" t="s">
        <v>144</v>
      </c>
      <c r="B43" s="252" t="s">
        <v>38</v>
      </c>
      <c r="C43" s="253" t="s">
        <v>147</v>
      </c>
      <c r="D43" s="254">
        <f>10342.96+6112.24</f>
        <v>16455.199999999997</v>
      </c>
      <c r="E43" s="35"/>
      <c r="F43" s="35"/>
      <c r="G43" s="35"/>
      <c r="H43" s="35"/>
      <c r="I43" s="35"/>
      <c r="K43"/>
      <c r="L43"/>
      <c r="M43"/>
      <c r="N43"/>
    </row>
    <row r="44" spans="1:14" s="1" customFormat="1" ht="12.75">
      <c r="A44" s="251" t="s">
        <v>145</v>
      </c>
      <c r="B44" s="252" t="s">
        <v>38</v>
      </c>
      <c r="C44" s="253" t="s">
        <v>148</v>
      </c>
      <c r="D44" s="254">
        <v>144075.18</v>
      </c>
      <c r="E44" s="35"/>
      <c r="F44" s="35"/>
      <c r="G44" s="35"/>
      <c r="H44" s="35"/>
      <c r="I44" s="35"/>
      <c r="K44"/>
      <c r="L44"/>
      <c r="M44"/>
      <c r="N44"/>
    </row>
    <row r="45" spans="1:14" s="1" customFormat="1" ht="50.25" customHeight="1">
      <c r="A45" s="121" t="s">
        <v>131</v>
      </c>
      <c r="B45" s="122" t="s">
        <v>53</v>
      </c>
      <c r="C45" s="120"/>
      <c r="D45" s="382">
        <f>D46+D47+D48+D49+D50+D51+D52+D53+D54+D55+D56+D57+D58</f>
        <v>218102</v>
      </c>
      <c r="E45" s="36"/>
      <c r="F45" s="35"/>
      <c r="G45" s="35"/>
      <c r="H45" s="35"/>
      <c r="I45" s="35"/>
      <c r="K45"/>
      <c r="L45"/>
      <c r="M45"/>
      <c r="N45"/>
    </row>
    <row r="46" spans="1:14" s="1" customFormat="1" ht="28.5" customHeight="1">
      <c r="A46" s="123" t="s">
        <v>340</v>
      </c>
      <c r="B46" s="126" t="s">
        <v>119</v>
      </c>
      <c r="C46" s="115" t="s">
        <v>51</v>
      </c>
      <c r="D46" s="84">
        <v>31434</v>
      </c>
      <c r="E46" s="36"/>
      <c r="F46" s="35"/>
      <c r="G46" s="35"/>
      <c r="H46" s="35"/>
      <c r="I46" s="35"/>
      <c r="K46"/>
      <c r="L46"/>
      <c r="M46"/>
      <c r="N46"/>
    </row>
    <row r="47" spans="1:14" s="1" customFormat="1" ht="32.25" customHeight="1">
      <c r="A47" s="123" t="s">
        <v>341</v>
      </c>
      <c r="B47" s="126" t="s">
        <v>342</v>
      </c>
      <c r="C47" s="115" t="s">
        <v>44</v>
      </c>
      <c r="D47" s="84">
        <f>1420+2711+1361</f>
        <v>5492</v>
      </c>
      <c r="E47" s="36"/>
      <c r="F47" s="35"/>
      <c r="G47" s="35"/>
      <c r="H47" s="35"/>
      <c r="I47" s="35"/>
      <c r="K47"/>
      <c r="L47"/>
      <c r="M47"/>
      <c r="N47"/>
    </row>
    <row r="48" spans="1:14" s="1" customFormat="1" ht="27.75" customHeight="1">
      <c r="A48" s="123" t="s">
        <v>343</v>
      </c>
      <c r="B48" s="126" t="s">
        <v>344</v>
      </c>
      <c r="C48" s="115" t="s">
        <v>44</v>
      </c>
      <c r="D48" s="84">
        <f>1006+775</f>
        <v>1781</v>
      </c>
      <c r="E48" s="36"/>
      <c r="F48" s="35"/>
      <c r="G48" s="35"/>
      <c r="H48" s="35"/>
      <c r="I48" s="35"/>
      <c r="K48"/>
      <c r="L48"/>
      <c r="M48"/>
      <c r="N48"/>
    </row>
    <row r="49" spans="1:14" s="1" customFormat="1" ht="20.25" customHeight="1">
      <c r="A49" s="123" t="s">
        <v>345</v>
      </c>
      <c r="B49" s="122" t="s">
        <v>127</v>
      </c>
      <c r="C49" s="115" t="s">
        <v>196</v>
      </c>
      <c r="D49" s="84">
        <v>29093</v>
      </c>
      <c r="E49" s="36"/>
      <c r="F49" s="35"/>
      <c r="G49" s="35"/>
      <c r="H49" s="35"/>
      <c r="I49" s="35"/>
      <c r="K49"/>
      <c r="L49"/>
      <c r="M49"/>
      <c r="N49"/>
    </row>
    <row r="50" spans="1:14" s="1" customFormat="1" ht="21" customHeight="1">
      <c r="A50" s="123" t="s">
        <v>346</v>
      </c>
      <c r="B50" s="122" t="s">
        <v>129</v>
      </c>
      <c r="C50" s="115" t="s">
        <v>44</v>
      </c>
      <c r="D50" s="84">
        <v>4777</v>
      </c>
      <c r="E50" s="36"/>
      <c r="F50" s="35"/>
      <c r="G50" s="35"/>
      <c r="H50" s="35"/>
      <c r="I50" s="35"/>
      <c r="K50"/>
      <c r="L50"/>
      <c r="M50"/>
      <c r="N50"/>
    </row>
    <row r="51" spans="1:14" s="1" customFormat="1" ht="17.25" customHeight="1">
      <c r="A51" s="123" t="s">
        <v>172</v>
      </c>
      <c r="B51" s="122" t="s">
        <v>129</v>
      </c>
      <c r="C51" s="115" t="s">
        <v>196</v>
      </c>
      <c r="D51" s="84">
        <v>10172</v>
      </c>
      <c r="E51" s="36"/>
      <c r="F51" s="35"/>
      <c r="G51" s="35"/>
      <c r="H51" s="35"/>
      <c r="I51" s="35"/>
      <c r="K51"/>
      <c r="L51"/>
      <c r="M51"/>
      <c r="N51"/>
    </row>
    <row r="52" spans="1:14" s="1" customFormat="1" ht="18" customHeight="1">
      <c r="A52" s="123" t="s">
        <v>181</v>
      </c>
      <c r="B52" s="122" t="s">
        <v>129</v>
      </c>
      <c r="C52" s="115" t="s">
        <v>44</v>
      </c>
      <c r="D52" s="84">
        <v>16866</v>
      </c>
      <c r="E52" s="36"/>
      <c r="F52" s="35"/>
      <c r="G52" s="35"/>
      <c r="H52" s="35"/>
      <c r="I52" s="35"/>
      <c r="K52"/>
      <c r="L52"/>
      <c r="M52"/>
      <c r="N52"/>
    </row>
    <row r="53" spans="1:14" s="1" customFormat="1" ht="23.25" customHeight="1">
      <c r="A53" s="123" t="s">
        <v>347</v>
      </c>
      <c r="B53" s="122" t="s">
        <v>129</v>
      </c>
      <c r="C53" s="115" t="s">
        <v>44</v>
      </c>
      <c r="D53" s="84">
        <v>600</v>
      </c>
      <c r="E53" s="36"/>
      <c r="F53" s="35"/>
      <c r="G53" s="35"/>
      <c r="H53" s="35"/>
      <c r="I53" s="35"/>
      <c r="K53"/>
      <c r="L53"/>
      <c r="M53"/>
      <c r="N53"/>
    </row>
    <row r="54" spans="1:14" s="1" customFormat="1" ht="19.5" customHeight="1">
      <c r="A54" s="123" t="s">
        <v>193</v>
      </c>
      <c r="B54" s="122" t="s">
        <v>122</v>
      </c>
      <c r="C54" s="115" t="s">
        <v>192</v>
      </c>
      <c r="D54" s="84">
        <v>3230</v>
      </c>
      <c r="E54" s="36"/>
      <c r="F54" s="35"/>
      <c r="G54" s="35"/>
      <c r="H54" s="35"/>
      <c r="I54" s="35"/>
      <c r="K54"/>
      <c r="L54"/>
      <c r="M54"/>
      <c r="N54"/>
    </row>
    <row r="55" spans="1:14" s="1" customFormat="1" ht="36.75" customHeight="1">
      <c r="A55" s="123" t="s">
        <v>348</v>
      </c>
      <c r="B55" s="122" t="s">
        <v>123</v>
      </c>
      <c r="C55" s="115" t="s">
        <v>44</v>
      </c>
      <c r="D55" s="84">
        <v>1143</v>
      </c>
      <c r="E55" s="36"/>
      <c r="F55" s="35"/>
      <c r="G55" s="35"/>
      <c r="H55" s="35"/>
      <c r="I55" s="35"/>
      <c r="K55"/>
      <c r="L55"/>
      <c r="M55"/>
      <c r="N55"/>
    </row>
    <row r="56" spans="1:14" s="1" customFormat="1" ht="28.5" customHeight="1">
      <c r="A56" s="123" t="s">
        <v>349</v>
      </c>
      <c r="B56" s="122" t="s">
        <v>123</v>
      </c>
      <c r="C56" s="115" t="s">
        <v>204</v>
      </c>
      <c r="D56" s="84">
        <f>29698+81440</f>
        <v>111138</v>
      </c>
      <c r="E56" s="36"/>
      <c r="F56" s="35"/>
      <c r="G56" s="35"/>
      <c r="H56" s="35"/>
      <c r="I56" s="35"/>
      <c r="K56"/>
      <c r="L56"/>
      <c r="M56"/>
      <c r="N56"/>
    </row>
    <row r="57" spans="1:14" s="1" customFormat="1" ht="25.5" customHeight="1">
      <c r="A57" s="121" t="s">
        <v>350</v>
      </c>
      <c r="B57" s="122" t="s">
        <v>123</v>
      </c>
      <c r="C57" s="115" t="s">
        <v>44</v>
      </c>
      <c r="D57" s="84">
        <v>1187</v>
      </c>
      <c r="E57" s="36"/>
      <c r="F57" s="35"/>
      <c r="G57" s="35"/>
      <c r="H57" s="35"/>
      <c r="I57" s="35"/>
      <c r="K57"/>
      <c r="L57"/>
      <c r="M57"/>
      <c r="N57"/>
    </row>
    <row r="58" spans="1:14" s="1" customFormat="1" ht="30" customHeight="1">
      <c r="A58" s="121" t="s">
        <v>351</v>
      </c>
      <c r="B58" s="122" t="s">
        <v>128</v>
      </c>
      <c r="C58" s="115" t="s">
        <v>44</v>
      </c>
      <c r="D58" s="84">
        <v>1189</v>
      </c>
      <c r="E58" s="36"/>
      <c r="F58" s="35"/>
      <c r="G58" s="35"/>
      <c r="H58" s="35"/>
      <c r="I58" s="35"/>
      <c r="K58"/>
      <c r="L58"/>
      <c r="M58"/>
      <c r="N58"/>
    </row>
    <row r="59" spans="1:14" s="1" customFormat="1" ht="12.75">
      <c r="A59" s="22" t="s">
        <v>92</v>
      </c>
      <c r="B59" s="127"/>
      <c r="C59" s="255"/>
      <c r="D59" s="262">
        <f>D30+D31+D32+D33+D34+D35+D36+D37+D38+D39+D40+D41+D43+D44+D45</f>
        <v>1463105.41</v>
      </c>
      <c r="E59" s="36">
        <f>D59-D45-D43-D44</f>
        <v>1084473.03</v>
      </c>
      <c r="F59" s="35"/>
      <c r="G59" s="35"/>
      <c r="H59" s="35"/>
      <c r="I59" s="35"/>
      <c r="K59"/>
      <c r="L59"/>
      <c r="M59"/>
      <c r="N59"/>
    </row>
    <row r="60" spans="1:14" s="1" customFormat="1" ht="25.5">
      <c r="A60" s="68" t="s">
        <v>55</v>
      </c>
      <c r="B60" s="108" t="s">
        <v>12</v>
      </c>
      <c r="C60" s="128"/>
      <c r="D60" s="129">
        <f>C27-D59+171300.47</f>
        <v>-40748.17468000014</v>
      </c>
      <c r="E60" s="36">
        <f>C27-D59</f>
        <v>-212048.64468000014</v>
      </c>
      <c r="F60" s="35"/>
      <c r="G60" s="35"/>
      <c r="H60" s="35"/>
      <c r="I60" s="35"/>
      <c r="K60"/>
      <c r="L60"/>
      <c r="M60"/>
      <c r="N60"/>
    </row>
    <row r="61" spans="1:9" ht="12.75">
      <c r="A61" s="115" t="s">
        <v>13</v>
      </c>
      <c r="B61" s="112" t="s">
        <v>12</v>
      </c>
      <c r="C61" s="115"/>
      <c r="D61" s="80"/>
      <c r="E61" s="35"/>
      <c r="F61" s="35"/>
      <c r="G61" s="35"/>
      <c r="H61" s="35"/>
      <c r="I61" s="35"/>
    </row>
    <row r="62" spans="1:9" ht="12.75">
      <c r="A62" s="115" t="s">
        <v>14</v>
      </c>
      <c r="B62" s="112" t="s">
        <v>12</v>
      </c>
      <c r="C62" s="115"/>
      <c r="D62" s="76">
        <f>C17+C18-C23</f>
        <v>35086.40468000015</v>
      </c>
      <c r="E62" s="35"/>
      <c r="F62" s="35"/>
      <c r="G62" s="35"/>
      <c r="H62" s="35"/>
      <c r="I62" s="35"/>
    </row>
    <row r="63" spans="1:9" ht="24" customHeight="1">
      <c r="A63" s="539" t="s">
        <v>56</v>
      </c>
      <c r="B63" s="539"/>
      <c r="C63" s="539"/>
      <c r="D63" s="539"/>
      <c r="E63" s="35"/>
      <c r="F63" s="35"/>
      <c r="G63" s="35"/>
      <c r="H63" s="35"/>
      <c r="I63" s="35"/>
    </row>
    <row r="64" spans="1:9" ht="12.75">
      <c r="A64" s="115" t="s">
        <v>57</v>
      </c>
      <c r="B64" s="112" t="s">
        <v>58</v>
      </c>
      <c r="C64" s="115"/>
      <c r="D64" s="80">
        <v>0</v>
      </c>
      <c r="E64" s="35"/>
      <c r="F64" s="35"/>
      <c r="G64" s="35"/>
      <c r="H64" s="35"/>
      <c r="I64" s="35"/>
    </row>
    <row r="65" spans="1:9" ht="12.75">
      <c r="A65" s="115" t="s">
        <v>59</v>
      </c>
      <c r="B65" s="112" t="s">
        <v>58</v>
      </c>
      <c r="C65" s="115"/>
      <c r="D65" s="80">
        <v>0</v>
      </c>
      <c r="E65" s="35"/>
      <c r="F65" s="35"/>
      <c r="G65" s="35"/>
      <c r="H65" s="35"/>
      <c r="I65" s="35"/>
    </row>
    <row r="66" spans="1:9" ht="25.5">
      <c r="A66" s="130" t="s">
        <v>60</v>
      </c>
      <c r="B66" s="112" t="s">
        <v>58</v>
      </c>
      <c r="C66" s="115"/>
      <c r="D66" s="80">
        <v>0</v>
      </c>
      <c r="E66" s="35"/>
      <c r="F66" s="35"/>
      <c r="G66" s="35"/>
      <c r="H66" s="35"/>
      <c r="I66" s="35"/>
    </row>
    <row r="67" spans="1:9" ht="12.75">
      <c r="A67" s="115" t="s">
        <v>61</v>
      </c>
      <c r="B67" s="112" t="s">
        <v>12</v>
      </c>
      <c r="C67" s="115"/>
      <c r="D67" s="80">
        <v>0</v>
      </c>
      <c r="E67" s="35"/>
      <c r="F67" s="35"/>
      <c r="G67" s="35"/>
      <c r="H67" s="35"/>
      <c r="I67" s="35"/>
    </row>
    <row r="68" spans="1:9" ht="20.25" customHeight="1">
      <c r="A68" s="540" t="s">
        <v>62</v>
      </c>
      <c r="B68" s="540"/>
      <c r="C68" s="540"/>
      <c r="D68" s="540"/>
      <c r="E68" s="35"/>
      <c r="F68" s="35"/>
      <c r="G68" s="35"/>
      <c r="H68" s="35"/>
      <c r="I68" s="35"/>
    </row>
    <row r="69" spans="1:9" ht="25.5">
      <c r="A69" s="130" t="s">
        <v>63</v>
      </c>
      <c r="B69" s="112" t="s">
        <v>12</v>
      </c>
      <c r="C69" s="115"/>
      <c r="D69" s="80"/>
      <c r="E69" s="35"/>
      <c r="F69" s="35"/>
      <c r="G69" s="35"/>
      <c r="H69" s="35"/>
      <c r="I69" s="35"/>
    </row>
    <row r="70" spans="1:9" ht="12.75">
      <c r="A70" s="115" t="s">
        <v>13</v>
      </c>
      <c r="B70" s="112" t="s">
        <v>12</v>
      </c>
      <c r="C70" s="115"/>
      <c r="D70" s="80">
        <v>0</v>
      </c>
      <c r="E70" s="35"/>
      <c r="F70" s="35"/>
      <c r="G70" s="35"/>
      <c r="H70" s="35"/>
      <c r="I70" s="35"/>
    </row>
    <row r="71" spans="1:9" ht="12.75">
      <c r="A71" s="115" t="s">
        <v>14</v>
      </c>
      <c r="B71" s="112" t="s">
        <v>12</v>
      </c>
      <c r="C71" s="115"/>
      <c r="D71" s="131">
        <v>84391.65</v>
      </c>
      <c r="E71" s="35"/>
      <c r="F71" s="35"/>
      <c r="G71" s="35"/>
      <c r="H71" s="37"/>
      <c r="I71" s="35"/>
    </row>
    <row r="72" spans="1:9" ht="25.5">
      <c r="A72" s="185" t="s">
        <v>112</v>
      </c>
      <c r="B72" s="112" t="s">
        <v>12</v>
      </c>
      <c r="C72" s="133"/>
      <c r="D72" s="134">
        <v>0</v>
      </c>
      <c r="E72" s="35"/>
      <c r="F72" s="35"/>
      <c r="G72" s="35"/>
      <c r="H72" s="35"/>
      <c r="I72" s="35"/>
    </row>
    <row r="73" spans="1:10" ht="17.25" customHeight="1">
      <c r="A73" s="135" t="s">
        <v>13</v>
      </c>
      <c r="B73" s="112" t="s">
        <v>12</v>
      </c>
      <c r="C73" s="115"/>
      <c r="D73" s="80"/>
      <c r="E73" s="35"/>
      <c r="F73" s="35"/>
      <c r="G73" s="35"/>
      <c r="H73" s="35"/>
      <c r="I73" s="37"/>
      <c r="J73" s="3"/>
    </row>
    <row r="74" spans="1:14" ht="12.75">
      <c r="A74" s="136" t="s">
        <v>14</v>
      </c>
      <c r="B74" s="112" t="s">
        <v>12</v>
      </c>
      <c r="C74" s="137"/>
      <c r="D74" s="137">
        <f>D71+D77+D78+D79+D80+D81</f>
        <v>69496.26993000011</v>
      </c>
      <c r="E74" s="35"/>
      <c r="F74" s="35"/>
      <c r="G74" s="35"/>
      <c r="H74" s="35" t="s">
        <v>27</v>
      </c>
      <c r="I74" s="38"/>
      <c r="J74" s="4"/>
      <c r="K74" s="5"/>
      <c r="L74" s="5"/>
      <c r="M74" s="5"/>
      <c r="N74" s="5"/>
    </row>
    <row r="75" spans="1:14" ht="18" customHeight="1">
      <c r="A75" s="541" t="s">
        <v>65</v>
      </c>
      <c r="B75" s="541"/>
      <c r="C75" s="541"/>
      <c r="D75" s="541"/>
      <c r="E75" s="40"/>
      <c r="F75" s="44"/>
      <c r="G75" s="45"/>
      <c r="H75" s="35"/>
      <c r="I75" s="39"/>
      <c r="J75" s="9"/>
      <c r="K75" s="10"/>
      <c r="L75" s="10"/>
      <c r="M75" s="10"/>
      <c r="N75" s="10"/>
    </row>
    <row r="76" spans="1:14" ht="63.75">
      <c r="A76" s="11" t="s">
        <v>66</v>
      </c>
      <c r="B76" s="12" t="s">
        <v>67</v>
      </c>
      <c r="C76" s="54" t="s">
        <v>68</v>
      </c>
      <c r="D76" s="55" t="s">
        <v>69</v>
      </c>
      <c r="E76" s="40"/>
      <c r="F76" s="44"/>
      <c r="G76" s="45"/>
      <c r="H76" s="35"/>
      <c r="I76" s="39"/>
      <c r="J76" s="9"/>
      <c r="K76" s="10"/>
      <c r="L76" s="10"/>
      <c r="M76" s="10"/>
      <c r="N76" s="10"/>
    </row>
    <row r="77" spans="1:14" ht="12.75">
      <c r="A77" s="396" t="s">
        <v>368</v>
      </c>
      <c r="B77" s="25">
        <v>101546.44</v>
      </c>
      <c r="C77" s="60">
        <f>B77</f>
        <v>101546.44</v>
      </c>
      <c r="D77" s="391">
        <f>B77-C77</f>
        <v>0</v>
      </c>
      <c r="E77" s="40"/>
      <c r="F77" s="44"/>
      <c r="G77" s="45"/>
      <c r="H77" s="35"/>
      <c r="I77" s="39"/>
      <c r="J77" s="9"/>
      <c r="K77" s="10"/>
      <c r="L77" s="10"/>
      <c r="M77" s="10"/>
      <c r="N77" s="10"/>
    </row>
    <row r="78" spans="1:14" ht="12.75">
      <c r="A78" s="140" t="s">
        <v>70</v>
      </c>
      <c r="B78" s="99">
        <v>93595.84</v>
      </c>
      <c r="C78" s="60">
        <f>B78*1.009</f>
        <v>94438.20255999999</v>
      </c>
      <c r="D78" s="458">
        <f>B78-C78</f>
        <v>-842.3625599999941</v>
      </c>
      <c r="E78" s="40"/>
      <c r="F78" s="44"/>
      <c r="G78" s="45"/>
      <c r="H78" s="35"/>
      <c r="I78" s="39"/>
      <c r="J78" s="9"/>
      <c r="K78" s="10"/>
      <c r="L78" s="10"/>
      <c r="M78" s="10"/>
      <c r="N78" s="10"/>
    </row>
    <row r="79" spans="1:14" ht="12.75">
      <c r="A79" s="140" t="s">
        <v>71</v>
      </c>
      <c r="B79" s="99">
        <v>182131.87</v>
      </c>
      <c r="C79" s="60">
        <f>B79*1.009</f>
        <v>183771.05683</v>
      </c>
      <c r="D79" s="458">
        <f>B79-C79</f>
        <v>-1639.1868299999915</v>
      </c>
      <c r="E79" s="40"/>
      <c r="F79" s="44"/>
      <c r="G79" s="45"/>
      <c r="H79" s="35"/>
      <c r="I79" s="39"/>
      <c r="J79" s="9"/>
      <c r="K79" s="10"/>
      <c r="L79" s="10"/>
      <c r="M79" s="10"/>
      <c r="N79" s="10"/>
    </row>
    <row r="80" spans="1:14" ht="12.75">
      <c r="A80" s="140" t="s">
        <v>72</v>
      </c>
      <c r="B80" s="139">
        <v>1090444.07</v>
      </c>
      <c r="C80" s="60">
        <f>B80*1.009</f>
        <v>1100258.06663</v>
      </c>
      <c r="D80" s="458">
        <f>B80-C80</f>
        <v>-9813.99662999995</v>
      </c>
      <c r="E80" s="40"/>
      <c r="F80" s="47"/>
      <c r="G80" s="48"/>
      <c r="H80" s="40"/>
      <c r="I80" s="39"/>
      <c r="J80" s="9"/>
      <c r="K80" s="10"/>
      <c r="L80" s="10"/>
      <c r="M80" s="10"/>
      <c r="N80" s="10"/>
    </row>
    <row r="81" spans="1:14" ht="13.5" thickBot="1">
      <c r="A81" s="140" t="s">
        <v>73</v>
      </c>
      <c r="B81" s="139">
        <v>288870.45</v>
      </c>
      <c r="C81" s="60">
        <f>B81*1.009</f>
        <v>291470.28404999996</v>
      </c>
      <c r="D81" s="458">
        <f>B81-C81</f>
        <v>-2599.8340499999467</v>
      </c>
      <c r="E81" s="40"/>
      <c r="F81" s="47"/>
      <c r="G81" s="48"/>
      <c r="H81" s="35"/>
      <c r="I81" s="39"/>
      <c r="J81" s="9"/>
      <c r="K81" s="10"/>
      <c r="L81" s="10"/>
      <c r="M81" s="10"/>
      <c r="N81" s="10"/>
    </row>
    <row r="82" spans="1:14" ht="89.25">
      <c r="A82" s="30" t="s">
        <v>75</v>
      </c>
      <c r="B82" s="31" t="s">
        <v>76</v>
      </c>
      <c r="C82" s="56" t="s">
        <v>77</v>
      </c>
      <c r="D82" s="57" t="s">
        <v>78</v>
      </c>
      <c r="E82" s="40"/>
      <c r="F82" s="47"/>
      <c r="G82" s="35"/>
      <c r="H82" s="39"/>
      <c r="I82" s="39"/>
      <c r="J82" s="9"/>
      <c r="K82" s="10"/>
      <c r="L82" s="10"/>
      <c r="M82" s="10"/>
      <c r="N82" s="10"/>
    </row>
    <row r="83" spans="1:14" ht="12.75">
      <c r="A83" s="397" t="s">
        <v>368</v>
      </c>
      <c r="B83" s="390">
        <v>101546.44</v>
      </c>
      <c r="C83" s="60">
        <f>B83</f>
        <v>101546.44</v>
      </c>
      <c r="D83" s="394">
        <f>B83-C83</f>
        <v>0</v>
      </c>
      <c r="E83" s="6"/>
      <c r="F83" s="16"/>
      <c r="H83" s="9"/>
      <c r="I83" s="9"/>
      <c r="J83" s="9"/>
      <c r="K83" s="10"/>
      <c r="L83" s="10"/>
      <c r="M83" s="10"/>
      <c r="N83" s="10"/>
    </row>
    <row r="84" spans="1:14" ht="12.75">
      <c r="A84" s="211" t="s">
        <v>70</v>
      </c>
      <c r="B84" s="212">
        <f>B78</f>
        <v>93595.84</v>
      </c>
      <c r="C84" s="459">
        <f>C78</f>
        <v>94438.20255999999</v>
      </c>
      <c r="D84" s="460">
        <f>B84-C84</f>
        <v>-842.3625599999941</v>
      </c>
      <c r="E84" s="6"/>
      <c r="F84" s="16"/>
      <c r="H84" s="9"/>
      <c r="I84" s="9"/>
      <c r="J84" s="9" t="s">
        <v>27</v>
      </c>
      <c r="K84" s="10"/>
      <c r="L84" s="10"/>
      <c r="M84" s="10"/>
      <c r="N84" s="10"/>
    </row>
    <row r="85" spans="1:14" ht="12.75">
      <c r="A85" s="211" t="s">
        <v>71</v>
      </c>
      <c r="B85" s="212">
        <f>B79</f>
        <v>182131.87</v>
      </c>
      <c r="C85" s="459">
        <f>C79</f>
        <v>183771.05683</v>
      </c>
      <c r="D85" s="460">
        <f>B85-C85</f>
        <v>-1639.1868299999915</v>
      </c>
      <c r="E85" s="6"/>
      <c r="F85" s="16"/>
      <c r="H85" s="9"/>
      <c r="I85" s="9"/>
      <c r="J85" s="9"/>
      <c r="K85" s="10"/>
      <c r="L85" s="10"/>
      <c r="M85" s="10"/>
      <c r="N85" s="10"/>
    </row>
    <row r="86" spans="1:14" ht="12.75">
      <c r="A86" s="211" t="s">
        <v>72</v>
      </c>
      <c r="B86" s="212">
        <v>1037934.62</v>
      </c>
      <c r="C86" s="459">
        <f>C80</f>
        <v>1100258.06663</v>
      </c>
      <c r="D86" s="460">
        <f>B86-C86</f>
        <v>-62323.44663000002</v>
      </c>
      <c r="E86" s="6"/>
      <c r="F86" s="16"/>
      <c r="H86" s="9"/>
      <c r="I86" s="9"/>
      <c r="J86" s="9"/>
      <c r="K86" s="10"/>
      <c r="L86" s="10"/>
      <c r="M86" s="10"/>
      <c r="N86" s="10"/>
    </row>
    <row r="87" spans="1:14" ht="12.75">
      <c r="A87" s="211" t="s">
        <v>73</v>
      </c>
      <c r="B87" s="212">
        <f>B81</f>
        <v>288870.45</v>
      </c>
      <c r="C87" s="459">
        <f>C81</f>
        <v>291470.28404999996</v>
      </c>
      <c r="D87" s="460">
        <f>B87-C87</f>
        <v>-2599.8340499999467</v>
      </c>
      <c r="E87" s="6"/>
      <c r="F87" s="16"/>
      <c r="H87" s="9"/>
      <c r="I87" s="9"/>
      <c r="J87" s="9"/>
      <c r="K87" s="10"/>
      <c r="L87" s="10"/>
      <c r="M87" s="10"/>
      <c r="N87" s="10"/>
    </row>
    <row r="88" spans="1:14" ht="13.5" thickBot="1">
      <c r="A88" s="488"/>
      <c r="B88" s="215"/>
      <c r="C88" s="489"/>
      <c r="D88" s="490"/>
      <c r="E88" s="6"/>
      <c r="F88" s="16"/>
      <c r="H88" s="9"/>
      <c r="I88" s="9"/>
      <c r="J88" s="9"/>
      <c r="K88" s="10"/>
      <c r="L88" s="10"/>
      <c r="M88" s="10"/>
      <c r="N88" s="10"/>
    </row>
    <row r="89" spans="1:14" ht="25.5">
      <c r="A89" s="487" t="s">
        <v>79</v>
      </c>
      <c r="B89" s="144" t="s">
        <v>12</v>
      </c>
      <c r="C89" s="491"/>
      <c r="D89" s="492">
        <v>23655.31</v>
      </c>
      <c r="E89" s="6"/>
      <c r="F89" s="16"/>
      <c r="H89" s="9"/>
      <c r="I89" s="9"/>
      <c r="J89" s="9" t="s">
        <v>27</v>
      </c>
      <c r="K89" s="10"/>
      <c r="L89" s="10"/>
      <c r="M89" s="10"/>
      <c r="N89" s="10"/>
    </row>
    <row r="90" spans="1:14" ht="17.25" customHeight="1">
      <c r="A90" s="563" t="s">
        <v>80</v>
      </c>
      <c r="B90" s="563"/>
      <c r="C90" s="563"/>
      <c r="D90" s="563"/>
      <c r="E90" s="18"/>
      <c r="F90" s="9"/>
      <c r="H90" s="19" t="e">
        <f>E90-B18</f>
        <v>#VALUE!</v>
      </c>
      <c r="I90" s="9"/>
      <c r="J90" s="9"/>
      <c r="K90" s="10"/>
      <c r="L90" s="10"/>
      <c r="M90" s="10"/>
      <c r="N90" s="10"/>
    </row>
    <row r="91" spans="1:5" ht="21" customHeight="1">
      <c r="A91" s="20" t="s">
        <v>57</v>
      </c>
      <c r="B91" s="20" t="s">
        <v>58</v>
      </c>
      <c r="C91" s="28"/>
      <c r="D91" s="470">
        <v>0</v>
      </c>
      <c r="E91" s="21"/>
    </row>
    <row r="92" spans="1:5" ht="21" customHeight="1">
      <c r="A92" s="20" t="s">
        <v>59</v>
      </c>
      <c r="B92" s="20" t="s">
        <v>58</v>
      </c>
      <c r="C92" s="28"/>
      <c r="D92" s="470">
        <v>0</v>
      </c>
      <c r="E92" s="21"/>
    </row>
    <row r="93" spans="1:14" s="1" customFormat="1" ht="18" customHeight="1">
      <c r="A93" s="20" t="s">
        <v>60</v>
      </c>
      <c r="B93" s="20" t="s">
        <v>58</v>
      </c>
      <c r="C93" s="28"/>
      <c r="D93" s="470">
        <v>0</v>
      </c>
      <c r="E93" s="21"/>
      <c r="K93"/>
      <c r="L93"/>
      <c r="M93"/>
      <c r="N93"/>
    </row>
    <row r="94" spans="1:14" s="1" customFormat="1" ht="16.5" customHeight="1">
      <c r="A94" s="20" t="s">
        <v>61</v>
      </c>
      <c r="B94" s="20" t="s">
        <v>12</v>
      </c>
      <c r="C94" s="28"/>
      <c r="D94" s="470">
        <v>0</v>
      </c>
      <c r="E94" s="21"/>
      <c r="K94"/>
      <c r="L94"/>
      <c r="M94"/>
      <c r="N94"/>
    </row>
    <row r="95" spans="1:14" s="1" customFormat="1" ht="15.75" customHeight="1">
      <c r="A95" s="546" t="s">
        <v>81</v>
      </c>
      <c r="B95" s="546"/>
      <c r="C95" s="546"/>
      <c r="D95" s="546"/>
      <c r="E95" s="21"/>
      <c r="K95"/>
      <c r="L95"/>
      <c r="M95"/>
      <c r="N95"/>
    </row>
    <row r="96" spans="1:14" s="1" customFormat="1" ht="18.75" customHeight="1">
      <c r="A96" s="20" t="s">
        <v>82</v>
      </c>
      <c r="B96" s="20" t="s">
        <v>58</v>
      </c>
      <c r="C96" s="28"/>
      <c r="D96" s="470">
        <v>5</v>
      </c>
      <c r="E96" s="21"/>
      <c r="K96"/>
      <c r="L96"/>
      <c r="M96"/>
      <c r="N96"/>
    </row>
    <row r="97" spans="1:14" s="1" customFormat="1" ht="21.75" customHeight="1">
      <c r="A97" s="20" t="s">
        <v>83</v>
      </c>
      <c r="B97" s="135" t="s">
        <v>58</v>
      </c>
      <c r="C97" s="145"/>
      <c r="D97" s="470">
        <v>4</v>
      </c>
      <c r="E97" s="21"/>
      <c r="K97"/>
      <c r="L97"/>
      <c r="M97"/>
      <c r="N97"/>
    </row>
    <row r="98" spans="1:14" s="1" customFormat="1" ht="36" customHeight="1">
      <c r="A98" s="146" t="s">
        <v>84</v>
      </c>
      <c r="B98" s="20" t="s">
        <v>12</v>
      </c>
      <c r="C98" s="28"/>
      <c r="D98" s="470">
        <v>4000</v>
      </c>
      <c r="E98" s="21"/>
      <c r="K98"/>
      <c r="L98"/>
      <c r="M98"/>
      <c r="N98"/>
    </row>
    <row r="99" spans="1:14" s="1" customFormat="1" ht="12.75">
      <c r="A99" s="147"/>
      <c r="B99" s="147"/>
      <c r="C99" s="147"/>
      <c r="D99" s="148"/>
      <c r="K99"/>
      <c r="L99"/>
      <c r="M99"/>
      <c r="N99"/>
    </row>
    <row r="100" spans="1:14" s="1" customFormat="1" ht="12.75">
      <c r="A100" s="81"/>
      <c r="B100" s="81"/>
      <c r="C100" s="81"/>
      <c r="D100" s="81"/>
      <c r="H100" s="1" t="s">
        <v>27</v>
      </c>
      <c r="K100"/>
      <c r="L100"/>
      <c r="M100"/>
      <c r="N100"/>
    </row>
    <row r="101" spans="1:14" s="1" customFormat="1" ht="12.75">
      <c r="A101" s="90" t="s">
        <v>381</v>
      </c>
      <c r="B101" s="81"/>
      <c r="C101" s="81"/>
      <c r="D101" s="81"/>
      <c r="K101"/>
      <c r="L101"/>
      <c r="M101"/>
      <c r="N101"/>
    </row>
    <row r="102" spans="1:14" s="1" customFormat="1" ht="12.75">
      <c r="A102" s="81"/>
      <c r="B102" s="81"/>
      <c r="C102" s="81"/>
      <c r="D102" s="81"/>
      <c r="H102" s="1" t="s">
        <v>27</v>
      </c>
      <c r="K102"/>
      <c r="L102"/>
      <c r="M102"/>
      <c r="N102"/>
    </row>
    <row r="103" spans="1:14" s="1" customFormat="1" ht="12.75">
      <c r="A103" s="81" t="s">
        <v>85</v>
      </c>
      <c r="B103" s="81"/>
      <c r="C103" s="81"/>
      <c r="D103" s="81"/>
      <c r="K103"/>
      <c r="L103"/>
      <c r="M103"/>
      <c r="N103"/>
    </row>
    <row r="104" spans="1:4" ht="12.75">
      <c r="A104" s="81"/>
      <c r="B104" s="81"/>
      <c r="C104" s="81"/>
      <c r="D104" s="81"/>
    </row>
    <row r="105" spans="1:4" ht="12.75">
      <c r="A105" s="81"/>
      <c r="B105" s="81"/>
      <c r="C105" s="81"/>
      <c r="D105" s="81"/>
    </row>
    <row r="106" spans="1:4" ht="12.75">
      <c r="A106" s="51"/>
      <c r="B106" s="51"/>
      <c r="C106" s="51"/>
      <c r="D106" s="51"/>
    </row>
    <row r="107" spans="1:14" s="1" customFormat="1" ht="12.75">
      <c r="A107"/>
      <c r="B107"/>
      <c r="C107"/>
      <c r="D107"/>
      <c r="E107" s="1" t="s">
        <v>27</v>
      </c>
      <c r="K107"/>
      <c r="L107"/>
      <c r="M107"/>
      <c r="N10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95:D95"/>
    <mergeCell ref="A14:D14"/>
    <mergeCell ref="A28:D28"/>
    <mergeCell ref="A63:D63"/>
    <mergeCell ref="A68:D68"/>
    <mergeCell ref="A75:D75"/>
    <mergeCell ref="A90:D90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62">
      <selection activeCell="B72" sqref="B70:C72"/>
    </sheetView>
  </sheetViews>
  <sheetFormatPr defaultColWidth="11.57421875" defaultRowHeight="12.75"/>
  <cols>
    <col min="1" max="1" width="56.00390625" style="0" customWidth="1"/>
    <col min="2" max="2" width="16.28125" style="0" customWidth="1"/>
    <col min="3" max="3" width="24.42187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30" t="s">
        <v>0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3" t="s">
        <v>180</v>
      </c>
      <c r="B4" s="534"/>
      <c r="C4" s="534"/>
      <c r="D4" s="534"/>
    </row>
    <row r="5" spans="1:4" ht="15" customHeight="1">
      <c r="A5" s="533" t="s">
        <v>189</v>
      </c>
      <c r="B5" s="534"/>
      <c r="C5" s="534"/>
      <c r="D5" s="534"/>
    </row>
    <row r="6" spans="1:4" ht="3" customHeight="1" hidden="1">
      <c r="A6" s="201"/>
      <c r="B6" s="81"/>
      <c r="C6" s="81"/>
      <c r="D6" s="81"/>
    </row>
    <row r="7" spans="1:4" ht="15.75" customHeight="1">
      <c r="A7" s="23" t="s">
        <v>3</v>
      </c>
      <c r="B7" s="23"/>
      <c r="C7" s="23"/>
      <c r="D7" s="23"/>
    </row>
    <row r="8" spans="1:4" ht="16.5" customHeight="1">
      <c r="A8" s="53" t="s">
        <v>184</v>
      </c>
      <c r="B8" s="23"/>
      <c r="C8" s="23"/>
      <c r="D8" s="23"/>
    </row>
    <row r="9" spans="1:4" ht="12.75">
      <c r="A9" s="94">
        <v>1</v>
      </c>
      <c r="B9" s="94">
        <v>2</v>
      </c>
      <c r="C9" s="94">
        <v>3</v>
      </c>
      <c r="D9" s="95">
        <v>4</v>
      </c>
    </row>
    <row r="10" spans="1:4" ht="12.75">
      <c r="A10" s="65" t="s">
        <v>7</v>
      </c>
      <c r="B10" s="96"/>
      <c r="C10" s="97" t="s">
        <v>190</v>
      </c>
      <c r="D10" s="80"/>
    </row>
    <row r="11" spans="1:4" ht="12.75">
      <c r="A11" s="65" t="s">
        <v>8</v>
      </c>
      <c r="B11" s="96"/>
      <c r="C11" s="97" t="s">
        <v>207</v>
      </c>
      <c r="D11" s="80"/>
    </row>
    <row r="12" spans="1:8" ht="12.75">
      <c r="A12" s="65" t="s">
        <v>9</v>
      </c>
      <c r="B12" s="96"/>
      <c r="C12" s="97" t="s">
        <v>206</v>
      </c>
      <c r="D12" s="80"/>
      <c r="E12" s="35"/>
      <c r="F12" s="35"/>
      <c r="G12" s="35"/>
      <c r="H12" s="35"/>
    </row>
    <row r="13" spans="1:8" ht="31.5" customHeight="1">
      <c r="A13" s="535" t="s">
        <v>10</v>
      </c>
      <c r="B13" s="535"/>
      <c r="C13" s="535"/>
      <c r="D13" s="535"/>
      <c r="E13" s="35"/>
      <c r="F13" s="35"/>
      <c r="G13" s="35"/>
      <c r="H13" s="35"/>
    </row>
    <row r="14" spans="1:14" s="1" customFormat="1" ht="15.75">
      <c r="A14" s="65" t="s">
        <v>94</v>
      </c>
      <c r="B14" s="98" t="s">
        <v>12</v>
      </c>
      <c r="C14" s="73">
        <v>-5982.52</v>
      </c>
      <c r="D14" s="234"/>
      <c r="E14" s="35"/>
      <c r="F14" s="35"/>
      <c r="G14" s="35"/>
      <c r="H14" s="35"/>
      <c r="K14"/>
      <c r="L14"/>
      <c r="M14"/>
      <c r="N14"/>
    </row>
    <row r="15" spans="1:14" s="1" customFormat="1" ht="15.75">
      <c r="A15" s="65" t="s">
        <v>13</v>
      </c>
      <c r="B15" s="98" t="s">
        <v>12</v>
      </c>
      <c r="C15" s="235">
        <v>0</v>
      </c>
      <c r="D15" s="234"/>
      <c r="E15" s="35"/>
      <c r="F15" s="35"/>
      <c r="G15" s="35"/>
      <c r="H15" s="35"/>
      <c r="K15"/>
      <c r="L15"/>
      <c r="M15"/>
      <c r="N15"/>
    </row>
    <row r="16" spans="1:14" s="1" customFormat="1" ht="15.75">
      <c r="A16" s="65" t="s">
        <v>14</v>
      </c>
      <c r="B16" s="98" t="s">
        <v>12</v>
      </c>
      <c r="C16" s="73">
        <v>5990.52</v>
      </c>
      <c r="D16" s="82"/>
      <c r="E16" s="35"/>
      <c r="F16" s="35"/>
      <c r="G16" s="35"/>
      <c r="H16" s="35"/>
      <c r="K16"/>
      <c r="L16"/>
      <c r="M16"/>
      <c r="N16"/>
    </row>
    <row r="17" spans="1:14" s="1" customFormat="1" ht="31.5" customHeight="1">
      <c r="A17" s="64" t="s">
        <v>15</v>
      </c>
      <c r="B17" s="98" t="s">
        <v>12</v>
      </c>
      <c r="C17" s="73">
        <f>116050.06+489.98+1145.45</f>
        <v>117685.48999999999</v>
      </c>
      <c r="D17" s="82"/>
      <c r="E17" s="42">
        <f>C17-C19</f>
        <v>95959.65999999999</v>
      </c>
      <c r="F17" s="35"/>
      <c r="G17" s="35"/>
      <c r="H17" s="35"/>
      <c r="K17"/>
      <c r="L17"/>
      <c r="M17"/>
      <c r="N17"/>
    </row>
    <row r="18" spans="1:8" ht="15.75">
      <c r="A18" s="65" t="s">
        <v>16</v>
      </c>
      <c r="B18" s="98" t="s">
        <v>12</v>
      </c>
      <c r="C18" s="73">
        <f>C17-C19-C20</f>
        <v>63830.991399999984</v>
      </c>
      <c r="D18" s="82"/>
      <c r="E18" s="42">
        <f>E17-E47</f>
        <v>2825.427999999971</v>
      </c>
      <c r="F18" s="35"/>
      <c r="G18" s="35"/>
      <c r="H18" s="35"/>
    </row>
    <row r="19" spans="1:8" ht="15.75">
      <c r="A19" s="65" t="s">
        <v>17</v>
      </c>
      <c r="B19" s="98" t="s">
        <v>12</v>
      </c>
      <c r="C19" s="73">
        <f>(2555.98*3.48)+(2555.98*2.51*2)</f>
        <v>21725.83</v>
      </c>
      <c r="D19" s="82"/>
      <c r="E19" s="43"/>
      <c r="F19" s="35"/>
      <c r="G19" s="35"/>
      <c r="H19" s="35"/>
    </row>
    <row r="20" spans="1:8" ht="15.75">
      <c r="A20" s="65" t="s">
        <v>18</v>
      </c>
      <c r="B20" s="98" t="s">
        <v>12</v>
      </c>
      <c r="C20" s="73">
        <f>2555.98*3*4.19</f>
        <v>32128.668600000005</v>
      </c>
      <c r="D20" s="82"/>
      <c r="E20" s="43"/>
      <c r="F20" s="35"/>
      <c r="G20" s="35"/>
      <c r="H20" s="35"/>
    </row>
    <row r="21" spans="1:8" ht="15.75">
      <c r="A21" s="65" t="s">
        <v>19</v>
      </c>
      <c r="B21" s="98" t="s">
        <v>12</v>
      </c>
      <c r="C21" s="73">
        <f>C22+C23+C24+C25</f>
        <v>102680.590025</v>
      </c>
      <c r="D21" s="82" t="s">
        <v>20</v>
      </c>
      <c r="E21" s="42"/>
      <c r="F21" s="35"/>
      <c r="G21" s="35"/>
      <c r="H21" s="35"/>
    </row>
    <row r="22" spans="1:8" ht="15.75">
      <c r="A22" s="65" t="s">
        <v>21</v>
      </c>
      <c r="B22" s="98" t="s">
        <v>12</v>
      </c>
      <c r="C22" s="438">
        <f>C17*0.8725</f>
        <v>102680.590025</v>
      </c>
      <c r="D22" s="82"/>
      <c r="E22" s="35"/>
      <c r="F22" s="35"/>
      <c r="G22" s="35"/>
      <c r="H22" s="35"/>
    </row>
    <row r="23" spans="1:8" ht="15.75">
      <c r="A23" s="65" t="s">
        <v>22</v>
      </c>
      <c r="B23" s="98" t="s">
        <v>12</v>
      </c>
      <c r="C23" s="73">
        <v>0</v>
      </c>
      <c r="D23" s="82"/>
      <c r="E23" s="43"/>
      <c r="F23" s="35"/>
      <c r="G23" s="35"/>
      <c r="H23" s="35"/>
    </row>
    <row r="24" spans="1:8" ht="15.75">
      <c r="A24" s="65" t="s">
        <v>24</v>
      </c>
      <c r="B24" s="98" t="s">
        <v>12</v>
      </c>
      <c r="C24" s="73">
        <v>0</v>
      </c>
      <c r="D24" s="82"/>
      <c r="E24" s="43"/>
      <c r="F24" s="35"/>
      <c r="G24" s="35"/>
      <c r="H24" s="35"/>
    </row>
    <row r="25" spans="1:8" ht="15.75">
      <c r="A25" s="96" t="s">
        <v>25</v>
      </c>
      <c r="B25" s="98" t="s">
        <v>12</v>
      </c>
      <c r="C25" s="73">
        <v>0</v>
      </c>
      <c r="D25" s="82"/>
      <c r="E25" s="43"/>
      <c r="F25" s="35"/>
      <c r="G25" s="35"/>
      <c r="H25" s="35"/>
    </row>
    <row r="26" spans="1:8" ht="15.75">
      <c r="A26" s="65" t="s">
        <v>26</v>
      </c>
      <c r="B26" s="98" t="s">
        <v>12</v>
      </c>
      <c r="C26" s="73">
        <f>C21+C14</f>
        <v>96698.070025</v>
      </c>
      <c r="D26" s="82" t="s">
        <v>27</v>
      </c>
      <c r="E26" s="43"/>
      <c r="F26" s="35"/>
      <c r="G26" s="35"/>
      <c r="H26" s="35"/>
    </row>
    <row r="27" spans="1:8" ht="35.25" customHeight="1">
      <c r="A27" s="526" t="s">
        <v>28</v>
      </c>
      <c r="B27" s="526"/>
      <c r="C27" s="526"/>
      <c r="D27" s="526"/>
      <c r="E27" s="35"/>
      <c r="F27" s="35"/>
      <c r="G27" s="35"/>
      <c r="H27" s="35"/>
    </row>
    <row r="28" spans="1:8" ht="65.25" customHeight="1">
      <c r="A28" s="130" t="s">
        <v>29</v>
      </c>
      <c r="B28" s="236" t="s">
        <v>30</v>
      </c>
      <c r="C28" s="237" t="s">
        <v>31</v>
      </c>
      <c r="D28" s="238" t="s">
        <v>32</v>
      </c>
      <c r="E28" s="35"/>
      <c r="F28" s="35"/>
      <c r="G28" s="35"/>
      <c r="H28" s="35"/>
    </row>
    <row r="29" spans="1:8" ht="15.75">
      <c r="A29" s="115" t="s">
        <v>95</v>
      </c>
      <c r="B29" s="239" t="s">
        <v>34</v>
      </c>
      <c r="C29" s="272" t="s">
        <v>44</v>
      </c>
      <c r="D29" s="82">
        <f>2555.98*3*0.69</f>
        <v>5290.8786</v>
      </c>
      <c r="E29" s="35"/>
      <c r="F29" s="35"/>
      <c r="G29" s="35"/>
      <c r="H29" s="35"/>
    </row>
    <row r="30" spans="1:8" ht="31.5">
      <c r="A30" s="115" t="s">
        <v>178</v>
      </c>
      <c r="B30" s="239" t="s">
        <v>43</v>
      </c>
      <c r="C30" s="240" t="s">
        <v>179</v>
      </c>
      <c r="D30" s="82">
        <f>2555.98*3*0.15</f>
        <v>1150.191</v>
      </c>
      <c r="E30" s="35"/>
      <c r="F30" s="35"/>
      <c r="G30" s="35"/>
      <c r="H30" s="35"/>
    </row>
    <row r="31" spans="1:8" ht="15.75">
      <c r="A31" s="115" t="s">
        <v>88</v>
      </c>
      <c r="B31" s="239" t="s">
        <v>36</v>
      </c>
      <c r="C31" s="241" t="s">
        <v>44</v>
      </c>
      <c r="D31" s="82">
        <f>2555.98*3*2.4</f>
        <v>18403.056</v>
      </c>
      <c r="E31" s="35"/>
      <c r="F31" s="35"/>
      <c r="G31" s="35"/>
      <c r="H31" s="35"/>
    </row>
    <row r="32" spans="1:14" s="1" customFormat="1" ht="15.75">
      <c r="A32" s="115" t="s">
        <v>96</v>
      </c>
      <c r="B32" s="239" t="s">
        <v>34</v>
      </c>
      <c r="C32" s="241" t="s">
        <v>41</v>
      </c>
      <c r="D32" s="82">
        <f>2555.98*0.28*3</f>
        <v>2147.0232000000005</v>
      </c>
      <c r="E32" s="35"/>
      <c r="F32" s="35"/>
      <c r="G32" s="35"/>
      <c r="H32" s="35"/>
      <c r="K32"/>
      <c r="L32"/>
      <c r="M32"/>
      <c r="N32"/>
    </row>
    <row r="33" spans="1:14" s="1" customFormat="1" ht="15.75">
      <c r="A33" s="115" t="s">
        <v>105</v>
      </c>
      <c r="B33" s="239" t="s">
        <v>34</v>
      </c>
      <c r="C33" s="241" t="s">
        <v>44</v>
      </c>
      <c r="D33" s="82">
        <f>2555.98*3*0.7</f>
        <v>5367.558</v>
      </c>
      <c r="E33" s="35"/>
      <c r="F33" s="35"/>
      <c r="G33" s="35"/>
      <c r="H33" s="35"/>
      <c r="K33"/>
      <c r="L33"/>
      <c r="M33"/>
      <c r="N33"/>
    </row>
    <row r="34" spans="1:14" s="1" customFormat="1" ht="15.75">
      <c r="A34" s="115" t="s">
        <v>89</v>
      </c>
      <c r="B34" s="239" t="s">
        <v>34</v>
      </c>
      <c r="C34" s="241" t="s">
        <v>44</v>
      </c>
      <c r="D34" s="82">
        <f>2555.98*3*1.96</f>
        <v>15029.162400000001</v>
      </c>
      <c r="E34" s="35"/>
      <c r="F34" s="35"/>
      <c r="G34" s="35"/>
      <c r="H34" s="35"/>
      <c r="K34"/>
      <c r="L34"/>
      <c r="M34"/>
      <c r="N34"/>
    </row>
    <row r="35" spans="1:14" s="1" customFormat="1" ht="15.75">
      <c r="A35" s="115" t="s">
        <v>46</v>
      </c>
      <c r="B35" s="239" t="s">
        <v>47</v>
      </c>
      <c r="C35" s="241" t="s">
        <v>44</v>
      </c>
      <c r="D35" s="82">
        <f>2555.98*3*1.44</f>
        <v>11041.8336</v>
      </c>
      <c r="E35" s="35"/>
      <c r="F35" s="35"/>
      <c r="G35" s="35"/>
      <c r="H35" s="35"/>
      <c r="K35"/>
      <c r="L35"/>
      <c r="M35"/>
      <c r="N35"/>
    </row>
    <row r="36" spans="1:14" s="1" customFormat="1" ht="15.75">
      <c r="A36" s="115" t="s">
        <v>98</v>
      </c>
      <c r="B36" s="239" t="s">
        <v>38</v>
      </c>
      <c r="C36" s="264" t="s">
        <v>168</v>
      </c>
      <c r="D36" s="82">
        <f>2555.98*3*4.19</f>
        <v>32128.668600000005</v>
      </c>
      <c r="E36" s="35"/>
      <c r="F36" s="35"/>
      <c r="G36" s="35"/>
      <c r="H36" s="35"/>
      <c r="K36"/>
      <c r="L36"/>
      <c r="M36"/>
      <c r="N36"/>
    </row>
    <row r="37" spans="1:14" s="1" customFormat="1" ht="15.75">
      <c r="A37" s="115" t="s">
        <v>101</v>
      </c>
      <c r="B37" s="239" t="s">
        <v>174</v>
      </c>
      <c r="C37" s="264" t="s">
        <v>41</v>
      </c>
      <c r="D37" s="82">
        <f>2555.98*0.97+96.56</f>
        <v>2575.8606</v>
      </c>
      <c r="E37" s="35"/>
      <c r="F37" s="35"/>
      <c r="G37" s="35"/>
      <c r="H37" s="35"/>
      <c r="K37"/>
      <c r="L37"/>
      <c r="M37"/>
      <c r="N37"/>
    </row>
    <row r="38" spans="1:14" s="1" customFormat="1" ht="15.75">
      <c r="A38" s="115" t="s">
        <v>146</v>
      </c>
      <c r="B38" s="239"/>
      <c r="C38" s="242"/>
      <c r="D38" s="82"/>
      <c r="E38" s="35"/>
      <c r="F38" s="35"/>
      <c r="G38" s="35"/>
      <c r="H38" s="35"/>
      <c r="K38"/>
      <c r="L38"/>
      <c r="M38"/>
      <c r="N38"/>
    </row>
    <row r="39" spans="1:14" s="1" customFormat="1" ht="15.75">
      <c r="A39" s="115" t="s">
        <v>144</v>
      </c>
      <c r="B39" s="239" t="s">
        <v>38</v>
      </c>
      <c r="C39" s="242" t="s">
        <v>147</v>
      </c>
      <c r="D39" s="82">
        <v>701.31</v>
      </c>
      <c r="E39" s="35"/>
      <c r="F39" s="35"/>
      <c r="G39" s="35"/>
      <c r="H39" s="35"/>
      <c r="K39"/>
      <c r="L39"/>
      <c r="M39"/>
      <c r="N39"/>
    </row>
    <row r="40" spans="1:14" s="1" customFormat="1" ht="15.75">
      <c r="A40" s="115" t="s">
        <v>145</v>
      </c>
      <c r="B40" s="239" t="s">
        <v>38</v>
      </c>
      <c r="C40" s="242" t="s">
        <v>148</v>
      </c>
      <c r="D40" s="82">
        <v>8133.82</v>
      </c>
      <c r="E40" s="35"/>
      <c r="F40" s="35"/>
      <c r="G40" s="35"/>
      <c r="H40" s="35"/>
      <c r="K40"/>
      <c r="L40"/>
      <c r="M40"/>
      <c r="N40"/>
    </row>
    <row r="41" spans="1:14" s="1" customFormat="1" ht="79.5" customHeight="1">
      <c r="A41" s="206" t="s">
        <v>135</v>
      </c>
      <c r="B41" s="245" t="s">
        <v>53</v>
      </c>
      <c r="C41" s="250"/>
      <c r="D41" s="371">
        <f>D42+D43+D44+D45+D46</f>
        <v>14052</v>
      </c>
      <c r="E41" s="36"/>
      <c r="F41" s="35"/>
      <c r="G41" s="35"/>
      <c r="H41" s="35"/>
      <c r="K41"/>
      <c r="L41"/>
      <c r="M41"/>
      <c r="N41"/>
    </row>
    <row r="42" spans="1:14" s="1" customFormat="1" ht="18.75" customHeight="1">
      <c r="A42" s="206" t="s">
        <v>208</v>
      </c>
      <c r="B42" s="244" t="s">
        <v>119</v>
      </c>
      <c r="C42" s="240" t="s">
        <v>44</v>
      </c>
      <c r="D42" s="74">
        <v>1062</v>
      </c>
      <c r="E42" s="36"/>
      <c r="F42" s="35"/>
      <c r="G42" s="35"/>
      <c r="H42" s="35"/>
      <c r="K42"/>
      <c r="L42"/>
      <c r="M42"/>
      <c r="N42"/>
    </row>
    <row r="43" spans="1:14" s="1" customFormat="1" ht="22.5" customHeight="1">
      <c r="A43" s="206" t="s">
        <v>209</v>
      </c>
      <c r="B43" s="244" t="s">
        <v>210</v>
      </c>
      <c r="C43" s="250" t="s">
        <v>211</v>
      </c>
      <c r="D43" s="74">
        <v>6000</v>
      </c>
      <c r="E43" s="36"/>
      <c r="F43" s="35"/>
      <c r="G43" s="35"/>
      <c r="H43" s="35"/>
      <c r="K43"/>
      <c r="L43"/>
      <c r="M43"/>
      <c r="N43"/>
    </row>
    <row r="44" spans="1:14" s="1" customFormat="1" ht="21.75" customHeight="1">
      <c r="A44" s="206" t="s">
        <v>212</v>
      </c>
      <c r="B44" s="245" t="s">
        <v>210</v>
      </c>
      <c r="C44" s="240" t="s">
        <v>44</v>
      </c>
      <c r="D44" s="74">
        <v>711</v>
      </c>
      <c r="E44" s="36"/>
      <c r="F44" s="35"/>
      <c r="G44" s="35"/>
      <c r="H44" s="35"/>
      <c r="K44"/>
      <c r="L44"/>
      <c r="M44"/>
      <c r="N44"/>
    </row>
    <row r="45" spans="1:14" s="1" customFormat="1" ht="32.25" customHeight="1">
      <c r="A45" s="206" t="s">
        <v>193</v>
      </c>
      <c r="B45" s="245" t="s">
        <v>210</v>
      </c>
      <c r="C45" s="240" t="s">
        <v>37</v>
      </c>
      <c r="D45" s="74">
        <v>360</v>
      </c>
      <c r="E45" s="36"/>
      <c r="F45" s="35"/>
      <c r="G45" s="35"/>
      <c r="H45" s="35"/>
      <c r="I45" s="35"/>
      <c r="K45"/>
      <c r="L45"/>
      <c r="M45"/>
      <c r="N45"/>
    </row>
    <row r="46" spans="1:14" s="1" customFormat="1" ht="24" customHeight="1">
      <c r="A46" s="206" t="s">
        <v>213</v>
      </c>
      <c r="B46" s="244" t="s">
        <v>128</v>
      </c>
      <c r="C46" s="240" t="s">
        <v>44</v>
      </c>
      <c r="D46" s="74">
        <v>5919</v>
      </c>
      <c r="E46" s="36"/>
      <c r="F46" s="35"/>
      <c r="G46" s="35"/>
      <c r="H46" s="35"/>
      <c r="I46" s="35"/>
      <c r="K46"/>
      <c r="L46"/>
      <c r="M46"/>
      <c r="N46"/>
    </row>
    <row r="47" spans="1:14" s="1" customFormat="1" ht="15.75">
      <c r="A47" s="24" t="s">
        <v>54</v>
      </c>
      <c r="B47" s="239"/>
      <c r="C47" s="241"/>
      <c r="D47" s="82">
        <f>D29+D30+D31+D32+D33+D34+D35+D36+D39+D40+D41+D37</f>
        <v>116021.36200000001</v>
      </c>
      <c r="E47" s="36">
        <f>D47-D39-D40-D41</f>
        <v>93134.23200000002</v>
      </c>
      <c r="F47" s="35"/>
      <c r="G47" s="35"/>
      <c r="H47" s="35"/>
      <c r="I47" s="35"/>
      <c r="K47"/>
      <c r="L47"/>
      <c r="M47"/>
      <c r="N47"/>
    </row>
    <row r="48" spans="1:14" s="1" customFormat="1" ht="15.75">
      <c r="A48" s="24" t="s">
        <v>55</v>
      </c>
      <c r="B48" s="112" t="s">
        <v>12</v>
      </c>
      <c r="C48" s="241"/>
      <c r="D48" s="82">
        <f>C26-D47</f>
        <v>-19323.291975000015</v>
      </c>
      <c r="E48" s="35"/>
      <c r="F48" s="35"/>
      <c r="G48" s="35"/>
      <c r="H48" s="35"/>
      <c r="I48" s="35"/>
      <c r="K48"/>
      <c r="L48"/>
      <c r="M48"/>
      <c r="N48"/>
    </row>
    <row r="49" spans="1:9" ht="15.75">
      <c r="A49" s="115" t="s">
        <v>13</v>
      </c>
      <c r="B49" s="112" t="s">
        <v>12</v>
      </c>
      <c r="C49" s="241"/>
      <c r="D49" s="234">
        <v>0</v>
      </c>
      <c r="E49" s="35"/>
      <c r="F49" s="35"/>
      <c r="G49" s="35"/>
      <c r="H49" s="35"/>
      <c r="I49" s="35"/>
    </row>
    <row r="50" spans="1:9" ht="15.75">
      <c r="A50" s="115" t="s">
        <v>14</v>
      </c>
      <c r="B50" s="112" t="s">
        <v>12</v>
      </c>
      <c r="C50" s="241"/>
      <c r="D50" s="82">
        <f>C14+C17-C22</f>
        <v>9022.379974999989</v>
      </c>
      <c r="E50" s="35"/>
      <c r="F50" s="35"/>
      <c r="G50" s="35"/>
      <c r="H50" s="35"/>
      <c r="I50" s="35"/>
    </row>
    <row r="51" spans="1:9" ht="16.5" customHeight="1">
      <c r="A51" s="527" t="s">
        <v>56</v>
      </c>
      <c r="B51" s="527"/>
      <c r="C51" s="527"/>
      <c r="D51" s="527"/>
      <c r="E51" s="35"/>
      <c r="F51" s="35"/>
      <c r="G51" s="35"/>
      <c r="H51" s="35"/>
      <c r="I51" s="35"/>
    </row>
    <row r="52" spans="1:9" ht="15.75">
      <c r="A52" s="115" t="s">
        <v>57</v>
      </c>
      <c r="B52" s="239" t="s">
        <v>58</v>
      </c>
      <c r="C52" s="241">
        <v>0</v>
      </c>
      <c r="D52" s="234">
        <v>1</v>
      </c>
      <c r="E52" s="35"/>
      <c r="F52" s="35"/>
      <c r="G52" s="35"/>
      <c r="H52" s="35"/>
      <c r="I52" s="35"/>
    </row>
    <row r="53" spans="1:9" ht="15.75">
      <c r="A53" s="115" t="s">
        <v>59</v>
      </c>
      <c r="B53" s="239" t="s">
        <v>58</v>
      </c>
      <c r="C53" s="241">
        <v>0</v>
      </c>
      <c r="D53" s="234">
        <v>1</v>
      </c>
      <c r="E53" s="35"/>
      <c r="F53" s="35"/>
      <c r="G53" s="35"/>
      <c r="H53" s="35"/>
      <c r="I53" s="35"/>
    </row>
    <row r="54" spans="1:9" ht="26.25">
      <c r="A54" s="130" t="s">
        <v>60</v>
      </c>
      <c r="B54" s="239" t="s">
        <v>58</v>
      </c>
      <c r="C54" s="241">
        <v>0</v>
      </c>
      <c r="D54" s="234">
        <v>0</v>
      </c>
      <c r="E54" s="35"/>
      <c r="F54" s="35"/>
      <c r="G54" s="35"/>
      <c r="H54" s="35"/>
      <c r="I54" s="35"/>
    </row>
    <row r="55" spans="1:9" ht="15.75">
      <c r="A55" s="115" t="s">
        <v>61</v>
      </c>
      <c r="B55" s="239" t="s">
        <v>12</v>
      </c>
      <c r="C55" s="241">
        <v>0</v>
      </c>
      <c r="D55" s="234">
        <v>1190</v>
      </c>
      <c r="E55" s="35"/>
      <c r="F55" s="35"/>
      <c r="G55" s="35"/>
      <c r="H55" s="35" t="s">
        <v>376</v>
      </c>
      <c r="I55" s="35"/>
    </row>
    <row r="56" spans="1:9" ht="15.75">
      <c r="A56" s="133" t="s">
        <v>62</v>
      </c>
      <c r="B56" s="406"/>
      <c r="C56" s="407"/>
      <c r="D56" s="408"/>
      <c r="E56" s="35"/>
      <c r="F56" s="35"/>
      <c r="G56" s="35"/>
      <c r="H56" s="35"/>
      <c r="I56" s="35"/>
    </row>
    <row r="57" spans="1:9" ht="15.75">
      <c r="A57" s="133" t="s">
        <v>63</v>
      </c>
      <c r="B57" s="406" t="s">
        <v>12</v>
      </c>
      <c r="C57" s="407"/>
      <c r="D57" s="408">
        <v>0</v>
      </c>
      <c r="E57" s="35"/>
      <c r="F57" s="35"/>
      <c r="G57" s="35"/>
      <c r="H57" s="35"/>
      <c r="I57" s="35"/>
    </row>
    <row r="58" spans="1:8" ht="15.75">
      <c r="A58" s="133" t="s">
        <v>13</v>
      </c>
      <c r="B58" s="406" t="s">
        <v>12</v>
      </c>
      <c r="C58" s="407"/>
      <c r="D58" s="408">
        <v>0</v>
      </c>
      <c r="E58" s="51"/>
      <c r="F58" s="35"/>
      <c r="G58" s="35"/>
      <c r="H58" s="51"/>
    </row>
    <row r="59" spans="1:8" ht="15.75">
      <c r="A59" s="133" t="s">
        <v>14</v>
      </c>
      <c r="B59" s="406" t="s">
        <v>12</v>
      </c>
      <c r="C59" s="407"/>
      <c r="D59" s="408">
        <v>0</v>
      </c>
      <c r="E59" s="51"/>
      <c r="F59" s="35"/>
      <c r="G59" s="35"/>
      <c r="H59" s="51"/>
    </row>
    <row r="60" spans="1:8" ht="15.75">
      <c r="A60" s="133" t="s">
        <v>64</v>
      </c>
      <c r="B60" s="406" t="s">
        <v>12</v>
      </c>
      <c r="C60" s="407"/>
      <c r="D60" s="408">
        <v>0</v>
      </c>
      <c r="E60" s="35"/>
      <c r="F60" s="35"/>
      <c r="G60" s="35"/>
      <c r="H60" s="51"/>
    </row>
    <row r="61" spans="1:8" ht="15.75">
      <c r="A61" s="133" t="s">
        <v>13</v>
      </c>
      <c r="B61" s="406" t="s">
        <v>12</v>
      </c>
      <c r="C61" s="407"/>
      <c r="D61" s="408">
        <v>0</v>
      </c>
      <c r="E61" s="35"/>
      <c r="F61" s="35"/>
      <c r="G61" s="35"/>
      <c r="H61" s="51"/>
    </row>
    <row r="62" spans="1:8" ht="15.75">
      <c r="A62" s="133" t="s">
        <v>14</v>
      </c>
      <c r="B62" s="406" t="s">
        <v>12</v>
      </c>
      <c r="C62" s="407"/>
      <c r="D62" s="408">
        <v>3317.23</v>
      </c>
      <c r="E62" s="35"/>
      <c r="F62" s="35"/>
      <c r="G62" s="35"/>
      <c r="H62" s="51"/>
    </row>
    <row r="63" spans="1:8" ht="16.5" thickBot="1">
      <c r="A63" s="133" t="s">
        <v>65</v>
      </c>
      <c r="B63" s="406"/>
      <c r="C63" s="407"/>
      <c r="D63" s="408"/>
      <c r="E63" s="35"/>
      <c r="F63" s="35"/>
      <c r="G63" s="35"/>
      <c r="H63" s="51"/>
    </row>
    <row r="64" spans="1:8" ht="51" customHeight="1">
      <c r="A64" s="420" t="s">
        <v>66</v>
      </c>
      <c r="B64" s="423" t="s">
        <v>67</v>
      </c>
      <c r="C64" s="424" t="s">
        <v>68</v>
      </c>
      <c r="D64" s="425" t="s">
        <v>69</v>
      </c>
      <c r="E64" s="35"/>
      <c r="F64" s="35"/>
      <c r="G64" s="35"/>
      <c r="H64" s="51"/>
    </row>
    <row r="65" spans="1:8" ht="18" customHeight="1" thickBot="1">
      <c r="A65" s="421" t="s">
        <v>366</v>
      </c>
      <c r="B65" s="422">
        <v>26017.5</v>
      </c>
      <c r="C65" s="429">
        <f>B65*0.8725</f>
        <v>22700.268750000003</v>
      </c>
      <c r="D65" s="430">
        <f>B65-C65</f>
        <v>3317.231249999997</v>
      </c>
      <c r="E65" s="35"/>
      <c r="F65" s="35"/>
      <c r="G65" s="35"/>
      <c r="H65" s="51"/>
    </row>
    <row r="66" spans="1:8" ht="72.75" customHeight="1">
      <c r="A66" s="419" t="s">
        <v>75</v>
      </c>
      <c r="B66" s="426" t="s">
        <v>76</v>
      </c>
      <c r="C66" s="427" t="s">
        <v>77</v>
      </c>
      <c r="D66" s="428" t="s">
        <v>78</v>
      </c>
      <c r="E66" s="35"/>
      <c r="F66" s="35"/>
      <c r="G66" s="35"/>
      <c r="H66" s="51"/>
    </row>
    <row r="67" spans="1:8" ht="15.75">
      <c r="A67" s="133" t="s">
        <v>366</v>
      </c>
      <c r="B67" s="406">
        <f>B65</f>
        <v>26017.5</v>
      </c>
      <c r="C67" s="431">
        <f>C65</f>
        <v>22700.268750000003</v>
      </c>
      <c r="D67" s="432">
        <f>D65</f>
        <v>3317.231249999997</v>
      </c>
      <c r="E67" s="35"/>
      <c r="F67" s="35"/>
      <c r="G67" s="35"/>
      <c r="H67" s="51"/>
    </row>
    <row r="68" spans="1:14" ht="17.25" customHeight="1">
      <c r="A68" s="536" t="s">
        <v>80</v>
      </c>
      <c r="B68" s="536"/>
      <c r="C68" s="536"/>
      <c r="D68" s="536"/>
      <c r="E68" s="18" t="e">
        <f>D68+B18</f>
        <v>#VALUE!</v>
      </c>
      <c r="F68" s="9"/>
      <c r="H68" s="19" t="e">
        <f>E68-B17</f>
        <v>#VALUE!</v>
      </c>
      <c r="I68" s="9"/>
      <c r="J68" s="9"/>
      <c r="K68" s="10"/>
      <c r="L68" s="10"/>
      <c r="M68" s="10"/>
      <c r="N68" s="10"/>
    </row>
    <row r="69" spans="1:5" ht="21" customHeight="1">
      <c r="A69" s="20" t="s">
        <v>57</v>
      </c>
      <c r="B69" s="20" t="s">
        <v>58</v>
      </c>
      <c r="C69" s="28"/>
      <c r="D69" s="83">
        <v>0</v>
      </c>
      <c r="E69" s="21"/>
    </row>
    <row r="70" spans="1:5" ht="21" customHeight="1">
      <c r="A70" s="20" t="s">
        <v>59</v>
      </c>
      <c r="B70" s="20" t="s">
        <v>58</v>
      </c>
      <c r="C70" s="28"/>
      <c r="D70" s="83">
        <v>0</v>
      </c>
      <c r="E70" s="21"/>
    </row>
    <row r="71" spans="1:14" s="1" customFormat="1" ht="18" customHeight="1">
      <c r="A71" s="20" t="s">
        <v>60</v>
      </c>
      <c r="B71" s="20" t="s">
        <v>58</v>
      </c>
      <c r="C71" s="28"/>
      <c r="D71" s="83">
        <v>0</v>
      </c>
      <c r="E71" s="21"/>
      <c r="K71"/>
      <c r="L71"/>
      <c r="M71"/>
      <c r="N71"/>
    </row>
    <row r="72" spans="1:14" s="1" customFormat="1" ht="16.5" customHeight="1">
      <c r="A72" s="20" t="s">
        <v>61</v>
      </c>
      <c r="B72" s="20" t="s">
        <v>12</v>
      </c>
      <c r="C72" s="28"/>
      <c r="D72" s="83">
        <v>0</v>
      </c>
      <c r="E72" s="21"/>
      <c r="K72"/>
      <c r="L72"/>
      <c r="M72"/>
      <c r="N72"/>
    </row>
    <row r="73" spans="1:14" s="1" customFormat="1" ht="15.75" customHeight="1">
      <c r="A73" s="529" t="s">
        <v>81</v>
      </c>
      <c r="B73" s="529"/>
      <c r="C73" s="529"/>
      <c r="D73" s="529"/>
      <c r="E73" s="21"/>
      <c r="K73"/>
      <c r="L73"/>
      <c r="M73"/>
      <c r="N73"/>
    </row>
    <row r="74" spans="1:14" s="1" customFormat="1" ht="18.75" customHeight="1">
      <c r="A74" s="20" t="s">
        <v>82</v>
      </c>
      <c r="B74" s="20" t="s">
        <v>58</v>
      </c>
      <c r="C74" s="28"/>
      <c r="D74" s="83">
        <v>0</v>
      </c>
      <c r="E74" s="21"/>
      <c r="K74"/>
      <c r="L74"/>
      <c r="M74"/>
      <c r="N74"/>
    </row>
    <row r="75" spans="1:14" s="1" customFormat="1" ht="21.75" customHeight="1">
      <c r="A75" s="20" t="s">
        <v>83</v>
      </c>
      <c r="B75" s="135" t="s">
        <v>58</v>
      </c>
      <c r="C75" s="145"/>
      <c r="D75" s="83">
        <v>0</v>
      </c>
      <c r="E75" s="21"/>
      <c r="K75"/>
      <c r="L75"/>
      <c r="M75"/>
      <c r="N75"/>
    </row>
    <row r="76" spans="1:14" s="1" customFormat="1" ht="24.75" customHeight="1">
      <c r="A76" s="146" t="s">
        <v>84</v>
      </c>
      <c r="B76" s="20" t="s">
        <v>12</v>
      </c>
      <c r="C76" s="28"/>
      <c r="D76" s="83">
        <v>0</v>
      </c>
      <c r="E76" s="21"/>
      <c r="K76"/>
      <c r="L76"/>
      <c r="M76"/>
      <c r="N76"/>
    </row>
    <row r="77" spans="1:14" s="1" customFormat="1" ht="12.75">
      <c r="A77" s="81"/>
      <c r="B77" s="81"/>
      <c r="C77" s="81"/>
      <c r="D77" s="81"/>
      <c r="H77" s="1" t="s">
        <v>27</v>
      </c>
      <c r="K77"/>
      <c r="L77"/>
      <c r="M77"/>
      <c r="N77"/>
    </row>
    <row r="78" spans="1:14" s="1" customFormat="1" ht="12.75">
      <c r="A78" s="90" t="s">
        <v>162</v>
      </c>
      <c r="B78" s="81"/>
      <c r="C78" s="81"/>
      <c r="D78" s="81"/>
      <c r="K78"/>
      <c r="L78"/>
      <c r="M78"/>
      <c r="N78"/>
    </row>
    <row r="79" spans="1:14" s="1" customFormat="1" ht="12.75">
      <c r="A79" s="81" t="s">
        <v>85</v>
      </c>
      <c r="B79" s="81"/>
      <c r="C79" s="81"/>
      <c r="D79" s="81"/>
      <c r="H79" s="1" t="s">
        <v>27</v>
      </c>
      <c r="K79"/>
      <c r="L79"/>
      <c r="M79"/>
      <c r="N79"/>
    </row>
    <row r="80" spans="1:14" s="1" customFormat="1" ht="12.75">
      <c r="A80" s="81"/>
      <c r="B80" s="81"/>
      <c r="C80" s="81"/>
      <c r="D80" s="81"/>
      <c r="K80"/>
      <c r="L80"/>
      <c r="M80"/>
      <c r="N80"/>
    </row>
    <row r="81" spans="1:4" ht="12.75">
      <c r="A81" s="81"/>
      <c r="B81" s="81"/>
      <c r="C81" s="81"/>
      <c r="D81" s="81"/>
    </row>
    <row r="84" spans="1:14" s="1" customFormat="1" ht="12.75">
      <c r="A84"/>
      <c r="B84"/>
      <c r="C84"/>
      <c r="D84"/>
      <c r="E84" s="1" t="s">
        <v>27</v>
      </c>
      <c r="K84"/>
      <c r="L84"/>
      <c r="M84"/>
      <c r="N84"/>
    </row>
  </sheetData>
  <sheetProtection selectLockedCells="1" selectUnlockedCells="1"/>
  <mergeCells count="10">
    <mergeCell ref="A27:D27"/>
    <mergeCell ref="A51:D51"/>
    <mergeCell ref="A68:D68"/>
    <mergeCell ref="A73:D73"/>
    <mergeCell ref="A1:D1"/>
    <mergeCell ref="A2:D2"/>
    <mergeCell ref="A3:D3"/>
    <mergeCell ref="A4:D4"/>
    <mergeCell ref="A5:D5"/>
    <mergeCell ref="A13:D1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PageLayoutView="0" workbookViewId="0" topLeftCell="A26">
      <selection activeCell="D83" sqref="D83"/>
    </sheetView>
  </sheetViews>
  <sheetFormatPr defaultColWidth="11.57421875" defaultRowHeight="12.75"/>
  <cols>
    <col min="1" max="1" width="56.00390625" style="0" customWidth="1"/>
    <col min="2" max="2" width="16.28125" style="0" customWidth="1"/>
    <col min="3" max="3" width="23.5742187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30" t="s">
        <v>27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3" t="s">
        <v>182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spans="1:4" ht="3" customHeight="1">
      <c r="A6" s="201"/>
      <c r="B6" s="81"/>
      <c r="C6" s="81"/>
      <c r="D6" s="81"/>
    </row>
    <row r="7" spans="1:4" ht="15.75" customHeight="1">
      <c r="A7" s="23" t="s">
        <v>3</v>
      </c>
      <c r="B7" s="23"/>
      <c r="C7" s="23"/>
      <c r="D7" s="23"/>
    </row>
    <row r="8" spans="1:4" ht="16.5" customHeight="1">
      <c r="A8" s="53" t="s">
        <v>185</v>
      </c>
      <c r="B8" s="23"/>
      <c r="C8" s="23"/>
      <c r="D8" s="23"/>
    </row>
    <row r="9" spans="1:4" ht="12.75">
      <c r="A9" s="94">
        <v>1</v>
      </c>
      <c r="B9" s="94">
        <v>2</v>
      </c>
      <c r="C9" s="94">
        <v>3</v>
      </c>
      <c r="D9" s="95">
        <v>4</v>
      </c>
    </row>
    <row r="10" spans="1:4" ht="12.75">
      <c r="A10" s="65" t="s">
        <v>7</v>
      </c>
      <c r="B10" s="96"/>
      <c r="C10" s="97" t="s">
        <v>190</v>
      </c>
      <c r="D10" s="80"/>
    </row>
    <row r="11" spans="1:4" ht="12.75">
      <c r="A11" s="65" t="s">
        <v>8</v>
      </c>
      <c r="B11" s="96"/>
      <c r="C11" s="97" t="s">
        <v>205</v>
      </c>
      <c r="D11" s="80"/>
    </row>
    <row r="12" spans="1:8" ht="12.75">
      <c r="A12" s="65" t="s">
        <v>9</v>
      </c>
      <c r="B12" s="96"/>
      <c r="C12" s="97" t="s">
        <v>191</v>
      </c>
      <c r="D12" s="80"/>
      <c r="E12" s="35"/>
      <c r="F12" s="35"/>
      <c r="G12" s="35"/>
      <c r="H12" s="35"/>
    </row>
    <row r="13" spans="1:8" ht="31.5" customHeight="1">
      <c r="A13" s="535" t="s">
        <v>10</v>
      </c>
      <c r="B13" s="535"/>
      <c r="C13" s="535"/>
      <c r="D13" s="535"/>
      <c r="E13" s="35"/>
      <c r="F13" s="35"/>
      <c r="G13" s="35"/>
      <c r="H13" s="35"/>
    </row>
    <row r="14" spans="1:14" s="1" customFormat="1" ht="15.75">
      <c r="A14" s="65" t="s">
        <v>94</v>
      </c>
      <c r="B14" s="98" t="s">
        <v>12</v>
      </c>
      <c r="C14" s="73">
        <v>-23668.48</v>
      </c>
      <c r="D14" s="234"/>
      <c r="E14" s="35"/>
      <c r="F14" s="35"/>
      <c r="G14" s="35"/>
      <c r="H14" s="35"/>
      <c r="K14"/>
      <c r="L14"/>
      <c r="M14"/>
      <c r="N14"/>
    </row>
    <row r="15" spans="1:14" s="1" customFormat="1" ht="15.75">
      <c r="A15" s="65" t="s">
        <v>13</v>
      </c>
      <c r="B15" s="98" t="s">
        <v>12</v>
      </c>
      <c r="C15" s="235">
        <v>0</v>
      </c>
      <c r="D15" s="234"/>
      <c r="E15" s="35"/>
      <c r="F15" s="35"/>
      <c r="G15" s="35"/>
      <c r="H15" s="35"/>
      <c r="K15"/>
      <c r="L15"/>
      <c r="M15"/>
      <c r="N15"/>
    </row>
    <row r="16" spans="1:14" s="1" customFormat="1" ht="15.75">
      <c r="A16" s="65" t="s">
        <v>14</v>
      </c>
      <c r="B16" s="98" t="s">
        <v>12</v>
      </c>
      <c r="C16" s="73">
        <v>20897.25</v>
      </c>
      <c r="D16" s="82"/>
      <c r="E16" s="35"/>
      <c r="F16" s="35"/>
      <c r="G16" s="35"/>
      <c r="H16" s="35"/>
      <c r="K16"/>
      <c r="L16"/>
      <c r="M16"/>
      <c r="N16"/>
    </row>
    <row r="17" spans="1:14" s="1" customFormat="1" ht="31.5" customHeight="1">
      <c r="A17" s="64" t="s">
        <v>15</v>
      </c>
      <c r="B17" s="98" t="s">
        <v>12</v>
      </c>
      <c r="C17" s="73">
        <f>646702.18+2874.24+17860.92</f>
        <v>667437.3400000001</v>
      </c>
      <c r="D17" s="82"/>
      <c r="E17" s="42">
        <f>C17-C19</f>
        <v>533581.6096000001</v>
      </c>
      <c r="F17" s="35"/>
      <c r="G17" s="35"/>
      <c r="H17" s="35"/>
      <c r="K17"/>
      <c r="L17"/>
      <c r="M17"/>
      <c r="N17"/>
    </row>
    <row r="18" spans="1:8" ht="15.75">
      <c r="A18" s="65" t="s">
        <v>16</v>
      </c>
      <c r="B18" s="98" t="s">
        <v>12</v>
      </c>
      <c r="C18" s="73">
        <f>C17-C19-C20</f>
        <v>361540.0420000001</v>
      </c>
      <c r="D18" s="82"/>
      <c r="E18" s="42">
        <f>E17-E59</f>
        <v>-1264.841199999908</v>
      </c>
      <c r="F18" s="35"/>
      <c r="G18" s="35"/>
      <c r="H18" s="35"/>
    </row>
    <row r="19" spans="1:8" ht="15.75">
      <c r="A19" s="65" t="s">
        <v>17</v>
      </c>
      <c r="B19" s="98" t="s">
        <v>12</v>
      </c>
      <c r="C19" s="73">
        <f>3421.67*6*(3.49+3.03)</f>
        <v>133855.7304</v>
      </c>
      <c r="D19" s="82"/>
      <c r="E19" s="43"/>
      <c r="F19" s="35"/>
      <c r="G19" s="35"/>
      <c r="H19" s="35"/>
    </row>
    <row r="20" spans="1:8" ht="15.75">
      <c r="A20" s="65" t="s">
        <v>18</v>
      </c>
      <c r="B20" s="98" t="s">
        <v>12</v>
      </c>
      <c r="C20" s="73">
        <f>3421.67*12*4.19</f>
        <v>172041.5676</v>
      </c>
      <c r="D20" s="82"/>
      <c r="E20" s="43"/>
      <c r="F20" s="35"/>
      <c r="G20" s="35"/>
      <c r="H20" s="35"/>
    </row>
    <row r="21" spans="1:8" ht="15.75">
      <c r="A21" s="65" t="s">
        <v>19</v>
      </c>
      <c r="B21" s="98" t="s">
        <v>12</v>
      </c>
      <c r="C21" s="73">
        <f>C22+C23+C24+C25</f>
        <v>631796.1860440001</v>
      </c>
      <c r="D21" s="82" t="s">
        <v>20</v>
      </c>
      <c r="E21" s="42"/>
      <c r="F21" s="35"/>
      <c r="G21" s="35"/>
      <c r="H21" s="35"/>
    </row>
    <row r="22" spans="1:8" ht="15.75">
      <c r="A22" s="65" t="s">
        <v>21</v>
      </c>
      <c r="B22" s="98" t="s">
        <v>12</v>
      </c>
      <c r="C22" s="73">
        <f>C17*0.9466</f>
        <v>631796.1860440001</v>
      </c>
      <c r="D22" s="82"/>
      <c r="E22" s="35"/>
      <c r="F22" s="35"/>
      <c r="G22" s="35"/>
      <c r="H22" s="35"/>
    </row>
    <row r="23" spans="1:8" ht="15.75">
      <c r="A23" s="65" t="s">
        <v>22</v>
      </c>
      <c r="B23" s="98" t="s">
        <v>12</v>
      </c>
      <c r="C23" s="73">
        <v>0</v>
      </c>
      <c r="D23" s="82"/>
      <c r="E23" s="43"/>
      <c r="F23" s="35"/>
      <c r="G23" s="35"/>
      <c r="H23" s="35"/>
    </row>
    <row r="24" spans="1:8" ht="15.75">
      <c r="A24" s="65" t="s">
        <v>24</v>
      </c>
      <c r="B24" s="98" t="s">
        <v>12</v>
      </c>
      <c r="C24" s="73">
        <v>0</v>
      </c>
      <c r="D24" s="82"/>
      <c r="E24" s="43"/>
      <c r="F24" s="35"/>
      <c r="G24" s="35"/>
      <c r="H24" s="35"/>
    </row>
    <row r="25" spans="1:8" ht="15.75">
      <c r="A25" s="96" t="s">
        <v>25</v>
      </c>
      <c r="B25" s="98" t="s">
        <v>12</v>
      </c>
      <c r="C25" s="73">
        <v>0</v>
      </c>
      <c r="D25" s="82"/>
      <c r="E25" s="43"/>
      <c r="F25" s="35"/>
      <c r="G25" s="35"/>
      <c r="H25" s="35"/>
    </row>
    <row r="26" spans="1:8" ht="15.75">
      <c r="A26" s="65" t="s">
        <v>26</v>
      </c>
      <c r="B26" s="98" t="s">
        <v>12</v>
      </c>
      <c r="C26" s="73">
        <f>C14+C21</f>
        <v>608127.7060440001</v>
      </c>
      <c r="D26" s="82" t="s">
        <v>27</v>
      </c>
      <c r="E26" s="43"/>
      <c r="F26" s="35"/>
      <c r="G26" s="35"/>
      <c r="H26" s="35"/>
    </row>
    <row r="27" spans="1:8" ht="35.25" customHeight="1">
      <c r="A27" s="526" t="s">
        <v>28</v>
      </c>
      <c r="B27" s="526"/>
      <c r="C27" s="526"/>
      <c r="D27" s="526"/>
      <c r="E27" s="35"/>
      <c r="F27" s="35"/>
      <c r="G27" s="35"/>
      <c r="H27" s="35"/>
    </row>
    <row r="28" spans="1:8" ht="65.25" customHeight="1">
      <c r="A28" s="130" t="s">
        <v>29</v>
      </c>
      <c r="B28" s="236" t="s">
        <v>30</v>
      </c>
      <c r="C28" s="237" t="s">
        <v>31</v>
      </c>
      <c r="D28" s="238" t="s">
        <v>32</v>
      </c>
      <c r="E28" s="35"/>
      <c r="F28" s="35"/>
      <c r="G28" s="35"/>
      <c r="H28" s="35"/>
    </row>
    <row r="29" spans="1:8" ht="31.5">
      <c r="A29" s="115" t="s">
        <v>95</v>
      </c>
      <c r="B29" s="239" t="s">
        <v>34</v>
      </c>
      <c r="C29" s="272" t="s">
        <v>44</v>
      </c>
      <c r="D29" s="82">
        <f>3421.67*12*0.69</f>
        <v>28331.4276</v>
      </c>
      <c r="E29" s="35"/>
      <c r="F29" s="35"/>
      <c r="G29" s="35"/>
      <c r="H29" s="35"/>
    </row>
    <row r="30" spans="1:8" ht="31.5">
      <c r="A30" s="115" t="s">
        <v>178</v>
      </c>
      <c r="B30" s="239" t="s">
        <v>43</v>
      </c>
      <c r="C30" s="240" t="s">
        <v>179</v>
      </c>
      <c r="D30" s="82">
        <f>3421.67*12*0.15</f>
        <v>6159.006</v>
      </c>
      <c r="E30" s="35"/>
      <c r="F30" s="35"/>
      <c r="G30" s="35"/>
      <c r="H30" s="35"/>
    </row>
    <row r="31" spans="1:8" ht="15.75">
      <c r="A31" s="115" t="s">
        <v>88</v>
      </c>
      <c r="B31" s="239" t="s">
        <v>36</v>
      </c>
      <c r="C31" s="241" t="s">
        <v>44</v>
      </c>
      <c r="D31" s="82">
        <f>3421.67*12*2.4</f>
        <v>98544.096</v>
      </c>
      <c r="E31" s="35"/>
      <c r="F31" s="35"/>
      <c r="G31" s="35"/>
      <c r="H31" s="35"/>
    </row>
    <row r="32" spans="1:8" ht="15.75">
      <c r="A32" s="115" t="s">
        <v>49</v>
      </c>
      <c r="B32" s="305" t="s">
        <v>375</v>
      </c>
      <c r="C32" s="241" t="s">
        <v>44</v>
      </c>
      <c r="D32" s="82">
        <f>3421.67*6*1.09</f>
        <v>22377.721800000003</v>
      </c>
      <c r="E32" s="35"/>
      <c r="F32" s="35"/>
      <c r="G32" s="35"/>
      <c r="H32" s="35"/>
    </row>
    <row r="33" spans="1:14" s="1" customFormat="1" ht="15.75">
      <c r="A33" s="115" t="s">
        <v>96</v>
      </c>
      <c r="B33" s="239" t="s">
        <v>34</v>
      </c>
      <c r="C33" s="241" t="s">
        <v>41</v>
      </c>
      <c r="D33" s="82">
        <f>3421.67*(0.28+0.48)*6</f>
        <v>15602.815200000001</v>
      </c>
      <c r="E33" s="35"/>
      <c r="F33" s="35"/>
      <c r="G33" s="35"/>
      <c r="H33" s="35"/>
      <c r="K33"/>
      <c r="L33"/>
      <c r="M33"/>
      <c r="N33"/>
    </row>
    <row r="34" spans="1:14" s="1" customFormat="1" ht="15.75">
      <c r="A34" s="115" t="s">
        <v>105</v>
      </c>
      <c r="B34" s="239" t="s">
        <v>34</v>
      </c>
      <c r="C34" s="241" t="s">
        <v>44</v>
      </c>
      <c r="D34" s="82">
        <f>3421.67*6*(0.65+0.7)</f>
        <v>27715.527000000002</v>
      </c>
      <c r="E34" s="35"/>
      <c r="F34" s="35"/>
      <c r="G34" s="35"/>
      <c r="H34" s="35"/>
      <c r="K34"/>
      <c r="L34"/>
      <c r="M34"/>
      <c r="N34"/>
    </row>
    <row r="35" spans="1:14" s="1" customFormat="1" ht="15.75">
      <c r="A35" s="115" t="s">
        <v>89</v>
      </c>
      <c r="B35" s="239" t="s">
        <v>34</v>
      </c>
      <c r="C35" s="241" t="s">
        <v>44</v>
      </c>
      <c r="D35" s="82">
        <f>3421.67*6*(1.75+1.96)</f>
        <v>76166.3742</v>
      </c>
      <c r="E35" s="35"/>
      <c r="F35" s="35"/>
      <c r="G35" s="35"/>
      <c r="H35" s="35"/>
      <c r="K35"/>
      <c r="L35"/>
      <c r="M35"/>
      <c r="N35"/>
    </row>
    <row r="36" spans="1:14" s="1" customFormat="1" ht="15.75">
      <c r="A36" s="115" t="s">
        <v>46</v>
      </c>
      <c r="B36" s="239" t="s">
        <v>47</v>
      </c>
      <c r="C36" s="241" t="s">
        <v>44</v>
      </c>
      <c r="D36" s="82">
        <f>3421.67*6*(1.44+1.33)</f>
        <v>56868.1554</v>
      </c>
      <c r="E36" s="35"/>
      <c r="F36" s="35"/>
      <c r="G36" s="35"/>
      <c r="H36" s="35"/>
      <c r="K36"/>
      <c r="L36"/>
      <c r="M36"/>
      <c r="N36"/>
    </row>
    <row r="37" spans="1:14" s="1" customFormat="1" ht="15.75">
      <c r="A37" s="115" t="s">
        <v>98</v>
      </c>
      <c r="B37" s="239" t="s">
        <v>38</v>
      </c>
      <c r="C37" s="264" t="s">
        <v>168</v>
      </c>
      <c r="D37" s="82">
        <f>3421.67*12*4.19-8000</f>
        <v>164041.5676</v>
      </c>
      <c r="E37" s="35"/>
      <c r="F37" s="35"/>
      <c r="G37" s="35"/>
      <c r="H37" s="35"/>
      <c r="K37"/>
      <c r="L37"/>
      <c r="M37"/>
      <c r="N37"/>
    </row>
    <row r="38" spans="1:14" s="1" customFormat="1" ht="15.75">
      <c r="A38" s="115" t="s">
        <v>101</v>
      </c>
      <c r="B38" s="239" t="s">
        <v>174</v>
      </c>
      <c r="C38" s="272" t="s">
        <v>41</v>
      </c>
      <c r="D38" s="82">
        <v>25039.76</v>
      </c>
      <c r="E38" s="35"/>
      <c r="F38" s="35"/>
      <c r="G38" s="35"/>
      <c r="H38" s="35"/>
      <c r="K38"/>
      <c r="L38"/>
      <c r="M38"/>
      <c r="N38"/>
    </row>
    <row r="39" spans="1:14" s="1" customFormat="1" ht="31.5">
      <c r="A39" s="115" t="s">
        <v>226</v>
      </c>
      <c r="B39" s="239" t="s">
        <v>126</v>
      </c>
      <c r="C39" s="272" t="s">
        <v>227</v>
      </c>
      <c r="D39" s="82">
        <v>14000</v>
      </c>
      <c r="E39" s="35"/>
      <c r="F39" s="35"/>
      <c r="G39" s="35"/>
      <c r="H39" s="35"/>
      <c r="K39"/>
      <c r="L39"/>
      <c r="M39"/>
      <c r="N39"/>
    </row>
    <row r="40" spans="1:14" s="1" customFormat="1" ht="15.75">
      <c r="A40" s="115" t="s">
        <v>146</v>
      </c>
      <c r="B40" s="239"/>
      <c r="C40" s="242"/>
      <c r="D40" s="82"/>
      <c r="E40" s="35"/>
      <c r="F40" s="35"/>
      <c r="G40" s="35"/>
      <c r="H40" s="35"/>
      <c r="K40"/>
      <c r="L40"/>
      <c r="M40"/>
      <c r="N40"/>
    </row>
    <row r="41" spans="1:14" s="1" customFormat="1" ht="15.75">
      <c r="A41" s="115" t="s">
        <v>144</v>
      </c>
      <c r="B41" s="239" t="s">
        <v>38</v>
      </c>
      <c r="C41" s="242" t="s">
        <v>147</v>
      </c>
      <c r="D41" s="82">
        <v>2874.24</v>
      </c>
      <c r="E41" s="35"/>
      <c r="F41" s="35"/>
      <c r="G41" s="35"/>
      <c r="H41" s="35"/>
      <c r="K41"/>
      <c r="L41"/>
      <c r="M41"/>
      <c r="N41"/>
    </row>
    <row r="42" spans="1:14" s="1" customFormat="1" ht="15.75">
      <c r="A42" s="115" t="s">
        <v>145</v>
      </c>
      <c r="B42" s="239" t="s">
        <v>38</v>
      </c>
      <c r="C42" s="242" t="s">
        <v>148</v>
      </c>
      <c r="D42" s="82">
        <v>45101.15</v>
      </c>
      <c r="E42" s="35"/>
      <c r="F42" s="35"/>
      <c r="G42" s="35"/>
      <c r="H42" s="35"/>
      <c r="K42"/>
      <c r="L42"/>
      <c r="M42"/>
      <c r="N42"/>
    </row>
    <row r="43" spans="1:14" s="1" customFormat="1" ht="60" customHeight="1">
      <c r="A43" s="206" t="s">
        <v>135</v>
      </c>
      <c r="B43" s="244" t="s">
        <v>53</v>
      </c>
      <c r="C43" s="250"/>
      <c r="D43" s="371">
        <f>D44+D45+D46+D47+D48+D49+D50+D51+D52+D53+D54+D55+D56+D57+D58</f>
        <v>265099</v>
      </c>
      <c r="E43" s="36"/>
      <c r="F43" s="35"/>
      <c r="G43" s="35"/>
      <c r="H43" s="35"/>
      <c r="K43"/>
      <c r="L43"/>
      <c r="M43"/>
      <c r="N43"/>
    </row>
    <row r="44" spans="1:14" s="1" customFormat="1" ht="31.5" customHeight="1">
      <c r="A44" s="206" t="s">
        <v>214</v>
      </c>
      <c r="B44" s="244" t="s">
        <v>215</v>
      </c>
      <c r="C44" s="250" t="s">
        <v>44</v>
      </c>
      <c r="D44" s="74">
        <f>393+393+371</f>
        <v>1157</v>
      </c>
      <c r="E44" s="36"/>
      <c r="F44" s="35"/>
      <c r="G44" s="35"/>
      <c r="H44" s="35"/>
      <c r="K44"/>
      <c r="L44"/>
      <c r="M44"/>
      <c r="N44"/>
    </row>
    <row r="45" spans="1:14" s="1" customFormat="1" ht="41.25" customHeight="1">
      <c r="A45" s="206" t="s">
        <v>193</v>
      </c>
      <c r="B45" s="244" t="s">
        <v>120</v>
      </c>
      <c r="C45" s="250" t="s">
        <v>37</v>
      </c>
      <c r="D45" s="74">
        <v>360</v>
      </c>
      <c r="E45" s="36"/>
      <c r="F45" s="35"/>
      <c r="G45" s="35"/>
      <c r="H45" s="35"/>
      <c r="K45"/>
      <c r="L45"/>
      <c r="M45"/>
      <c r="N45"/>
    </row>
    <row r="46" spans="1:14" s="1" customFormat="1" ht="33.75" customHeight="1">
      <c r="A46" s="206" t="s">
        <v>216</v>
      </c>
      <c r="B46" s="244" t="s">
        <v>120</v>
      </c>
      <c r="C46" s="250" t="s">
        <v>217</v>
      </c>
      <c r="D46" s="74">
        <v>5184</v>
      </c>
      <c r="E46" s="36"/>
      <c r="F46" s="35"/>
      <c r="G46" s="35"/>
      <c r="H46" s="35"/>
      <c r="K46"/>
      <c r="L46"/>
      <c r="M46"/>
      <c r="N46"/>
    </row>
    <row r="47" spans="1:14" s="1" customFormat="1" ht="17.25" customHeight="1">
      <c r="A47" s="206" t="s">
        <v>218</v>
      </c>
      <c r="B47" s="244" t="s">
        <v>127</v>
      </c>
      <c r="C47" s="250" t="s">
        <v>196</v>
      </c>
      <c r="D47" s="74">
        <v>915</v>
      </c>
      <c r="E47" s="36"/>
      <c r="F47" s="35"/>
      <c r="G47" s="35"/>
      <c r="H47" s="35"/>
      <c r="K47"/>
      <c r="L47"/>
      <c r="M47"/>
      <c r="N47"/>
    </row>
    <row r="48" spans="1:14" s="1" customFormat="1" ht="19.5" customHeight="1">
      <c r="A48" s="206" t="s">
        <v>194</v>
      </c>
      <c r="B48" s="244" t="s">
        <v>129</v>
      </c>
      <c r="C48" s="250" t="s">
        <v>44</v>
      </c>
      <c r="D48" s="74">
        <v>2902</v>
      </c>
      <c r="E48" s="36"/>
      <c r="F48" s="35"/>
      <c r="G48" s="35"/>
      <c r="H48" s="35"/>
      <c r="K48"/>
      <c r="L48"/>
      <c r="M48"/>
      <c r="N48"/>
    </row>
    <row r="49" spans="1:14" s="1" customFormat="1" ht="27.75" customHeight="1">
      <c r="A49" s="206" t="s">
        <v>219</v>
      </c>
      <c r="B49" s="244" t="s">
        <v>129</v>
      </c>
      <c r="C49" s="250" t="s">
        <v>37</v>
      </c>
      <c r="D49" s="74">
        <v>2000</v>
      </c>
      <c r="E49" s="36"/>
      <c r="F49" s="35"/>
      <c r="G49" s="35"/>
      <c r="H49" s="35"/>
      <c r="K49"/>
      <c r="L49"/>
      <c r="M49"/>
      <c r="N49"/>
    </row>
    <row r="50" spans="1:14" s="1" customFormat="1" ht="28.5" customHeight="1">
      <c r="A50" s="206" t="s">
        <v>220</v>
      </c>
      <c r="B50" s="245" t="s">
        <v>121</v>
      </c>
      <c r="C50" s="250" t="s">
        <v>44</v>
      </c>
      <c r="D50" s="74">
        <v>44443</v>
      </c>
      <c r="E50" s="36"/>
      <c r="F50" s="35"/>
      <c r="G50" s="35"/>
      <c r="H50" s="35"/>
      <c r="K50"/>
      <c r="L50"/>
      <c r="M50"/>
      <c r="N50"/>
    </row>
    <row r="51" spans="1:14" s="1" customFormat="1" ht="22.5" customHeight="1">
      <c r="A51" s="206" t="s">
        <v>219</v>
      </c>
      <c r="B51" s="245" t="s">
        <v>121</v>
      </c>
      <c r="C51" s="250" t="s">
        <v>196</v>
      </c>
      <c r="D51" s="74">
        <v>49305</v>
      </c>
      <c r="E51" s="36"/>
      <c r="F51" s="35"/>
      <c r="G51" s="35"/>
      <c r="H51" s="35"/>
      <c r="K51"/>
      <c r="L51"/>
      <c r="M51"/>
      <c r="N51"/>
    </row>
    <row r="52" spans="1:14" s="1" customFormat="1" ht="18" customHeight="1">
      <c r="A52" s="206" t="s">
        <v>221</v>
      </c>
      <c r="B52" s="245" t="s">
        <v>121</v>
      </c>
      <c r="C52" s="250" t="s">
        <v>44</v>
      </c>
      <c r="D52" s="74">
        <v>2512</v>
      </c>
      <c r="E52" s="36"/>
      <c r="F52" s="35"/>
      <c r="G52" s="35"/>
      <c r="H52" s="35"/>
      <c r="K52"/>
      <c r="L52"/>
      <c r="M52"/>
      <c r="N52"/>
    </row>
    <row r="53" spans="1:14" s="1" customFormat="1" ht="18" customHeight="1">
      <c r="A53" s="206" t="s">
        <v>181</v>
      </c>
      <c r="B53" s="245" t="s">
        <v>122</v>
      </c>
      <c r="C53" s="250" t="s">
        <v>44</v>
      </c>
      <c r="D53" s="74">
        <v>961</v>
      </c>
      <c r="E53" s="36"/>
      <c r="F53" s="35"/>
      <c r="G53" s="35"/>
      <c r="H53" s="35"/>
      <c r="K53"/>
      <c r="L53"/>
      <c r="M53"/>
      <c r="N53"/>
    </row>
    <row r="54" spans="1:14" s="1" customFormat="1" ht="28.5" customHeight="1">
      <c r="A54" s="206" t="s">
        <v>222</v>
      </c>
      <c r="B54" s="245" t="s">
        <v>125</v>
      </c>
      <c r="C54" s="250" t="s">
        <v>44</v>
      </c>
      <c r="D54" s="74">
        <f>523</f>
        <v>523</v>
      </c>
      <c r="E54" s="36"/>
      <c r="F54" s="35"/>
      <c r="G54" s="35"/>
      <c r="H54" s="35"/>
      <c r="K54"/>
      <c r="L54"/>
      <c r="M54"/>
      <c r="N54"/>
    </row>
    <row r="55" spans="1:14" s="1" customFormat="1" ht="18" customHeight="1">
      <c r="A55" s="206" t="s">
        <v>223</v>
      </c>
      <c r="B55" s="245" t="s">
        <v>123</v>
      </c>
      <c r="C55" s="250" t="s">
        <v>44</v>
      </c>
      <c r="D55" s="74">
        <v>1184</v>
      </c>
      <c r="E55" s="36"/>
      <c r="F55" s="35"/>
      <c r="G55" s="35"/>
      <c r="H55" s="35"/>
      <c r="K55"/>
      <c r="L55"/>
      <c r="M55"/>
      <c r="N55"/>
    </row>
    <row r="56" spans="1:14" s="1" customFormat="1" ht="18" customHeight="1">
      <c r="A56" s="206" t="s">
        <v>224</v>
      </c>
      <c r="B56" s="245" t="s">
        <v>123</v>
      </c>
      <c r="C56" s="250" t="s">
        <v>204</v>
      </c>
      <c r="D56" s="74">
        <v>137274</v>
      </c>
      <c r="E56" s="36"/>
      <c r="F56" s="35"/>
      <c r="G56" s="35"/>
      <c r="H56" s="35"/>
      <c r="K56"/>
      <c r="L56"/>
      <c r="M56"/>
      <c r="N56"/>
    </row>
    <row r="57" spans="1:14" s="1" customFormat="1" ht="18" customHeight="1">
      <c r="A57" s="206" t="s">
        <v>225</v>
      </c>
      <c r="B57" s="245" t="s">
        <v>126</v>
      </c>
      <c r="C57" s="250" t="s">
        <v>44</v>
      </c>
      <c r="D57" s="74">
        <v>4379</v>
      </c>
      <c r="E57" s="36"/>
      <c r="F57" s="35"/>
      <c r="G57" s="35"/>
      <c r="H57" s="35"/>
      <c r="K57"/>
      <c r="L57"/>
      <c r="M57"/>
      <c r="N57"/>
    </row>
    <row r="58" spans="1:14" s="1" customFormat="1" ht="30.75" customHeight="1">
      <c r="A58" s="206" t="s">
        <v>373</v>
      </c>
      <c r="B58" s="245" t="s">
        <v>128</v>
      </c>
      <c r="C58" s="250" t="s">
        <v>374</v>
      </c>
      <c r="D58" s="74">
        <v>12000</v>
      </c>
      <c r="E58" s="36"/>
      <c r="F58" s="35"/>
      <c r="G58" s="35"/>
      <c r="H58" s="35"/>
      <c r="K58"/>
      <c r="L58"/>
      <c r="M58"/>
      <c r="N58"/>
    </row>
    <row r="59" spans="1:14" s="1" customFormat="1" ht="15.75">
      <c r="A59" s="24" t="s">
        <v>54</v>
      </c>
      <c r="B59" s="239"/>
      <c r="C59" s="241"/>
      <c r="D59" s="82">
        <f>D29+D30+D31+D32+D33+D34+D35+D36+D37+D38+D39+D41+D42+D43</f>
        <v>847920.8408</v>
      </c>
      <c r="E59" s="36">
        <f>D59-D43-D41-D42</f>
        <v>534846.4508</v>
      </c>
      <c r="F59" s="35"/>
      <c r="G59" s="35"/>
      <c r="H59" s="35"/>
      <c r="K59"/>
      <c r="L59"/>
      <c r="M59"/>
      <c r="N59"/>
    </row>
    <row r="60" spans="1:14" s="1" customFormat="1" ht="15.75">
      <c r="A60" s="24" t="s">
        <v>55</v>
      </c>
      <c r="B60" s="112" t="s">
        <v>12</v>
      </c>
      <c r="C60" s="241"/>
      <c r="D60" s="82">
        <f>C26-D59</f>
        <v>-239793.1347559999</v>
      </c>
      <c r="E60" s="35"/>
      <c r="F60" s="35"/>
      <c r="G60" s="35"/>
      <c r="H60" s="35"/>
      <c r="K60"/>
      <c r="L60"/>
      <c r="M60"/>
      <c r="N60"/>
    </row>
    <row r="61" spans="1:8" ht="15.75">
      <c r="A61" s="115" t="s">
        <v>13</v>
      </c>
      <c r="B61" s="112" t="s">
        <v>12</v>
      </c>
      <c r="C61" s="241"/>
      <c r="D61" s="234">
        <v>0</v>
      </c>
      <c r="E61" s="35"/>
      <c r="F61" s="35"/>
      <c r="G61" s="35"/>
      <c r="H61" s="35"/>
    </row>
    <row r="62" spans="1:8" ht="15.75">
      <c r="A62" s="115" t="s">
        <v>14</v>
      </c>
      <c r="B62" s="112" t="s">
        <v>12</v>
      </c>
      <c r="C62" s="241"/>
      <c r="D62" s="82">
        <v>104565.7</v>
      </c>
      <c r="E62" s="35"/>
      <c r="F62" s="35"/>
      <c r="G62" s="35"/>
      <c r="H62" s="35"/>
    </row>
    <row r="63" spans="1:8" ht="16.5" customHeight="1">
      <c r="A63" s="527" t="s">
        <v>56</v>
      </c>
      <c r="B63" s="527"/>
      <c r="C63" s="527"/>
      <c r="D63" s="527"/>
      <c r="E63" s="35"/>
      <c r="F63" s="35"/>
      <c r="G63" s="35"/>
      <c r="H63" s="35"/>
    </row>
    <row r="64" spans="1:8" ht="15.75">
      <c r="A64" s="115" t="s">
        <v>57</v>
      </c>
      <c r="B64" s="239" t="s">
        <v>58</v>
      </c>
      <c r="C64" s="241">
        <v>0</v>
      </c>
      <c r="D64" s="234">
        <v>3</v>
      </c>
      <c r="E64" s="35"/>
      <c r="F64" s="35"/>
      <c r="G64" s="35"/>
      <c r="H64" s="35"/>
    </row>
    <row r="65" spans="1:8" ht="15.75">
      <c r="A65" s="115" t="s">
        <v>59</v>
      </c>
      <c r="B65" s="239" t="s">
        <v>58</v>
      </c>
      <c r="C65" s="241">
        <v>0</v>
      </c>
      <c r="D65" s="234">
        <v>3</v>
      </c>
      <c r="E65" s="35"/>
      <c r="F65" s="35"/>
      <c r="G65" s="35"/>
      <c r="H65" s="35"/>
    </row>
    <row r="66" spans="1:8" ht="26.25">
      <c r="A66" s="130" t="s">
        <v>60</v>
      </c>
      <c r="B66" s="239" t="s">
        <v>58</v>
      </c>
      <c r="C66" s="241">
        <v>0</v>
      </c>
      <c r="D66" s="234">
        <v>0</v>
      </c>
      <c r="E66" s="35"/>
      <c r="F66" s="35"/>
      <c r="G66" s="35"/>
      <c r="H66" s="35"/>
    </row>
    <row r="67" spans="1:8" ht="15.75">
      <c r="A67" s="115" t="s">
        <v>61</v>
      </c>
      <c r="B67" s="239" t="s">
        <v>12</v>
      </c>
      <c r="C67" s="241">
        <v>0</v>
      </c>
      <c r="D67" s="234">
        <v>8000</v>
      </c>
      <c r="E67" s="35"/>
      <c r="F67" s="35"/>
      <c r="G67" s="35"/>
      <c r="H67" s="35"/>
    </row>
    <row r="68" spans="1:8" ht="15.75">
      <c r="A68" s="133" t="s">
        <v>62</v>
      </c>
      <c r="B68" s="406"/>
      <c r="C68" s="407"/>
      <c r="D68" s="408"/>
      <c r="E68" s="35"/>
      <c r="F68" s="35"/>
      <c r="G68" s="35"/>
      <c r="H68" s="35"/>
    </row>
    <row r="69" spans="1:8" ht="15.75">
      <c r="A69" s="133" t="s">
        <v>63</v>
      </c>
      <c r="B69" s="406" t="s">
        <v>12</v>
      </c>
      <c r="C69" s="407"/>
      <c r="D69" s="408">
        <v>0</v>
      </c>
      <c r="E69" s="35"/>
      <c r="F69" s="35"/>
      <c r="G69" s="35"/>
      <c r="H69" s="35"/>
    </row>
    <row r="70" spans="1:8" ht="15.75">
      <c r="A70" s="133" t="s">
        <v>13</v>
      </c>
      <c r="B70" s="406" t="s">
        <v>12</v>
      </c>
      <c r="C70" s="407"/>
      <c r="D70" s="408">
        <v>0</v>
      </c>
      <c r="E70" s="35"/>
      <c r="F70" s="35"/>
      <c r="G70" s="35"/>
      <c r="H70" s="35"/>
    </row>
    <row r="71" spans="1:8" ht="15.75">
      <c r="A71" s="133" t="s">
        <v>14</v>
      </c>
      <c r="B71" s="406" t="s">
        <v>12</v>
      </c>
      <c r="C71" s="407"/>
      <c r="D71" s="408">
        <v>0</v>
      </c>
      <c r="E71" s="35"/>
      <c r="F71" s="35"/>
      <c r="G71" s="35"/>
      <c r="H71" s="35"/>
    </row>
    <row r="72" spans="1:8" ht="15.75">
      <c r="A72" s="133" t="s">
        <v>64</v>
      </c>
      <c r="B72" s="406" t="s">
        <v>12</v>
      </c>
      <c r="C72" s="407"/>
      <c r="D72" s="408">
        <v>0</v>
      </c>
      <c r="E72" s="35"/>
      <c r="F72" s="35"/>
      <c r="G72" s="35"/>
      <c r="H72" s="35"/>
    </row>
    <row r="73" spans="1:8" ht="15.75">
      <c r="A73" s="133" t="s">
        <v>13</v>
      </c>
      <c r="B73" s="406" t="s">
        <v>12</v>
      </c>
      <c r="C73" s="407"/>
      <c r="D73" s="408">
        <v>0</v>
      </c>
      <c r="E73" s="35"/>
      <c r="F73" s="35"/>
      <c r="G73" s="35"/>
      <c r="H73" s="35"/>
    </row>
    <row r="74" spans="1:8" ht="15.75">
      <c r="A74" s="133" t="s">
        <v>14</v>
      </c>
      <c r="B74" s="406" t="s">
        <v>12</v>
      </c>
      <c r="C74" s="407"/>
      <c r="D74" s="432">
        <v>11324.38</v>
      </c>
      <c r="E74" s="35"/>
      <c r="F74" s="35"/>
      <c r="G74" s="35"/>
      <c r="H74" s="35"/>
    </row>
    <row r="75" spans="1:8" ht="15.75">
      <c r="A75" s="133" t="s">
        <v>65</v>
      </c>
      <c r="B75" s="406"/>
      <c r="C75" s="407"/>
      <c r="D75" s="408"/>
      <c r="E75" s="35"/>
      <c r="F75" s="35"/>
      <c r="G75" s="35"/>
      <c r="H75" s="35"/>
    </row>
    <row r="76" spans="1:8" ht="47.25" customHeight="1">
      <c r="A76" s="433" t="s">
        <v>66</v>
      </c>
      <c r="B76" s="434" t="s">
        <v>67</v>
      </c>
      <c r="C76" s="180" t="s">
        <v>68</v>
      </c>
      <c r="D76" s="410" t="s">
        <v>69</v>
      </c>
      <c r="E76" s="35"/>
      <c r="F76" s="35"/>
      <c r="G76" s="35"/>
      <c r="H76" s="35"/>
    </row>
    <row r="77" spans="1:8" ht="15.75">
      <c r="A77" s="433" t="s">
        <v>366</v>
      </c>
      <c r="B77" s="435">
        <v>212067.05</v>
      </c>
      <c r="C77" s="436">
        <f>B77*0.9466</f>
        <v>200742.66952999998</v>
      </c>
      <c r="D77" s="437">
        <f>B77-C77</f>
        <v>11324.380470000004</v>
      </c>
      <c r="E77" s="35"/>
      <c r="F77" s="35"/>
      <c r="G77" s="35"/>
      <c r="H77" s="35"/>
    </row>
    <row r="78" spans="1:8" ht="76.5" customHeight="1">
      <c r="A78" s="433" t="s">
        <v>75</v>
      </c>
      <c r="B78" s="434" t="s">
        <v>76</v>
      </c>
      <c r="C78" s="180" t="s">
        <v>77</v>
      </c>
      <c r="D78" s="410" t="s">
        <v>78</v>
      </c>
      <c r="E78" s="35"/>
      <c r="F78" s="35"/>
      <c r="G78" s="35"/>
      <c r="H78" s="35"/>
    </row>
    <row r="79" spans="1:8" ht="15.75">
      <c r="A79" s="433" t="s">
        <v>366</v>
      </c>
      <c r="B79" s="435">
        <f>B77</f>
        <v>212067.05</v>
      </c>
      <c r="C79" s="436">
        <f>C77</f>
        <v>200742.66952999998</v>
      </c>
      <c r="D79" s="437">
        <f>D77</f>
        <v>11324.380470000004</v>
      </c>
      <c r="E79" s="35"/>
      <c r="F79" s="35"/>
      <c r="G79" s="35"/>
      <c r="H79" s="35"/>
    </row>
    <row r="80" spans="1:14" ht="17.25" customHeight="1">
      <c r="A80" s="528" t="s">
        <v>80</v>
      </c>
      <c r="B80" s="528"/>
      <c r="C80" s="528"/>
      <c r="D80" s="528"/>
      <c r="E80" s="18" t="e">
        <f>D80+B18</f>
        <v>#VALUE!</v>
      </c>
      <c r="F80" s="9"/>
      <c r="H80" s="19" t="e">
        <f>E80-B17</f>
        <v>#VALUE!</v>
      </c>
      <c r="I80" s="9"/>
      <c r="J80" s="9"/>
      <c r="K80" s="10"/>
      <c r="L80" s="10"/>
      <c r="M80" s="10"/>
      <c r="N80" s="10"/>
    </row>
    <row r="81" spans="1:5" ht="21" customHeight="1">
      <c r="A81" s="20" t="s">
        <v>57</v>
      </c>
      <c r="B81" s="20" t="s">
        <v>58</v>
      </c>
      <c r="C81" s="28"/>
      <c r="D81" s="83">
        <v>0</v>
      </c>
      <c r="E81" s="21"/>
    </row>
    <row r="82" spans="1:5" ht="21" customHeight="1">
      <c r="A82" s="20" t="s">
        <v>59</v>
      </c>
      <c r="B82" s="20" t="s">
        <v>58</v>
      </c>
      <c r="C82" s="28"/>
      <c r="D82" s="83">
        <v>0</v>
      </c>
      <c r="E82" s="21"/>
    </row>
    <row r="83" spans="1:14" s="1" customFormat="1" ht="18" customHeight="1">
      <c r="A83" s="20" t="s">
        <v>60</v>
      </c>
      <c r="B83" s="20" t="s">
        <v>58</v>
      </c>
      <c r="C83" s="28"/>
      <c r="D83" s="83">
        <v>0</v>
      </c>
      <c r="E83" s="21"/>
      <c r="K83"/>
      <c r="L83"/>
      <c r="M83"/>
      <c r="N83"/>
    </row>
    <row r="84" spans="1:14" s="1" customFormat="1" ht="16.5" customHeight="1">
      <c r="A84" s="20" t="s">
        <v>61</v>
      </c>
      <c r="B84" s="20" t="s">
        <v>12</v>
      </c>
      <c r="C84" s="28"/>
      <c r="D84" s="83">
        <v>0</v>
      </c>
      <c r="E84" s="21"/>
      <c r="K84"/>
      <c r="L84"/>
      <c r="M84"/>
      <c r="N84"/>
    </row>
    <row r="85" spans="1:14" s="1" customFormat="1" ht="15.75" customHeight="1">
      <c r="A85" s="529" t="s">
        <v>81</v>
      </c>
      <c r="B85" s="529"/>
      <c r="C85" s="529"/>
      <c r="D85" s="529"/>
      <c r="E85" s="21"/>
      <c r="K85"/>
      <c r="L85"/>
      <c r="M85"/>
      <c r="N85"/>
    </row>
    <row r="86" spans="1:14" s="1" customFormat="1" ht="18.75" customHeight="1">
      <c r="A86" s="20" t="s">
        <v>82</v>
      </c>
      <c r="B86" s="20" t="s">
        <v>58</v>
      </c>
      <c r="C86" s="28"/>
      <c r="D86" s="83">
        <v>0</v>
      </c>
      <c r="E86" s="21"/>
      <c r="K86"/>
      <c r="L86"/>
      <c r="M86"/>
      <c r="N86"/>
    </row>
    <row r="87" spans="1:14" s="1" customFormat="1" ht="21.75" customHeight="1">
      <c r="A87" s="20" t="s">
        <v>83</v>
      </c>
      <c r="B87" s="135" t="s">
        <v>58</v>
      </c>
      <c r="C87" s="145"/>
      <c r="D87" s="83">
        <v>0</v>
      </c>
      <c r="E87" s="21"/>
      <c r="K87"/>
      <c r="L87"/>
      <c r="M87"/>
      <c r="N87"/>
    </row>
    <row r="88" spans="1:14" s="1" customFormat="1" ht="24.75" customHeight="1">
      <c r="A88" s="146" t="s">
        <v>84</v>
      </c>
      <c r="B88" s="20" t="s">
        <v>12</v>
      </c>
      <c r="C88" s="28"/>
      <c r="D88" s="83">
        <v>0</v>
      </c>
      <c r="E88" s="21"/>
      <c r="K88"/>
      <c r="L88"/>
      <c r="M88"/>
      <c r="N88"/>
    </row>
    <row r="89" spans="1:14" s="1" customFormat="1" ht="12.75">
      <c r="A89" s="81"/>
      <c r="B89" s="81"/>
      <c r="C89" s="81"/>
      <c r="D89" s="81"/>
      <c r="H89" s="1" t="s">
        <v>27</v>
      </c>
      <c r="K89"/>
      <c r="L89"/>
      <c r="M89"/>
      <c r="N89"/>
    </row>
    <row r="90" spans="1:14" s="1" customFormat="1" ht="12.75">
      <c r="A90" s="90" t="s">
        <v>162</v>
      </c>
      <c r="B90" s="81"/>
      <c r="C90" s="81"/>
      <c r="D90" s="81"/>
      <c r="K90"/>
      <c r="L90"/>
      <c r="M90"/>
      <c r="N90"/>
    </row>
    <row r="91" spans="1:14" s="1" customFormat="1" ht="12.75">
      <c r="A91" s="81" t="s">
        <v>85</v>
      </c>
      <c r="B91" s="81"/>
      <c r="C91" s="81"/>
      <c r="D91" s="81"/>
      <c r="H91" s="1" t="s">
        <v>27</v>
      </c>
      <c r="K91"/>
      <c r="L91"/>
      <c r="M91"/>
      <c r="N91"/>
    </row>
    <row r="92" spans="1:14" s="1" customFormat="1" ht="12.75">
      <c r="A92" s="81"/>
      <c r="B92" s="81"/>
      <c r="C92" s="81"/>
      <c r="D92" s="81"/>
      <c r="K92"/>
      <c r="L92"/>
      <c r="M92"/>
      <c r="N92"/>
    </row>
    <row r="93" spans="1:4" ht="12.75">
      <c r="A93" s="81"/>
      <c r="B93" s="81"/>
      <c r="C93" s="81"/>
      <c r="D93" s="81"/>
    </row>
    <row r="96" spans="1:14" s="1" customFormat="1" ht="12.75">
      <c r="A96"/>
      <c r="B96"/>
      <c r="C96"/>
      <c r="D96"/>
      <c r="E96" s="1" t="s">
        <v>27</v>
      </c>
      <c r="K96"/>
      <c r="L96"/>
      <c r="M96"/>
      <c r="N96"/>
    </row>
  </sheetData>
  <sheetProtection selectLockedCells="1" selectUnlockedCells="1"/>
  <mergeCells count="10">
    <mergeCell ref="A27:D27"/>
    <mergeCell ref="A63:D63"/>
    <mergeCell ref="A80:D80"/>
    <mergeCell ref="A85:D85"/>
    <mergeCell ref="A1:D1"/>
    <mergeCell ref="A2:D2"/>
    <mergeCell ref="A3:D3"/>
    <mergeCell ref="A4:D4"/>
    <mergeCell ref="A5:D5"/>
    <mergeCell ref="A13:D1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PageLayoutView="0" workbookViewId="0" topLeftCell="A36">
      <selection activeCell="B99" sqref="B99"/>
    </sheetView>
  </sheetViews>
  <sheetFormatPr defaultColWidth="11.57421875" defaultRowHeight="12.75"/>
  <cols>
    <col min="1" max="1" width="47.421875" style="0" customWidth="1"/>
    <col min="2" max="2" width="19.00390625" style="0" customWidth="1"/>
    <col min="3" max="3" width="21.57421875" style="0" customWidth="1"/>
    <col min="4" max="4" width="13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534" t="s">
        <v>0</v>
      </c>
      <c r="B1" s="534"/>
      <c r="C1" s="534"/>
      <c r="D1" s="534"/>
    </row>
    <row r="2" spans="1:4" ht="12.75">
      <c r="A2" s="533" t="s">
        <v>176</v>
      </c>
      <c r="B2" s="534"/>
      <c r="C2" s="534"/>
      <c r="D2" s="534"/>
    </row>
    <row r="3" spans="1:4" ht="12.75">
      <c r="A3" s="534" t="s">
        <v>1</v>
      </c>
      <c r="B3" s="534"/>
      <c r="C3" s="534"/>
      <c r="D3" s="534"/>
    </row>
    <row r="4" spans="1:4" ht="12.75">
      <c r="A4" s="534" t="s">
        <v>2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spans="1:4" ht="6" customHeight="1">
      <c r="A6" s="201"/>
      <c r="B6" s="81"/>
      <c r="C6" s="81"/>
      <c r="D6" s="81"/>
    </row>
    <row r="7" spans="1:4" ht="23.25" customHeight="1">
      <c r="A7" s="543" t="s">
        <v>3</v>
      </c>
      <c r="B7" s="543"/>
      <c r="C7" s="543"/>
      <c r="D7" s="543"/>
    </row>
    <row r="8" spans="1:4" ht="17.25" customHeight="1">
      <c r="A8" s="90" t="s">
        <v>352</v>
      </c>
      <c r="B8" s="81"/>
      <c r="C8" s="91"/>
      <c r="D8" s="81"/>
    </row>
    <row r="9" spans="1:4" ht="12.75">
      <c r="A9" s="92" t="s">
        <v>4</v>
      </c>
      <c r="B9" s="92" t="s">
        <v>5</v>
      </c>
      <c r="C9" s="92" t="s">
        <v>6</v>
      </c>
      <c r="D9" s="93"/>
    </row>
    <row r="10" spans="1:4" ht="12.75">
      <c r="A10" s="94">
        <v>1</v>
      </c>
      <c r="B10" s="94">
        <v>2</v>
      </c>
      <c r="C10" s="94">
        <v>3</v>
      </c>
      <c r="D10" s="95">
        <v>4</v>
      </c>
    </row>
    <row r="11" spans="1:8" ht="12.75">
      <c r="A11" s="65" t="s">
        <v>7</v>
      </c>
      <c r="B11" s="96"/>
      <c r="C11" s="97" t="s">
        <v>190</v>
      </c>
      <c r="D11" s="80"/>
      <c r="E11" s="35"/>
      <c r="F11" s="35"/>
      <c r="G11" s="35"/>
      <c r="H11" s="35"/>
    </row>
    <row r="12" spans="1:8" ht="12.75">
      <c r="A12" s="65" t="s">
        <v>8</v>
      </c>
      <c r="B12" s="96"/>
      <c r="C12" s="97" t="s">
        <v>205</v>
      </c>
      <c r="D12" s="80"/>
      <c r="E12" s="35"/>
      <c r="F12" s="35"/>
      <c r="G12" s="35"/>
      <c r="H12" s="35"/>
    </row>
    <row r="13" spans="1:8" ht="12.75">
      <c r="A13" s="65" t="s">
        <v>9</v>
      </c>
      <c r="B13" s="96"/>
      <c r="C13" s="97" t="s">
        <v>191</v>
      </c>
      <c r="D13" s="80"/>
      <c r="E13" s="51"/>
      <c r="F13" s="35"/>
      <c r="G13" s="35"/>
      <c r="H13" s="35"/>
    </row>
    <row r="14" spans="1:8" ht="31.5" customHeight="1">
      <c r="A14" s="537" t="s">
        <v>10</v>
      </c>
      <c r="B14" s="537"/>
      <c r="C14" s="537"/>
      <c r="D14" s="537"/>
      <c r="E14" s="274"/>
      <c r="F14" s="35"/>
      <c r="G14" s="35"/>
      <c r="H14" s="35"/>
    </row>
    <row r="15" spans="1:9" ht="38.25">
      <c r="A15" s="64" t="s">
        <v>11</v>
      </c>
      <c r="B15" s="98" t="s">
        <v>12</v>
      </c>
      <c r="C15" s="99">
        <v>59410.22</v>
      </c>
      <c r="D15" s="80"/>
      <c r="E15" s="441"/>
      <c r="F15" s="35"/>
      <c r="G15" s="35"/>
      <c r="H15" s="35"/>
      <c r="I15" s="35"/>
    </row>
    <row r="16" spans="1:9" ht="12.75">
      <c r="A16" s="65" t="s">
        <v>13</v>
      </c>
      <c r="B16" s="98" t="s">
        <v>12</v>
      </c>
      <c r="C16" s="99">
        <v>0</v>
      </c>
      <c r="D16" s="80"/>
      <c r="E16" s="441"/>
      <c r="F16" s="35"/>
      <c r="G16" s="35"/>
      <c r="H16" s="35"/>
      <c r="I16" s="35"/>
    </row>
    <row r="17" spans="1:9" ht="12.75">
      <c r="A17" s="65" t="s">
        <v>14</v>
      </c>
      <c r="B17" s="98" t="s">
        <v>12</v>
      </c>
      <c r="C17" s="72">
        <v>408047.54</v>
      </c>
      <c r="D17" s="76"/>
      <c r="E17" s="441"/>
      <c r="F17" s="35"/>
      <c r="G17" s="35"/>
      <c r="H17" s="35"/>
      <c r="I17" s="35"/>
    </row>
    <row r="18" spans="1:9" ht="31.5" customHeight="1">
      <c r="A18" s="64" t="s">
        <v>15</v>
      </c>
      <c r="B18" s="98" t="s">
        <v>12</v>
      </c>
      <c r="C18" s="72">
        <f>858040.16+7736.28+4559.1+60511.98</f>
        <v>930847.52</v>
      </c>
      <c r="D18" s="76"/>
      <c r="E18" s="442">
        <f>C18-C20</f>
        <v>749725.0040000001</v>
      </c>
      <c r="F18" s="35"/>
      <c r="G18" s="35"/>
      <c r="H18" s="35"/>
      <c r="I18" s="35"/>
    </row>
    <row r="19" spans="1:9" ht="12.75">
      <c r="A19" s="65" t="s">
        <v>16</v>
      </c>
      <c r="B19" s="98" t="s">
        <v>12</v>
      </c>
      <c r="C19" s="72">
        <f>C18-C20-C21</f>
        <v>633950.2760000001</v>
      </c>
      <c r="D19" s="76"/>
      <c r="E19" s="443">
        <f>E18-E60</f>
        <v>60530.35599999991</v>
      </c>
      <c r="F19" s="35"/>
      <c r="G19" s="35"/>
      <c r="H19" s="444" t="s">
        <v>365</v>
      </c>
      <c r="I19" s="35"/>
    </row>
    <row r="20" spans="1:9" ht="12.75">
      <c r="A20" s="65" t="s">
        <v>17</v>
      </c>
      <c r="B20" s="98" t="s">
        <v>12</v>
      </c>
      <c r="C20" s="72">
        <f>(6.42+6.69)*6*2302.6</f>
        <v>181122.51599999997</v>
      </c>
      <c r="D20" s="76"/>
      <c r="E20" s="445"/>
      <c r="F20" s="35"/>
      <c r="G20" s="35"/>
      <c r="H20" s="35"/>
      <c r="I20" s="35"/>
    </row>
    <row r="21" spans="1:9" ht="12.75">
      <c r="A21" s="65" t="s">
        <v>18</v>
      </c>
      <c r="B21" s="98" t="s">
        <v>12</v>
      </c>
      <c r="C21" s="275">
        <f>4.19*12*2302.6</f>
        <v>115774.728</v>
      </c>
      <c r="D21" s="76"/>
      <c r="E21" s="441"/>
      <c r="F21" s="35"/>
      <c r="G21" s="35"/>
      <c r="H21" s="35"/>
      <c r="I21" s="35"/>
    </row>
    <row r="22" spans="1:9" ht="12.75">
      <c r="A22" s="65" t="s">
        <v>19</v>
      </c>
      <c r="B22" s="98" t="s">
        <v>12</v>
      </c>
      <c r="C22" s="72">
        <f>C23+C24+C25+C26</f>
        <v>899539.359744</v>
      </c>
      <c r="D22" s="76" t="s">
        <v>20</v>
      </c>
      <c r="E22" s="42" t="e">
        <f>B24+B25+B26+#REF!+B27</f>
        <v>#VALUE!</v>
      </c>
      <c r="F22" s="35"/>
      <c r="G22" s="35"/>
      <c r="H22" s="35"/>
      <c r="I22" s="35"/>
    </row>
    <row r="23" spans="1:9" ht="12.75">
      <c r="A23" s="65" t="s">
        <v>21</v>
      </c>
      <c r="B23" s="98" t="s">
        <v>12</v>
      </c>
      <c r="C23" s="72">
        <f>C18*0.9497</f>
        <v>884025.889744</v>
      </c>
      <c r="D23" s="76"/>
      <c r="E23" s="35"/>
      <c r="F23" s="35"/>
      <c r="G23" s="35"/>
      <c r="H23" s="35"/>
      <c r="I23" s="35"/>
    </row>
    <row r="24" spans="1:10" ht="12.75">
      <c r="A24" s="65" t="s">
        <v>22</v>
      </c>
      <c r="B24" s="98" t="s">
        <v>12</v>
      </c>
      <c r="C24" s="72">
        <v>0</v>
      </c>
      <c r="D24" s="101">
        <v>65.21</v>
      </c>
      <c r="E24" s="43" t="e">
        <f>B24/#REF!*1</f>
        <v>#VALUE!</v>
      </c>
      <c r="F24" s="35"/>
      <c r="G24" s="35"/>
      <c r="H24" s="35" t="s">
        <v>23</v>
      </c>
      <c r="I24" s="35"/>
      <c r="J24" s="273"/>
    </row>
    <row r="25" spans="1:9" ht="12.75">
      <c r="A25" s="65" t="s">
        <v>24</v>
      </c>
      <c r="B25" s="98" t="s">
        <v>12</v>
      </c>
      <c r="C25" s="72">
        <v>0</v>
      </c>
      <c r="D25" s="101">
        <v>119.63</v>
      </c>
      <c r="E25" s="43" t="e">
        <f>B25/#REF!*1</f>
        <v>#VALUE!</v>
      </c>
      <c r="F25" s="35"/>
      <c r="G25" s="35"/>
      <c r="H25" s="35"/>
      <c r="I25" s="35"/>
    </row>
    <row r="26" spans="1:9" ht="12.75">
      <c r="A26" s="96" t="s">
        <v>25</v>
      </c>
      <c r="B26" s="98" t="s">
        <v>12</v>
      </c>
      <c r="C26" s="72">
        <f>4171.95+1390.56+9950.96</f>
        <v>15513.47</v>
      </c>
      <c r="D26" s="101"/>
      <c r="E26" s="43" t="e">
        <f>B26/#REF!*1</f>
        <v>#VALUE!</v>
      </c>
      <c r="F26" s="35"/>
      <c r="G26" s="35"/>
      <c r="H26" s="35"/>
      <c r="I26" s="35"/>
    </row>
    <row r="27" spans="1:9" ht="12.75">
      <c r="A27" s="65" t="s">
        <v>26</v>
      </c>
      <c r="B27" s="98" t="s">
        <v>12</v>
      </c>
      <c r="C27" s="72">
        <f>C15+C22</f>
        <v>958949.579744</v>
      </c>
      <c r="D27" s="76" t="s">
        <v>27</v>
      </c>
      <c r="E27" s="43" t="e">
        <f>B27/#REF!*1</f>
        <v>#VALUE!</v>
      </c>
      <c r="F27" s="35"/>
      <c r="G27" s="35"/>
      <c r="H27" s="35"/>
      <c r="I27" s="35"/>
    </row>
    <row r="28" spans="1:9" ht="25.5" customHeight="1">
      <c r="A28" s="538" t="s">
        <v>28</v>
      </c>
      <c r="B28" s="538"/>
      <c r="C28" s="538"/>
      <c r="D28" s="538"/>
      <c r="E28" s="35"/>
      <c r="F28" s="35"/>
      <c r="G28" s="35"/>
      <c r="H28" s="35"/>
      <c r="I28" s="35"/>
    </row>
    <row r="29" spans="1:9" ht="51">
      <c r="A29" s="103" t="s">
        <v>29</v>
      </c>
      <c r="B29" s="104" t="s">
        <v>30</v>
      </c>
      <c r="C29" s="276" t="s">
        <v>31</v>
      </c>
      <c r="D29" s="106" t="s">
        <v>32</v>
      </c>
      <c r="E29" s="35"/>
      <c r="F29" s="35"/>
      <c r="G29" s="35"/>
      <c r="H29" s="35"/>
      <c r="I29" s="35"/>
    </row>
    <row r="30" spans="1:9" ht="12.75">
      <c r="A30" s="277" t="s">
        <v>33</v>
      </c>
      <c r="B30" s="278" t="s">
        <v>34</v>
      </c>
      <c r="C30" s="386" t="s">
        <v>364</v>
      </c>
      <c r="D30" s="279">
        <f>(0.42+0.7)*6*2302.6</f>
        <v>15473.471999999996</v>
      </c>
      <c r="E30" s="35"/>
      <c r="F30" s="35"/>
      <c r="G30" s="35"/>
      <c r="H30" s="35"/>
      <c r="I30" s="35"/>
    </row>
    <row r="31" spans="1:9" ht="12.75">
      <c r="A31" s="111" t="s">
        <v>35</v>
      </c>
      <c r="B31" s="112" t="s">
        <v>36</v>
      </c>
      <c r="C31" s="115" t="s">
        <v>44</v>
      </c>
      <c r="D31" s="114">
        <f>2.4*12*2302.6</f>
        <v>66314.87999999999</v>
      </c>
      <c r="E31" s="35"/>
      <c r="F31" s="35"/>
      <c r="G31" s="35"/>
      <c r="H31" s="35"/>
      <c r="I31" s="35"/>
    </row>
    <row r="32" spans="1:9" ht="12.75">
      <c r="A32" s="111" t="s">
        <v>362</v>
      </c>
      <c r="B32" s="112" t="s">
        <v>43</v>
      </c>
      <c r="C32" s="115" t="s">
        <v>363</v>
      </c>
      <c r="D32" s="114">
        <f>0.15*2302.6*12</f>
        <v>4144.68</v>
      </c>
      <c r="E32" s="35"/>
      <c r="F32" s="35"/>
      <c r="G32" s="35"/>
      <c r="H32" s="35"/>
      <c r="I32" s="35"/>
    </row>
    <row r="33" spans="1:9" ht="12.75">
      <c r="A33" s="111" t="s">
        <v>40</v>
      </c>
      <c r="B33" s="112" t="s">
        <v>34</v>
      </c>
      <c r="C33" s="115" t="s">
        <v>41</v>
      </c>
      <c r="D33" s="114">
        <f>(0.13+0.15)*6*2302.6</f>
        <v>3868.3680000000004</v>
      </c>
      <c r="E33" s="35"/>
      <c r="F33" s="35"/>
      <c r="G33" s="35"/>
      <c r="H33" s="35"/>
      <c r="I33" s="35"/>
    </row>
    <row r="34" spans="1:9" ht="12.75">
      <c r="A34" s="111" t="s">
        <v>42</v>
      </c>
      <c r="B34" s="304" t="s">
        <v>34</v>
      </c>
      <c r="C34" s="115" t="s">
        <v>44</v>
      </c>
      <c r="D34" s="114">
        <f>(2.7+2.37)*6*2302.6</f>
        <v>70045.092</v>
      </c>
      <c r="E34" s="35"/>
      <c r="F34" s="35"/>
      <c r="G34" s="35"/>
      <c r="H34" s="35"/>
      <c r="I34" s="35"/>
    </row>
    <row r="35" spans="1:9" ht="12.75">
      <c r="A35" s="111" t="s">
        <v>45</v>
      </c>
      <c r="B35" s="112" t="s">
        <v>34</v>
      </c>
      <c r="C35" s="115" t="s">
        <v>44</v>
      </c>
      <c r="D35" s="114">
        <f>(2.39+1.8)*6*2302.6</f>
        <v>57887.364</v>
      </c>
      <c r="E35" s="35"/>
      <c r="F35" s="35"/>
      <c r="G35" s="35"/>
      <c r="H35" s="35"/>
      <c r="I35" s="35"/>
    </row>
    <row r="36" spans="1:9" ht="12.75">
      <c r="A36" s="111" t="s">
        <v>46</v>
      </c>
      <c r="B36" s="172" t="s">
        <v>47</v>
      </c>
      <c r="C36" s="115" t="s">
        <v>44</v>
      </c>
      <c r="D36" s="114">
        <f>(1.33+1.46)*6*2302.6</f>
        <v>38545.524000000005</v>
      </c>
      <c r="E36" s="35"/>
      <c r="F36" s="35"/>
      <c r="G36" s="35"/>
      <c r="H36" s="35"/>
      <c r="I36" s="35"/>
    </row>
    <row r="37" spans="1:9" ht="12.75">
      <c r="A37" s="111" t="s">
        <v>48</v>
      </c>
      <c r="B37" s="112" t="s">
        <v>38</v>
      </c>
      <c r="C37" s="225" t="s">
        <v>168</v>
      </c>
      <c r="D37" s="114">
        <f>4.19*12*2302.6</f>
        <v>115774.728</v>
      </c>
      <c r="E37" s="35"/>
      <c r="F37" s="35"/>
      <c r="G37" s="35"/>
      <c r="H37" s="35"/>
      <c r="I37" s="35"/>
    </row>
    <row r="38" spans="1:9" ht="12.75">
      <c r="A38" s="111" t="s">
        <v>49</v>
      </c>
      <c r="B38" s="112" t="s">
        <v>36</v>
      </c>
      <c r="C38" s="115" t="s">
        <v>44</v>
      </c>
      <c r="D38" s="114">
        <f>(3.8+3.58)*6*2302.6</f>
        <v>101959.128</v>
      </c>
      <c r="E38" s="35"/>
      <c r="F38" s="35"/>
      <c r="G38" s="35"/>
      <c r="H38" s="35"/>
      <c r="I38" s="35"/>
    </row>
    <row r="39" spans="1:9" ht="12.75">
      <c r="A39" s="280" t="s">
        <v>50</v>
      </c>
      <c r="B39" s="112" t="s">
        <v>38</v>
      </c>
      <c r="C39" s="115" t="s">
        <v>51</v>
      </c>
      <c r="D39" s="114">
        <v>144445.54</v>
      </c>
      <c r="E39" s="35"/>
      <c r="F39" s="35"/>
      <c r="G39" s="35"/>
      <c r="H39" s="35"/>
      <c r="I39" s="35"/>
    </row>
    <row r="40" spans="1:9" ht="25.5">
      <c r="A40" s="266" t="s">
        <v>173</v>
      </c>
      <c r="B40" s="112" t="s">
        <v>36</v>
      </c>
      <c r="C40" s="113" t="s">
        <v>187</v>
      </c>
      <c r="D40" s="114">
        <f>2.56*12*2302.6</f>
        <v>70735.87199999999</v>
      </c>
      <c r="E40" s="35"/>
      <c r="F40" s="35"/>
      <c r="G40" s="35"/>
      <c r="H40" s="35"/>
      <c r="I40" s="35"/>
    </row>
    <row r="41" spans="1:9" ht="25.5">
      <c r="A41" s="266" t="s">
        <v>146</v>
      </c>
      <c r="B41" s="112"/>
      <c r="C41" s="115"/>
      <c r="D41" s="281"/>
      <c r="E41" s="35"/>
      <c r="F41" s="35"/>
      <c r="G41" s="35"/>
      <c r="H41" s="35"/>
      <c r="I41" s="35"/>
    </row>
    <row r="42" spans="1:9" ht="12.75">
      <c r="A42" s="171" t="s">
        <v>144</v>
      </c>
      <c r="B42" s="112" t="s">
        <v>38</v>
      </c>
      <c r="C42" s="115" t="s">
        <v>147</v>
      </c>
      <c r="D42" s="281">
        <f>8414.62+4973.23</f>
        <v>13387.85</v>
      </c>
      <c r="E42" s="35"/>
      <c r="F42" s="35"/>
      <c r="G42" s="35"/>
      <c r="H42" s="35"/>
      <c r="I42" s="35"/>
    </row>
    <row r="43" spans="1:9" ht="12.75">
      <c r="A43" s="171" t="s">
        <v>155</v>
      </c>
      <c r="B43" s="112" t="s">
        <v>38</v>
      </c>
      <c r="C43" s="115" t="s">
        <v>148</v>
      </c>
      <c r="D43" s="281">
        <v>99914.45</v>
      </c>
      <c r="E43" s="35"/>
      <c r="F43" s="35"/>
      <c r="G43" s="35"/>
      <c r="H43" s="35"/>
      <c r="I43" s="35"/>
    </row>
    <row r="44" spans="1:9" ht="39" customHeight="1">
      <c r="A44" s="282" t="s">
        <v>132</v>
      </c>
      <c r="B44" s="207" t="s">
        <v>53</v>
      </c>
      <c r="C44" s="130"/>
      <c r="D44" s="370">
        <f>D45+D46+D47+D48+D49+D50+D51+D53+D54+D55+D56+D57+D58+D59+D52</f>
        <v>259672.95</v>
      </c>
      <c r="E44" s="35"/>
      <c r="F44" s="35"/>
      <c r="G44" s="35"/>
      <c r="H44" s="35"/>
      <c r="I44" s="35"/>
    </row>
    <row r="45" spans="1:9" ht="16.5" customHeight="1">
      <c r="A45" s="283" t="s">
        <v>164</v>
      </c>
      <c r="B45" s="284" t="s">
        <v>119</v>
      </c>
      <c r="C45" s="204" t="s">
        <v>228</v>
      </c>
      <c r="D45" s="285">
        <v>969</v>
      </c>
      <c r="E45" s="35"/>
      <c r="F45" s="35"/>
      <c r="G45" s="35"/>
      <c r="H45" s="35"/>
      <c r="I45" s="35"/>
    </row>
    <row r="46" spans="1:9" ht="18.75" customHeight="1">
      <c r="A46" s="286" t="s">
        <v>229</v>
      </c>
      <c r="B46" s="287" t="s">
        <v>119</v>
      </c>
      <c r="C46" s="204" t="s">
        <v>44</v>
      </c>
      <c r="D46" s="285">
        <v>890</v>
      </c>
      <c r="E46" s="35"/>
      <c r="F46" s="35"/>
      <c r="G46" s="35"/>
      <c r="H46" s="35"/>
      <c r="I46" s="35"/>
    </row>
    <row r="47" spans="1:9" ht="24" customHeight="1">
      <c r="A47" s="286" t="s">
        <v>230</v>
      </c>
      <c r="B47" s="284" t="s">
        <v>231</v>
      </c>
      <c r="C47" s="204" t="s">
        <v>44</v>
      </c>
      <c r="D47" s="285">
        <f>2125+1011+1136+1144+1462+3340</f>
        <v>10218</v>
      </c>
      <c r="E47" s="35"/>
      <c r="F47" s="35"/>
      <c r="G47" s="35"/>
      <c r="H47" s="35"/>
      <c r="I47" s="35"/>
    </row>
    <row r="48" spans="1:9" ht="30.75" customHeight="1">
      <c r="A48" s="283" t="s">
        <v>232</v>
      </c>
      <c r="B48" s="284" t="s">
        <v>234</v>
      </c>
      <c r="C48" s="204" t="s">
        <v>44</v>
      </c>
      <c r="D48" s="285">
        <f>6501+2295+1989</f>
        <v>10785</v>
      </c>
      <c r="E48" s="35"/>
      <c r="F48" s="35"/>
      <c r="G48" s="35"/>
      <c r="H48" s="35"/>
      <c r="I48" s="35"/>
    </row>
    <row r="49" spans="1:9" ht="24" customHeight="1">
      <c r="A49" s="283" t="s">
        <v>233</v>
      </c>
      <c r="B49" s="287" t="s">
        <v>210</v>
      </c>
      <c r="C49" s="204" t="s">
        <v>44</v>
      </c>
      <c r="D49" s="285">
        <v>1696</v>
      </c>
      <c r="E49" s="35"/>
      <c r="F49" s="35"/>
      <c r="G49" s="35"/>
      <c r="H49" s="35"/>
      <c r="I49" s="35"/>
    </row>
    <row r="50" spans="1:9" ht="36.75" customHeight="1">
      <c r="A50" s="286" t="s">
        <v>235</v>
      </c>
      <c r="B50" s="284" t="s">
        <v>236</v>
      </c>
      <c r="C50" s="366" t="s">
        <v>37</v>
      </c>
      <c r="D50" s="285">
        <f>2421.19+9439.16+1088+2410</f>
        <v>15358.35</v>
      </c>
      <c r="E50" s="35"/>
      <c r="F50" s="35"/>
      <c r="G50" s="35"/>
      <c r="H50" s="35"/>
      <c r="I50" s="35"/>
    </row>
    <row r="51" spans="1:9" ht="18.75" customHeight="1">
      <c r="A51" s="286" t="s">
        <v>237</v>
      </c>
      <c r="B51" s="287" t="s">
        <v>124</v>
      </c>
      <c r="C51" s="113" t="s">
        <v>238</v>
      </c>
      <c r="D51" s="285">
        <v>11500</v>
      </c>
      <c r="E51" s="35"/>
      <c r="F51" s="35"/>
      <c r="G51" s="35"/>
      <c r="H51" s="35"/>
      <c r="I51" s="35"/>
    </row>
    <row r="52" spans="1:9" ht="32.25" customHeight="1">
      <c r="A52" s="286" t="s">
        <v>361</v>
      </c>
      <c r="B52" s="287" t="s">
        <v>239</v>
      </c>
      <c r="C52" s="113" t="s">
        <v>37</v>
      </c>
      <c r="D52" s="285">
        <v>90</v>
      </c>
      <c r="E52" s="35"/>
      <c r="F52" s="35"/>
      <c r="G52" s="35"/>
      <c r="H52" s="35"/>
      <c r="I52" s="35"/>
    </row>
    <row r="53" spans="1:9" ht="35.25" customHeight="1">
      <c r="A53" s="283" t="s">
        <v>166</v>
      </c>
      <c r="B53" s="287" t="s">
        <v>239</v>
      </c>
      <c r="C53" s="113" t="s">
        <v>240</v>
      </c>
      <c r="D53" s="285">
        <f>600+300+1000</f>
        <v>1900</v>
      </c>
      <c r="E53" s="35"/>
      <c r="F53" s="35"/>
      <c r="G53" s="35"/>
      <c r="H53" s="35"/>
      <c r="I53" s="35"/>
    </row>
    <row r="54" spans="1:9" ht="27" customHeight="1">
      <c r="A54" s="286" t="s">
        <v>241</v>
      </c>
      <c r="B54" s="287" t="s">
        <v>127</v>
      </c>
      <c r="C54" s="366" t="s">
        <v>196</v>
      </c>
      <c r="D54" s="285">
        <v>681</v>
      </c>
      <c r="E54" s="35"/>
      <c r="F54" s="35"/>
      <c r="G54" s="35"/>
      <c r="H54" s="35"/>
      <c r="I54" s="35"/>
    </row>
    <row r="55" spans="1:9" ht="21" customHeight="1">
      <c r="A55" s="283" t="s">
        <v>243</v>
      </c>
      <c r="B55" s="284" t="s">
        <v>129</v>
      </c>
      <c r="C55" s="204" t="s">
        <v>44</v>
      </c>
      <c r="D55" s="285">
        <v>198.6</v>
      </c>
      <c r="E55" s="35"/>
      <c r="F55" s="35"/>
      <c r="G55" s="35"/>
      <c r="H55" s="35"/>
      <c r="I55" s="35"/>
    </row>
    <row r="56" spans="1:9" ht="24" customHeight="1">
      <c r="A56" s="286" t="s">
        <v>244</v>
      </c>
      <c r="B56" s="287" t="s">
        <v>125</v>
      </c>
      <c r="C56" s="204" t="s">
        <v>44</v>
      </c>
      <c r="D56" s="285">
        <v>1232</v>
      </c>
      <c r="E56" s="35"/>
      <c r="F56" s="35"/>
      <c r="G56" s="35"/>
      <c r="H56" s="35"/>
      <c r="I56" s="35"/>
    </row>
    <row r="57" spans="1:9" ht="18" customHeight="1">
      <c r="A57" s="283" t="s">
        <v>245</v>
      </c>
      <c r="B57" s="287" t="s">
        <v>246</v>
      </c>
      <c r="C57" s="204" t="s">
        <v>44</v>
      </c>
      <c r="D57" s="285">
        <f>680+740</f>
        <v>1420</v>
      </c>
      <c r="E57" s="35"/>
      <c r="F57" s="35"/>
      <c r="G57" s="35"/>
      <c r="H57" s="35"/>
      <c r="I57" s="35"/>
    </row>
    <row r="58" spans="1:9" ht="35.25" customHeight="1">
      <c r="A58" s="283" t="s">
        <v>247</v>
      </c>
      <c r="B58" s="287" t="s">
        <v>123</v>
      </c>
      <c r="C58" s="204" t="s">
        <v>44</v>
      </c>
      <c r="D58" s="285">
        <v>26462</v>
      </c>
      <c r="E58" s="35"/>
      <c r="F58" s="35"/>
      <c r="G58" s="35"/>
      <c r="H58" s="35"/>
      <c r="I58" s="35"/>
    </row>
    <row r="59" spans="1:9" ht="21" customHeight="1">
      <c r="A59" s="283" t="s">
        <v>219</v>
      </c>
      <c r="B59" s="287" t="s">
        <v>123</v>
      </c>
      <c r="C59" s="363" t="s">
        <v>204</v>
      </c>
      <c r="D59" s="285">
        <v>176273</v>
      </c>
      <c r="E59" s="35"/>
      <c r="F59" s="35"/>
      <c r="G59" s="35"/>
      <c r="H59" s="35"/>
      <c r="I59" s="35"/>
    </row>
    <row r="60" spans="1:9" ht="12.75">
      <c r="A60" s="66" t="s">
        <v>54</v>
      </c>
      <c r="B60" s="288"/>
      <c r="C60" s="364"/>
      <c r="D60" s="67">
        <f>D30+D31+D32+D33+D34+D35+D36+D37+D38+D39+D40+D42+D43+D44</f>
        <v>1062169.898</v>
      </c>
      <c r="E60" s="446">
        <f>D60-D44-D42-D43</f>
        <v>689194.6480000002</v>
      </c>
      <c r="F60" s="35"/>
      <c r="G60" s="35"/>
      <c r="H60" s="35"/>
      <c r="I60" s="35"/>
    </row>
    <row r="61" spans="1:9" ht="25.5">
      <c r="A61" s="68" t="s">
        <v>55</v>
      </c>
      <c r="B61" s="108" t="s">
        <v>12</v>
      </c>
      <c r="C61" s="365"/>
      <c r="D61" s="129">
        <f>C27-D60</f>
        <v>-103220.31825600006</v>
      </c>
      <c r="E61" s="36"/>
      <c r="F61" s="35"/>
      <c r="G61" s="35"/>
      <c r="H61" s="35"/>
      <c r="I61" s="35"/>
    </row>
    <row r="62" spans="1:9" ht="12.75">
      <c r="A62" s="115" t="s">
        <v>13</v>
      </c>
      <c r="B62" s="112" t="s">
        <v>12</v>
      </c>
      <c r="C62" s="115"/>
      <c r="D62" s="80">
        <v>0</v>
      </c>
      <c r="E62" s="35"/>
      <c r="F62" s="35"/>
      <c r="G62" s="35"/>
      <c r="H62" s="35"/>
      <c r="I62" s="35"/>
    </row>
    <row r="63" spans="1:9" ht="12.75">
      <c r="A63" s="115" t="s">
        <v>14</v>
      </c>
      <c r="B63" s="112" t="s">
        <v>12</v>
      </c>
      <c r="C63" s="115"/>
      <c r="D63" s="76">
        <v>504746.3</v>
      </c>
      <c r="E63" s="35"/>
      <c r="F63" s="35"/>
      <c r="G63" s="35"/>
      <c r="H63" s="35"/>
      <c r="I63" s="35"/>
    </row>
    <row r="64" spans="1:9" ht="18.75" customHeight="1">
      <c r="A64" s="539" t="s">
        <v>56</v>
      </c>
      <c r="B64" s="539"/>
      <c r="C64" s="539"/>
      <c r="D64" s="539"/>
      <c r="E64" s="35"/>
      <c r="F64" s="35"/>
      <c r="G64" s="35"/>
      <c r="H64" s="35"/>
      <c r="I64" s="35"/>
    </row>
    <row r="65" spans="1:9" ht="12.75">
      <c r="A65" s="115" t="s">
        <v>57</v>
      </c>
      <c r="B65" s="112" t="s">
        <v>58</v>
      </c>
      <c r="C65" s="115"/>
      <c r="D65" s="80">
        <v>0</v>
      </c>
      <c r="E65" s="35"/>
      <c r="F65" s="35"/>
      <c r="G65" s="35"/>
      <c r="H65" s="35"/>
      <c r="I65" s="35"/>
    </row>
    <row r="66" spans="1:9" ht="12.75">
      <c r="A66" s="115" t="s">
        <v>59</v>
      </c>
      <c r="B66" s="112" t="s">
        <v>58</v>
      </c>
      <c r="C66" s="115"/>
      <c r="D66" s="80">
        <v>0</v>
      </c>
      <c r="E66" s="35"/>
      <c r="F66" s="35"/>
      <c r="G66" s="35"/>
      <c r="H66" s="35"/>
      <c r="I66" s="35"/>
    </row>
    <row r="67" spans="1:9" ht="25.5">
      <c r="A67" s="130" t="s">
        <v>60</v>
      </c>
      <c r="B67" s="112" t="s">
        <v>58</v>
      </c>
      <c r="C67" s="115"/>
      <c r="D67" s="80">
        <v>0</v>
      </c>
      <c r="E67" s="35"/>
      <c r="F67" s="35"/>
      <c r="G67" s="35"/>
      <c r="H67" s="35"/>
      <c r="I67" s="35"/>
    </row>
    <row r="68" spans="1:9" ht="12.75">
      <c r="A68" s="115" t="s">
        <v>61</v>
      </c>
      <c r="B68" s="112" t="s">
        <v>12</v>
      </c>
      <c r="C68" s="115"/>
      <c r="D68" s="80">
        <v>0</v>
      </c>
      <c r="E68" s="35"/>
      <c r="F68" s="35"/>
      <c r="G68" s="35"/>
      <c r="H68" s="35"/>
      <c r="I68" s="35"/>
    </row>
    <row r="69" spans="1:9" ht="20.25" customHeight="1">
      <c r="A69" s="540" t="s">
        <v>62</v>
      </c>
      <c r="B69" s="540"/>
      <c r="C69" s="540"/>
      <c r="D69" s="540"/>
      <c r="E69" s="35"/>
      <c r="F69" s="35"/>
      <c r="G69" s="35"/>
      <c r="H69" s="35"/>
      <c r="I69" s="35"/>
    </row>
    <row r="70" spans="1:9" ht="25.5">
      <c r="A70" s="130" t="s">
        <v>63</v>
      </c>
      <c r="B70" s="112" t="s">
        <v>12</v>
      </c>
      <c r="C70" s="115"/>
      <c r="D70" s="80">
        <v>0</v>
      </c>
      <c r="E70" s="35"/>
      <c r="F70" s="35"/>
      <c r="G70" s="35"/>
      <c r="H70" s="35"/>
      <c r="I70" s="35"/>
    </row>
    <row r="71" spans="1:9" ht="12.75">
      <c r="A71" s="115" t="s">
        <v>13</v>
      </c>
      <c r="B71" s="112" t="s">
        <v>12</v>
      </c>
      <c r="C71" s="115"/>
      <c r="D71" s="80">
        <v>0</v>
      </c>
      <c r="E71" s="35"/>
      <c r="F71" s="35"/>
      <c r="G71" s="35"/>
      <c r="H71" s="35"/>
      <c r="I71" s="35"/>
    </row>
    <row r="72" spans="1:9" ht="12.75">
      <c r="A72" s="115" t="s">
        <v>14</v>
      </c>
      <c r="B72" s="112" t="s">
        <v>12</v>
      </c>
      <c r="C72" s="115"/>
      <c r="D72" s="131">
        <f>D75-D78-D79-D80-D81-D82</f>
        <v>1410393.983005</v>
      </c>
      <c r="E72" s="35"/>
      <c r="F72" s="35"/>
      <c r="G72" s="35"/>
      <c r="H72" s="37"/>
      <c r="I72" s="35"/>
    </row>
    <row r="73" spans="1:9" ht="25.5">
      <c r="A73" s="185" t="s">
        <v>64</v>
      </c>
      <c r="B73" s="112" t="s">
        <v>12</v>
      </c>
      <c r="C73" s="133"/>
      <c r="D73" s="134">
        <v>0</v>
      </c>
      <c r="E73" s="35"/>
      <c r="F73" s="35"/>
      <c r="G73" s="35"/>
      <c r="H73" s="35"/>
      <c r="I73" s="35"/>
    </row>
    <row r="74" spans="1:10" ht="17.25" customHeight="1">
      <c r="A74" s="135" t="s">
        <v>13</v>
      </c>
      <c r="B74" s="112" t="s">
        <v>12</v>
      </c>
      <c r="C74" s="115"/>
      <c r="D74" s="80">
        <v>0</v>
      </c>
      <c r="E74" s="35"/>
      <c r="F74" s="35"/>
      <c r="G74" s="35"/>
      <c r="H74" s="35"/>
      <c r="I74" s="37"/>
      <c r="J74" s="3"/>
    </row>
    <row r="75" spans="1:14" ht="12.75">
      <c r="A75" s="136" t="s">
        <v>14</v>
      </c>
      <c r="B75" s="112" t="s">
        <v>12</v>
      </c>
      <c r="C75" s="289"/>
      <c r="D75" s="208">
        <v>1554603.16</v>
      </c>
      <c r="E75" s="35"/>
      <c r="F75" s="35"/>
      <c r="G75" s="35"/>
      <c r="H75" s="35" t="s">
        <v>27</v>
      </c>
      <c r="I75" s="38"/>
      <c r="J75" s="4"/>
      <c r="K75" s="5"/>
      <c r="L75" s="5"/>
      <c r="M75" s="5"/>
      <c r="N75" s="5"/>
    </row>
    <row r="76" spans="1:14" ht="18" customHeight="1">
      <c r="A76" s="541" t="s">
        <v>65</v>
      </c>
      <c r="B76" s="541"/>
      <c r="C76" s="541"/>
      <c r="D76" s="541"/>
      <c r="E76" s="40"/>
      <c r="F76" s="44"/>
      <c r="G76" s="45"/>
      <c r="H76" s="35"/>
      <c r="I76" s="39"/>
      <c r="J76" s="9"/>
      <c r="K76" s="10"/>
      <c r="L76" s="10"/>
      <c r="M76" s="10"/>
      <c r="N76" s="10"/>
    </row>
    <row r="77" spans="1:14" ht="63.75">
      <c r="A77" s="11" t="s">
        <v>66</v>
      </c>
      <c r="B77" s="12" t="s">
        <v>67</v>
      </c>
      <c r="C77" s="54" t="s">
        <v>68</v>
      </c>
      <c r="D77" s="55" t="s">
        <v>69</v>
      </c>
      <c r="E77" s="40"/>
      <c r="F77" s="44"/>
      <c r="G77" s="45"/>
      <c r="H77" s="35"/>
      <c r="I77" s="39"/>
      <c r="J77" s="15"/>
      <c r="K77" s="10"/>
      <c r="L77" s="10"/>
      <c r="M77" s="10"/>
      <c r="N77" s="10"/>
    </row>
    <row r="78" spans="1:14" ht="12.75">
      <c r="A78" s="140" t="s">
        <v>70</v>
      </c>
      <c r="B78" s="290">
        <v>258284.63</v>
      </c>
      <c r="C78" s="138">
        <f>B78*0.9497</f>
        <v>245292.913111</v>
      </c>
      <c r="D78" s="142">
        <f>B78-C78</f>
        <v>12991.716889000003</v>
      </c>
      <c r="E78" s="46"/>
      <c r="F78" s="44"/>
      <c r="G78" s="45"/>
      <c r="H78" s="35"/>
      <c r="I78" s="39"/>
      <c r="J78" s="9"/>
      <c r="K78" s="10"/>
      <c r="L78" s="10"/>
      <c r="M78" s="10"/>
      <c r="N78" s="10"/>
    </row>
    <row r="79" spans="1:14" ht="12.75">
      <c r="A79" s="140" t="s">
        <v>71</v>
      </c>
      <c r="B79" s="290">
        <v>475123.83</v>
      </c>
      <c r="C79" s="138">
        <f>B79*0.9497</f>
        <v>451225.101351</v>
      </c>
      <c r="D79" s="142">
        <f>B79-C79</f>
        <v>23898.728648999997</v>
      </c>
      <c r="E79" s="40"/>
      <c r="F79" s="44"/>
      <c r="G79" s="45"/>
      <c r="H79" s="35"/>
      <c r="I79" s="39"/>
      <c r="J79" s="9"/>
      <c r="K79" s="10"/>
      <c r="L79" s="10"/>
      <c r="M79" s="10"/>
      <c r="N79" s="10"/>
    </row>
    <row r="80" spans="1:14" ht="12.75">
      <c r="A80" s="140" t="s">
        <v>72</v>
      </c>
      <c r="B80" s="291">
        <v>1081079.14</v>
      </c>
      <c r="C80" s="138">
        <f>B80*0.9497</f>
        <v>1026700.8592579999</v>
      </c>
      <c r="D80" s="142">
        <f>B80-C80</f>
        <v>54378.28074199997</v>
      </c>
      <c r="E80" s="40">
        <f>(2.07+1.8)*6*2301.2-0.37*2301.2*6</f>
        <v>48325.2</v>
      </c>
      <c r="F80" s="47"/>
      <c r="G80" s="48"/>
      <c r="H80" s="40"/>
      <c r="I80" s="39"/>
      <c r="J80" s="9"/>
      <c r="K80" s="10"/>
      <c r="L80" s="10"/>
      <c r="M80" s="10"/>
      <c r="N80" s="10"/>
    </row>
    <row r="81" spans="1:14" ht="12.75">
      <c r="A81" s="140" t="s">
        <v>73</v>
      </c>
      <c r="B81" s="291">
        <v>567199.94</v>
      </c>
      <c r="C81" s="138">
        <f>B81*0.9497</f>
        <v>538669.783018</v>
      </c>
      <c r="D81" s="142">
        <f>B81-C81</f>
        <v>28530.156981999986</v>
      </c>
      <c r="E81" s="40"/>
      <c r="F81" s="47"/>
      <c r="G81" s="48"/>
      <c r="H81" s="35"/>
      <c r="I81" s="39"/>
      <c r="J81" s="9"/>
      <c r="K81" s="10"/>
      <c r="L81" s="10"/>
      <c r="M81" s="10"/>
      <c r="N81" s="10"/>
    </row>
    <row r="82" spans="1:14" ht="13.5" thickBot="1">
      <c r="A82" s="209" t="s">
        <v>74</v>
      </c>
      <c r="B82" s="292">
        <v>485294.11</v>
      </c>
      <c r="C82" s="138">
        <f>B82*0.9497</f>
        <v>460883.816267</v>
      </c>
      <c r="D82" s="210">
        <f>B82-C82</f>
        <v>24410.293733</v>
      </c>
      <c r="E82" s="40"/>
      <c r="F82" s="47"/>
      <c r="G82" s="48"/>
      <c r="H82" s="35"/>
      <c r="I82" s="39"/>
      <c r="J82" s="9"/>
      <c r="K82" s="10"/>
      <c r="L82" s="10"/>
      <c r="M82" s="10"/>
      <c r="N82" s="10"/>
    </row>
    <row r="83" spans="1:14" ht="67.5" customHeight="1">
      <c r="A83" s="30" t="s">
        <v>75</v>
      </c>
      <c r="B83" s="31" t="s">
        <v>76</v>
      </c>
      <c r="C83" s="56" t="s">
        <v>77</v>
      </c>
      <c r="D83" s="57" t="s">
        <v>78</v>
      </c>
      <c r="E83" s="40"/>
      <c r="F83" s="47"/>
      <c r="G83" s="35"/>
      <c r="H83" s="39"/>
      <c r="I83" s="9"/>
      <c r="J83" s="9"/>
      <c r="K83" s="10"/>
      <c r="L83" s="10"/>
      <c r="M83" s="10"/>
      <c r="N83" s="10"/>
    </row>
    <row r="84" spans="1:14" ht="12.75">
      <c r="A84" s="211" t="s">
        <v>70</v>
      </c>
      <c r="B84" s="144">
        <f aca="true" t="shared" si="0" ref="B84:C87">B78</f>
        <v>258284.63</v>
      </c>
      <c r="C84" s="293">
        <f t="shared" si="0"/>
        <v>245292.913111</v>
      </c>
      <c r="D84" s="213">
        <f>B84-C84</f>
        <v>12991.716889000003</v>
      </c>
      <c r="E84" s="40"/>
      <c r="F84" s="47"/>
      <c r="G84" s="35"/>
      <c r="H84" s="39"/>
      <c r="I84" s="9"/>
      <c r="J84" s="9" t="s">
        <v>27</v>
      </c>
      <c r="K84" s="10"/>
      <c r="L84" s="10"/>
      <c r="M84" s="10"/>
      <c r="N84" s="10"/>
    </row>
    <row r="85" spans="1:14" ht="12.75">
      <c r="A85" s="211" t="s">
        <v>71</v>
      </c>
      <c r="B85" s="144">
        <f t="shared" si="0"/>
        <v>475123.83</v>
      </c>
      <c r="C85" s="293">
        <f t="shared" si="0"/>
        <v>451225.101351</v>
      </c>
      <c r="D85" s="213">
        <f>B85-C85</f>
        <v>23898.728648999997</v>
      </c>
      <c r="E85" s="40"/>
      <c r="F85" s="47"/>
      <c r="G85" s="35"/>
      <c r="H85" s="39"/>
      <c r="I85" s="9"/>
      <c r="J85" s="9"/>
      <c r="K85" s="10"/>
      <c r="L85" s="10"/>
      <c r="M85" s="10"/>
      <c r="N85" s="10"/>
    </row>
    <row r="86" spans="1:14" ht="12.75">
      <c r="A86" s="211" t="s">
        <v>72</v>
      </c>
      <c r="B86" s="144">
        <f t="shared" si="0"/>
        <v>1081079.14</v>
      </c>
      <c r="C86" s="293">
        <f t="shared" si="0"/>
        <v>1026700.8592579999</v>
      </c>
      <c r="D86" s="213">
        <f>B86-C86</f>
        <v>54378.28074199997</v>
      </c>
      <c r="E86" s="40"/>
      <c r="F86" s="47"/>
      <c r="G86" s="35"/>
      <c r="H86" s="39"/>
      <c r="I86" s="9"/>
      <c r="J86" s="9"/>
      <c r="K86" s="10"/>
      <c r="L86" s="10"/>
      <c r="M86" s="10"/>
      <c r="N86" s="10"/>
    </row>
    <row r="87" spans="1:14" ht="12.75">
      <c r="A87" s="211" t="s">
        <v>73</v>
      </c>
      <c r="B87" s="144">
        <f t="shared" si="0"/>
        <v>567199.94</v>
      </c>
      <c r="C87" s="293">
        <f t="shared" si="0"/>
        <v>538669.783018</v>
      </c>
      <c r="D87" s="213">
        <f>B87-C87</f>
        <v>28530.156981999986</v>
      </c>
      <c r="E87" s="40"/>
      <c r="F87" s="47"/>
      <c r="G87" s="35"/>
      <c r="H87" s="39"/>
      <c r="I87" s="9"/>
      <c r="J87" s="9"/>
      <c r="K87" s="10"/>
      <c r="L87" s="10"/>
      <c r="M87" s="10"/>
      <c r="N87" s="10"/>
    </row>
    <row r="88" spans="1:14" ht="13.5" thickBot="1">
      <c r="A88" s="214" t="s">
        <v>74</v>
      </c>
      <c r="B88" s="215">
        <v>485238.39</v>
      </c>
      <c r="C88" s="216">
        <v>490694.56</v>
      </c>
      <c r="D88" s="217">
        <f>B88-C88</f>
        <v>-5456.169999999984</v>
      </c>
      <c r="E88" s="40"/>
      <c r="F88" s="47"/>
      <c r="G88" s="35"/>
      <c r="H88" s="39" t="s">
        <v>27</v>
      </c>
      <c r="I88" s="9"/>
      <c r="J88" s="9"/>
      <c r="K88" s="10"/>
      <c r="L88" s="10"/>
      <c r="M88" s="10"/>
      <c r="N88" s="10"/>
    </row>
    <row r="89" spans="1:14" ht="12.75">
      <c r="A89" s="218"/>
      <c r="B89" s="144"/>
      <c r="C89" s="219"/>
      <c r="D89" s="220"/>
      <c r="E89" s="6"/>
      <c r="F89" s="16"/>
      <c r="H89" s="9"/>
      <c r="I89" s="9"/>
      <c r="J89" s="9"/>
      <c r="K89" s="10"/>
      <c r="L89" s="10"/>
      <c r="M89" s="10"/>
      <c r="N89" s="10"/>
    </row>
    <row r="90" spans="1:14" ht="25.5">
      <c r="A90" s="221" t="s">
        <v>79</v>
      </c>
      <c r="B90" s="144" t="s">
        <v>12</v>
      </c>
      <c r="C90" s="222"/>
      <c r="D90" s="223">
        <v>343926.74</v>
      </c>
      <c r="E90" s="6"/>
      <c r="F90" s="16"/>
      <c r="H90" s="9"/>
      <c r="I90" s="9"/>
      <c r="J90" s="9" t="s">
        <v>27</v>
      </c>
      <c r="K90" s="10"/>
      <c r="L90" s="10"/>
      <c r="M90" s="10"/>
      <c r="N90" s="10"/>
    </row>
    <row r="91" spans="1:14" ht="17.25" customHeight="1">
      <c r="A91" s="542" t="s">
        <v>80</v>
      </c>
      <c r="B91" s="542"/>
      <c r="C91" s="542"/>
      <c r="D91" s="542"/>
      <c r="E91" s="18" t="e">
        <f>D91+B19</f>
        <v>#VALUE!</v>
      </c>
      <c r="F91" s="9"/>
      <c r="H91" s="19" t="e">
        <f>E91-B18</f>
        <v>#VALUE!</v>
      </c>
      <c r="I91" s="9"/>
      <c r="J91" s="9"/>
      <c r="K91" s="10"/>
      <c r="L91" s="10"/>
      <c r="M91" s="10"/>
      <c r="N91" s="10"/>
    </row>
    <row r="92" spans="1:5" ht="21" customHeight="1">
      <c r="A92" s="20" t="s">
        <v>57</v>
      </c>
      <c r="B92" s="20" t="s">
        <v>58</v>
      </c>
      <c r="C92" s="20"/>
      <c r="D92" s="86">
        <v>1</v>
      </c>
      <c r="E92" s="21"/>
    </row>
    <row r="93" spans="1:5" ht="21" customHeight="1">
      <c r="A93" s="20" t="s">
        <v>59</v>
      </c>
      <c r="B93" s="20" t="s">
        <v>58</v>
      </c>
      <c r="C93" s="20"/>
      <c r="D93" s="86">
        <v>1</v>
      </c>
      <c r="E93" s="21"/>
    </row>
    <row r="94" spans="1:5" ht="18" customHeight="1">
      <c r="A94" s="20" t="s">
        <v>60</v>
      </c>
      <c r="B94" s="20" t="s">
        <v>58</v>
      </c>
      <c r="C94" s="20"/>
      <c r="D94" s="86">
        <v>0</v>
      </c>
      <c r="E94" s="21"/>
    </row>
    <row r="95" spans="1:5" ht="16.5" customHeight="1">
      <c r="A95" s="20" t="s">
        <v>61</v>
      </c>
      <c r="B95" s="20" t="s">
        <v>12</v>
      </c>
      <c r="C95" s="20"/>
      <c r="D95" s="86">
        <v>1621.23</v>
      </c>
      <c r="E95" s="21"/>
    </row>
    <row r="96" spans="1:5" ht="15.75" customHeight="1">
      <c r="A96" s="529" t="s">
        <v>81</v>
      </c>
      <c r="B96" s="529"/>
      <c r="C96" s="529"/>
      <c r="D96" s="529"/>
      <c r="E96" s="21"/>
    </row>
    <row r="97" spans="1:5" ht="18.75" customHeight="1">
      <c r="A97" s="20" t="s">
        <v>82</v>
      </c>
      <c r="B97" s="20" t="s">
        <v>58</v>
      </c>
      <c r="C97" s="20"/>
      <c r="D97" s="86">
        <v>3</v>
      </c>
      <c r="E97" s="21"/>
    </row>
    <row r="98" spans="1:5" ht="21.75" customHeight="1">
      <c r="A98" s="20" t="s">
        <v>83</v>
      </c>
      <c r="B98" s="135" t="s">
        <v>58</v>
      </c>
      <c r="C98" s="135"/>
      <c r="D98" s="86">
        <v>6</v>
      </c>
      <c r="E98" s="21"/>
    </row>
    <row r="99" spans="1:5" ht="36" customHeight="1">
      <c r="A99" s="146" t="s">
        <v>84</v>
      </c>
      <c r="B99" s="20" t="s">
        <v>12</v>
      </c>
      <c r="C99" s="20"/>
      <c r="D99" s="86">
        <v>139262</v>
      </c>
      <c r="E99" s="21"/>
    </row>
    <row r="100" spans="1:4" ht="12.75">
      <c r="A100" s="147"/>
      <c r="B100" s="147"/>
      <c r="C100" s="147"/>
      <c r="D100" s="148"/>
    </row>
    <row r="101" spans="1:8" ht="12.75">
      <c r="A101" s="81"/>
      <c r="B101" s="81"/>
      <c r="C101" s="81"/>
      <c r="D101" s="81"/>
      <c r="H101" s="1" t="s">
        <v>27</v>
      </c>
    </row>
    <row r="102" spans="1:4" ht="12.75">
      <c r="A102" s="81" t="s">
        <v>114</v>
      </c>
      <c r="B102" s="81"/>
      <c r="C102" s="81"/>
      <c r="D102" s="81"/>
    </row>
    <row r="103" spans="1:8" ht="12.75">
      <c r="A103" s="81"/>
      <c r="B103" s="81"/>
      <c r="C103" s="81"/>
      <c r="D103" s="81"/>
      <c r="H103" s="1" t="s">
        <v>27</v>
      </c>
    </row>
    <row r="104" spans="1:4" ht="12.75">
      <c r="A104" s="81" t="s">
        <v>85</v>
      </c>
      <c r="B104" s="81"/>
      <c r="C104" s="81"/>
      <c r="D104" s="81"/>
    </row>
    <row r="105" spans="1:4" ht="12.75">
      <c r="A105" s="81"/>
      <c r="B105" s="81"/>
      <c r="C105" s="81"/>
      <c r="D105" s="81"/>
    </row>
    <row r="106" spans="1:4" ht="12.75">
      <c r="A106" s="81"/>
      <c r="B106" s="81"/>
      <c r="C106" s="81"/>
      <c r="D106" s="81"/>
    </row>
    <row r="107" spans="1:4" ht="12.75">
      <c r="A107" s="81"/>
      <c r="B107" s="81"/>
      <c r="C107" s="81"/>
      <c r="D107" s="81"/>
    </row>
    <row r="108" spans="1:5" ht="12.75">
      <c r="A108" s="81"/>
      <c r="B108" s="81"/>
      <c r="C108" s="81"/>
      <c r="D108" s="81"/>
      <c r="E108" s="1" t="s">
        <v>27</v>
      </c>
    </row>
    <row r="109" spans="1:4" ht="12.75">
      <c r="A109" s="81"/>
      <c r="B109" s="81"/>
      <c r="C109" s="81"/>
      <c r="D109" s="81"/>
    </row>
    <row r="110" spans="1:4" ht="12.75">
      <c r="A110" s="51"/>
      <c r="B110" s="51"/>
      <c r="C110" s="51"/>
      <c r="D110" s="51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7:D7"/>
    <mergeCell ref="A96:D96"/>
    <mergeCell ref="A14:D14"/>
    <mergeCell ref="A28:D28"/>
    <mergeCell ref="A64:D64"/>
    <mergeCell ref="A69:D69"/>
    <mergeCell ref="A76:D76"/>
    <mergeCell ref="A91:D91"/>
  </mergeCells>
  <printOptions/>
  <pageMargins left="0.5597222222222222" right="0.7875" top="0.5208333333333334" bottom="0.41944444444444445" header="0.5118055555555555" footer="0.5118055555555555"/>
  <pageSetup fitToHeight="2" fitToWidth="2" horizontalDpi="600" verticalDpi="600" orientation="portrait" paperSize="12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="106" zoomScaleNormal="106" zoomScalePageLayoutView="0" workbookViewId="0" topLeftCell="A6">
      <selection activeCell="D97" sqref="D97"/>
    </sheetView>
  </sheetViews>
  <sheetFormatPr defaultColWidth="11.57421875" defaultRowHeight="12.75"/>
  <cols>
    <col min="1" max="1" width="50.28125" style="0" customWidth="1"/>
    <col min="2" max="2" width="17.8515625" style="0" customWidth="1"/>
    <col min="3" max="3" width="24.57421875" style="0" customWidth="1"/>
    <col min="4" max="4" width="17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548" t="s">
        <v>0</v>
      </c>
      <c r="B1" s="548"/>
      <c r="C1" s="548"/>
      <c r="D1" s="548"/>
    </row>
    <row r="2" spans="1:4" ht="12.75">
      <c r="A2" s="549" t="s">
        <v>176</v>
      </c>
      <c r="B2" s="548"/>
      <c r="C2" s="548"/>
      <c r="D2" s="548"/>
    </row>
    <row r="3" spans="1:4" ht="12.75">
      <c r="A3" s="548" t="s">
        <v>1</v>
      </c>
      <c r="B3" s="548"/>
      <c r="C3" s="548"/>
      <c r="D3" s="548"/>
    </row>
    <row r="4" spans="1:4" ht="12.75">
      <c r="A4" s="548" t="s">
        <v>86</v>
      </c>
      <c r="B4" s="548"/>
      <c r="C4" s="548"/>
      <c r="D4" s="548"/>
    </row>
    <row r="5" spans="1:4" ht="12.75">
      <c r="A5" s="549" t="s">
        <v>189</v>
      </c>
      <c r="B5" s="548"/>
      <c r="C5" s="548"/>
      <c r="D5" s="548"/>
    </row>
    <row r="6" spans="1:4" ht="8.25" customHeight="1">
      <c r="A6" s="149"/>
      <c r="B6" s="150"/>
      <c r="C6" s="150"/>
      <c r="D6" s="150"/>
    </row>
    <row r="7" spans="1:4" ht="28.5" customHeight="1">
      <c r="A7" s="543" t="s">
        <v>3</v>
      </c>
      <c r="B7" s="543"/>
      <c r="C7" s="543"/>
      <c r="D7" s="543"/>
    </row>
    <row r="8" spans="1:5" ht="12.75">
      <c r="A8" s="151" t="s">
        <v>353</v>
      </c>
      <c r="B8" s="152"/>
      <c r="C8" s="153"/>
      <c r="D8" s="152"/>
      <c r="E8" s="35"/>
    </row>
    <row r="9" spans="1:5" ht="12.75">
      <c r="A9" s="92" t="s">
        <v>4</v>
      </c>
      <c r="B9" s="92" t="s">
        <v>5</v>
      </c>
      <c r="C9" s="92" t="s">
        <v>6</v>
      </c>
      <c r="D9" s="93"/>
      <c r="E9" s="35"/>
    </row>
    <row r="10" spans="1:8" ht="12.75">
      <c r="A10" s="154">
        <v>1</v>
      </c>
      <c r="B10" s="154">
        <v>2</v>
      </c>
      <c r="C10" s="154">
        <v>3</v>
      </c>
      <c r="D10" s="155">
        <v>4</v>
      </c>
      <c r="E10" s="35"/>
      <c r="F10" s="35"/>
      <c r="G10" s="35"/>
      <c r="H10" s="35"/>
    </row>
    <row r="11" spans="1:8" ht="12.75">
      <c r="A11" s="64" t="s">
        <v>7</v>
      </c>
      <c r="B11" s="156"/>
      <c r="C11" s="102" t="s">
        <v>190</v>
      </c>
      <c r="D11" s="157"/>
      <c r="E11" s="35"/>
      <c r="F11" s="35"/>
      <c r="G11" s="35"/>
      <c r="H11" s="35"/>
    </row>
    <row r="12" spans="1:8" ht="12.75">
      <c r="A12" s="64" t="s">
        <v>8</v>
      </c>
      <c r="B12" s="156"/>
      <c r="C12" s="102" t="s">
        <v>205</v>
      </c>
      <c r="D12" s="157"/>
      <c r="E12" s="35"/>
      <c r="F12" s="35"/>
      <c r="G12" s="35"/>
      <c r="H12" s="35"/>
    </row>
    <row r="13" spans="1:8" ht="12.75">
      <c r="A13" s="64" t="s">
        <v>9</v>
      </c>
      <c r="B13" s="156"/>
      <c r="C13" s="102" t="s">
        <v>191</v>
      </c>
      <c r="D13" s="157"/>
      <c r="E13" s="35"/>
      <c r="F13" s="35"/>
      <c r="G13" s="35"/>
      <c r="H13" s="35"/>
    </row>
    <row r="14" spans="1:8" ht="31.5" customHeight="1">
      <c r="A14" s="537" t="s">
        <v>10</v>
      </c>
      <c r="B14" s="537"/>
      <c r="C14" s="537"/>
      <c r="D14" s="537"/>
      <c r="E14" s="35"/>
      <c r="F14" s="35"/>
      <c r="G14" s="35"/>
      <c r="H14" s="35"/>
    </row>
    <row r="15" spans="1:8" ht="25.5">
      <c r="A15" s="64" t="s">
        <v>87</v>
      </c>
      <c r="B15" s="158" t="s">
        <v>12</v>
      </c>
      <c r="C15" s="162">
        <v>324540.7518989998</v>
      </c>
      <c r="D15" s="157"/>
      <c r="E15" s="35"/>
      <c r="F15" s="35"/>
      <c r="G15" s="35"/>
      <c r="H15" s="35"/>
    </row>
    <row r="16" spans="1:8" ht="12.75">
      <c r="A16" s="64" t="s">
        <v>13</v>
      </c>
      <c r="B16" s="158" t="s">
        <v>12</v>
      </c>
      <c r="C16" s="159">
        <v>0</v>
      </c>
      <c r="D16" s="157"/>
      <c r="E16" s="35"/>
      <c r="F16" s="35"/>
      <c r="G16" s="35"/>
      <c r="H16" s="35"/>
    </row>
    <row r="17" spans="1:8" ht="12.75">
      <c r="A17" s="64" t="s">
        <v>14</v>
      </c>
      <c r="B17" s="158" t="s">
        <v>12</v>
      </c>
      <c r="C17" s="160">
        <v>287162.23651600024</v>
      </c>
      <c r="D17" s="161"/>
      <c r="E17" s="35"/>
      <c r="F17" s="35"/>
      <c r="G17" s="35"/>
      <c r="H17" s="35"/>
    </row>
    <row r="18" spans="1:8" ht="31.5" customHeight="1">
      <c r="A18" s="64" t="s">
        <v>15</v>
      </c>
      <c r="B18" s="158" t="s">
        <v>12</v>
      </c>
      <c r="C18" s="162">
        <f>1894628.28+6584.52+11705.16+181067.1</f>
        <v>2093985.06</v>
      </c>
      <c r="D18" s="161"/>
      <c r="E18" s="42">
        <f>C18-C20</f>
        <v>1795500.42</v>
      </c>
      <c r="F18" s="51"/>
      <c r="G18" s="51"/>
      <c r="H18" s="51"/>
    </row>
    <row r="19" spans="1:8" ht="12.75">
      <c r="A19" s="64" t="s">
        <v>16</v>
      </c>
      <c r="B19" s="158" t="s">
        <v>12</v>
      </c>
      <c r="C19" s="162">
        <f>C18-C20-C21+5000</f>
        <v>1493968.4</v>
      </c>
      <c r="D19" s="161"/>
      <c r="E19" s="42">
        <f>E18-E57</f>
        <v>199356.78000000003</v>
      </c>
      <c r="F19" s="51"/>
      <c r="G19" s="51"/>
      <c r="H19" s="51"/>
    </row>
    <row r="20" spans="1:8" ht="12.75">
      <c r="A20" s="64" t="s">
        <v>17</v>
      </c>
      <c r="B20" s="158" t="s">
        <v>12</v>
      </c>
      <c r="C20" s="162">
        <f>6096.5*6*(5.23+2.93)</f>
        <v>298484.64</v>
      </c>
      <c r="D20" s="161"/>
      <c r="E20" s="42"/>
      <c r="F20" s="51"/>
      <c r="G20" s="51"/>
      <c r="H20" s="51"/>
    </row>
    <row r="21" spans="1:8" ht="12.75">
      <c r="A21" s="64" t="s">
        <v>18</v>
      </c>
      <c r="B21" s="158" t="s">
        <v>12</v>
      </c>
      <c r="C21" s="162">
        <f>6096.5*12*4.19</f>
        <v>306532.02</v>
      </c>
      <c r="D21" s="161"/>
      <c r="E21" s="35"/>
      <c r="F21" s="51"/>
      <c r="G21" s="51"/>
      <c r="H21" s="51"/>
    </row>
    <row r="22" spans="1:8" ht="12.75">
      <c r="A22" s="64" t="s">
        <v>19</v>
      </c>
      <c r="B22" s="158" t="s">
        <v>12</v>
      </c>
      <c r="C22" s="162">
        <f>C23+C24+C25+C26</f>
        <v>2060831.8645360002</v>
      </c>
      <c r="D22" s="161" t="s">
        <v>20</v>
      </c>
      <c r="E22" s="42"/>
      <c r="F22" s="51"/>
      <c r="G22" s="51"/>
      <c r="H22" s="51"/>
    </row>
    <row r="23" spans="1:8" ht="12.75">
      <c r="A23" s="64" t="s">
        <v>21</v>
      </c>
      <c r="B23" s="158" t="s">
        <v>12</v>
      </c>
      <c r="C23" s="163">
        <f>C18*0.9756</f>
        <v>2042891.8245360001</v>
      </c>
      <c r="D23" s="161"/>
      <c r="E23" s="35"/>
      <c r="F23" s="51"/>
      <c r="G23" s="51"/>
      <c r="H23" s="51"/>
    </row>
    <row r="24" spans="1:8" ht="12.75">
      <c r="A24" s="64" t="s">
        <v>22</v>
      </c>
      <c r="B24" s="158" t="s">
        <v>12</v>
      </c>
      <c r="C24" s="164">
        <v>0</v>
      </c>
      <c r="D24" s="165">
        <v>65.21</v>
      </c>
      <c r="E24" s="43"/>
      <c r="F24" s="35"/>
      <c r="G24" s="35"/>
      <c r="H24" s="35"/>
    </row>
    <row r="25" spans="1:8" ht="12.75">
      <c r="A25" s="64" t="s">
        <v>24</v>
      </c>
      <c r="B25" s="158" t="s">
        <v>12</v>
      </c>
      <c r="C25" s="166">
        <v>0</v>
      </c>
      <c r="D25" s="165">
        <v>119.63</v>
      </c>
      <c r="E25" s="43"/>
      <c r="F25" s="35"/>
      <c r="G25" s="35"/>
      <c r="H25" s="35"/>
    </row>
    <row r="26" spans="1:8" ht="25.5">
      <c r="A26" s="156" t="s">
        <v>25</v>
      </c>
      <c r="B26" s="158" t="s">
        <v>12</v>
      </c>
      <c r="C26" s="162">
        <f>6413+7355.36+4171.68</f>
        <v>17940.04</v>
      </c>
      <c r="D26" s="165"/>
      <c r="E26" s="43"/>
      <c r="F26" s="35"/>
      <c r="G26" s="35"/>
      <c r="H26" s="35"/>
    </row>
    <row r="27" spans="1:10" ht="25.5">
      <c r="A27" s="64" t="s">
        <v>26</v>
      </c>
      <c r="B27" s="158" t="s">
        <v>12</v>
      </c>
      <c r="C27" s="162">
        <f>C15+C22</f>
        <v>2385372.6164349997</v>
      </c>
      <c r="D27" s="161" t="s">
        <v>27</v>
      </c>
      <c r="E27" s="36">
        <f>C18-C20</f>
        <v>1795500.42</v>
      </c>
      <c r="F27" s="35"/>
      <c r="G27" s="35"/>
      <c r="H27" s="35"/>
      <c r="J27" s="52"/>
    </row>
    <row r="28" spans="1:10" ht="35.25" customHeight="1">
      <c r="A28" s="538" t="s">
        <v>28</v>
      </c>
      <c r="B28" s="538"/>
      <c r="C28" s="538"/>
      <c r="D28" s="538"/>
      <c r="E28" s="36">
        <f>E27-E57</f>
        <v>199356.78000000003</v>
      </c>
      <c r="F28" s="35"/>
      <c r="G28" s="35"/>
      <c r="H28" s="35"/>
      <c r="J28" s="52"/>
    </row>
    <row r="29" spans="1:10" ht="51">
      <c r="A29" s="103" t="s">
        <v>29</v>
      </c>
      <c r="B29" s="104" t="s">
        <v>30</v>
      </c>
      <c r="C29" s="167" t="s">
        <v>31</v>
      </c>
      <c r="D29" s="106" t="s">
        <v>32</v>
      </c>
      <c r="E29" s="35"/>
      <c r="F29" s="35"/>
      <c r="G29" s="35"/>
      <c r="H29" s="35"/>
      <c r="J29" s="51"/>
    </row>
    <row r="30" spans="1:8" ht="12.75">
      <c r="A30" s="168" t="s">
        <v>33</v>
      </c>
      <c r="B30" s="169" t="s">
        <v>34</v>
      </c>
      <c r="C30" s="387" t="s">
        <v>364</v>
      </c>
      <c r="D30" s="170">
        <f>(0.42+0.5)*6*6096.5</f>
        <v>33652.68</v>
      </c>
      <c r="E30" s="35"/>
      <c r="F30" s="35"/>
      <c r="G30" s="35"/>
      <c r="H30" s="35"/>
    </row>
    <row r="31" spans="1:8" ht="12.75">
      <c r="A31" s="168" t="s">
        <v>362</v>
      </c>
      <c r="B31" s="169" t="s">
        <v>43</v>
      </c>
      <c r="C31" s="109" t="s">
        <v>363</v>
      </c>
      <c r="D31" s="170">
        <f>0.15*12*6096.5</f>
        <v>10973.699999999999</v>
      </c>
      <c r="E31" s="35"/>
      <c r="F31" s="35"/>
      <c r="G31" s="35"/>
      <c r="H31" s="35"/>
    </row>
    <row r="32" spans="1:8" ht="12.75">
      <c r="A32" s="171" t="s">
        <v>88</v>
      </c>
      <c r="B32" s="172" t="s">
        <v>36</v>
      </c>
      <c r="C32" s="113" t="s">
        <v>44</v>
      </c>
      <c r="D32" s="173">
        <f>2.4*12*6096.5</f>
        <v>175579.19999999998</v>
      </c>
      <c r="E32" s="35"/>
      <c r="F32" s="35"/>
      <c r="G32" s="35"/>
      <c r="H32" s="35"/>
    </row>
    <row r="33" spans="1:14" s="1" customFormat="1" ht="12.75">
      <c r="A33" s="171" t="s">
        <v>40</v>
      </c>
      <c r="B33" s="172" t="s">
        <v>34</v>
      </c>
      <c r="C33" s="130" t="s">
        <v>41</v>
      </c>
      <c r="D33" s="173">
        <f>0.24*12*6096.5</f>
        <v>17557.92</v>
      </c>
      <c r="E33" s="35"/>
      <c r="F33" s="35"/>
      <c r="G33" s="35"/>
      <c r="H33" s="35"/>
      <c r="K33"/>
      <c r="L33"/>
      <c r="M33"/>
      <c r="N33"/>
    </row>
    <row r="34" spans="1:14" s="1" customFormat="1" ht="12.75">
      <c r="A34" s="171" t="s">
        <v>42</v>
      </c>
      <c r="B34" s="226" t="s">
        <v>34</v>
      </c>
      <c r="C34" s="130" t="s">
        <v>44</v>
      </c>
      <c r="D34" s="265">
        <f>0.73*12*6096.5</f>
        <v>53405.34</v>
      </c>
      <c r="E34" s="35"/>
      <c r="F34" s="35"/>
      <c r="G34" s="35"/>
      <c r="H34" s="35"/>
      <c r="K34"/>
      <c r="L34"/>
      <c r="M34"/>
      <c r="N34"/>
    </row>
    <row r="35" spans="1:14" s="1" customFormat="1" ht="25.5">
      <c r="A35" s="171" t="s">
        <v>89</v>
      </c>
      <c r="B35" s="172" t="s">
        <v>34</v>
      </c>
      <c r="C35" s="130" t="s">
        <v>44</v>
      </c>
      <c r="D35" s="173">
        <f>(2.06+1.95)*6*6096.5</f>
        <v>146681.78999999998</v>
      </c>
      <c r="E35" s="35"/>
      <c r="F35" s="35"/>
      <c r="G35" s="35"/>
      <c r="H35" s="35"/>
      <c r="K35"/>
      <c r="L35"/>
      <c r="M35"/>
      <c r="N35"/>
    </row>
    <row r="36" spans="1:14" s="1" customFormat="1" ht="12.75">
      <c r="A36" s="171" t="s">
        <v>46</v>
      </c>
      <c r="B36" s="172" t="s">
        <v>47</v>
      </c>
      <c r="C36" s="130" t="s">
        <v>44</v>
      </c>
      <c r="D36" s="173">
        <f>1.33*12*6096.5</f>
        <v>97300.14</v>
      </c>
      <c r="E36" s="35"/>
      <c r="F36" s="35"/>
      <c r="G36" s="35"/>
      <c r="H36" s="35"/>
      <c r="K36"/>
      <c r="L36"/>
      <c r="M36"/>
      <c r="N36"/>
    </row>
    <row r="37" spans="1:14" s="1" customFormat="1" ht="12.75">
      <c r="A37" s="171" t="s">
        <v>48</v>
      </c>
      <c r="B37" s="172" t="s">
        <v>38</v>
      </c>
      <c r="C37" s="113" t="s">
        <v>168</v>
      </c>
      <c r="D37" s="173">
        <f>12*6096.5*4.19</f>
        <v>306532.02</v>
      </c>
      <c r="E37" s="35"/>
      <c r="F37" s="35"/>
      <c r="G37" s="35"/>
      <c r="H37" s="35"/>
      <c r="K37"/>
      <c r="L37"/>
      <c r="M37"/>
      <c r="N37"/>
    </row>
    <row r="38" spans="1:14" s="1" customFormat="1" ht="31.5" customHeight="1">
      <c r="A38" s="171" t="s">
        <v>90</v>
      </c>
      <c r="B38" s="174" t="s">
        <v>36</v>
      </c>
      <c r="C38" s="113" t="s">
        <v>175</v>
      </c>
      <c r="D38" s="173">
        <f>2.5*12*6096.5</f>
        <v>182895</v>
      </c>
      <c r="E38" s="35"/>
      <c r="F38" s="35"/>
      <c r="G38" s="35"/>
      <c r="H38" s="35"/>
      <c r="K38"/>
      <c r="L38"/>
      <c r="M38"/>
      <c r="N38"/>
    </row>
    <row r="39" spans="1:14" s="1" customFormat="1" ht="12.75">
      <c r="A39" s="171" t="s">
        <v>91</v>
      </c>
      <c r="B39" s="172" t="s">
        <v>38</v>
      </c>
      <c r="C39" s="130" t="s">
        <v>51</v>
      </c>
      <c r="D39" s="173">
        <v>367820.82</v>
      </c>
      <c r="E39" s="35"/>
      <c r="F39" s="35"/>
      <c r="G39" s="35"/>
      <c r="H39" s="35"/>
      <c r="K39"/>
      <c r="L39"/>
      <c r="M39"/>
      <c r="N39"/>
    </row>
    <row r="40" spans="1:14" s="1" customFormat="1" ht="12.75">
      <c r="A40" s="266" t="s">
        <v>52</v>
      </c>
      <c r="B40" s="174" t="s">
        <v>36</v>
      </c>
      <c r="C40" s="113" t="s">
        <v>186</v>
      </c>
      <c r="D40" s="173">
        <f>2.56*12*6096.5</f>
        <v>187284.47999999998</v>
      </c>
      <c r="E40" s="35"/>
      <c r="F40" s="35"/>
      <c r="G40" s="35"/>
      <c r="H40" s="35"/>
      <c r="K40"/>
      <c r="L40"/>
      <c r="M40"/>
      <c r="N40"/>
    </row>
    <row r="41" spans="1:14" s="1" customFormat="1" ht="12.75">
      <c r="A41" s="267" t="s">
        <v>106</v>
      </c>
      <c r="B41" s="271" t="s">
        <v>377</v>
      </c>
      <c r="C41" s="268" t="s">
        <v>41</v>
      </c>
      <c r="D41" s="269">
        <f>(0.17+0.28)*6*6096.5</f>
        <v>16460.55</v>
      </c>
      <c r="E41" s="35"/>
      <c r="F41" s="35"/>
      <c r="G41" s="35"/>
      <c r="H41" s="35"/>
      <c r="K41"/>
      <c r="L41"/>
      <c r="M41"/>
      <c r="N41"/>
    </row>
    <row r="42" spans="1:14" s="1" customFormat="1" ht="27.75" customHeight="1">
      <c r="A42" s="117" t="s">
        <v>146</v>
      </c>
      <c r="B42" s="175"/>
      <c r="C42" s="118"/>
      <c r="D42" s="176"/>
      <c r="E42" s="35"/>
      <c r="F42" s="35"/>
      <c r="G42" s="35"/>
      <c r="H42" s="35"/>
      <c r="K42"/>
      <c r="L42"/>
      <c r="M42"/>
      <c r="N42"/>
    </row>
    <row r="43" spans="1:14" s="1" customFormat="1" ht="20.25" customHeight="1">
      <c r="A43" s="119" t="s">
        <v>144</v>
      </c>
      <c r="B43" s="122" t="s">
        <v>38</v>
      </c>
      <c r="C43" s="120" t="s">
        <v>147</v>
      </c>
      <c r="D43" s="177">
        <v>58289.68</v>
      </c>
      <c r="E43" s="35"/>
      <c r="F43" s="35"/>
      <c r="G43" s="35"/>
      <c r="H43" s="35"/>
      <c r="K43"/>
      <c r="L43"/>
      <c r="M43"/>
      <c r="N43"/>
    </row>
    <row r="44" spans="1:14" s="1" customFormat="1" ht="20.25" customHeight="1">
      <c r="A44" s="119" t="s">
        <v>145</v>
      </c>
      <c r="B44" s="122" t="s">
        <v>38</v>
      </c>
      <c r="C44" s="120" t="s">
        <v>148</v>
      </c>
      <c r="D44" s="177">
        <v>181067.1</v>
      </c>
      <c r="E44" s="35"/>
      <c r="F44" s="35"/>
      <c r="G44" s="35"/>
      <c r="H44" s="35"/>
      <c r="K44"/>
      <c r="L44"/>
      <c r="M44"/>
      <c r="N44"/>
    </row>
    <row r="45" spans="1:14" s="1" customFormat="1" ht="40.5" customHeight="1">
      <c r="A45" s="121" t="s">
        <v>133</v>
      </c>
      <c r="B45" s="122" t="s">
        <v>53</v>
      </c>
      <c r="C45" s="120"/>
      <c r="D45" s="369">
        <f>D46+D47+D48+D49+D50+D51+D52+D53+D54+D55+D56</f>
        <v>200225.6</v>
      </c>
      <c r="E45" s="35"/>
      <c r="F45" s="35"/>
      <c r="G45" s="35"/>
      <c r="H45" s="35"/>
      <c r="K45"/>
      <c r="L45"/>
      <c r="M45"/>
      <c r="N45"/>
    </row>
    <row r="46" spans="1:14" s="1" customFormat="1" ht="18.75" customHeight="1">
      <c r="A46" s="123" t="s">
        <v>170</v>
      </c>
      <c r="B46" s="124" t="s">
        <v>248</v>
      </c>
      <c r="C46" s="376" t="s">
        <v>228</v>
      </c>
      <c r="D46" s="178">
        <f>10764+32954</f>
        <v>43718</v>
      </c>
      <c r="E46" s="35"/>
      <c r="F46" s="35"/>
      <c r="G46" s="35"/>
      <c r="H46" s="35"/>
      <c r="K46"/>
      <c r="L46"/>
      <c r="M46"/>
      <c r="N46"/>
    </row>
    <row r="47" spans="1:14" s="1" customFormat="1" ht="24.75" customHeight="1">
      <c r="A47" s="121" t="s">
        <v>249</v>
      </c>
      <c r="B47" s="122" t="s">
        <v>250</v>
      </c>
      <c r="C47" s="263" t="s">
        <v>44</v>
      </c>
      <c r="D47" s="179">
        <f>711+680+1361</f>
        <v>2752</v>
      </c>
      <c r="E47" s="35"/>
      <c r="F47" s="35"/>
      <c r="G47" s="35"/>
      <c r="H47" s="35"/>
      <c r="K47"/>
      <c r="L47"/>
      <c r="M47"/>
      <c r="N47"/>
    </row>
    <row r="48" spans="1:14" s="1" customFormat="1" ht="24.75" customHeight="1">
      <c r="A48" s="121" t="s">
        <v>230</v>
      </c>
      <c r="B48" s="122" t="s">
        <v>251</v>
      </c>
      <c r="C48" s="263" t="s">
        <v>44</v>
      </c>
      <c r="D48" s="179">
        <f>1062+1050+1241</f>
        <v>3353</v>
      </c>
      <c r="E48" s="35"/>
      <c r="F48" s="35"/>
      <c r="G48" s="35"/>
      <c r="H48" s="35"/>
      <c r="K48"/>
      <c r="L48"/>
      <c r="M48"/>
      <c r="N48"/>
    </row>
    <row r="49" spans="1:14" s="1" customFormat="1" ht="34.5" customHeight="1">
      <c r="A49" s="206" t="s">
        <v>193</v>
      </c>
      <c r="B49" s="126" t="s">
        <v>120</v>
      </c>
      <c r="C49" s="125" t="s">
        <v>37</v>
      </c>
      <c r="D49" s="179">
        <v>270</v>
      </c>
      <c r="E49" s="35"/>
      <c r="F49" s="35"/>
      <c r="G49" s="35"/>
      <c r="H49" s="35"/>
      <c r="K49"/>
      <c r="L49"/>
      <c r="M49"/>
      <c r="N49"/>
    </row>
    <row r="50" spans="1:14" s="1" customFormat="1" ht="27" customHeight="1">
      <c r="A50" s="121" t="s">
        <v>241</v>
      </c>
      <c r="B50" s="126" t="s">
        <v>127</v>
      </c>
      <c r="C50" s="367" t="s">
        <v>196</v>
      </c>
      <c r="D50" s="179">
        <f>681+836</f>
        <v>1517</v>
      </c>
      <c r="E50" s="35"/>
      <c r="F50" s="35"/>
      <c r="G50" s="35"/>
      <c r="H50" s="35"/>
      <c r="K50"/>
      <c r="L50"/>
      <c r="M50"/>
      <c r="N50"/>
    </row>
    <row r="51" spans="1:14" s="1" customFormat="1" ht="18.75" customHeight="1">
      <c r="A51" s="121" t="s">
        <v>252</v>
      </c>
      <c r="B51" s="122" t="s">
        <v>129</v>
      </c>
      <c r="C51" s="367" t="s">
        <v>44</v>
      </c>
      <c r="D51" s="179">
        <f>1935+198.6</f>
        <v>2133.6</v>
      </c>
      <c r="E51" s="35"/>
      <c r="F51" s="35"/>
      <c r="G51" s="35"/>
      <c r="H51" s="35"/>
      <c r="K51"/>
      <c r="L51"/>
      <c r="M51"/>
      <c r="N51"/>
    </row>
    <row r="52" spans="1:14" s="1" customFormat="1" ht="18" customHeight="1">
      <c r="A52" s="121" t="s">
        <v>171</v>
      </c>
      <c r="B52" s="126" t="s">
        <v>169</v>
      </c>
      <c r="C52" s="180" t="s">
        <v>204</v>
      </c>
      <c r="D52" s="179">
        <f>21484+18049</f>
        <v>39533</v>
      </c>
      <c r="E52" s="35"/>
      <c r="F52" s="35"/>
      <c r="G52" s="35"/>
      <c r="H52" s="35"/>
      <c r="K52"/>
      <c r="L52"/>
      <c r="M52"/>
      <c r="N52"/>
    </row>
    <row r="53" spans="1:14" s="1" customFormat="1" ht="20.25" customHeight="1">
      <c r="A53" s="121" t="s">
        <v>244</v>
      </c>
      <c r="B53" s="122" t="s">
        <v>125</v>
      </c>
      <c r="C53" s="367" t="s">
        <v>44</v>
      </c>
      <c r="D53" s="181">
        <v>1232</v>
      </c>
      <c r="E53" s="35"/>
      <c r="F53" s="35"/>
      <c r="G53" s="35"/>
      <c r="H53" s="35"/>
      <c r="K53"/>
      <c r="L53"/>
      <c r="M53"/>
      <c r="N53"/>
    </row>
    <row r="54" spans="1:14" s="1" customFormat="1" ht="18" customHeight="1">
      <c r="A54" s="121" t="s">
        <v>253</v>
      </c>
      <c r="B54" s="122" t="s">
        <v>123</v>
      </c>
      <c r="C54" s="180" t="s">
        <v>204</v>
      </c>
      <c r="D54" s="179">
        <v>11423</v>
      </c>
      <c r="E54" s="35"/>
      <c r="F54" s="35"/>
      <c r="G54" s="35"/>
      <c r="H54" s="35"/>
      <c r="K54"/>
      <c r="L54"/>
      <c r="M54"/>
      <c r="N54"/>
    </row>
    <row r="55" spans="1:14" s="1" customFormat="1" ht="18" customHeight="1">
      <c r="A55" s="121" t="s">
        <v>254</v>
      </c>
      <c r="B55" s="122" t="s">
        <v>128</v>
      </c>
      <c r="C55" s="180" t="s">
        <v>204</v>
      </c>
      <c r="D55" s="179">
        <v>65613</v>
      </c>
      <c r="E55" s="35"/>
      <c r="F55" s="35"/>
      <c r="G55" s="35"/>
      <c r="H55" s="35"/>
      <c r="K55"/>
      <c r="L55"/>
      <c r="M55"/>
      <c r="N55"/>
    </row>
    <row r="56" spans="1:14" s="1" customFormat="1" ht="25.5" customHeight="1">
      <c r="A56" s="123" t="s">
        <v>255</v>
      </c>
      <c r="B56" s="122" t="s">
        <v>128</v>
      </c>
      <c r="C56" s="368" t="s">
        <v>204</v>
      </c>
      <c r="D56" s="179">
        <v>28681</v>
      </c>
      <c r="E56" s="35"/>
      <c r="F56" s="35"/>
      <c r="G56" s="35"/>
      <c r="H56" s="35"/>
      <c r="K56"/>
      <c r="L56"/>
      <c r="M56"/>
      <c r="N56"/>
    </row>
    <row r="57" spans="1:14" s="1" customFormat="1" ht="12.75">
      <c r="A57" s="103" t="s">
        <v>92</v>
      </c>
      <c r="B57" s="104"/>
      <c r="C57" s="120"/>
      <c r="D57" s="270">
        <f>D30+D31+D32+D33+D34+D35+D36+D37+D38+D39+D40+D41+D43+D44+D45</f>
        <v>2035726.02</v>
      </c>
      <c r="E57" s="35">
        <f>D57-D45-D43-D44</f>
        <v>1596143.64</v>
      </c>
      <c r="F57" s="35"/>
      <c r="G57" s="35"/>
      <c r="H57" s="35"/>
      <c r="K57"/>
      <c r="L57"/>
      <c r="M57"/>
      <c r="N57"/>
    </row>
    <row r="58" spans="1:14" s="1" customFormat="1" ht="25.5">
      <c r="A58" s="68" t="s">
        <v>55</v>
      </c>
      <c r="B58" s="169" t="s">
        <v>12</v>
      </c>
      <c r="C58" s="182"/>
      <c r="D58" s="183">
        <f>C27-D57</f>
        <v>349646.5964349997</v>
      </c>
      <c r="E58" s="36"/>
      <c r="F58" s="35"/>
      <c r="G58" s="35"/>
      <c r="H58" s="35"/>
      <c r="K58"/>
      <c r="L58"/>
      <c r="M58"/>
      <c r="N58"/>
    </row>
    <row r="59" spans="1:8" ht="12.75">
      <c r="A59" s="130" t="s">
        <v>13</v>
      </c>
      <c r="B59" s="172" t="s">
        <v>12</v>
      </c>
      <c r="C59" s="130"/>
      <c r="D59" s="157"/>
      <c r="E59" s="35"/>
      <c r="F59" s="35"/>
      <c r="G59" s="35"/>
      <c r="H59" s="35"/>
    </row>
    <row r="60" spans="1:8" ht="12.75">
      <c r="A60" s="130" t="s">
        <v>14</v>
      </c>
      <c r="B60" s="172" t="s">
        <v>12</v>
      </c>
      <c r="C60" s="130"/>
      <c r="D60" s="161">
        <v>407139.4</v>
      </c>
      <c r="E60" s="36"/>
      <c r="F60" s="35"/>
      <c r="G60" s="35"/>
      <c r="H60" s="35"/>
    </row>
    <row r="61" spans="1:8" ht="24" customHeight="1">
      <c r="A61" s="539" t="s">
        <v>56</v>
      </c>
      <c r="B61" s="539"/>
      <c r="C61" s="539"/>
      <c r="D61" s="539"/>
      <c r="E61" s="35"/>
      <c r="F61" s="35"/>
      <c r="G61" s="35"/>
      <c r="H61" s="35"/>
    </row>
    <row r="62" spans="1:8" ht="12.75">
      <c r="A62" s="130" t="s">
        <v>57</v>
      </c>
      <c r="B62" s="172" t="s">
        <v>58</v>
      </c>
      <c r="C62" s="130">
        <v>0</v>
      </c>
      <c r="D62" s="157">
        <v>0</v>
      </c>
      <c r="E62" s="35"/>
      <c r="F62" s="35"/>
      <c r="G62" s="35"/>
      <c r="H62" s="35"/>
    </row>
    <row r="63" spans="1:8" ht="12.75">
      <c r="A63" s="130" t="s">
        <v>59</v>
      </c>
      <c r="B63" s="172" t="s">
        <v>58</v>
      </c>
      <c r="C63" s="130">
        <v>0</v>
      </c>
      <c r="D63" s="157">
        <v>0</v>
      </c>
      <c r="E63" s="35"/>
      <c r="F63" s="35"/>
      <c r="G63" s="35"/>
      <c r="H63" s="35"/>
    </row>
    <row r="64" spans="1:8" ht="25.5">
      <c r="A64" s="130" t="s">
        <v>60</v>
      </c>
      <c r="B64" s="172" t="s">
        <v>58</v>
      </c>
      <c r="C64" s="130">
        <v>0</v>
      </c>
      <c r="D64" s="157">
        <v>0</v>
      </c>
      <c r="E64" s="35"/>
      <c r="F64" s="35"/>
      <c r="G64" s="35"/>
      <c r="H64" s="35"/>
    </row>
    <row r="65" spans="1:8" ht="12.75">
      <c r="A65" s="130" t="s">
        <v>61</v>
      </c>
      <c r="B65" s="172" t="s">
        <v>12</v>
      </c>
      <c r="C65" s="130">
        <v>0</v>
      </c>
      <c r="D65" s="157">
        <v>0</v>
      </c>
      <c r="E65" s="35"/>
      <c r="F65" s="35"/>
      <c r="G65" s="35"/>
      <c r="H65" s="35"/>
    </row>
    <row r="66" spans="1:8" ht="20.25" customHeight="1">
      <c r="A66" s="540" t="s">
        <v>62</v>
      </c>
      <c r="B66" s="540"/>
      <c r="C66" s="540"/>
      <c r="D66" s="540"/>
      <c r="E66" s="35"/>
      <c r="F66" s="35"/>
      <c r="G66" s="35"/>
      <c r="H66" s="35"/>
    </row>
    <row r="67" spans="1:8" ht="25.5">
      <c r="A67" s="113" t="s">
        <v>367</v>
      </c>
      <c r="B67" s="172" t="s">
        <v>12</v>
      </c>
      <c r="C67" s="130"/>
      <c r="D67" s="157">
        <v>0</v>
      </c>
      <c r="E67" s="35"/>
      <c r="F67" s="35"/>
      <c r="G67" s="35"/>
      <c r="H67" s="35"/>
    </row>
    <row r="68" spans="1:8" ht="12.75">
      <c r="A68" s="130" t="s">
        <v>13</v>
      </c>
      <c r="B68" s="172" t="s">
        <v>12</v>
      </c>
      <c r="C68" s="130"/>
      <c r="D68" s="157">
        <v>0</v>
      </c>
      <c r="E68" s="35"/>
      <c r="F68" s="35"/>
      <c r="G68" s="35"/>
      <c r="H68" s="35"/>
    </row>
    <row r="69" spans="1:8" ht="12.75">
      <c r="A69" s="130" t="s">
        <v>14</v>
      </c>
      <c r="B69" s="172" t="s">
        <v>12</v>
      </c>
      <c r="C69" s="130"/>
      <c r="D69" s="184">
        <f>D72-D75-D76-D77-D78-D79</f>
        <v>596908.7934120002</v>
      </c>
      <c r="E69" s="35"/>
      <c r="F69" s="35"/>
      <c r="G69" s="35"/>
      <c r="H69" s="37"/>
    </row>
    <row r="70" spans="1:8" ht="25.5">
      <c r="A70" s="268" t="s">
        <v>112</v>
      </c>
      <c r="B70" s="172" t="s">
        <v>12</v>
      </c>
      <c r="C70" s="186"/>
      <c r="D70" s="187">
        <v>0</v>
      </c>
      <c r="E70" s="35"/>
      <c r="F70" s="35"/>
      <c r="G70" s="35"/>
      <c r="H70" s="35"/>
    </row>
    <row r="71" spans="1:10" ht="17.25" customHeight="1">
      <c r="A71" s="188" t="s">
        <v>13</v>
      </c>
      <c r="B71" s="172" t="s">
        <v>12</v>
      </c>
      <c r="C71" s="130"/>
      <c r="D71" s="157">
        <v>0</v>
      </c>
      <c r="E71" s="35"/>
      <c r="F71" s="35"/>
      <c r="G71" s="35"/>
      <c r="H71" s="35"/>
      <c r="I71" s="3"/>
      <c r="J71" s="3"/>
    </row>
    <row r="72" spans="1:14" ht="12.75">
      <c r="A72" s="136" t="s">
        <v>14</v>
      </c>
      <c r="B72" s="172" t="s">
        <v>12</v>
      </c>
      <c r="C72" s="137"/>
      <c r="D72" s="137">
        <v>682566.22</v>
      </c>
      <c r="E72" s="35"/>
      <c r="F72" s="35"/>
      <c r="G72" s="35"/>
      <c r="H72" s="35" t="s">
        <v>27</v>
      </c>
      <c r="I72" s="4"/>
      <c r="J72" s="4"/>
      <c r="K72" s="5"/>
      <c r="L72" s="5"/>
      <c r="M72" s="5"/>
      <c r="N72" s="5"/>
    </row>
    <row r="73" spans="1:14" ht="18" customHeight="1">
      <c r="A73" s="541" t="s">
        <v>65</v>
      </c>
      <c r="B73" s="541"/>
      <c r="C73" s="541"/>
      <c r="D73" s="541"/>
      <c r="E73" s="40"/>
      <c r="F73" s="44"/>
      <c r="G73" s="45"/>
      <c r="H73" s="35"/>
      <c r="I73" s="9"/>
      <c r="J73" s="9"/>
      <c r="K73" s="10"/>
      <c r="L73" s="10"/>
      <c r="M73" s="10"/>
      <c r="N73" s="10"/>
    </row>
    <row r="74" spans="1:14" ht="44.25" customHeight="1">
      <c r="A74" s="26" t="s">
        <v>66</v>
      </c>
      <c r="B74" s="27" t="s">
        <v>67</v>
      </c>
      <c r="C74" s="58" t="s">
        <v>68</v>
      </c>
      <c r="D74" s="59" t="s">
        <v>69</v>
      </c>
      <c r="E74" s="40"/>
      <c r="F74" s="44"/>
      <c r="G74" s="45"/>
      <c r="H74" s="35"/>
      <c r="I74" s="9"/>
      <c r="J74" s="9"/>
      <c r="K74" s="10"/>
      <c r="L74" s="10"/>
      <c r="M74" s="10"/>
      <c r="N74" s="10"/>
    </row>
    <row r="75" spans="1:14" ht="16.5" customHeight="1">
      <c r="A75" s="388" t="s">
        <v>366</v>
      </c>
      <c r="B75" s="25">
        <v>386624.6</v>
      </c>
      <c r="C75" s="60">
        <f>B75*0.9756</f>
        <v>377190.95976</v>
      </c>
      <c r="D75" s="389">
        <f>B75-C75</f>
        <v>9433.640239999979</v>
      </c>
      <c r="E75" s="40"/>
      <c r="F75" s="44"/>
      <c r="G75" s="45"/>
      <c r="H75" s="35"/>
      <c r="I75" s="9"/>
      <c r="J75" s="9"/>
      <c r="K75" s="10"/>
      <c r="L75" s="10"/>
      <c r="M75" s="10"/>
      <c r="N75" s="10"/>
    </row>
    <row r="76" spans="1:14" ht="12.75">
      <c r="A76" s="189" t="s">
        <v>70</v>
      </c>
      <c r="B76" s="159">
        <v>251630.71</v>
      </c>
      <c r="C76" s="449">
        <f>B76*0.9756</f>
        <v>245490.920676</v>
      </c>
      <c r="D76" s="450">
        <f>B76-C76</f>
        <v>6139.789323999983</v>
      </c>
      <c r="E76" s="40"/>
      <c r="F76" s="44"/>
      <c r="G76" s="45"/>
      <c r="H76" s="35"/>
      <c r="I76" s="9"/>
      <c r="J76" s="9"/>
      <c r="K76" s="10"/>
      <c r="L76" s="10"/>
      <c r="M76" s="10"/>
      <c r="N76" s="10"/>
    </row>
    <row r="77" spans="1:14" ht="12.75">
      <c r="A77" s="189" t="s">
        <v>71</v>
      </c>
      <c r="B77" s="159">
        <v>457275.87</v>
      </c>
      <c r="C77" s="449">
        <f>B77*0.9756</f>
        <v>446118.338772</v>
      </c>
      <c r="D77" s="450">
        <f>B77-C77</f>
        <v>11157.531228000007</v>
      </c>
      <c r="E77" s="40"/>
      <c r="F77" s="44"/>
      <c r="G77" s="45"/>
      <c r="H77" s="35"/>
      <c r="I77" s="9"/>
      <c r="J77" s="9"/>
      <c r="K77" s="10"/>
      <c r="L77" s="10"/>
      <c r="M77" s="10"/>
      <c r="N77" s="10"/>
    </row>
    <row r="78" spans="1:14" ht="12.75">
      <c r="A78" s="189" t="s">
        <v>72</v>
      </c>
      <c r="B78" s="190">
        <v>1720036.75</v>
      </c>
      <c r="C78" s="449">
        <f>B78*0.9756</f>
        <v>1678067.8533</v>
      </c>
      <c r="D78" s="450">
        <f>B78-C78</f>
        <v>41968.896699999925</v>
      </c>
      <c r="E78" s="40">
        <f>(2.07+1.8)*6*2301.2-0.37*2301.2*6</f>
        <v>48325.2</v>
      </c>
      <c r="F78" s="47"/>
      <c r="G78" s="48"/>
      <c r="H78" s="40"/>
      <c r="I78" s="9"/>
      <c r="J78" s="9"/>
      <c r="K78" s="10"/>
      <c r="L78" s="10"/>
      <c r="M78" s="10"/>
      <c r="N78" s="10"/>
    </row>
    <row r="79" spans="1:14" ht="12.75">
      <c r="A79" s="189" t="s">
        <v>73</v>
      </c>
      <c r="B79" s="190">
        <v>694982.34</v>
      </c>
      <c r="C79" s="449">
        <f>B79*0.9756</f>
        <v>678024.770904</v>
      </c>
      <c r="D79" s="450">
        <f>B79-C79</f>
        <v>16957.569095999934</v>
      </c>
      <c r="E79" s="40"/>
      <c r="F79" s="47"/>
      <c r="G79" s="48"/>
      <c r="H79" s="35"/>
      <c r="I79" s="9"/>
      <c r="J79" s="9"/>
      <c r="K79" s="10"/>
      <c r="L79" s="10"/>
      <c r="M79" s="10"/>
      <c r="N79" s="10"/>
    </row>
    <row r="80" spans="1:14" ht="63.75">
      <c r="A80" s="191" t="s">
        <v>75</v>
      </c>
      <c r="B80" s="25" t="s">
        <v>76</v>
      </c>
      <c r="C80" s="60" t="s">
        <v>77</v>
      </c>
      <c r="D80" s="61" t="s">
        <v>78</v>
      </c>
      <c r="E80" s="40"/>
      <c r="F80" s="47"/>
      <c r="G80" s="35"/>
      <c r="H80" s="39"/>
      <c r="I80" s="9"/>
      <c r="J80" s="9"/>
      <c r="K80" s="10"/>
      <c r="L80" s="10"/>
      <c r="M80" s="10"/>
      <c r="N80" s="10"/>
    </row>
    <row r="81" spans="1:14" ht="12.75">
      <c r="A81" s="388" t="s">
        <v>366</v>
      </c>
      <c r="B81" s="390">
        <v>386624.6</v>
      </c>
      <c r="C81" s="60">
        <f>B81*0.9756</f>
        <v>377190.95976</v>
      </c>
      <c r="D81" s="391">
        <f>B81-C81</f>
        <v>9433.640239999979</v>
      </c>
      <c r="E81" s="40"/>
      <c r="F81" s="47"/>
      <c r="G81" s="35"/>
      <c r="H81" s="39"/>
      <c r="I81" s="9"/>
      <c r="J81" s="9"/>
      <c r="K81" s="10"/>
      <c r="L81" s="10"/>
      <c r="M81" s="10"/>
      <c r="N81" s="10"/>
    </row>
    <row r="82" spans="1:14" ht="12.75">
      <c r="A82" s="192" t="s">
        <v>70</v>
      </c>
      <c r="B82" s="193">
        <v>251630.71</v>
      </c>
      <c r="C82" s="451">
        <f>C76</f>
        <v>245490.920676</v>
      </c>
      <c r="D82" s="452">
        <f>B82-C82</f>
        <v>6139.789323999983</v>
      </c>
      <c r="E82" s="40"/>
      <c r="F82" s="47"/>
      <c r="G82" s="35"/>
      <c r="H82" s="39"/>
      <c r="I82" s="9"/>
      <c r="J82" s="9" t="s">
        <v>27</v>
      </c>
      <c r="K82" s="10"/>
      <c r="L82" s="10"/>
      <c r="M82" s="10"/>
      <c r="N82" s="10"/>
    </row>
    <row r="83" spans="1:14" ht="12.75">
      <c r="A83" s="192" t="s">
        <v>71</v>
      </c>
      <c r="B83" s="193">
        <v>593260.03</v>
      </c>
      <c r="C83" s="449">
        <v>446118.34</v>
      </c>
      <c r="D83" s="452">
        <f>B83-C83</f>
        <v>147141.69</v>
      </c>
      <c r="E83" s="40"/>
      <c r="F83" s="47"/>
      <c r="G83" s="35"/>
      <c r="H83" s="39"/>
      <c r="I83" s="9"/>
      <c r="J83" s="9"/>
      <c r="K83" s="10"/>
      <c r="L83" s="10"/>
      <c r="M83" s="10"/>
      <c r="N83" s="10"/>
    </row>
    <row r="84" spans="1:14" ht="12.75">
      <c r="A84" s="192" t="s">
        <v>72</v>
      </c>
      <c r="B84" s="193">
        <v>1818721.16</v>
      </c>
      <c r="C84" s="449">
        <f>C78</f>
        <v>1678067.8533</v>
      </c>
      <c r="D84" s="452">
        <f>B84-C84</f>
        <v>140653.30669999984</v>
      </c>
      <c r="E84" s="40"/>
      <c r="F84" s="47"/>
      <c r="G84" s="35"/>
      <c r="H84" s="39"/>
      <c r="I84" s="9"/>
      <c r="J84" s="9"/>
      <c r="K84" s="10"/>
      <c r="L84" s="10"/>
      <c r="M84" s="10"/>
      <c r="N84" s="10"/>
    </row>
    <row r="85" spans="1:14" ht="12.75">
      <c r="A85" s="192" t="s">
        <v>73</v>
      </c>
      <c r="B85" s="193">
        <v>876734.4</v>
      </c>
      <c r="C85" s="451">
        <f>C79</f>
        <v>678024.770904</v>
      </c>
      <c r="D85" s="452">
        <f>B85-C85</f>
        <v>198709.629096</v>
      </c>
      <c r="E85" s="40"/>
      <c r="F85" s="47"/>
      <c r="G85" s="35"/>
      <c r="H85" s="39"/>
      <c r="I85" s="9"/>
      <c r="J85" s="9"/>
      <c r="K85" s="10"/>
      <c r="L85" s="10"/>
      <c r="M85" s="10"/>
      <c r="N85" s="10"/>
    </row>
    <row r="86" spans="1:14" ht="25.5">
      <c r="A86" s="143" t="s">
        <v>79</v>
      </c>
      <c r="B86" s="194" t="s">
        <v>12</v>
      </c>
      <c r="C86" s="453"/>
      <c r="D86" s="454">
        <v>182344.37</v>
      </c>
      <c r="E86" s="40"/>
      <c r="F86" s="47"/>
      <c r="G86" s="35"/>
      <c r="H86" s="39"/>
      <c r="I86" s="9"/>
      <c r="J86" s="9" t="s">
        <v>27</v>
      </c>
      <c r="K86" s="10"/>
      <c r="L86" s="10"/>
      <c r="M86" s="10"/>
      <c r="N86" s="10"/>
    </row>
    <row r="87" spans="1:14" ht="17.25" customHeight="1">
      <c r="A87" s="547" t="s">
        <v>80</v>
      </c>
      <c r="B87" s="547"/>
      <c r="C87" s="547"/>
      <c r="D87" s="547"/>
      <c r="E87" s="49" t="e">
        <f>D87+B19</f>
        <v>#VALUE!</v>
      </c>
      <c r="F87" s="39"/>
      <c r="G87" s="35"/>
      <c r="H87" s="41" t="e">
        <f>E87-B18</f>
        <v>#VALUE!</v>
      </c>
      <c r="I87" s="9"/>
      <c r="J87" s="9"/>
      <c r="K87" s="10"/>
      <c r="L87" s="10"/>
      <c r="M87" s="10"/>
      <c r="N87" s="10"/>
    </row>
    <row r="88" spans="1:5" ht="21" customHeight="1">
      <c r="A88" s="146" t="s">
        <v>57</v>
      </c>
      <c r="B88" s="146" t="s">
        <v>58</v>
      </c>
      <c r="C88" s="195"/>
      <c r="D88" s="447">
        <v>1</v>
      </c>
      <c r="E88" s="50"/>
    </row>
    <row r="89" spans="1:5" ht="21" customHeight="1">
      <c r="A89" s="146" t="s">
        <v>59</v>
      </c>
      <c r="B89" s="146" t="s">
        <v>58</v>
      </c>
      <c r="C89" s="195"/>
      <c r="D89" s="447">
        <v>1</v>
      </c>
      <c r="E89" s="50"/>
    </row>
    <row r="90" spans="1:14" s="1" customFormat="1" ht="25.5" customHeight="1">
      <c r="A90" s="146" t="s">
        <v>60</v>
      </c>
      <c r="B90" s="146" t="s">
        <v>58</v>
      </c>
      <c r="C90" s="195"/>
      <c r="D90" s="447">
        <v>0</v>
      </c>
      <c r="E90" s="50"/>
      <c r="K90"/>
      <c r="L90"/>
      <c r="M90"/>
      <c r="N90"/>
    </row>
    <row r="91" spans="1:14" s="1" customFormat="1" ht="16.5" customHeight="1">
      <c r="A91" s="146" t="s">
        <v>61</v>
      </c>
      <c r="B91" s="146" t="s">
        <v>12</v>
      </c>
      <c r="C91" s="195"/>
      <c r="D91" s="196">
        <v>1907.82</v>
      </c>
      <c r="E91" s="50"/>
      <c r="K91"/>
      <c r="L91"/>
      <c r="M91"/>
      <c r="N91"/>
    </row>
    <row r="92" spans="1:14" s="1" customFormat="1" ht="15.75" customHeight="1">
      <c r="A92" s="546" t="s">
        <v>81</v>
      </c>
      <c r="B92" s="546"/>
      <c r="C92" s="546"/>
      <c r="D92" s="546"/>
      <c r="E92" s="21"/>
      <c r="K92"/>
      <c r="L92"/>
      <c r="M92"/>
      <c r="N92"/>
    </row>
    <row r="93" spans="1:14" s="1" customFormat="1" ht="15" customHeight="1">
      <c r="A93" s="146" t="s">
        <v>82</v>
      </c>
      <c r="B93" s="146" t="s">
        <v>58</v>
      </c>
      <c r="C93" s="195"/>
      <c r="D93" s="448">
        <v>1</v>
      </c>
      <c r="E93" s="21"/>
      <c r="K93"/>
      <c r="L93"/>
      <c r="M93"/>
      <c r="N93"/>
    </row>
    <row r="94" spans="1:14" s="1" customFormat="1" ht="17.25" customHeight="1">
      <c r="A94" s="146" t="s">
        <v>83</v>
      </c>
      <c r="B94" s="188" t="s">
        <v>58</v>
      </c>
      <c r="C94" s="198"/>
      <c r="D94" s="448">
        <v>1</v>
      </c>
      <c r="E94" s="21"/>
      <c r="K94"/>
      <c r="L94"/>
      <c r="M94"/>
      <c r="N94"/>
    </row>
    <row r="95" spans="1:14" s="1" customFormat="1" ht="26.25" customHeight="1">
      <c r="A95" s="146" t="s">
        <v>84</v>
      </c>
      <c r="B95" s="146" t="s">
        <v>12</v>
      </c>
      <c r="C95" s="195"/>
      <c r="D95" s="197">
        <v>68440</v>
      </c>
      <c r="E95" s="21"/>
      <c r="K95"/>
      <c r="L95"/>
      <c r="M95"/>
      <c r="N95"/>
    </row>
    <row r="96" spans="1:14" s="1" customFormat="1" ht="12.75">
      <c r="A96" s="199"/>
      <c r="B96" s="199"/>
      <c r="C96" s="199"/>
      <c r="D96" s="200"/>
      <c r="K96"/>
      <c r="L96"/>
      <c r="M96"/>
      <c r="N96"/>
    </row>
    <row r="97" spans="1:14" s="1" customFormat="1" ht="12.75">
      <c r="A97" s="544" t="s">
        <v>156</v>
      </c>
      <c r="B97" s="545"/>
      <c r="C97" s="152" t="s">
        <v>183</v>
      </c>
      <c r="D97" s="152"/>
      <c r="K97"/>
      <c r="L97"/>
      <c r="M97"/>
      <c r="N97"/>
    </row>
    <row r="98" spans="1:14" s="1" customFormat="1" ht="12.75">
      <c r="A98" s="152"/>
      <c r="B98" s="152"/>
      <c r="C98" s="152"/>
      <c r="D98" s="152"/>
      <c r="H98" s="1" t="s">
        <v>27</v>
      </c>
      <c r="K98"/>
      <c r="L98"/>
      <c r="M98"/>
      <c r="N98"/>
    </row>
    <row r="99" spans="1:14" s="1" customFormat="1" ht="12.75">
      <c r="A99" s="152" t="s">
        <v>85</v>
      </c>
      <c r="B99" s="152"/>
      <c r="C99" s="152"/>
      <c r="D99" s="152"/>
      <c r="K99"/>
      <c r="L99"/>
      <c r="M99"/>
      <c r="N99"/>
    </row>
    <row r="100" spans="1:4" ht="15">
      <c r="A100" s="89"/>
      <c r="B100" s="89"/>
      <c r="C100" s="89"/>
      <c r="D100" s="89"/>
    </row>
    <row r="103" spans="1:14" s="1" customFormat="1" ht="12.75">
      <c r="A103"/>
      <c r="B103"/>
      <c r="C103"/>
      <c r="D103"/>
      <c r="E103" s="1" t="s">
        <v>27</v>
      </c>
      <c r="K103"/>
      <c r="L103"/>
      <c r="M103"/>
      <c r="N103"/>
    </row>
  </sheetData>
  <sheetProtection selectLockedCells="1" selectUnlockedCells="1"/>
  <mergeCells count="14">
    <mergeCell ref="A1:D1"/>
    <mergeCell ref="A2:D2"/>
    <mergeCell ref="A3:D3"/>
    <mergeCell ref="A4:D4"/>
    <mergeCell ref="A5:D5"/>
    <mergeCell ref="A7:D7"/>
    <mergeCell ref="A97:B97"/>
    <mergeCell ref="A92:D92"/>
    <mergeCell ref="A14:D14"/>
    <mergeCell ref="A28:D28"/>
    <mergeCell ref="A61:D61"/>
    <mergeCell ref="A66:D66"/>
    <mergeCell ref="A73:D73"/>
    <mergeCell ref="A87:D8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A83">
      <selection activeCell="B84" sqref="B84"/>
    </sheetView>
  </sheetViews>
  <sheetFormatPr defaultColWidth="11.57421875" defaultRowHeight="12.75"/>
  <cols>
    <col min="1" max="1" width="60.8515625" style="0" customWidth="1"/>
    <col min="2" max="2" width="16.140625" style="0" customWidth="1"/>
    <col min="3" max="3" width="22.140625" style="0" customWidth="1"/>
    <col min="4" max="4" width="12.140625" style="0" customWidth="1"/>
    <col min="5" max="6" width="0" style="1" hidden="1" customWidth="1"/>
    <col min="7" max="7" width="24.421875" style="1" customWidth="1"/>
    <col min="8" max="8" width="5.28125" style="1" customWidth="1"/>
    <col min="9" max="9" width="30.003906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2.75">
      <c r="A1" s="534" t="s">
        <v>0</v>
      </c>
      <c r="B1" s="534"/>
      <c r="C1" s="534"/>
      <c r="D1" s="534"/>
    </row>
    <row r="2" spans="1:4" ht="12.75">
      <c r="A2" s="533" t="s">
        <v>176</v>
      </c>
      <c r="B2" s="534"/>
      <c r="C2" s="534"/>
      <c r="D2" s="534"/>
    </row>
    <row r="3" spans="1:4" ht="12.75">
      <c r="A3" s="534" t="s">
        <v>1</v>
      </c>
      <c r="B3" s="534"/>
      <c r="C3" s="534"/>
      <c r="D3" s="534"/>
    </row>
    <row r="4" spans="1:4" ht="12.75">
      <c r="A4" s="534" t="s">
        <v>93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spans="1:4" ht="3.75" customHeight="1">
      <c r="A6" s="201"/>
      <c r="B6" s="81"/>
      <c r="C6" s="81"/>
      <c r="D6" s="81"/>
    </row>
    <row r="7" spans="1:4" ht="29.25" customHeight="1">
      <c r="A7" s="543" t="s">
        <v>3</v>
      </c>
      <c r="B7" s="550"/>
      <c r="C7" s="550"/>
      <c r="D7" s="550"/>
    </row>
    <row r="8" spans="1:4" ht="14.25" customHeight="1">
      <c r="A8" s="53" t="s">
        <v>141</v>
      </c>
      <c r="B8" s="23"/>
      <c r="C8" s="23"/>
      <c r="D8" s="23"/>
    </row>
    <row r="9" spans="1:7" ht="12.75">
      <c r="A9" s="94"/>
      <c r="B9" s="94">
        <v>2</v>
      </c>
      <c r="C9" s="94">
        <v>3</v>
      </c>
      <c r="D9" s="95">
        <v>4</v>
      </c>
      <c r="G9" s="35"/>
    </row>
    <row r="10" spans="1:7" ht="12.75">
      <c r="A10" s="65" t="s">
        <v>7</v>
      </c>
      <c r="B10" s="96"/>
      <c r="C10" s="97" t="s">
        <v>190</v>
      </c>
      <c r="D10" s="80"/>
      <c r="G10" s="35"/>
    </row>
    <row r="11" spans="1:7" ht="12.75">
      <c r="A11" s="65" t="s">
        <v>8</v>
      </c>
      <c r="B11" s="96"/>
      <c r="C11" s="97" t="s">
        <v>205</v>
      </c>
      <c r="D11" s="80"/>
      <c r="G11" s="35"/>
    </row>
    <row r="12" spans="1:7" ht="12.75">
      <c r="A12" s="65" t="s">
        <v>9</v>
      </c>
      <c r="B12" s="96"/>
      <c r="C12" s="97" t="s">
        <v>191</v>
      </c>
      <c r="D12" s="80"/>
      <c r="G12" s="35"/>
    </row>
    <row r="13" spans="1:7" ht="24.75" customHeight="1">
      <c r="A13" s="537" t="s">
        <v>10</v>
      </c>
      <c r="B13" s="537"/>
      <c r="C13" s="537"/>
      <c r="D13" s="537"/>
      <c r="G13" s="35"/>
    </row>
    <row r="14" spans="1:7" ht="12.75">
      <c r="A14" s="65" t="s">
        <v>94</v>
      </c>
      <c r="B14" s="98" t="s">
        <v>12</v>
      </c>
      <c r="C14" s="72">
        <v>336183.22556999885</v>
      </c>
      <c r="D14" s="80"/>
      <c r="G14" s="35"/>
    </row>
    <row r="15" spans="1:7" ht="12.75">
      <c r="A15" s="65" t="s">
        <v>13</v>
      </c>
      <c r="B15" s="98" t="s">
        <v>12</v>
      </c>
      <c r="C15" s="99">
        <v>0</v>
      </c>
      <c r="D15" s="80"/>
      <c r="G15" s="35"/>
    </row>
    <row r="16" spans="1:7" ht="12.75">
      <c r="A16" s="65" t="s">
        <v>14</v>
      </c>
      <c r="B16" s="98" t="s">
        <v>12</v>
      </c>
      <c r="C16" s="337">
        <v>149028.8031820003</v>
      </c>
      <c r="D16" s="76"/>
      <c r="G16" s="35"/>
    </row>
    <row r="17" spans="1:8" ht="31.5" customHeight="1">
      <c r="A17" s="64" t="s">
        <v>15</v>
      </c>
      <c r="B17" s="98" t="s">
        <v>12</v>
      </c>
      <c r="C17" s="72">
        <f>1906381.56+11414.1+6627.36+180053.52</f>
        <v>2104476.54</v>
      </c>
      <c r="D17" s="76"/>
      <c r="G17" s="455">
        <f>C17-C19</f>
        <v>1803650.604</v>
      </c>
      <c r="H17" s="303"/>
    </row>
    <row r="18" spans="1:8" ht="12.75">
      <c r="A18" s="65" t="s">
        <v>16</v>
      </c>
      <c r="B18" s="98" t="s">
        <v>12</v>
      </c>
      <c r="C18" s="337">
        <f>C17-C19-C20</f>
        <v>1495092.3</v>
      </c>
      <c r="D18" s="76"/>
      <c r="G18" s="456">
        <f>C17-C19</f>
        <v>1803650.604</v>
      </c>
      <c r="H18" s="303"/>
    </row>
    <row r="19" spans="1:7" ht="12.75">
      <c r="A19" s="65" t="s">
        <v>17</v>
      </c>
      <c r="B19" s="98" t="s">
        <v>12</v>
      </c>
      <c r="C19" s="337">
        <f>6136.8*(2.93+5.24)*6</f>
        <v>300825.936</v>
      </c>
      <c r="D19" s="76"/>
      <c r="G19" s="35">
        <f>E18:G18-E61:G61</f>
        <v>198094.9839999997</v>
      </c>
    </row>
    <row r="20" spans="1:7" ht="12.75">
      <c r="A20" s="65" t="s">
        <v>18</v>
      </c>
      <c r="B20" s="98" t="s">
        <v>12</v>
      </c>
      <c r="C20" s="337">
        <f>6136.8*4.19*12</f>
        <v>308558.304</v>
      </c>
      <c r="D20" s="76"/>
      <c r="G20" s="35"/>
    </row>
    <row r="21" spans="1:7" ht="12.75">
      <c r="A21" s="65" t="s">
        <v>19</v>
      </c>
      <c r="B21" s="98" t="s">
        <v>12</v>
      </c>
      <c r="C21" s="72">
        <f>C22+C23+C24+C25</f>
        <v>2135327.4687420004</v>
      </c>
      <c r="D21" s="76" t="s">
        <v>20</v>
      </c>
      <c r="G21" s="35"/>
    </row>
    <row r="22" spans="1:7" ht="12.75">
      <c r="A22" s="65" t="s">
        <v>21</v>
      </c>
      <c r="B22" s="98" t="s">
        <v>12</v>
      </c>
      <c r="C22" s="72">
        <f>C17*1.0073</f>
        <v>2119839.2187420004</v>
      </c>
      <c r="D22" s="76"/>
      <c r="G22" s="35"/>
    </row>
    <row r="23" spans="1:7" ht="12.75">
      <c r="A23" s="65" t="s">
        <v>22</v>
      </c>
      <c r="B23" s="98" t="s">
        <v>12</v>
      </c>
      <c r="C23" s="338">
        <v>0</v>
      </c>
      <c r="D23" s="101">
        <v>65.21</v>
      </c>
      <c r="G23" s="35"/>
    </row>
    <row r="24" spans="1:7" ht="12.75">
      <c r="A24" s="65" t="s">
        <v>24</v>
      </c>
      <c r="B24" s="98" t="s">
        <v>12</v>
      </c>
      <c r="C24" s="338">
        <v>0</v>
      </c>
      <c r="D24" s="101">
        <v>119.63</v>
      </c>
      <c r="G24" s="35"/>
    </row>
    <row r="25" spans="1:7" ht="12.75">
      <c r="A25" s="96" t="s">
        <v>25</v>
      </c>
      <c r="B25" s="98" t="s">
        <v>12</v>
      </c>
      <c r="C25" s="338">
        <f>6413+4903.57+4171.68</f>
        <v>15488.25</v>
      </c>
      <c r="D25" s="101"/>
      <c r="G25" s="35"/>
    </row>
    <row r="26" spans="1:7" ht="12.75">
      <c r="A26" s="65" t="s">
        <v>26</v>
      </c>
      <c r="B26" s="98" t="s">
        <v>12</v>
      </c>
      <c r="C26" s="338">
        <f>C14+C21</f>
        <v>2471510.6943119993</v>
      </c>
      <c r="D26" s="76" t="s">
        <v>27</v>
      </c>
      <c r="G26" s="35"/>
    </row>
    <row r="27" spans="1:7" ht="28.5" customHeight="1">
      <c r="A27" s="540" t="s">
        <v>28</v>
      </c>
      <c r="B27" s="540"/>
      <c r="C27" s="540"/>
      <c r="D27" s="540"/>
      <c r="G27" s="35"/>
    </row>
    <row r="28" spans="1:7" ht="63.75">
      <c r="A28" s="130" t="s">
        <v>29</v>
      </c>
      <c r="B28" s="172" t="s">
        <v>30</v>
      </c>
      <c r="C28" s="347" t="s">
        <v>31</v>
      </c>
      <c r="D28" s="203" t="s">
        <v>32</v>
      </c>
      <c r="G28" s="35"/>
    </row>
    <row r="29" spans="1:7" ht="12.75">
      <c r="A29" s="115" t="s">
        <v>95</v>
      </c>
      <c r="B29" s="112" t="s">
        <v>34</v>
      </c>
      <c r="C29" s="113" t="s">
        <v>364</v>
      </c>
      <c r="D29" s="339">
        <f>6136.8*12*0.5</f>
        <v>36820.8</v>
      </c>
      <c r="G29" s="35"/>
    </row>
    <row r="30" spans="1:7" ht="12.75">
      <c r="A30" s="115" t="s">
        <v>88</v>
      </c>
      <c r="B30" s="112" t="s">
        <v>36</v>
      </c>
      <c r="C30" s="115" t="s">
        <v>44</v>
      </c>
      <c r="D30" s="339">
        <f>2.4*12*6136.8</f>
        <v>176739.84</v>
      </c>
      <c r="G30" s="35"/>
    </row>
    <row r="31" spans="1:13" s="1" customFormat="1" ht="12.75">
      <c r="A31" s="225" t="s">
        <v>362</v>
      </c>
      <c r="B31" s="112" t="s">
        <v>43</v>
      </c>
      <c r="C31" s="115" t="s">
        <v>363</v>
      </c>
      <c r="D31" s="339">
        <f>0.15*12*6136.8</f>
        <v>11046.24</v>
      </c>
      <c r="G31" s="35"/>
      <c r="J31"/>
      <c r="K31"/>
      <c r="L31"/>
      <c r="M31"/>
    </row>
    <row r="32" spans="1:13" s="1" customFormat="1" ht="12.75">
      <c r="A32" s="115" t="s">
        <v>96</v>
      </c>
      <c r="B32" s="112" t="s">
        <v>34</v>
      </c>
      <c r="C32" s="115" t="s">
        <v>41</v>
      </c>
      <c r="D32" s="339">
        <f>0.24*12*6136.8</f>
        <v>17673.984</v>
      </c>
      <c r="G32" s="35"/>
      <c r="J32"/>
      <c r="K32"/>
      <c r="L32"/>
      <c r="M32"/>
    </row>
    <row r="33" spans="1:13" s="1" customFormat="1" ht="12.75">
      <c r="A33" s="115" t="s">
        <v>42</v>
      </c>
      <c r="B33" s="112" t="s">
        <v>34</v>
      </c>
      <c r="C33" s="115" t="s">
        <v>44</v>
      </c>
      <c r="D33" s="339">
        <f>0.73*12*6136.8</f>
        <v>53758.368</v>
      </c>
      <c r="G33" s="35"/>
      <c r="J33"/>
      <c r="K33"/>
      <c r="L33"/>
      <c r="M33"/>
    </row>
    <row r="34" spans="1:13" s="1" customFormat="1" ht="12.75">
      <c r="A34" s="115" t="s">
        <v>97</v>
      </c>
      <c r="B34" s="112" t="s">
        <v>34</v>
      </c>
      <c r="C34" s="115" t="s">
        <v>44</v>
      </c>
      <c r="D34" s="339">
        <f>(2.06+1.95)*6*6136.8</f>
        <v>147651.408</v>
      </c>
      <c r="G34" s="35"/>
      <c r="J34"/>
      <c r="K34"/>
      <c r="L34"/>
      <c r="M34"/>
    </row>
    <row r="35" spans="1:13" s="1" customFormat="1" ht="12.75">
      <c r="A35" s="115" t="s">
        <v>46</v>
      </c>
      <c r="B35" s="112" t="s">
        <v>47</v>
      </c>
      <c r="C35" s="115" t="s">
        <v>44</v>
      </c>
      <c r="D35" s="339">
        <f>1.33*12*6136.8</f>
        <v>97943.32800000001</v>
      </c>
      <c r="G35" s="35"/>
      <c r="J35"/>
      <c r="K35"/>
      <c r="L35"/>
      <c r="M35"/>
    </row>
    <row r="36" spans="1:13" s="1" customFormat="1" ht="12.75">
      <c r="A36" s="115" t="s">
        <v>98</v>
      </c>
      <c r="B36" s="112" t="s">
        <v>38</v>
      </c>
      <c r="C36" s="225" t="s">
        <v>168</v>
      </c>
      <c r="D36" s="339">
        <f>4.19*12*6136.8</f>
        <v>308558.304</v>
      </c>
      <c r="G36" s="35"/>
      <c r="J36"/>
      <c r="K36"/>
      <c r="L36"/>
      <c r="M36"/>
    </row>
    <row r="37" spans="1:13" s="1" customFormat="1" ht="12.75">
      <c r="A37" s="115" t="s">
        <v>99</v>
      </c>
      <c r="B37" s="116" t="s">
        <v>36</v>
      </c>
      <c r="C37" s="115" t="s">
        <v>44</v>
      </c>
      <c r="D37" s="339">
        <f>2.5*12*6136.8</f>
        <v>184104</v>
      </c>
      <c r="G37" s="35"/>
      <c r="J37"/>
      <c r="K37"/>
      <c r="L37"/>
      <c r="M37"/>
    </row>
    <row r="38" spans="1:13" s="1" customFormat="1" ht="12.75">
      <c r="A38" s="115" t="s">
        <v>91</v>
      </c>
      <c r="B38" s="112" t="s">
        <v>38</v>
      </c>
      <c r="C38" s="115" t="s">
        <v>51</v>
      </c>
      <c r="D38" s="76">
        <v>366535.7</v>
      </c>
      <c r="G38" s="35"/>
      <c r="J38"/>
      <c r="K38"/>
      <c r="L38"/>
      <c r="M38"/>
    </row>
    <row r="39" spans="1:13" s="1" customFormat="1" ht="12.75">
      <c r="A39" s="225" t="s">
        <v>52</v>
      </c>
      <c r="B39" s="112" t="s">
        <v>36</v>
      </c>
      <c r="C39" s="113" t="s">
        <v>188</v>
      </c>
      <c r="D39" s="339">
        <f>2.56*12*6136.8</f>
        <v>188522.49599999998</v>
      </c>
      <c r="G39" s="35"/>
      <c r="J39"/>
      <c r="K39"/>
      <c r="L39"/>
      <c r="M39"/>
    </row>
    <row r="40" spans="1:13" s="1" customFormat="1" ht="12.75">
      <c r="A40" s="204" t="s">
        <v>101</v>
      </c>
      <c r="B40" s="340" t="s">
        <v>174</v>
      </c>
      <c r="C40" s="115" t="s">
        <v>41</v>
      </c>
      <c r="D40" s="75">
        <f>6136.8*(0.27+0.17)*6</f>
        <v>16201.152000000002</v>
      </c>
      <c r="G40" s="35"/>
      <c r="J40"/>
      <c r="K40"/>
      <c r="L40"/>
      <c r="M40"/>
    </row>
    <row r="41" spans="1:13" s="1" customFormat="1" ht="25.5">
      <c r="A41" s="205" t="s">
        <v>146</v>
      </c>
      <c r="B41" s="341"/>
      <c r="C41" s="71"/>
      <c r="D41" s="75"/>
      <c r="G41" s="35"/>
      <c r="J41"/>
      <c r="K41"/>
      <c r="L41"/>
      <c r="M41"/>
    </row>
    <row r="42" spans="1:13" s="1" customFormat="1" ht="25.5">
      <c r="A42" s="204" t="s">
        <v>144</v>
      </c>
      <c r="B42" s="341" t="s">
        <v>38</v>
      </c>
      <c r="C42" s="71" t="s">
        <v>147</v>
      </c>
      <c r="D42" s="75">
        <f>11414+6627.36</f>
        <v>18041.36</v>
      </c>
      <c r="G42" s="35"/>
      <c r="J42"/>
      <c r="K42"/>
      <c r="L42"/>
      <c r="M42"/>
    </row>
    <row r="43" spans="1:13" s="1" customFormat="1" ht="12.75">
      <c r="A43" s="204" t="s">
        <v>145</v>
      </c>
      <c r="B43" s="341" t="s">
        <v>38</v>
      </c>
      <c r="C43" s="71" t="s">
        <v>148</v>
      </c>
      <c r="D43" s="75">
        <v>180053.52</v>
      </c>
      <c r="G43" s="35"/>
      <c r="J43"/>
      <c r="K43"/>
      <c r="L43"/>
      <c r="M43"/>
    </row>
    <row r="44" spans="1:13" s="1" customFormat="1" ht="49.5" customHeight="1">
      <c r="A44" s="206" t="s">
        <v>130</v>
      </c>
      <c r="B44" s="207" t="s">
        <v>53</v>
      </c>
      <c r="C44" s="130"/>
      <c r="D44" s="377">
        <f>D45+D46+D47+D48+D49+D50+D51+D52+D53+D54+D55+D56+D57+D58+D59+D60</f>
        <v>307701.14999999997</v>
      </c>
      <c r="G44" s="35"/>
      <c r="J44"/>
      <c r="K44"/>
      <c r="L44"/>
      <c r="M44"/>
    </row>
    <row r="45" spans="1:13" s="1" customFormat="1" ht="27.75" customHeight="1">
      <c r="A45" s="342" t="s">
        <v>257</v>
      </c>
      <c r="B45" s="343" t="s">
        <v>258</v>
      </c>
      <c r="C45" s="115" t="s">
        <v>44</v>
      </c>
      <c r="D45" s="344">
        <f>2335+7441+5981+3807</f>
        <v>19564</v>
      </c>
      <c r="G45" s="35"/>
      <c r="J45"/>
      <c r="K45"/>
      <c r="L45"/>
      <c r="M45"/>
    </row>
    <row r="46" spans="1:13" s="1" customFormat="1" ht="24" customHeight="1">
      <c r="A46" s="342" t="s">
        <v>256</v>
      </c>
      <c r="B46" s="343" t="s">
        <v>210</v>
      </c>
      <c r="C46" s="115" t="s">
        <v>44</v>
      </c>
      <c r="D46" s="344">
        <v>54202</v>
      </c>
      <c r="G46" s="35"/>
      <c r="J46"/>
      <c r="K46"/>
      <c r="L46"/>
      <c r="M46"/>
    </row>
    <row r="47" spans="1:13" s="1" customFormat="1" ht="31.5" customHeight="1">
      <c r="A47" s="342" t="s">
        <v>263</v>
      </c>
      <c r="B47" s="343" t="s">
        <v>264</v>
      </c>
      <c r="C47" s="115" t="s">
        <v>44</v>
      </c>
      <c r="D47" s="344">
        <f>2134+2711+1909+1484</f>
        <v>8238</v>
      </c>
      <c r="G47" s="35"/>
      <c r="J47"/>
      <c r="K47"/>
      <c r="L47"/>
      <c r="M47"/>
    </row>
    <row r="48" spans="1:13" s="1" customFormat="1" ht="32.25" customHeight="1">
      <c r="A48" s="342" t="s">
        <v>193</v>
      </c>
      <c r="B48" s="345" t="s">
        <v>120</v>
      </c>
      <c r="C48" s="202" t="s">
        <v>37</v>
      </c>
      <c r="D48" s="344">
        <v>270</v>
      </c>
      <c r="G48" s="35"/>
      <c r="J48"/>
      <c r="K48"/>
      <c r="L48"/>
      <c r="M48"/>
    </row>
    <row r="49" spans="1:13" s="1" customFormat="1" ht="21.75" customHeight="1">
      <c r="A49" s="206" t="s">
        <v>230</v>
      </c>
      <c r="B49" s="345" t="s">
        <v>167</v>
      </c>
      <c r="C49" s="204" t="s">
        <v>44</v>
      </c>
      <c r="D49" s="372">
        <f>254+1111</f>
        <v>1365</v>
      </c>
      <c r="G49" s="35"/>
      <c r="J49"/>
      <c r="K49"/>
      <c r="L49"/>
      <c r="M49"/>
    </row>
    <row r="50" spans="1:13" s="1" customFormat="1" ht="29.25" customHeight="1">
      <c r="A50" s="206" t="s">
        <v>241</v>
      </c>
      <c r="B50" s="373" t="s">
        <v>127</v>
      </c>
      <c r="C50" s="346" t="s">
        <v>196</v>
      </c>
      <c r="D50" s="372">
        <v>681</v>
      </c>
      <c r="G50" s="35"/>
      <c r="J50"/>
      <c r="K50"/>
      <c r="L50"/>
      <c r="M50"/>
    </row>
    <row r="51" spans="1:13" s="1" customFormat="1" ht="15" customHeight="1">
      <c r="A51" s="206" t="s">
        <v>242</v>
      </c>
      <c r="B51" s="375" t="s">
        <v>129</v>
      </c>
      <c r="C51" s="374" t="s">
        <v>44</v>
      </c>
      <c r="D51" s="372">
        <v>198.6</v>
      </c>
      <c r="G51" s="35"/>
      <c r="J51"/>
      <c r="K51"/>
      <c r="L51"/>
      <c r="M51"/>
    </row>
    <row r="52" spans="1:13" s="1" customFormat="1" ht="23.25" customHeight="1">
      <c r="A52" s="342" t="s">
        <v>170</v>
      </c>
      <c r="B52" s="345" t="s">
        <v>259</v>
      </c>
      <c r="C52" s="346" t="s">
        <v>228</v>
      </c>
      <c r="D52" s="344">
        <f>1825+8381</f>
        <v>10206</v>
      </c>
      <c r="G52" s="35"/>
      <c r="J52"/>
      <c r="K52"/>
      <c r="L52"/>
      <c r="M52"/>
    </row>
    <row r="53" spans="1:13" s="1" customFormat="1" ht="24.75" customHeight="1">
      <c r="A53" s="342" t="s">
        <v>260</v>
      </c>
      <c r="B53" s="345" t="s">
        <v>122</v>
      </c>
      <c r="C53" s="202" t="s">
        <v>198</v>
      </c>
      <c r="D53" s="344">
        <v>450</v>
      </c>
      <c r="G53" s="35"/>
      <c r="J53"/>
      <c r="K53"/>
      <c r="L53"/>
      <c r="M53"/>
    </row>
    <row r="54" spans="1:13" s="1" customFormat="1" ht="19.5" customHeight="1">
      <c r="A54" s="206" t="s">
        <v>261</v>
      </c>
      <c r="B54" s="373" t="s">
        <v>169</v>
      </c>
      <c r="C54" s="374" t="s">
        <v>204</v>
      </c>
      <c r="D54" s="372">
        <f>33700+45407</f>
        <v>79107</v>
      </c>
      <c r="G54" s="35"/>
      <c r="J54"/>
      <c r="K54"/>
      <c r="L54"/>
      <c r="M54"/>
    </row>
    <row r="55" spans="1:13" s="1" customFormat="1" ht="19.5" customHeight="1">
      <c r="A55" s="206" t="s">
        <v>267</v>
      </c>
      <c r="B55" s="373" t="s">
        <v>123</v>
      </c>
      <c r="C55" s="374" t="s">
        <v>211</v>
      </c>
      <c r="D55" s="372">
        <v>112483</v>
      </c>
      <c r="G55" s="35"/>
      <c r="J55"/>
      <c r="K55"/>
      <c r="L55"/>
      <c r="M55"/>
    </row>
    <row r="56" spans="1:13" s="1" customFormat="1" ht="29.25" customHeight="1">
      <c r="A56" s="206" t="s">
        <v>268</v>
      </c>
      <c r="B56" s="373" t="s">
        <v>123</v>
      </c>
      <c r="C56" s="346" t="s">
        <v>37</v>
      </c>
      <c r="D56" s="372">
        <v>7398.55</v>
      </c>
      <c r="G56" s="35"/>
      <c r="J56"/>
      <c r="K56"/>
      <c r="L56"/>
      <c r="M56"/>
    </row>
    <row r="57" spans="1:13" s="1" customFormat="1" ht="18" customHeight="1">
      <c r="A57" s="206" t="s">
        <v>244</v>
      </c>
      <c r="B57" s="375" t="s">
        <v>125</v>
      </c>
      <c r="C57" s="374" t="s">
        <v>44</v>
      </c>
      <c r="D57" s="372">
        <v>3330</v>
      </c>
      <c r="G57" s="35"/>
      <c r="J57"/>
      <c r="K57"/>
      <c r="L57"/>
      <c r="M57"/>
    </row>
    <row r="58" spans="1:13" s="1" customFormat="1" ht="18.75" customHeight="1">
      <c r="A58" s="206" t="s">
        <v>262</v>
      </c>
      <c r="B58" s="375" t="s">
        <v>123</v>
      </c>
      <c r="C58" s="374" t="s">
        <v>44</v>
      </c>
      <c r="D58" s="372">
        <v>1629</v>
      </c>
      <c r="G58" s="35"/>
      <c r="J58"/>
      <c r="K58"/>
      <c r="L58"/>
      <c r="M58"/>
    </row>
    <row r="59" spans="1:13" s="1" customFormat="1" ht="17.25" customHeight="1">
      <c r="A59" s="342" t="s">
        <v>265</v>
      </c>
      <c r="B59" s="345" t="s">
        <v>128</v>
      </c>
      <c r="C59" s="374" t="s">
        <v>44</v>
      </c>
      <c r="D59" s="344">
        <v>79</v>
      </c>
      <c r="G59" s="35"/>
      <c r="J59"/>
      <c r="K59"/>
      <c r="L59"/>
      <c r="M59"/>
    </row>
    <row r="60" spans="1:13" s="1" customFormat="1" ht="39" customHeight="1">
      <c r="A60" s="342" t="s">
        <v>266</v>
      </c>
      <c r="B60" s="345" t="s">
        <v>128</v>
      </c>
      <c r="C60" s="347" t="s">
        <v>143</v>
      </c>
      <c r="D60" s="344">
        <v>8500</v>
      </c>
      <c r="G60" s="35"/>
      <c r="J60"/>
      <c r="K60"/>
      <c r="L60"/>
      <c r="M60"/>
    </row>
    <row r="61" spans="1:13" s="1" customFormat="1" ht="12.75">
      <c r="A61" s="24" t="s">
        <v>54</v>
      </c>
      <c r="B61" s="112"/>
      <c r="C61" s="115"/>
      <c r="D61" s="358">
        <f>D29+D30+D31+D32+D33+D34+D35+D36+D37+D38+D39+D40+D42+D43+D44</f>
        <v>2111351.6500000004</v>
      </c>
      <c r="G61" s="456">
        <f>D61-D42-D43-D44</f>
        <v>1605555.6200000003</v>
      </c>
      <c r="J61"/>
      <c r="K61"/>
      <c r="L61"/>
      <c r="M61"/>
    </row>
    <row r="62" spans="1:13" s="1" customFormat="1" ht="12.75">
      <c r="A62" s="24" t="s">
        <v>55</v>
      </c>
      <c r="B62" s="112" t="s">
        <v>12</v>
      </c>
      <c r="C62" s="115"/>
      <c r="D62" s="76">
        <f>C26-D61</f>
        <v>360159.0443119989</v>
      </c>
      <c r="G62" s="456"/>
      <c r="J62"/>
      <c r="K62"/>
      <c r="L62"/>
      <c r="M62"/>
    </row>
    <row r="63" spans="1:7" ht="12.75">
      <c r="A63" s="115" t="s">
        <v>13</v>
      </c>
      <c r="B63" s="112" t="s">
        <v>12</v>
      </c>
      <c r="C63" s="115"/>
      <c r="D63" s="80">
        <v>0</v>
      </c>
      <c r="G63" s="35"/>
    </row>
    <row r="64" spans="1:7" ht="12.75">
      <c r="A64" s="115" t="s">
        <v>14</v>
      </c>
      <c r="B64" s="112" t="s">
        <v>12</v>
      </c>
      <c r="C64" s="115"/>
      <c r="D64" s="76">
        <v>288592.9</v>
      </c>
      <c r="G64" s="35"/>
    </row>
    <row r="65" spans="1:7" ht="24" customHeight="1">
      <c r="A65" s="539" t="s">
        <v>56</v>
      </c>
      <c r="B65" s="539"/>
      <c r="C65" s="539"/>
      <c r="D65" s="539"/>
      <c r="G65" s="35"/>
    </row>
    <row r="66" spans="1:7" ht="12.75">
      <c r="A66" s="115" t="s">
        <v>57</v>
      </c>
      <c r="B66" s="112" t="s">
        <v>58</v>
      </c>
      <c r="C66" s="115"/>
      <c r="D66" s="80">
        <v>0</v>
      </c>
      <c r="G66" s="35"/>
    </row>
    <row r="67" spans="1:7" ht="12.75">
      <c r="A67" s="115" t="s">
        <v>59</v>
      </c>
      <c r="B67" s="112" t="s">
        <v>58</v>
      </c>
      <c r="C67" s="115"/>
      <c r="D67" s="80">
        <v>0</v>
      </c>
      <c r="G67" s="35"/>
    </row>
    <row r="68" spans="1:7" ht="12.75">
      <c r="A68" s="130" t="s">
        <v>60</v>
      </c>
      <c r="B68" s="112" t="s">
        <v>58</v>
      </c>
      <c r="C68" s="115"/>
      <c r="D68" s="80">
        <v>0</v>
      </c>
      <c r="G68" s="35"/>
    </row>
    <row r="69" spans="1:7" ht="12.75">
      <c r="A69" s="115" t="s">
        <v>61</v>
      </c>
      <c r="B69" s="112" t="s">
        <v>12</v>
      </c>
      <c r="C69" s="115"/>
      <c r="D69" s="80">
        <v>0</v>
      </c>
      <c r="G69" s="35"/>
    </row>
    <row r="70" spans="1:7" ht="20.25" customHeight="1">
      <c r="A70" s="540" t="s">
        <v>62</v>
      </c>
      <c r="B70" s="540"/>
      <c r="C70" s="540"/>
      <c r="D70" s="540"/>
      <c r="G70" s="35"/>
    </row>
    <row r="71" spans="1:7" ht="25.5">
      <c r="A71" s="130" t="s">
        <v>63</v>
      </c>
      <c r="B71" s="112" t="s">
        <v>12</v>
      </c>
      <c r="C71" s="115"/>
      <c r="D71" s="80">
        <v>0</v>
      </c>
      <c r="G71" s="35"/>
    </row>
    <row r="72" spans="1:7" ht="12.75">
      <c r="A72" s="115" t="s">
        <v>13</v>
      </c>
      <c r="B72" s="112" t="s">
        <v>12</v>
      </c>
      <c r="C72" s="115"/>
      <c r="D72" s="80">
        <v>0</v>
      </c>
      <c r="G72" s="35"/>
    </row>
    <row r="73" spans="1:7" ht="12.75">
      <c r="A73" s="115" t="s">
        <v>14</v>
      </c>
      <c r="B73" s="112" t="s">
        <v>12</v>
      </c>
      <c r="C73" s="115"/>
      <c r="D73" s="359">
        <f>D76-D79-D80-D81-D82-D83</f>
        <v>510431.20418300014</v>
      </c>
      <c r="G73" s="37"/>
    </row>
    <row r="74" spans="1:7" ht="12.75">
      <c r="A74" s="132" t="s">
        <v>102</v>
      </c>
      <c r="B74" s="112" t="s">
        <v>12</v>
      </c>
      <c r="C74" s="348"/>
      <c r="D74" s="134">
        <v>0</v>
      </c>
      <c r="G74" s="35"/>
    </row>
    <row r="75" spans="1:9" ht="17.25" customHeight="1">
      <c r="A75" s="135" t="s">
        <v>13</v>
      </c>
      <c r="B75" s="112" t="s">
        <v>12</v>
      </c>
      <c r="C75" s="115"/>
      <c r="D75" s="80">
        <v>0</v>
      </c>
      <c r="G75" s="35"/>
      <c r="H75" s="3"/>
      <c r="I75" s="3"/>
    </row>
    <row r="76" spans="1:13" ht="12.75">
      <c r="A76" s="136" t="s">
        <v>14</v>
      </c>
      <c r="B76" s="112" t="s">
        <v>12</v>
      </c>
      <c r="C76" s="208"/>
      <c r="D76" s="360">
        <v>487359.33</v>
      </c>
      <c r="G76" s="35" t="s">
        <v>27</v>
      </c>
      <c r="H76" s="4"/>
      <c r="I76" s="4"/>
      <c r="J76" s="5"/>
      <c r="K76" s="5"/>
      <c r="L76" s="5"/>
      <c r="M76" s="5"/>
    </row>
    <row r="77" spans="1:13" ht="18" customHeight="1" thickBot="1">
      <c r="A77" s="541" t="s">
        <v>65</v>
      </c>
      <c r="B77" s="541"/>
      <c r="C77" s="541"/>
      <c r="D77" s="541"/>
      <c r="E77" s="7"/>
      <c r="F77" s="8"/>
      <c r="G77" s="35"/>
      <c r="H77" s="9"/>
      <c r="I77" s="9"/>
      <c r="J77" s="10"/>
      <c r="K77" s="10"/>
      <c r="L77" s="10"/>
      <c r="M77" s="10"/>
    </row>
    <row r="78" spans="1:13" ht="63.75">
      <c r="A78" s="256" t="s">
        <v>66</v>
      </c>
      <c r="B78" s="12" t="s">
        <v>67</v>
      </c>
      <c r="C78" s="54" t="s">
        <v>68</v>
      </c>
      <c r="D78" s="361" t="s">
        <v>69</v>
      </c>
      <c r="E78" s="7"/>
      <c r="F78" s="8"/>
      <c r="G78" s="35"/>
      <c r="H78" s="9"/>
      <c r="I78" s="9"/>
      <c r="J78" s="10"/>
      <c r="K78" s="10"/>
      <c r="L78" s="10"/>
      <c r="M78" s="10"/>
    </row>
    <row r="79" spans="1:13" ht="12.75">
      <c r="A79" s="392" t="s">
        <v>368</v>
      </c>
      <c r="B79" s="25">
        <v>393390.52</v>
      </c>
      <c r="C79" s="457">
        <f>B79</f>
        <v>393390.52</v>
      </c>
      <c r="D79" s="458">
        <f>B79-C79</f>
        <v>0</v>
      </c>
      <c r="E79" s="7"/>
      <c r="F79" s="8"/>
      <c r="G79" s="35"/>
      <c r="H79" s="9"/>
      <c r="I79" s="9"/>
      <c r="J79" s="10"/>
      <c r="K79" s="10"/>
      <c r="L79" s="10"/>
      <c r="M79" s="10"/>
    </row>
    <row r="80" spans="1:13" ht="12.75">
      <c r="A80" s="140" t="s">
        <v>70</v>
      </c>
      <c r="B80" s="99">
        <v>242077.37</v>
      </c>
      <c r="C80" s="457">
        <f>B80*1.0073</f>
        <v>243844.534801</v>
      </c>
      <c r="D80" s="458">
        <f>B80-C80</f>
        <v>-1767.1648010000063</v>
      </c>
      <c r="E80" s="7"/>
      <c r="F80" s="8"/>
      <c r="G80" s="35"/>
      <c r="H80" s="9"/>
      <c r="I80" s="9"/>
      <c r="J80" s="10"/>
      <c r="K80" s="10"/>
      <c r="L80" s="10"/>
      <c r="M80" s="10"/>
    </row>
    <row r="81" spans="1:13" ht="12.75">
      <c r="A81" s="140" t="s">
        <v>71</v>
      </c>
      <c r="B81" s="99">
        <v>427793.35</v>
      </c>
      <c r="C81" s="457">
        <f>B81*1.0073</f>
        <v>430916.241455</v>
      </c>
      <c r="D81" s="458">
        <f>B81-C81</f>
        <v>-3122.8914550000336</v>
      </c>
      <c r="E81" s="7"/>
      <c r="F81" s="8"/>
      <c r="G81" s="35"/>
      <c r="H81" s="9"/>
      <c r="I81" s="9"/>
      <c r="J81" s="10"/>
      <c r="K81" s="10"/>
      <c r="L81" s="10"/>
      <c r="M81" s="10"/>
    </row>
    <row r="82" spans="1:13" ht="12.75">
      <c r="A82" s="140" t="s">
        <v>72</v>
      </c>
      <c r="B82" s="139">
        <v>1871385.84</v>
      </c>
      <c r="C82" s="457">
        <f>B82*1.0073</f>
        <v>1885046.9566320002</v>
      </c>
      <c r="D82" s="458">
        <f>B82-C82</f>
        <v>-13661.116632000078</v>
      </c>
      <c r="E82" s="16"/>
      <c r="F82" s="17"/>
      <c r="G82" s="40"/>
      <c r="H82" s="9"/>
      <c r="I82" s="9"/>
      <c r="J82" s="10"/>
      <c r="K82" s="10"/>
      <c r="L82" s="10"/>
      <c r="M82" s="10"/>
    </row>
    <row r="83" spans="1:13" ht="13.5" thickBot="1">
      <c r="A83" s="140" t="s">
        <v>73</v>
      </c>
      <c r="B83" s="139">
        <v>619274.15</v>
      </c>
      <c r="C83" s="457">
        <f>B83*1.0073</f>
        <v>623794.8512950001</v>
      </c>
      <c r="D83" s="458">
        <f>B83-C83</f>
        <v>-4520.701295000035</v>
      </c>
      <c r="E83" s="16"/>
      <c r="F83" s="17"/>
      <c r="G83" s="35"/>
      <c r="H83" s="9"/>
      <c r="I83" s="9"/>
      <c r="J83" s="10"/>
      <c r="K83" s="10"/>
      <c r="L83" s="10"/>
      <c r="M83" s="10"/>
    </row>
    <row r="84" spans="1:13" ht="96" customHeight="1">
      <c r="A84" s="30" t="s">
        <v>75</v>
      </c>
      <c r="B84" s="31" t="s">
        <v>76</v>
      </c>
      <c r="C84" s="56" t="s">
        <v>77</v>
      </c>
      <c r="D84" s="57" t="s">
        <v>78</v>
      </c>
      <c r="E84" s="29"/>
      <c r="G84" s="39"/>
      <c r="H84" s="9"/>
      <c r="I84" s="9"/>
      <c r="J84" s="10"/>
      <c r="K84" s="10"/>
      <c r="L84" s="10"/>
      <c r="M84" s="10"/>
    </row>
    <row r="85" spans="1:13" ht="16.5" customHeight="1">
      <c r="A85" s="397" t="s">
        <v>368</v>
      </c>
      <c r="B85" s="390">
        <v>393390.52</v>
      </c>
      <c r="C85" s="60">
        <f>C79</f>
        <v>393390.52</v>
      </c>
      <c r="D85" s="394">
        <f>B85-C85</f>
        <v>0</v>
      </c>
      <c r="E85" s="29"/>
      <c r="G85" s="39"/>
      <c r="H85" s="9"/>
      <c r="I85" s="9"/>
      <c r="J85" s="10"/>
      <c r="K85" s="10"/>
      <c r="L85" s="10"/>
      <c r="M85" s="10"/>
    </row>
    <row r="86" spans="1:13" ht="12.75">
      <c r="A86" s="211" t="s">
        <v>70</v>
      </c>
      <c r="B86" s="212">
        <f>B80</f>
        <v>242077.37</v>
      </c>
      <c r="C86" s="459">
        <f>C80</f>
        <v>243844.534801</v>
      </c>
      <c r="D86" s="460">
        <f>B86-C86</f>
        <v>-1767.1648010000063</v>
      </c>
      <c r="E86" s="29"/>
      <c r="G86" s="39"/>
      <c r="H86" s="9"/>
      <c r="I86" s="9" t="s">
        <v>27</v>
      </c>
      <c r="J86" s="10"/>
      <c r="K86" s="10"/>
      <c r="L86" s="10"/>
      <c r="M86" s="10"/>
    </row>
    <row r="87" spans="1:13" ht="12.75">
      <c r="A87" s="211" t="s">
        <v>71</v>
      </c>
      <c r="B87" s="212">
        <f>B81</f>
        <v>427793.35</v>
      </c>
      <c r="C87" s="459">
        <f>C81</f>
        <v>430916.241455</v>
      </c>
      <c r="D87" s="460">
        <f>B87-C87</f>
        <v>-3122.8914550000336</v>
      </c>
      <c r="E87" s="29"/>
      <c r="G87" s="39"/>
      <c r="H87" s="9"/>
      <c r="I87" s="9"/>
      <c r="J87" s="10"/>
      <c r="K87" s="10"/>
      <c r="L87" s="10"/>
      <c r="M87" s="10"/>
    </row>
    <row r="88" spans="1:13" ht="12.75">
      <c r="A88" s="211" t="s">
        <v>72</v>
      </c>
      <c r="B88" s="212">
        <v>1866539.4</v>
      </c>
      <c r="C88" s="457">
        <f>C82</f>
        <v>1885046.9566320002</v>
      </c>
      <c r="D88" s="460">
        <f>B88-C88</f>
        <v>-18507.556632000254</v>
      </c>
      <c r="E88" s="29"/>
      <c r="G88" s="39"/>
      <c r="H88" s="9"/>
      <c r="I88" s="9"/>
      <c r="J88" s="10"/>
      <c r="K88" s="10"/>
      <c r="L88" s="10"/>
      <c r="M88" s="10"/>
    </row>
    <row r="89" spans="1:13" ht="12.75">
      <c r="A89" s="211" t="s">
        <v>73</v>
      </c>
      <c r="B89" s="212">
        <f>B83</f>
        <v>619274.15</v>
      </c>
      <c r="C89" s="459">
        <f>C83</f>
        <v>623794.8512950001</v>
      </c>
      <c r="D89" s="460">
        <f>B89-C89</f>
        <v>-4520.701295000035</v>
      </c>
      <c r="E89" s="29"/>
      <c r="G89" s="39"/>
      <c r="H89" s="9"/>
      <c r="I89" s="9"/>
      <c r="J89" s="10"/>
      <c r="K89" s="10"/>
      <c r="L89" s="10"/>
      <c r="M89" s="10"/>
    </row>
    <row r="90" spans="1:13" ht="12.75">
      <c r="A90" s="218"/>
      <c r="B90" s="144"/>
      <c r="C90" s="461"/>
      <c r="D90" s="462"/>
      <c r="E90" s="16"/>
      <c r="G90" s="39"/>
      <c r="H90" s="9"/>
      <c r="I90" s="9"/>
      <c r="J90" s="10"/>
      <c r="K90" s="10"/>
      <c r="L90" s="10"/>
      <c r="M90" s="10"/>
    </row>
    <row r="91" spans="1:13" ht="24" customHeight="1">
      <c r="A91" s="221" t="s">
        <v>79</v>
      </c>
      <c r="B91" s="144" t="s">
        <v>12</v>
      </c>
      <c r="C91" s="463"/>
      <c r="D91" s="464">
        <v>129745.38</v>
      </c>
      <c r="E91" s="16"/>
      <c r="G91" s="39"/>
      <c r="H91" s="9"/>
      <c r="I91" s="9" t="s">
        <v>27</v>
      </c>
      <c r="J91" s="10"/>
      <c r="K91" s="10"/>
      <c r="L91" s="10"/>
      <c r="M91" s="10"/>
    </row>
    <row r="92" spans="1:13" ht="17.25" customHeight="1" thickBot="1">
      <c r="A92" s="542" t="s">
        <v>80</v>
      </c>
      <c r="B92" s="542"/>
      <c r="C92" s="542"/>
      <c r="D92" s="542"/>
      <c r="E92" s="9"/>
      <c r="G92" s="41" t="e">
        <f>#REF!-B17</f>
        <v>#REF!</v>
      </c>
      <c r="H92" s="9"/>
      <c r="I92" s="9"/>
      <c r="J92" s="10"/>
      <c r="K92" s="10"/>
      <c r="L92" s="10"/>
      <c r="M92" s="10"/>
    </row>
    <row r="93" spans="1:7" ht="21" customHeight="1">
      <c r="A93" s="349" t="s">
        <v>57</v>
      </c>
      <c r="B93" s="350" t="s">
        <v>58</v>
      </c>
      <c r="C93" s="351">
        <v>0</v>
      </c>
      <c r="D93" s="465">
        <v>1</v>
      </c>
      <c r="G93" s="35"/>
    </row>
    <row r="94" spans="1:7" ht="21" customHeight="1">
      <c r="A94" s="352" t="s">
        <v>59</v>
      </c>
      <c r="B94" s="20" t="s">
        <v>58</v>
      </c>
      <c r="C94" s="28">
        <v>0</v>
      </c>
      <c r="D94" s="466">
        <v>1</v>
      </c>
      <c r="G94" s="35"/>
    </row>
    <row r="95" spans="1:13" s="1" customFormat="1" ht="18" customHeight="1">
      <c r="A95" s="352" t="s">
        <v>60</v>
      </c>
      <c r="B95" s="20" t="s">
        <v>58</v>
      </c>
      <c r="C95" s="28">
        <v>0</v>
      </c>
      <c r="D95" s="466">
        <v>0</v>
      </c>
      <c r="G95" s="35"/>
      <c r="J95"/>
      <c r="K95"/>
      <c r="L95"/>
      <c r="M95"/>
    </row>
    <row r="96" spans="1:13" s="1" customFormat="1" ht="16.5" customHeight="1" thickBot="1">
      <c r="A96" s="353" t="s">
        <v>61</v>
      </c>
      <c r="B96" s="354" t="s">
        <v>12</v>
      </c>
      <c r="C96" s="355">
        <v>0</v>
      </c>
      <c r="D96" s="356">
        <v>1731.92</v>
      </c>
      <c r="G96" s="35"/>
      <c r="J96"/>
      <c r="K96"/>
      <c r="L96"/>
      <c r="M96"/>
    </row>
    <row r="97" spans="1:13" s="1" customFormat="1" ht="15.75" customHeight="1" thickBot="1">
      <c r="A97" s="529" t="s">
        <v>81</v>
      </c>
      <c r="B97" s="529"/>
      <c r="C97" s="529"/>
      <c r="D97" s="529"/>
      <c r="G97" s="35"/>
      <c r="J97"/>
      <c r="K97"/>
      <c r="L97"/>
      <c r="M97"/>
    </row>
    <row r="98" spans="1:13" s="1" customFormat="1" ht="18.75" customHeight="1">
      <c r="A98" s="349" t="s">
        <v>82</v>
      </c>
      <c r="B98" s="350" t="s">
        <v>58</v>
      </c>
      <c r="C98" s="351"/>
      <c r="D98" s="467">
        <v>4</v>
      </c>
      <c r="G98" s="35"/>
      <c r="J98"/>
      <c r="K98"/>
      <c r="L98"/>
      <c r="M98"/>
    </row>
    <row r="99" spans="1:13" s="1" customFormat="1" ht="21.75" customHeight="1">
      <c r="A99" s="352" t="s">
        <v>83</v>
      </c>
      <c r="B99" s="135" t="s">
        <v>58</v>
      </c>
      <c r="C99" s="145"/>
      <c r="D99" s="468">
        <v>2</v>
      </c>
      <c r="G99" s="35"/>
      <c r="J99"/>
      <c r="K99"/>
      <c r="L99"/>
      <c r="M99"/>
    </row>
    <row r="100" spans="1:13" s="1" customFormat="1" ht="28.5" customHeight="1" thickBot="1">
      <c r="A100" s="357" t="s">
        <v>84</v>
      </c>
      <c r="B100" s="354" t="s">
        <v>12</v>
      </c>
      <c r="C100" s="355"/>
      <c r="D100" s="362">
        <v>29700</v>
      </c>
      <c r="G100" s="35"/>
      <c r="J100"/>
      <c r="K100"/>
      <c r="L100"/>
      <c r="M100"/>
    </row>
    <row r="101" spans="1:13" s="1" customFormat="1" ht="12.75">
      <c r="A101" s="81"/>
      <c r="B101" s="81"/>
      <c r="C101" s="81"/>
      <c r="D101" s="81"/>
      <c r="G101" s="35" t="s">
        <v>27</v>
      </c>
      <c r="J101"/>
      <c r="K101"/>
      <c r="L101"/>
      <c r="M101"/>
    </row>
    <row r="102" spans="1:13" s="1" customFormat="1" ht="12.75">
      <c r="A102" s="90" t="s">
        <v>157</v>
      </c>
      <c r="B102" s="81"/>
      <c r="C102" s="81"/>
      <c r="D102" s="81"/>
      <c r="G102" s="35"/>
      <c r="J102"/>
      <c r="K102"/>
      <c r="L102"/>
      <c r="M102"/>
    </row>
    <row r="103" spans="1:13" s="1" customFormat="1" ht="12.75">
      <c r="A103" s="81" t="s">
        <v>85</v>
      </c>
      <c r="B103" s="81"/>
      <c r="C103" s="81"/>
      <c r="D103" s="81"/>
      <c r="G103" s="35"/>
      <c r="J103"/>
      <c r="K103"/>
      <c r="L103"/>
      <c r="M103"/>
    </row>
    <row r="104" spans="1:4" ht="12.75">
      <c r="A104" s="81"/>
      <c r="B104" s="81"/>
      <c r="C104" s="81"/>
      <c r="D104" s="81"/>
    </row>
    <row r="107" spans="1:13" s="1" customFormat="1" ht="12.75">
      <c r="A107"/>
      <c r="B107"/>
      <c r="C107"/>
      <c r="D107"/>
      <c r="J107"/>
      <c r="K107"/>
      <c r="L107"/>
      <c r="M107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3:D13"/>
    <mergeCell ref="A7:D7"/>
    <mergeCell ref="A27:D27"/>
    <mergeCell ref="A65:D65"/>
    <mergeCell ref="A70:D70"/>
    <mergeCell ref="A77:D77"/>
    <mergeCell ref="A92:D92"/>
    <mergeCell ref="A97:D9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65">
      <selection activeCell="A91" sqref="A91:D91"/>
    </sheetView>
  </sheetViews>
  <sheetFormatPr defaultColWidth="11.57421875" defaultRowHeight="12.75"/>
  <cols>
    <col min="1" max="1" width="59.28125" style="0" customWidth="1"/>
    <col min="2" max="2" width="15.8515625" style="0" customWidth="1"/>
    <col min="3" max="3" width="22.8515625" style="0" customWidth="1"/>
    <col min="4" max="4" width="15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30" t="s">
        <v>0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4" t="s">
        <v>104</v>
      </c>
      <c r="B4" s="534"/>
      <c r="C4" s="534"/>
      <c r="D4" s="534"/>
    </row>
    <row r="5" spans="1:4" ht="12.75">
      <c r="A5" s="533" t="s">
        <v>189</v>
      </c>
      <c r="B5" s="534"/>
      <c r="C5" s="534"/>
      <c r="D5" s="534"/>
    </row>
    <row r="6" ht="3" customHeight="1">
      <c r="A6" s="2"/>
    </row>
    <row r="7" spans="1:4" ht="18" customHeight="1">
      <c r="A7" s="543" t="s">
        <v>3</v>
      </c>
      <c r="B7" s="551"/>
      <c r="C7" s="551"/>
      <c r="D7" s="551"/>
    </row>
    <row r="8" spans="1:4" ht="12" customHeight="1" hidden="1">
      <c r="A8" s="53" t="s">
        <v>142</v>
      </c>
      <c r="B8" s="23"/>
      <c r="C8" s="23"/>
      <c r="D8" s="23"/>
    </row>
    <row r="9" spans="1:4" ht="12" customHeight="1">
      <c r="A9" s="53" t="s">
        <v>354</v>
      </c>
      <c r="B9" s="23"/>
      <c r="C9" s="23"/>
      <c r="D9" s="23"/>
    </row>
    <row r="10" spans="1:4" ht="12.75">
      <c r="A10" s="94">
        <v>1</v>
      </c>
      <c r="B10" s="94">
        <v>2</v>
      </c>
      <c r="C10" s="94">
        <v>3</v>
      </c>
      <c r="D10" s="95">
        <v>4</v>
      </c>
    </row>
    <row r="11" spans="1:8" ht="12.75">
      <c r="A11" s="65" t="s">
        <v>7</v>
      </c>
      <c r="B11" s="96"/>
      <c r="C11" s="97" t="s">
        <v>190</v>
      </c>
      <c r="D11" s="80"/>
      <c r="E11" s="35"/>
      <c r="F11" s="35"/>
      <c r="G11" s="35"/>
      <c r="H11" s="35"/>
    </row>
    <row r="12" spans="1:8" ht="12.75">
      <c r="A12" s="65" t="s">
        <v>8</v>
      </c>
      <c r="B12" s="96"/>
      <c r="C12" s="97" t="s">
        <v>205</v>
      </c>
      <c r="D12" s="80"/>
      <c r="E12" s="35"/>
      <c r="F12" s="35"/>
      <c r="G12" s="35"/>
      <c r="H12" s="35"/>
    </row>
    <row r="13" spans="1:8" ht="12.75">
      <c r="A13" s="65" t="s">
        <v>9</v>
      </c>
      <c r="B13" s="96"/>
      <c r="C13" s="97" t="s">
        <v>191</v>
      </c>
      <c r="D13" s="80"/>
      <c r="E13" s="35"/>
      <c r="F13" s="35"/>
      <c r="G13" s="35"/>
      <c r="H13" s="35"/>
    </row>
    <row r="14" spans="1:8" ht="31.5" customHeight="1">
      <c r="A14" s="537" t="s">
        <v>10</v>
      </c>
      <c r="B14" s="537"/>
      <c r="C14" s="537"/>
      <c r="D14" s="537"/>
      <c r="E14" s="35"/>
      <c r="F14" s="35"/>
      <c r="G14" s="35"/>
      <c r="H14" s="35"/>
    </row>
    <row r="15" spans="1:8" ht="12.75">
      <c r="A15" s="65" t="s">
        <v>94</v>
      </c>
      <c r="B15" s="98" t="s">
        <v>12</v>
      </c>
      <c r="C15" s="72">
        <v>36042.31</v>
      </c>
      <c r="D15" s="80"/>
      <c r="E15" s="35"/>
      <c r="F15" s="35"/>
      <c r="G15" s="35"/>
      <c r="H15" s="35"/>
    </row>
    <row r="16" spans="1:8" ht="12.75">
      <c r="A16" s="65" t="s">
        <v>13</v>
      </c>
      <c r="B16" s="98" t="s">
        <v>12</v>
      </c>
      <c r="C16" s="99">
        <v>0</v>
      </c>
      <c r="D16" s="80"/>
      <c r="E16" s="35"/>
      <c r="F16" s="35"/>
      <c r="G16" s="35"/>
      <c r="H16" s="35"/>
    </row>
    <row r="17" spans="1:8" ht="12.75">
      <c r="A17" s="65" t="s">
        <v>14</v>
      </c>
      <c r="B17" s="98" t="s">
        <v>12</v>
      </c>
      <c r="C17" s="72">
        <v>213141.81</v>
      </c>
      <c r="D17" s="76"/>
      <c r="E17" s="35"/>
      <c r="F17" s="35"/>
      <c r="G17" s="35"/>
      <c r="H17" s="35"/>
    </row>
    <row r="18" spans="1:8" ht="24.75" customHeight="1">
      <c r="A18" s="64" t="s">
        <v>15</v>
      </c>
      <c r="B18" s="98" t="s">
        <v>12</v>
      </c>
      <c r="C18" s="72">
        <f>1276389.06+8384.04+4931.64+122795.1</f>
        <v>1412499.84</v>
      </c>
      <c r="D18" s="76"/>
      <c r="E18" s="42">
        <f>C18-C20</f>
        <v>1210800.672</v>
      </c>
      <c r="F18" s="35"/>
      <c r="G18" s="35"/>
      <c r="H18" s="35"/>
    </row>
    <row r="19" spans="1:8" ht="12.75">
      <c r="A19" s="65" t="s">
        <v>16</v>
      </c>
      <c r="B19" s="98" t="s">
        <v>12</v>
      </c>
      <c r="C19" s="72">
        <f>C18-C20-C21</f>
        <v>1004169.9839999999</v>
      </c>
      <c r="D19" s="76"/>
      <c r="E19" s="42">
        <f>E18-E60</f>
        <v>136110.77799999993</v>
      </c>
      <c r="F19" s="35"/>
      <c r="G19" s="35"/>
      <c r="H19" s="62"/>
    </row>
    <row r="20" spans="1:8" ht="12.75">
      <c r="A20" s="65" t="s">
        <v>17</v>
      </c>
      <c r="B20" s="98" t="s">
        <v>12</v>
      </c>
      <c r="C20" s="72">
        <f>(2.93+5.25)*6*4109.6</f>
        <v>201699.168</v>
      </c>
      <c r="D20" s="76"/>
      <c r="E20" s="43"/>
      <c r="F20" s="35"/>
      <c r="G20" s="35"/>
      <c r="H20" s="35"/>
    </row>
    <row r="21" spans="1:8" ht="12.75">
      <c r="A21" s="65" t="s">
        <v>18</v>
      </c>
      <c r="B21" s="98" t="s">
        <v>12</v>
      </c>
      <c r="C21" s="72">
        <f>4109.6*4.19*12</f>
        <v>206630.68800000002</v>
      </c>
      <c r="D21" s="76"/>
      <c r="E21" s="35"/>
      <c r="F21" s="35"/>
      <c r="G21" s="35"/>
      <c r="H21" s="35"/>
    </row>
    <row r="22" spans="1:8" ht="12.75">
      <c r="A22" s="65" t="s">
        <v>19</v>
      </c>
      <c r="B22" s="98" t="s">
        <v>12</v>
      </c>
      <c r="C22" s="72">
        <v>1412295.47</v>
      </c>
      <c r="D22" s="76"/>
      <c r="E22" s="42" t="e">
        <f>B24+B25+B26+#REF!+B27</f>
        <v>#VALUE!</v>
      </c>
      <c r="F22" s="35"/>
      <c r="G22" s="35"/>
      <c r="H22" s="35"/>
    </row>
    <row r="23" spans="1:8" ht="12.75">
      <c r="A23" s="65" t="s">
        <v>21</v>
      </c>
      <c r="B23" s="98" t="s">
        <v>12</v>
      </c>
      <c r="C23" s="72">
        <f>C18*0.9911</f>
        <v>1399928.591424</v>
      </c>
      <c r="D23" s="76"/>
      <c r="E23" s="35"/>
      <c r="F23" s="35"/>
      <c r="G23" s="35"/>
      <c r="H23" s="35"/>
    </row>
    <row r="24" spans="1:8" ht="12.75">
      <c r="A24" s="65" t="s">
        <v>22</v>
      </c>
      <c r="B24" s="98" t="s">
        <v>12</v>
      </c>
      <c r="C24" s="72">
        <v>0</v>
      </c>
      <c r="D24" s="76"/>
      <c r="E24" s="43" t="e">
        <f>B24/#REF!*1</f>
        <v>#VALUE!</v>
      </c>
      <c r="F24" s="35"/>
      <c r="G24" s="35"/>
      <c r="H24" s="35"/>
    </row>
    <row r="25" spans="1:8" ht="12.75">
      <c r="A25" s="65" t="s">
        <v>24</v>
      </c>
      <c r="B25" s="98" t="s">
        <v>12</v>
      </c>
      <c r="C25" s="72">
        <v>0</v>
      </c>
      <c r="D25" s="76"/>
      <c r="E25" s="43" t="e">
        <f>B25/#REF!*1</f>
        <v>#VALUE!</v>
      </c>
      <c r="F25" s="35"/>
      <c r="G25" s="35"/>
      <c r="H25" s="35"/>
    </row>
    <row r="26" spans="1:8" ht="12.75">
      <c r="A26" s="96" t="s">
        <v>25</v>
      </c>
      <c r="B26" s="98" t="s">
        <v>12</v>
      </c>
      <c r="C26" s="72">
        <f>4682.19+4903.57+2781.12</f>
        <v>12366.879999999997</v>
      </c>
      <c r="D26" s="76"/>
      <c r="E26" s="43" t="e">
        <f>B26/#REF!*1</f>
        <v>#VALUE!</v>
      </c>
      <c r="F26" s="35"/>
      <c r="G26" s="35"/>
      <c r="H26" s="35"/>
    </row>
    <row r="27" spans="1:8" ht="12.75">
      <c r="A27" s="65" t="s">
        <v>26</v>
      </c>
      <c r="B27" s="98" t="s">
        <v>12</v>
      </c>
      <c r="C27" s="72">
        <v>1448337.78</v>
      </c>
      <c r="D27" s="76" t="s">
        <v>27</v>
      </c>
      <c r="E27" s="43" t="e">
        <f>B27/#REF!*1</f>
        <v>#VALUE!</v>
      </c>
      <c r="F27" s="35"/>
      <c r="G27" s="35"/>
      <c r="H27" s="35"/>
    </row>
    <row r="28" spans="1:8" ht="35.25" customHeight="1">
      <c r="A28" s="540" t="s">
        <v>28</v>
      </c>
      <c r="B28" s="540"/>
      <c r="C28" s="540"/>
      <c r="D28" s="540"/>
      <c r="E28" s="35"/>
      <c r="F28" s="35"/>
      <c r="G28" s="35"/>
      <c r="H28" s="35"/>
    </row>
    <row r="29" spans="1:8" ht="51">
      <c r="A29" s="130" t="s">
        <v>29</v>
      </c>
      <c r="B29" s="172" t="s">
        <v>30</v>
      </c>
      <c r="C29" s="202" t="s">
        <v>31</v>
      </c>
      <c r="D29" s="203" t="s">
        <v>32</v>
      </c>
      <c r="E29" s="35"/>
      <c r="F29" s="35"/>
      <c r="G29" s="35"/>
      <c r="H29" s="35"/>
    </row>
    <row r="30" spans="1:8" ht="12.75">
      <c r="A30" s="115" t="s">
        <v>95</v>
      </c>
      <c r="B30" s="112" t="s">
        <v>34</v>
      </c>
      <c r="C30" s="113" t="s">
        <v>364</v>
      </c>
      <c r="D30" s="76">
        <f>0.5*12*4109.6</f>
        <v>24657.600000000002</v>
      </c>
      <c r="E30" s="35"/>
      <c r="F30" s="35"/>
      <c r="G30" s="35"/>
      <c r="H30" s="35"/>
    </row>
    <row r="31" spans="1:8" ht="18" customHeight="1">
      <c r="A31" s="115" t="s">
        <v>88</v>
      </c>
      <c r="B31" s="112" t="s">
        <v>36</v>
      </c>
      <c r="C31" s="115" t="s">
        <v>44</v>
      </c>
      <c r="D31" s="76">
        <f>2.4*12*4109.6</f>
        <v>118356.48</v>
      </c>
      <c r="E31" s="35"/>
      <c r="F31" s="35"/>
      <c r="G31" s="35"/>
      <c r="H31" s="35"/>
    </row>
    <row r="32" spans="1:8" ht="15" customHeight="1">
      <c r="A32" s="115" t="s">
        <v>362</v>
      </c>
      <c r="B32" s="112" t="s">
        <v>43</v>
      </c>
      <c r="C32" s="115" t="s">
        <v>363</v>
      </c>
      <c r="D32" s="395">
        <f>0.15*12*4109.6</f>
        <v>7397.28</v>
      </c>
      <c r="E32" s="35"/>
      <c r="F32" s="35"/>
      <c r="G32" s="35"/>
      <c r="H32" s="35"/>
    </row>
    <row r="33" spans="1:14" s="1" customFormat="1" ht="12.75">
      <c r="A33" s="115" t="s">
        <v>96</v>
      </c>
      <c r="B33" s="112" t="s">
        <v>34</v>
      </c>
      <c r="C33" s="115" t="s">
        <v>41</v>
      </c>
      <c r="D33" s="76">
        <f>0.24*12*4109.6</f>
        <v>11835.648000000001</v>
      </c>
      <c r="E33" s="35"/>
      <c r="F33" s="35"/>
      <c r="G33" s="35"/>
      <c r="H33" s="35"/>
      <c r="K33"/>
      <c r="L33"/>
      <c r="M33"/>
      <c r="N33"/>
    </row>
    <row r="34" spans="1:14" s="1" customFormat="1" ht="12.75">
      <c r="A34" s="115" t="s">
        <v>105</v>
      </c>
      <c r="B34" s="304" t="s">
        <v>34</v>
      </c>
      <c r="C34" s="115" t="s">
        <v>44</v>
      </c>
      <c r="D34" s="76">
        <f>0.73*12*4109.6</f>
        <v>36000.096000000005</v>
      </c>
      <c r="E34" s="35"/>
      <c r="F34" s="35"/>
      <c r="G34" s="35"/>
      <c r="H34" s="35"/>
      <c r="K34"/>
      <c r="L34"/>
      <c r="M34"/>
      <c r="N34"/>
    </row>
    <row r="35" spans="1:14" s="1" customFormat="1" ht="12.75">
      <c r="A35" s="115" t="s">
        <v>89</v>
      </c>
      <c r="B35" s="112" t="s">
        <v>34</v>
      </c>
      <c r="C35" s="115" t="s">
        <v>44</v>
      </c>
      <c r="D35" s="76">
        <f>(1.95+2.06)*6*4109.6</f>
        <v>98876.97600000001</v>
      </c>
      <c r="E35" s="35"/>
      <c r="F35" s="35"/>
      <c r="G35" s="35"/>
      <c r="H35" s="35"/>
      <c r="K35"/>
      <c r="L35"/>
      <c r="M35"/>
      <c r="N35"/>
    </row>
    <row r="36" spans="1:14" s="1" customFormat="1" ht="12.75">
      <c r="A36" s="115" t="s">
        <v>46</v>
      </c>
      <c r="B36" s="112" t="s">
        <v>47</v>
      </c>
      <c r="C36" s="115" t="s">
        <v>44</v>
      </c>
      <c r="D36" s="76">
        <f>1.33*12*4109.6</f>
        <v>65589.21600000001</v>
      </c>
      <c r="E36" s="35"/>
      <c r="F36" s="35"/>
      <c r="G36" s="35"/>
      <c r="H36" s="35"/>
      <c r="K36"/>
      <c r="L36"/>
      <c r="M36"/>
      <c r="N36"/>
    </row>
    <row r="37" spans="1:14" s="1" customFormat="1" ht="12.75">
      <c r="A37" s="115" t="s">
        <v>98</v>
      </c>
      <c r="B37" s="112" t="s">
        <v>38</v>
      </c>
      <c r="C37" s="225" t="s">
        <v>168</v>
      </c>
      <c r="D37" s="76">
        <f>4.19*12*4109.6</f>
        <v>206630.68800000002</v>
      </c>
      <c r="E37" s="35"/>
      <c r="F37" s="35"/>
      <c r="G37" s="35"/>
      <c r="H37" s="35"/>
      <c r="K37"/>
      <c r="L37"/>
      <c r="M37"/>
      <c r="N37"/>
    </row>
    <row r="38" spans="1:14" s="1" customFormat="1" ht="12.75">
      <c r="A38" s="115" t="s">
        <v>99</v>
      </c>
      <c r="B38" s="116" t="s">
        <v>36</v>
      </c>
      <c r="C38" s="115" t="s">
        <v>44</v>
      </c>
      <c r="D38" s="76">
        <f>2.5*12*4109.6</f>
        <v>123288.00000000001</v>
      </c>
      <c r="E38" s="35"/>
      <c r="F38" s="35"/>
      <c r="G38" s="35"/>
      <c r="H38" s="35"/>
      <c r="K38"/>
      <c r="L38"/>
      <c r="M38"/>
      <c r="N38"/>
    </row>
    <row r="39" spans="1:14" s="1" customFormat="1" ht="12.75">
      <c r="A39" s="115" t="s">
        <v>91</v>
      </c>
      <c r="B39" s="112" t="s">
        <v>36</v>
      </c>
      <c r="C39" s="115" t="s">
        <v>51</v>
      </c>
      <c r="D39" s="395">
        <v>245208.23</v>
      </c>
      <c r="E39" s="35"/>
      <c r="F39" s="35"/>
      <c r="G39" s="35"/>
      <c r="H39" s="35"/>
      <c r="K39"/>
      <c r="L39"/>
      <c r="M39"/>
      <c r="N39"/>
    </row>
    <row r="40" spans="1:14" s="1" customFormat="1" ht="24.75" customHeight="1">
      <c r="A40" s="225" t="s">
        <v>100</v>
      </c>
      <c r="B40" s="116" t="s">
        <v>36</v>
      </c>
      <c r="C40" s="113" t="s">
        <v>186</v>
      </c>
      <c r="D40" s="76">
        <f>2.56*12*4109.6</f>
        <v>126246.91200000001</v>
      </c>
      <c r="E40" s="35"/>
      <c r="F40" s="35"/>
      <c r="G40" s="35"/>
      <c r="H40" s="35"/>
      <c r="K40"/>
      <c r="L40"/>
      <c r="M40"/>
      <c r="N40"/>
    </row>
    <row r="41" spans="1:14" s="1" customFormat="1" ht="16.5" customHeight="1">
      <c r="A41" s="225" t="s">
        <v>101</v>
      </c>
      <c r="B41" s="116" t="s">
        <v>174</v>
      </c>
      <c r="C41" s="113" t="s">
        <v>41</v>
      </c>
      <c r="D41" s="76">
        <f>4109.6*(0.26+0.17)*6</f>
        <v>10602.768000000002</v>
      </c>
      <c r="E41" s="35"/>
      <c r="F41" s="35"/>
      <c r="G41" s="35"/>
      <c r="H41" s="35"/>
      <c r="K41"/>
      <c r="L41"/>
      <c r="M41"/>
      <c r="N41"/>
    </row>
    <row r="42" spans="1:14" s="1" customFormat="1" ht="26.25" customHeight="1">
      <c r="A42" s="130" t="s">
        <v>146</v>
      </c>
      <c r="B42" s="112"/>
      <c r="C42" s="71"/>
      <c r="D42" s="80"/>
      <c r="E42" s="35"/>
      <c r="F42" s="35"/>
      <c r="G42" s="35"/>
      <c r="H42" s="35"/>
      <c r="K42"/>
      <c r="L42"/>
      <c r="M42"/>
      <c r="N42"/>
    </row>
    <row r="43" spans="1:14" s="1" customFormat="1" ht="19.5" customHeight="1">
      <c r="A43" s="115" t="s">
        <v>144</v>
      </c>
      <c r="B43" s="112" t="s">
        <v>38</v>
      </c>
      <c r="C43" s="71" t="s">
        <v>147</v>
      </c>
      <c r="D43" s="80">
        <f>4858.55+8221.51</f>
        <v>13080.060000000001</v>
      </c>
      <c r="E43" s="35"/>
      <c r="F43" s="35"/>
      <c r="G43" s="35"/>
      <c r="H43" s="35"/>
      <c r="K43"/>
      <c r="L43"/>
      <c r="M43"/>
      <c r="N43"/>
    </row>
    <row r="44" spans="1:14" s="1" customFormat="1" ht="19.5" customHeight="1">
      <c r="A44" s="115" t="s">
        <v>145</v>
      </c>
      <c r="B44" s="112" t="s">
        <v>38</v>
      </c>
      <c r="C44" s="71" t="s">
        <v>148</v>
      </c>
      <c r="D44" s="80">
        <v>122795.1</v>
      </c>
      <c r="E44" s="35"/>
      <c r="F44" s="35"/>
      <c r="G44" s="35"/>
      <c r="H44" s="35"/>
      <c r="K44"/>
      <c r="L44"/>
      <c r="M44"/>
      <c r="N44"/>
    </row>
    <row r="45" spans="1:14" s="1" customFormat="1" ht="27" customHeight="1">
      <c r="A45" s="206" t="s">
        <v>139</v>
      </c>
      <c r="B45" s="207" t="s">
        <v>53</v>
      </c>
      <c r="C45" s="130"/>
      <c r="D45" s="378">
        <f>D46+D47+D48+D49+D50+D51+D52+D53+D54+D55+D56+D57+D58+D59</f>
        <v>177275.6</v>
      </c>
      <c r="E45" s="35"/>
      <c r="F45" s="35"/>
      <c r="G45" s="35"/>
      <c r="H45" s="35"/>
      <c r="K45"/>
      <c r="L45"/>
      <c r="M45"/>
      <c r="N45"/>
    </row>
    <row r="46" spans="1:14" s="1" customFormat="1" ht="15.75" customHeight="1">
      <c r="A46" s="224" t="s">
        <v>269</v>
      </c>
      <c r="B46" s="228" t="s">
        <v>210</v>
      </c>
      <c r="C46" s="115" t="s">
        <v>44</v>
      </c>
      <c r="D46" s="75">
        <v>4640</v>
      </c>
      <c r="E46" s="35"/>
      <c r="F46" s="35"/>
      <c r="G46" s="35"/>
      <c r="H46" s="35"/>
      <c r="K46"/>
      <c r="L46"/>
      <c r="M46"/>
      <c r="N46"/>
    </row>
    <row r="47" spans="1:14" s="1" customFormat="1" ht="29.25" customHeight="1">
      <c r="A47" s="206" t="s">
        <v>270</v>
      </c>
      <c r="B47" s="207" t="s">
        <v>271</v>
      </c>
      <c r="C47" s="115" t="s">
        <v>44</v>
      </c>
      <c r="D47" s="75">
        <f>2100+1111</f>
        <v>3211</v>
      </c>
      <c r="E47" s="35"/>
      <c r="F47" s="35"/>
      <c r="G47" s="35"/>
      <c r="H47" s="35"/>
      <c r="K47"/>
      <c r="L47"/>
      <c r="M47"/>
      <c r="N47"/>
    </row>
    <row r="48" spans="1:14" s="1" customFormat="1" ht="27.75" customHeight="1">
      <c r="A48" s="224" t="s">
        <v>193</v>
      </c>
      <c r="B48" s="228" t="s">
        <v>120</v>
      </c>
      <c r="C48" s="115" t="s">
        <v>37</v>
      </c>
      <c r="D48" s="75">
        <v>180</v>
      </c>
      <c r="E48" s="35"/>
      <c r="F48" s="35"/>
      <c r="G48" s="35"/>
      <c r="H48" s="35"/>
      <c r="K48"/>
      <c r="L48"/>
      <c r="M48"/>
      <c r="N48"/>
    </row>
    <row r="49" spans="1:14" s="1" customFormat="1" ht="15.75" customHeight="1">
      <c r="A49" s="224" t="s">
        <v>241</v>
      </c>
      <c r="B49" s="207" t="s">
        <v>127</v>
      </c>
      <c r="C49" s="115" t="s">
        <v>196</v>
      </c>
      <c r="D49" s="75">
        <v>681</v>
      </c>
      <c r="E49" s="35"/>
      <c r="F49" s="35"/>
      <c r="G49" s="35"/>
      <c r="H49" s="35"/>
      <c r="K49"/>
      <c r="L49"/>
      <c r="M49"/>
      <c r="N49"/>
    </row>
    <row r="50" spans="1:14" s="1" customFormat="1" ht="17.25" customHeight="1">
      <c r="A50" s="224" t="s">
        <v>243</v>
      </c>
      <c r="B50" s="207" t="s">
        <v>127</v>
      </c>
      <c r="C50" s="115" t="s">
        <v>44</v>
      </c>
      <c r="D50" s="75">
        <v>198.6</v>
      </c>
      <c r="E50" s="35"/>
      <c r="F50" s="35"/>
      <c r="G50" s="35"/>
      <c r="H50" s="35"/>
      <c r="K50"/>
      <c r="L50"/>
      <c r="M50"/>
      <c r="N50"/>
    </row>
    <row r="51" spans="1:14" s="1" customFormat="1" ht="21" customHeight="1">
      <c r="A51" s="225" t="s">
        <v>272</v>
      </c>
      <c r="B51" s="226" t="s">
        <v>121</v>
      </c>
      <c r="C51" s="115" t="s">
        <v>44</v>
      </c>
      <c r="D51" s="75">
        <v>31277</v>
      </c>
      <c r="E51" s="35"/>
      <c r="F51" s="35"/>
      <c r="G51" s="35"/>
      <c r="H51" s="35"/>
      <c r="K51"/>
      <c r="L51"/>
      <c r="M51"/>
      <c r="N51"/>
    </row>
    <row r="52" spans="1:14" s="1" customFormat="1" ht="18" customHeight="1">
      <c r="A52" s="227" t="s">
        <v>273</v>
      </c>
      <c r="B52" s="207" t="s">
        <v>274</v>
      </c>
      <c r="C52" s="225" t="s">
        <v>204</v>
      </c>
      <c r="D52" s="75">
        <f>64058+5700</f>
        <v>69758</v>
      </c>
      <c r="E52" s="35"/>
      <c r="F52" s="35"/>
      <c r="G52" s="35"/>
      <c r="H52" s="35"/>
      <c r="K52"/>
      <c r="L52"/>
      <c r="M52"/>
      <c r="N52"/>
    </row>
    <row r="53" spans="1:14" s="1" customFormat="1" ht="15" customHeight="1">
      <c r="A53" s="224" t="s">
        <v>275</v>
      </c>
      <c r="B53" s="207" t="s">
        <v>129</v>
      </c>
      <c r="C53" s="115" t="s">
        <v>44</v>
      </c>
      <c r="D53" s="75">
        <f>1354+680</f>
        <v>2034</v>
      </c>
      <c r="E53" s="35"/>
      <c r="F53" s="35"/>
      <c r="G53" s="35"/>
      <c r="H53" s="35"/>
      <c r="K53"/>
      <c r="L53"/>
      <c r="M53"/>
      <c r="N53"/>
    </row>
    <row r="54" spans="1:14" s="1" customFormat="1" ht="15.75" customHeight="1">
      <c r="A54" s="224" t="s">
        <v>276</v>
      </c>
      <c r="B54" s="207" t="s">
        <v>122</v>
      </c>
      <c r="C54" s="204" t="s">
        <v>44</v>
      </c>
      <c r="D54" s="75">
        <v>3706</v>
      </c>
      <c r="E54" s="35"/>
      <c r="F54" s="35"/>
      <c r="G54" s="35"/>
      <c r="H54" s="35"/>
      <c r="K54"/>
      <c r="L54"/>
      <c r="M54"/>
      <c r="N54"/>
    </row>
    <row r="55" spans="1:14" s="1" customFormat="1" ht="16.5" customHeight="1">
      <c r="A55" s="224" t="s">
        <v>277</v>
      </c>
      <c r="B55" s="207" t="s">
        <v>125</v>
      </c>
      <c r="C55" s="204" t="s">
        <v>44</v>
      </c>
      <c r="D55" s="75">
        <v>2161</v>
      </c>
      <c r="E55" s="35"/>
      <c r="F55" s="35"/>
      <c r="G55" s="35"/>
      <c r="H55" s="35"/>
      <c r="K55"/>
      <c r="L55"/>
      <c r="M55"/>
      <c r="N55"/>
    </row>
    <row r="56" spans="1:14" s="1" customFormat="1" ht="14.25" customHeight="1">
      <c r="A56" s="224" t="s">
        <v>278</v>
      </c>
      <c r="B56" s="228" t="s">
        <v>125</v>
      </c>
      <c r="C56" s="225" t="s">
        <v>211</v>
      </c>
      <c r="D56" s="75">
        <v>33900</v>
      </c>
      <c r="E56" s="35"/>
      <c r="F56" s="35"/>
      <c r="G56" s="35"/>
      <c r="H56" s="35"/>
      <c r="K56"/>
      <c r="L56"/>
      <c r="M56"/>
      <c r="N56"/>
    </row>
    <row r="57" spans="1:14" s="1" customFormat="1" ht="14.25" customHeight="1">
      <c r="A57" s="224" t="s">
        <v>378</v>
      </c>
      <c r="B57" s="228" t="s">
        <v>125</v>
      </c>
      <c r="C57" s="225" t="s">
        <v>211</v>
      </c>
      <c r="D57" s="75">
        <v>15007</v>
      </c>
      <c r="E57" s="35"/>
      <c r="F57" s="35"/>
      <c r="G57" s="35"/>
      <c r="H57" s="35"/>
      <c r="K57"/>
      <c r="L57"/>
      <c r="M57"/>
      <c r="N57"/>
    </row>
    <row r="58" spans="1:14" s="1" customFormat="1" ht="25.5" customHeight="1">
      <c r="A58" s="206" t="s">
        <v>279</v>
      </c>
      <c r="B58" s="228" t="s">
        <v>123</v>
      </c>
      <c r="C58" s="204" t="s">
        <v>44</v>
      </c>
      <c r="D58" s="75">
        <v>9835</v>
      </c>
      <c r="E58" s="35"/>
      <c r="F58" s="35"/>
      <c r="G58" s="35"/>
      <c r="H58" s="35"/>
      <c r="K58"/>
      <c r="L58"/>
      <c r="M58"/>
      <c r="N58"/>
    </row>
    <row r="59" spans="1:14" s="1" customFormat="1" ht="15" customHeight="1">
      <c r="A59" s="224" t="s">
        <v>280</v>
      </c>
      <c r="B59" s="207" t="s">
        <v>126</v>
      </c>
      <c r="C59" s="204" t="s">
        <v>44</v>
      </c>
      <c r="D59" s="75">
        <v>687</v>
      </c>
      <c r="E59" s="35"/>
      <c r="F59" s="35"/>
      <c r="G59" s="35"/>
      <c r="H59" s="35"/>
      <c r="K59"/>
      <c r="L59"/>
      <c r="M59"/>
      <c r="N59"/>
    </row>
    <row r="60" spans="1:14" s="1" customFormat="1" ht="12.75">
      <c r="A60" s="24" t="s">
        <v>54</v>
      </c>
      <c r="B60" s="112"/>
      <c r="C60" s="115"/>
      <c r="D60" s="76">
        <f>D30+D31+D32+D33+D34+D35+D36+D37+D38+D39+D40+D41+D43+D44+D45</f>
        <v>1387840.6540000003</v>
      </c>
      <c r="E60" s="469">
        <f>D60-D45-D43-D44</f>
        <v>1074689.894</v>
      </c>
      <c r="F60" s="35"/>
      <c r="G60" s="35"/>
      <c r="H60" s="35"/>
      <c r="K60"/>
      <c r="L60"/>
      <c r="M60"/>
      <c r="N60"/>
    </row>
    <row r="61" spans="1:14" s="1" customFormat="1" ht="12.75">
      <c r="A61" s="24" t="s">
        <v>55</v>
      </c>
      <c r="B61" s="112" t="s">
        <v>12</v>
      </c>
      <c r="C61" s="115"/>
      <c r="D61" s="76">
        <f>C27-D60</f>
        <v>60497.1259999997</v>
      </c>
      <c r="E61" s="36"/>
      <c r="F61" s="35"/>
      <c r="G61" s="35"/>
      <c r="H61" s="35"/>
      <c r="K61"/>
      <c r="L61"/>
      <c r="M61"/>
      <c r="N61"/>
    </row>
    <row r="62" spans="1:8" ht="12.75">
      <c r="A62" s="115" t="s">
        <v>13</v>
      </c>
      <c r="B62" s="112" t="s">
        <v>12</v>
      </c>
      <c r="C62" s="115"/>
      <c r="D62" s="80">
        <v>0</v>
      </c>
      <c r="E62" s="35"/>
      <c r="F62" s="35"/>
      <c r="G62" s="35"/>
      <c r="H62" s="35"/>
    </row>
    <row r="63" spans="1:8" ht="12.75">
      <c r="A63" s="115" t="s">
        <v>14</v>
      </c>
      <c r="B63" s="112" t="s">
        <v>12</v>
      </c>
      <c r="C63" s="115"/>
      <c r="D63" s="76">
        <v>320485.6</v>
      </c>
      <c r="E63" s="35"/>
      <c r="F63" s="35"/>
      <c r="G63" s="35"/>
      <c r="H63" s="35"/>
    </row>
    <row r="64" spans="1:8" ht="24" customHeight="1">
      <c r="A64" s="539" t="s">
        <v>56</v>
      </c>
      <c r="B64" s="539"/>
      <c r="C64" s="539"/>
      <c r="D64" s="539"/>
      <c r="E64" s="35"/>
      <c r="F64" s="35"/>
      <c r="G64" s="35"/>
      <c r="H64" s="35"/>
    </row>
    <row r="65" spans="1:8" ht="12.75">
      <c r="A65" s="115" t="s">
        <v>57</v>
      </c>
      <c r="B65" s="112" t="s">
        <v>58</v>
      </c>
      <c r="C65" s="115"/>
      <c r="D65" s="80">
        <v>1</v>
      </c>
      <c r="E65" s="35"/>
      <c r="F65" s="35"/>
      <c r="G65" s="35"/>
      <c r="H65" s="35"/>
    </row>
    <row r="66" spans="1:8" ht="12.75">
      <c r="A66" s="115" t="s">
        <v>59</v>
      </c>
      <c r="B66" s="112" t="s">
        <v>58</v>
      </c>
      <c r="C66" s="115"/>
      <c r="D66" s="80">
        <v>1</v>
      </c>
      <c r="E66" s="35"/>
      <c r="F66" s="35"/>
      <c r="G66" s="35"/>
      <c r="H66" s="35"/>
    </row>
    <row r="67" spans="1:8" ht="25.5">
      <c r="A67" s="130" t="s">
        <v>60</v>
      </c>
      <c r="B67" s="112" t="s">
        <v>58</v>
      </c>
      <c r="C67" s="115"/>
      <c r="D67" s="80">
        <v>0</v>
      </c>
      <c r="E67" s="35"/>
      <c r="F67" s="35"/>
      <c r="G67" s="35"/>
      <c r="H67" s="35"/>
    </row>
    <row r="68" spans="1:8" ht="12.75">
      <c r="A68" s="115" t="s">
        <v>61</v>
      </c>
      <c r="B68" s="112" t="s">
        <v>12</v>
      </c>
      <c r="C68" s="115"/>
      <c r="D68" s="80">
        <v>11081</v>
      </c>
      <c r="E68" s="35"/>
      <c r="F68" s="35"/>
      <c r="G68" s="35"/>
      <c r="H68" s="35"/>
    </row>
    <row r="69" spans="1:8" ht="20.25" customHeight="1">
      <c r="A69" s="540" t="s">
        <v>62</v>
      </c>
      <c r="B69" s="540"/>
      <c r="C69" s="540"/>
      <c r="D69" s="540"/>
      <c r="E69" s="35"/>
      <c r="F69" s="35"/>
      <c r="G69" s="35"/>
      <c r="H69" s="35"/>
    </row>
    <row r="70" spans="1:8" ht="25.5">
      <c r="A70" s="130" t="s">
        <v>63</v>
      </c>
      <c r="B70" s="112" t="s">
        <v>12</v>
      </c>
      <c r="C70" s="115"/>
      <c r="D70" s="115">
        <v>0</v>
      </c>
      <c r="E70" s="35"/>
      <c r="F70" s="35"/>
      <c r="G70" s="35"/>
      <c r="H70" s="35"/>
    </row>
    <row r="71" spans="1:8" ht="12.75">
      <c r="A71" s="115" t="s">
        <v>13</v>
      </c>
      <c r="B71" s="112" t="s">
        <v>12</v>
      </c>
      <c r="C71" s="115"/>
      <c r="D71" s="115">
        <v>0</v>
      </c>
      <c r="E71" s="35"/>
      <c r="F71" s="35"/>
      <c r="G71" s="35"/>
      <c r="H71" s="35"/>
    </row>
    <row r="72" spans="1:8" ht="12.75">
      <c r="A72" s="115" t="s">
        <v>14</v>
      </c>
      <c r="B72" s="112" t="s">
        <v>12</v>
      </c>
      <c r="C72" s="115"/>
      <c r="D72" s="229">
        <f>D75-D78-D79-D80-D81-D82</f>
        <v>528837.1935299998</v>
      </c>
      <c r="E72" s="35"/>
      <c r="F72" s="35"/>
      <c r="G72" s="35"/>
      <c r="H72" s="37"/>
    </row>
    <row r="73" spans="1:8" ht="12.75">
      <c r="A73" s="132" t="s">
        <v>102</v>
      </c>
      <c r="B73" s="112" t="s">
        <v>12</v>
      </c>
      <c r="C73" s="230"/>
      <c r="D73" s="230">
        <v>0</v>
      </c>
      <c r="E73" s="35"/>
      <c r="F73" s="35"/>
      <c r="G73" s="35"/>
      <c r="H73" s="35"/>
    </row>
    <row r="74" spans="1:10" ht="17.25" customHeight="1">
      <c r="A74" s="135" t="s">
        <v>13</v>
      </c>
      <c r="B74" s="112" t="s">
        <v>12</v>
      </c>
      <c r="C74" s="115"/>
      <c r="D74" s="115">
        <v>0</v>
      </c>
      <c r="E74" s="35"/>
      <c r="F74" s="35"/>
      <c r="G74" s="35"/>
      <c r="H74" s="35"/>
      <c r="I74" s="3"/>
      <c r="J74" s="3"/>
    </row>
    <row r="75" spans="1:14" ht="12.75">
      <c r="A75" s="136" t="s">
        <v>14</v>
      </c>
      <c r="B75" s="112" t="s">
        <v>12</v>
      </c>
      <c r="C75" s="208"/>
      <c r="D75" s="208">
        <v>550428.08</v>
      </c>
      <c r="E75" s="35"/>
      <c r="F75" s="35"/>
      <c r="G75" s="35"/>
      <c r="H75" s="35" t="s">
        <v>27</v>
      </c>
      <c r="I75" s="4"/>
      <c r="J75" s="4"/>
      <c r="K75" s="5"/>
      <c r="L75" s="5"/>
      <c r="M75" s="5"/>
      <c r="N75" s="5"/>
    </row>
    <row r="76" spans="1:14" ht="18" customHeight="1">
      <c r="A76" s="541" t="s">
        <v>65</v>
      </c>
      <c r="B76" s="541"/>
      <c r="C76" s="541"/>
      <c r="D76" s="541"/>
      <c r="E76" s="40"/>
      <c r="F76" s="44"/>
      <c r="G76" s="45"/>
      <c r="H76" s="35"/>
      <c r="I76" s="9"/>
      <c r="J76" s="9"/>
      <c r="K76" s="10"/>
      <c r="L76" s="10"/>
      <c r="M76" s="10"/>
      <c r="N76" s="10"/>
    </row>
    <row r="77" spans="1:14" ht="38.25">
      <c r="A77" s="11" t="s">
        <v>66</v>
      </c>
      <c r="B77" s="12" t="s">
        <v>67</v>
      </c>
      <c r="C77" s="54" t="s">
        <v>68</v>
      </c>
      <c r="D77" s="55" t="s">
        <v>103</v>
      </c>
      <c r="E77" s="40"/>
      <c r="F77" s="44"/>
      <c r="G77" s="45"/>
      <c r="H77" s="35"/>
      <c r="I77" s="9"/>
      <c r="J77" s="9"/>
      <c r="K77" s="10"/>
      <c r="L77" s="10"/>
      <c r="M77" s="10"/>
      <c r="N77" s="10"/>
    </row>
    <row r="78" spans="1:14" ht="12.75">
      <c r="A78" s="396" t="s">
        <v>368</v>
      </c>
      <c r="B78" s="25">
        <v>260349.77</v>
      </c>
      <c r="C78" s="457">
        <f>B78*0.9911</f>
        <v>258032.657047</v>
      </c>
      <c r="D78" s="458">
        <f>B78-C78</f>
        <v>2317.1129530000035</v>
      </c>
      <c r="E78" s="40"/>
      <c r="F78" s="44"/>
      <c r="G78" s="45"/>
      <c r="H78" s="35"/>
      <c r="I78" s="9"/>
      <c r="J78" s="9"/>
      <c r="K78" s="10"/>
      <c r="L78" s="10"/>
      <c r="M78" s="10"/>
      <c r="N78" s="10"/>
    </row>
    <row r="79" spans="1:14" ht="12.75">
      <c r="A79" s="140" t="s">
        <v>70</v>
      </c>
      <c r="B79" s="99">
        <v>166181.72</v>
      </c>
      <c r="C79" s="457">
        <f>B79*0.9911</f>
        <v>164702.702692</v>
      </c>
      <c r="D79" s="458">
        <f>B79-C79</f>
        <v>1479.0173080000095</v>
      </c>
      <c r="E79" s="40"/>
      <c r="F79" s="44"/>
      <c r="G79" s="45"/>
      <c r="H79" s="35"/>
      <c r="I79" s="9"/>
      <c r="J79" s="9"/>
      <c r="K79" s="10"/>
      <c r="L79" s="10"/>
      <c r="M79" s="10"/>
      <c r="N79" s="10"/>
    </row>
    <row r="80" spans="1:14" ht="12.75">
      <c r="A80" s="140" t="s">
        <v>71</v>
      </c>
      <c r="B80" s="99">
        <v>278269.29</v>
      </c>
      <c r="C80" s="457">
        <f>B80*0.9911</f>
        <v>275792.69331899995</v>
      </c>
      <c r="D80" s="458">
        <f>B80-C80</f>
        <v>2476.5966810000245</v>
      </c>
      <c r="E80" s="40"/>
      <c r="F80" s="44"/>
      <c r="G80" s="45"/>
      <c r="H80" s="35"/>
      <c r="I80" s="9"/>
      <c r="J80" s="9"/>
      <c r="K80" s="10"/>
      <c r="L80" s="10"/>
      <c r="M80" s="10"/>
      <c r="N80" s="10"/>
    </row>
    <row r="81" spans="1:14" ht="12.75">
      <c r="A81" s="140" t="s">
        <v>72</v>
      </c>
      <c r="B81" s="139">
        <v>1301915.7</v>
      </c>
      <c r="C81" s="457">
        <f>B81*0.9911</f>
        <v>1290328.6502699999</v>
      </c>
      <c r="D81" s="458">
        <f>B81-C81</f>
        <v>11587.049730000086</v>
      </c>
      <c r="E81" s="40">
        <f>(2.07+1.8)*6*2301.2-0.37*2301.2*6</f>
        <v>48325.2</v>
      </c>
      <c r="F81" s="47"/>
      <c r="G81" s="48"/>
      <c r="H81" s="40"/>
      <c r="I81" s="9"/>
      <c r="J81" s="9"/>
      <c r="K81" s="10"/>
      <c r="L81" s="10"/>
      <c r="M81" s="10"/>
      <c r="N81" s="10"/>
    </row>
    <row r="82" spans="1:14" ht="13.5" thickBot="1">
      <c r="A82" s="140" t="s">
        <v>73</v>
      </c>
      <c r="B82" s="139">
        <v>419225.82</v>
      </c>
      <c r="C82" s="457">
        <f>B82*0.9911</f>
        <v>415494.710202</v>
      </c>
      <c r="D82" s="458">
        <f>B82-C82</f>
        <v>3731.1097980000195</v>
      </c>
      <c r="E82" s="40"/>
      <c r="F82" s="47"/>
      <c r="G82" s="48"/>
      <c r="H82" s="35"/>
      <c r="I82" s="9"/>
      <c r="J82" s="9"/>
      <c r="K82" s="10"/>
      <c r="L82" s="10"/>
      <c r="M82" s="10"/>
      <c r="N82" s="10"/>
    </row>
    <row r="83" spans="1:14" ht="63.75">
      <c r="A83" s="30" t="s">
        <v>75</v>
      </c>
      <c r="B83" s="31" t="s">
        <v>76</v>
      </c>
      <c r="C83" s="56" t="s">
        <v>77</v>
      </c>
      <c r="D83" s="57" t="s">
        <v>78</v>
      </c>
      <c r="E83" s="40"/>
      <c r="F83" s="47"/>
      <c r="G83" s="35"/>
      <c r="H83" s="39"/>
      <c r="I83" s="9"/>
      <c r="J83" s="9"/>
      <c r="K83" s="10"/>
      <c r="L83" s="10"/>
      <c r="M83" s="10"/>
      <c r="N83" s="10"/>
    </row>
    <row r="84" spans="1:14" ht="12.75">
      <c r="A84" s="397" t="s">
        <v>368</v>
      </c>
      <c r="B84" s="390">
        <v>260349.77</v>
      </c>
      <c r="C84" s="60">
        <v>258032.657047</v>
      </c>
      <c r="D84" s="394">
        <v>2317.1129530000035</v>
      </c>
      <c r="E84" s="40"/>
      <c r="F84" s="47"/>
      <c r="G84" s="35"/>
      <c r="H84" s="39"/>
      <c r="I84" s="9"/>
      <c r="J84" s="9"/>
      <c r="K84" s="10"/>
      <c r="L84" s="10"/>
      <c r="M84" s="10"/>
      <c r="N84" s="10"/>
    </row>
    <row r="85" spans="1:14" ht="12.75">
      <c r="A85" s="211" t="s">
        <v>70</v>
      </c>
      <c r="B85" s="212">
        <f>B79</f>
        <v>166181.72</v>
      </c>
      <c r="C85" s="459">
        <f>C79</f>
        <v>164702.702692</v>
      </c>
      <c r="D85" s="460">
        <f>B85-C85</f>
        <v>1479.0173080000095</v>
      </c>
      <c r="E85" s="40"/>
      <c r="F85" s="47"/>
      <c r="G85" s="35"/>
      <c r="H85" s="39"/>
      <c r="I85" s="9"/>
      <c r="J85" s="9" t="s">
        <v>27</v>
      </c>
      <c r="K85" s="10"/>
      <c r="L85" s="10"/>
      <c r="M85" s="10"/>
      <c r="N85" s="10"/>
    </row>
    <row r="86" spans="1:14" ht="12.75">
      <c r="A86" s="211" t="s">
        <v>71</v>
      </c>
      <c r="B86" s="212">
        <f>B80</f>
        <v>278269.29</v>
      </c>
      <c r="C86" s="459">
        <f>C80</f>
        <v>275792.69331899995</v>
      </c>
      <c r="D86" s="460">
        <f>B86-C86</f>
        <v>2476.5966810000245</v>
      </c>
      <c r="E86" s="40"/>
      <c r="F86" s="47"/>
      <c r="G86" s="35"/>
      <c r="H86" s="39"/>
      <c r="I86" s="9"/>
      <c r="J86" s="9"/>
      <c r="K86" s="10"/>
      <c r="L86" s="10"/>
      <c r="M86" s="10"/>
      <c r="N86" s="10"/>
    </row>
    <row r="87" spans="1:14" ht="12.75">
      <c r="A87" s="211" t="s">
        <v>72</v>
      </c>
      <c r="B87" s="212">
        <v>1319699.59</v>
      </c>
      <c r="C87" s="459">
        <f>C81</f>
        <v>1290328.6502699999</v>
      </c>
      <c r="D87" s="460">
        <f>B87-C87</f>
        <v>29370.939730000217</v>
      </c>
      <c r="E87" s="40"/>
      <c r="F87" s="47"/>
      <c r="G87" s="35"/>
      <c r="H87" s="39"/>
      <c r="I87" s="9"/>
      <c r="J87" s="9"/>
      <c r="K87" s="10"/>
      <c r="L87" s="10"/>
      <c r="M87" s="10"/>
      <c r="N87" s="10"/>
    </row>
    <row r="88" spans="1:14" ht="12.75">
      <c r="A88" s="211" t="s">
        <v>73</v>
      </c>
      <c r="B88" s="212">
        <f>B82</f>
        <v>419225.82</v>
      </c>
      <c r="C88" s="459">
        <f>C82</f>
        <v>415494.710202</v>
      </c>
      <c r="D88" s="460">
        <f>B88-C88</f>
        <v>3731.1097980000195</v>
      </c>
      <c r="E88" s="40"/>
      <c r="F88" s="47"/>
      <c r="G88" s="35"/>
      <c r="H88" s="39"/>
      <c r="I88" s="9"/>
      <c r="J88" s="9"/>
      <c r="K88" s="10"/>
      <c r="L88" s="10"/>
      <c r="M88" s="10"/>
      <c r="N88" s="10"/>
    </row>
    <row r="89" spans="1:14" ht="2.25" customHeight="1">
      <c r="A89" s="218"/>
      <c r="B89" s="144"/>
      <c r="C89" s="461"/>
      <c r="D89" s="462"/>
      <c r="E89" s="40"/>
      <c r="F89" s="16"/>
      <c r="H89" s="9"/>
      <c r="I89" s="9"/>
      <c r="J89" s="9"/>
      <c r="K89" s="10"/>
      <c r="L89" s="10"/>
      <c r="M89" s="10"/>
      <c r="N89" s="10"/>
    </row>
    <row r="90" spans="1:14" ht="25.5">
      <c r="A90" s="221" t="s">
        <v>79</v>
      </c>
      <c r="B90" s="144" t="s">
        <v>12</v>
      </c>
      <c r="C90" s="463"/>
      <c r="D90" s="464">
        <v>145788.58</v>
      </c>
      <c r="E90" s="40"/>
      <c r="F90" s="16"/>
      <c r="H90" s="9"/>
      <c r="I90" s="9"/>
      <c r="J90" s="9" t="s">
        <v>27</v>
      </c>
      <c r="K90" s="10"/>
      <c r="L90" s="10"/>
      <c r="M90" s="10"/>
      <c r="N90" s="10"/>
    </row>
    <row r="91" spans="1:14" ht="17.25" customHeight="1">
      <c r="A91" s="542" t="s">
        <v>80</v>
      </c>
      <c r="B91" s="542"/>
      <c r="C91" s="542"/>
      <c r="D91" s="542"/>
      <c r="E91" s="49" t="e">
        <f>D91+B19</f>
        <v>#VALUE!</v>
      </c>
      <c r="F91" s="9"/>
      <c r="H91" s="19" t="e">
        <f>E91-B18</f>
        <v>#VALUE!</v>
      </c>
      <c r="I91" s="9"/>
      <c r="J91" s="9"/>
      <c r="K91" s="10"/>
      <c r="L91" s="10"/>
      <c r="M91" s="10"/>
      <c r="N91" s="10"/>
    </row>
    <row r="92" spans="1:5" ht="21" customHeight="1">
      <c r="A92" s="20" t="s">
        <v>57</v>
      </c>
      <c r="B92" s="20" t="s">
        <v>58</v>
      </c>
      <c r="C92" s="28"/>
      <c r="D92" s="470">
        <v>1</v>
      </c>
      <c r="E92" s="50"/>
    </row>
    <row r="93" spans="1:5" ht="21" customHeight="1">
      <c r="A93" s="20" t="s">
        <v>59</v>
      </c>
      <c r="B93" s="20" t="s">
        <v>58</v>
      </c>
      <c r="C93" s="28"/>
      <c r="D93" s="470">
        <v>1</v>
      </c>
      <c r="E93" s="50"/>
    </row>
    <row r="94" spans="1:14" s="1" customFormat="1" ht="18" customHeight="1">
      <c r="A94" s="20" t="s">
        <v>60</v>
      </c>
      <c r="B94" s="20" t="s">
        <v>58</v>
      </c>
      <c r="C94" s="28"/>
      <c r="D94" s="470">
        <v>0</v>
      </c>
      <c r="E94" s="50"/>
      <c r="K94"/>
      <c r="L94"/>
      <c r="M94"/>
      <c r="N94"/>
    </row>
    <row r="95" spans="1:14" s="1" customFormat="1" ht="16.5" customHeight="1">
      <c r="A95" s="20" t="s">
        <v>61</v>
      </c>
      <c r="B95" s="20" t="s">
        <v>12</v>
      </c>
      <c r="C95" s="28"/>
      <c r="D95" s="88">
        <v>1161.26</v>
      </c>
      <c r="E95" s="50"/>
      <c r="K95"/>
      <c r="L95"/>
      <c r="M95"/>
      <c r="N95"/>
    </row>
    <row r="96" spans="1:14" s="1" customFormat="1" ht="15.75" customHeight="1">
      <c r="A96" s="529" t="s">
        <v>81</v>
      </c>
      <c r="B96" s="529"/>
      <c r="C96" s="529"/>
      <c r="D96" s="529"/>
      <c r="E96" s="50"/>
      <c r="K96"/>
      <c r="L96"/>
      <c r="M96"/>
      <c r="N96"/>
    </row>
    <row r="97" spans="1:14" s="1" customFormat="1" ht="18.75" customHeight="1">
      <c r="A97" s="20" t="s">
        <v>82</v>
      </c>
      <c r="B97" s="20" t="s">
        <v>58</v>
      </c>
      <c r="C97" s="28"/>
      <c r="D97" s="472">
        <v>1</v>
      </c>
      <c r="E97" s="50"/>
      <c r="K97"/>
      <c r="L97"/>
      <c r="M97"/>
      <c r="N97"/>
    </row>
    <row r="98" spans="1:14" s="1" customFormat="1" ht="21.75" customHeight="1">
      <c r="A98" s="20" t="s">
        <v>83</v>
      </c>
      <c r="B98" s="135" t="s">
        <v>58</v>
      </c>
      <c r="C98" s="145"/>
      <c r="D98" s="472">
        <v>2</v>
      </c>
      <c r="E98" s="50"/>
      <c r="K98"/>
      <c r="L98"/>
      <c r="M98"/>
      <c r="N98"/>
    </row>
    <row r="99" spans="1:14" s="1" customFormat="1" ht="22.5" customHeight="1">
      <c r="A99" s="146" t="s">
        <v>84</v>
      </c>
      <c r="B99" s="20" t="s">
        <v>12</v>
      </c>
      <c r="C99" s="28"/>
      <c r="D99" s="63">
        <v>33000</v>
      </c>
      <c r="E99" s="50"/>
      <c r="K99"/>
      <c r="L99"/>
      <c r="M99"/>
      <c r="N99"/>
    </row>
    <row r="100" spans="1:14" s="1" customFormat="1" ht="12.75">
      <c r="A100" s="147"/>
      <c r="B100" s="147"/>
      <c r="C100" s="147"/>
      <c r="D100" s="148"/>
      <c r="E100" s="35"/>
      <c r="K100"/>
      <c r="L100"/>
      <c r="M100"/>
      <c r="N100"/>
    </row>
    <row r="101" spans="1:14" s="1" customFormat="1" ht="12.75">
      <c r="A101" s="81"/>
      <c r="B101" s="81"/>
      <c r="C101" s="81"/>
      <c r="D101" s="81"/>
      <c r="E101" s="35"/>
      <c r="H101" s="1" t="s">
        <v>27</v>
      </c>
      <c r="K101"/>
      <c r="L101"/>
      <c r="M101"/>
      <c r="N101"/>
    </row>
    <row r="102" spans="1:14" s="1" customFormat="1" ht="12.75">
      <c r="A102" s="90" t="s">
        <v>158</v>
      </c>
      <c r="B102" s="81"/>
      <c r="C102" s="81"/>
      <c r="D102" s="81"/>
      <c r="E102" s="35"/>
      <c r="K102"/>
      <c r="L102"/>
      <c r="M102"/>
      <c r="N102"/>
    </row>
    <row r="103" spans="1:14" s="1" customFormat="1" ht="12.75">
      <c r="A103" s="81"/>
      <c r="B103" s="81"/>
      <c r="C103" s="81"/>
      <c r="D103" s="81"/>
      <c r="H103" s="1" t="s">
        <v>27</v>
      </c>
      <c r="K103"/>
      <c r="L103"/>
      <c r="M103"/>
      <c r="N103"/>
    </row>
    <row r="104" spans="1:14" s="1" customFormat="1" ht="12.75">
      <c r="A104" s="81" t="s">
        <v>85</v>
      </c>
      <c r="B104" s="81"/>
      <c r="C104" s="81"/>
      <c r="D104" s="81"/>
      <c r="K104"/>
      <c r="L104"/>
      <c r="M104"/>
      <c r="N104"/>
    </row>
    <row r="105" spans="1:4" ht="12.75">
      <c r="A105" s="81"/>
      <c r="B105" s="81"/>
      <c r="C105" s="81"/>
      <c r="D105" s="81"/>
    </row>
    <row r="106" spans="1:4" ht="12.75">
      <c r="A106" s="51"/>
      <c r="B106" s="51"/>
      <c r="C106" s="51"/>
      <c r="D106" s="51"/>
    </row>
    <row r="108" spans="1:14" s="1" customFormat="1" ht="12.75">
      <c r="A108"/>
      <c r="B108"/>
      <c r="C108"/>
      <c r="D108"/>
      <c r="E108" s="1" t="s">
        <v>27</v>
      </c>
      <c r="K108"/>
      <c r="L108"/>
      <c r="M108"/>
      <c r="N108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4:D14"/>
    <mergeCell ref="A7:D7"/>
    <mergeCell ref="A28:D28"/>
    <mergeCell ref="A64:D64"/>
    <mergeCell ref="A69:D69"/>
    <mergeCell ref="A76:D76"/>
    <mergeCell ref="A91:D91"/>
    <mergeCell ref="A96:D96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57.421875" style="0" customWidth="1"/>
    <col min="2" max="2" width="15.57421875" style="0" customWidth="1"/>
    <col min="3" max="3" width="23.421875" style="0" customWidth="1"/>
    <col min="4" max="4" width="15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30" t="s">
        <v>0</v>
      </c>
      <c r="B1" s="530"/>
      <c r="C1" s="530"/>
      <c r="D1" s="530"/>
    </row>
    <row r="2" spans="1:4" ht="15.75">
      <c r="A2" s="531" t="s">
        <v>176</v>
      </c>
      <c r="B2" s="532"/>
      <c r="C2" s="532"/>
      <c r="D2" s="532"/>
    </row>
    <row r="3" spans="1:4" ht="15.75">
      <c r="A3" s="532" t="s">
        <v>1</v>
      </c>
      <c r="B3" s="532"/>
      <c r="C3" s="532"/>
      <c r="D3" s="532"/>
    </row>
    <row r="4" spans="1:4" ht="12.75">
      <c r="A4" s="534" t="s">
        <v>107</v>
      </c>
      <c r="B4" s="534"/>
      <c r="C4" s="534"/>
      <c r="D4" s="534"/>
    </row>
    <row r="5" spans="1:4" ht="12.75">
      <c r="A5" s="533" t="s">
        <v>281</v>
      </c>
      <c r="B5" s="534"/>
      <c r="C5" s="534"/>
      <c r="D5" s="534"/>
    </row>
    <row r="6" spans="1:5" ht="31.5" customHeight="1">
      <c r="A6" s="543" t="s">
        <v>3</v>
      </c>
      <c r="B6" s="552"/>
      <c r="C6" s="552"/>
      <c r="D6" s="552"/>
      <c r="E6" s="69"/>
    </row>
    <row r="7" spans="1:5" ht="16.5" customHeight="1">
      <c r="A7" s="384" t="s">
        <v>355</v>
      </c>
      <c r="B7" s="152"/>
      <c r="C7" s="152"/>
      <c r="D7" s="152"/>
      <c r="E7" s="69"/>
    </row>
    <row r="8" spans="1:4" ht="12.75">
      <c r="A8" s="94">
        <v>1</v>
      </c>
      <c r="B8" s="94">
        <v>2</v>
      </c>
      <c r="C8" s="94">
        <v>3</v>
      </c>
      <c r="D8" s="95">
        <v>4</v>
      </c>
    </row>
    <row r="9" spans="1:4" ht="12.75">
      <c r="A9" s="65" t="s">
        <v>7</v>
      </c>
      <c r="B9" s="96"/>
      <c r="C9" s="97" t="s">
        <v>190</v>
      </c>
      <c r="D9" s="80"/>
    </row>
    <row r="10" spans="1:8" ht="12.75">
      <c r="A10" s="65" t="s">
        <v>8</v>
      </c>
      <c r="B10" s="96"/>
      <c r="C10" s="97" t="s">
        <v>205</v>
      </c>
      <c r="D10" s="80"/>
      <c r="E10" s="35"/>
      <c r="F10" s="35"/>
      <c r="G10" s="35"/>
      <c r="H10" s="35"/>
    </row>
    <row r="11" spans="1:8" ht="12.75">
      <c r="A11" s="65" t="s">
        <v>9</v>
      </c>
      <c r="B11" s="96"/>
      <c r="C11" s="97" t="s">
        <v>191</v>
      </c>
      <c r="D11" s="80"/>
      <c r="E11" s="35"/>
      <c r="F11" s="35"/>
      <c r="G11" s="35"/>
      <c r="H11" s="35"/>
    </row>
    <row r="12" spans="1:8" ht="31.5" customHeight="1">
      <c r="A12" s="537" t="s">
        <v>10</v>
      </c>
      <c r="B12" s="537"/>
      <c r="C12" s="537"/>
      <c r="D12" s="537"/>
      <c r="E12" s="35"/>
      <c r="F12" s="35"/>
      <c r="G12" s="35"/>
      <c r="H12" s="35"/>
    </row>
    <row r="13" spans="1:8" ht="12.75">
      <c r="A13" s="65" t="s">
        <v>94</v>
      </c>
      <c r="B13" s="98" t="s">
        <v>12</v>
      </c>
      <c r="C13" s="72">
        <v>261237.27</v>
      </c>
      <c r="D13" s="80"/>
      <c r="E13" s="35"/>
      <c r="F13" s="35"/>
      <c r="G13" s="35"/>
      <c r="H13" s="35"/>
    </row>
    <row r="14" spans="1:8" ht="12.75">
      <c r="A14" s="65" t="s">
        <v>13</v>
      </c>
      <c r="B14" s="98" t="s">
        <v>12</v>
      </c>
      <c r="C14" s="99">
        <v>0</v>
      </c>
      <c r="D14" s="80"/>
      <c r="E14" s="35"/>
      <c r="F14" s="35"/>
      <c r="G14" s="35"/>
      <c r="H14" s="35"/>
    </row>
    <row r="15" spans="1:8" ht="12.75">
      <c r="A15" s="65" t="s">
        <v>14</v>
      </c>
      <c r="B15" s="98" t="s">
        <v>12</v>
      </c>
      <c r="C15" s="72">
        <v>141209.36202599993</v>
      </c>
      <c r="D15" s="76"/>
      <c r="E15" s="35" t="e">
        <f>B15/12/1022.6</f>
        <v>#VALUE!</v>
      </c>
      <c r="F15" s="35"/>
      <c r="G15" s="35"/>
      <c r="H15" s="35"/>
    </row>
    <row r="16" spans="1:8" ht="31.5" customHeight="1">
      <c r="A16" s="64" t="s">
        <v>15</v>
      </c>
      <c r="B16" s="98" t="s">
        <v>12</v>
      </c>
      <c r="C16" s="72">
        <f>902145.48+10665.96+6518.3+34663.7</f>
        <v>953993.44</v>
      </c>
      <c r="D16" s="76"/>
      <c r="E16" s="473">
        <f>C16-C18</f>
        <v>744530.5641399999</v>
      </c>
      <c r="F16" s="35"/>
      <c r="G16" s="35"/>
      <c r="H16" s="35"/>
    </row>
    <row r="17" spans="1:8" ht="12.75">
      <c r="A17" s="65" t="s">
        <v>16</v>
      </c>
      <c r="B17" s="98" t="s">
        <v>12</v>
      </c>
      <c r="C17" s="72">
        <f>C16-C18-C19</f>
        <v>496256.32089999993</v>
      </c>
      <c r="D17" s="76"/>
      <c r="E17" s="473">
        <f>E16-E52</f>
        <v>51847.95089999982</v>
      </c>
      <c r="F17" s="35"/>
      <c r="G17" s="35"/>
      <c r="H17" s="62" t="s">
        <v>115</v>
      </c>
    </row>
    <row r="18" spans="1:8" ht="12.75">
      <c r="A18" s="65" t="s">
        <v>17</v>
      </c>
      <c r="B18" s="98" t="s">
        <v>12</v>
      </c>
      <c r="C18" s="72">
        <f>4937.833*6*(3.54+3.53)</f>
        <v>209462.87586</v>
      </c>
      <c r="D18" s="76"/>
      <c r="E18" s="43"/>
      <c r="F18" s="35"/>
      <c r="G18" s="35"/>
      <c r="H18" s="35"/>
    </row>
    <row r="19" spans="1:8" ht="12.75">
      <c r="A19" s="65" t="s">
        <v>18</v>
      </c>
      <c r="B19" s="98" t="s">
        <v>12</v>
      </c>
      <c r="C19" s="72">
        <f>4937.833*12*4.19</f>
        <v>248274.24324</v>
      </c>
      <c r="D19" s="76"/>
      <c r="E19" s="35"/>
      <c r="F19" s="35"/>
      <c r="G19" s="35"/>
      <c r="H19" s="35"/>
    </row>
    <row r="20" spans="1:8" ht="12.75">
      <c r="A20" s="65" t="s">
        <v>19</v>
      </c>
      <c r="B20" s="98" t="s">
        <v>12</v>
      </c>
      <c r="C20" s="72">
        <f>C21+C22+C23+C24</f>
        <v>962547.925424</v>
      </c>
      <c r="D20" s="76" t="s">
        <v>20</v>
      </c>
      <c r="E20" s="42"/>
      <c r="F20" s="35"/>
      <c r="G20" s="35"/>
      <c r="H20" s="35"/>
    </row>
    <row r="21" spans="1:8" ht="12.75">
      <c r="A21" s="65" t="s">
        <v>21</v>
      </c>
      <c r="B21" s="98" t="s">
        <v>12</v>
      </c>
      <c r="C21" s="72">
        <f>C16*0.9946</f>
        <v>948841.875424</v>
      </c>
      <c r="D21" s="76"/>
      <c r="E21" s="35"/>
      <c r="F21" s="35"/>
      <c r="G21" s="35"/>
      <c r="H21" s="35"/>
    </row>
    <row r="22" spans="1:8" ht="12.75">
      <c r="A22" s="65" t="s">
        <v>22</v>
      </c>
      <c r="B22" s="98" t="s">
        <v>12</v>
      </c>
      <c r="C22" s="72">
        <v>0</v>
      </c>
      <c r="D22" s="76"/>
      <c r="E22" s="43"/>
      <c r="F22" s="35"/>
      <c r="G22" s="35"/>
      <c r="H22" s="35"/>
    </row>
    <row r="23" spans="1:8" ht="12.75">
      <c r="A23" s="65" t="s">
        <v>24</v>
      </c>
      <c r="B23" s="98" t="s">
        <v>12</v>
      </c>
      <c r="C23" s="72">
        <v>0</v>
      </c>
      <c r="D23" s="76"/>
      <c r="E23" s="43" t="e">
        <f>B23/#REF!*1</f>
        <v>#VALUE!</v>
      </c>
      <c r="F23" s="35"/>
      <c r="G23" s="35"/>
      <c r="H23" s="35"/>
    </row>
    <row r="24" spans="1:8" ht="12.75">
      <c r="A24" s="96" t="s">
        <v>25</v>
      </c>
      <c r="B24" s="98" t="s">
        <v>12</v>
      </c>
      <c r="C24" s="72">
        <f>8143.81+5562.24</f>
        <v>13706.05</v>
      </c>
      <c r="D24" s="76"/>
      <c r="E24" s="43" t="e">
        <f>B24/#REF!*1</f>
        <v>#VALUE!</v>
      </c>
      <c r="F24" s="35"/>
      <c r="G24" s="35"/>
      <c r="H24" s="35"/>
    </row>
    <row r="25" spans="1:8" ht="12.75">
      <c r="A25" s="65" t="s">
        <v>26</v>
      </c>
      <c r="B25" s="98" t="s">
        <v>12</v>
      </c>
      <c r="C25" s="72">
        <f>C13+C20</f>
        <v>1223785.195424</v>
      </c>
      <c r="D25" s="76" t="s">
        <v>27</v>
      </c>
      <c r="E25" s="43" t="e">
        <f>B25/#REF!*1</f>
        <v>#VALUE!</v>
      </c>
      <c r="F25" s="35"/>
      <c r="G25" s="35"/>
      <c r="H25" s="35"/>
    </row>
    <row r="26" spans="1:8" ht="35.25" customHeight="1">
      <c r="A26" s="540" t="s">
        <v>28</v>
      </c>
      <c r="B26" s="540"/>
      <c r="C26" s="540"/>
      <c r="D26" s="540"/>
      <c r="E26" s="35"/>
      <c r="F26" s="35"/>
      <c r="G26" s="35"/>
      <c r="H26" s="35"/>
    </row>
    <row r="27" spans="1:8" ht="51">
      <c r="A27" s="130" t="s">
        <v>29</v>
      </c>
      <c r="B27" s="172" t="s">
        <v>30</v>
      </c>
      <c r="C27" s="202" t="s">
        <v>31</v>
      </c>
      <c r="D27" s="203" t="s">
        <v>32</v>
      </c>
      <c r="E27" s="35"/>
      <c r="F27" s="35"/>
      <c r="G27" s="35"/>
      <c r="H27" s="35"/>
    </row>
    <row r="28" spans="1:8" ht="12.75">
      <c r="A28" s="115" t="s">
        <v>95</v>
      </c>
      <c r="B28" s="112" t="s">
        <v>34</v>
      </c>
      <c r="C28" s="113" t="s">
        <v>364</v>
      </c>
      <c r="D28" s="76">
        <f>4937.883*6*(0.7+0.5)</f>
        <v>35552.7576</v>
      </c>
      <c r="E28" s="35"/>
      <c r="F28" s="35"/>
      <c r="G28" s="35"/>
      <c r="H28" s="35"/>
    </row>
    <row r="29" spans="1:8" ht="12.75">
      <c r="A29" s="115" t="s">
        <v>88</v>
      </c>
      <c r="B29" s="112" t="s">
        <v>36</v>
      </c>
      <c r="C29" s="115" t="s">
        <v>44</v>
      </c>
      <c r="D29" s="76">
        <f>4937.883*12*2.4</f>
        <v>142211.0304</v>
      </c>
      <c r="E29" s="35"/>
      <c r="F29" s="35"/>
      <c r="G29" s="35"/>
      <c r="H29" s="35"/>
    </row>
    <row r="30" spans="1:14" s="1" customFormat="1" ht="12.75">
      <c r="A30" s="115" t="s">
        <v>362</v>
      </c>
      <c r="B30" s="112" t="s">
        <v>43</v>
      </c>
      <c r="C30" s="115" t="s">
        <v>363</v>
      </c>
      <c r="D30" s="76">
        <f>4937.833*12*0.15</f>
        <v>8888.0994</v>
      </c>
      <c r="E30" s="35"/>
      <c r="F30" s="35"/>
      <c r="G30" s="35"/>
      <c r="H30" s="35"/>
      <c r="K30"/>
      <c r="L30"/>
      <c r="M30"/>
      <c r="N30"/>
    </row>
    <row r="31" spans="1:14" s="1" customFormat="1" ht="12.75">
      <c r="A31" s="115" t="s">
        <v>96</v>
      </c>
      <c r="B31" s="112" t="s">
        <v>34</v>
      </c>
      <c r="C31" s="115" t="s">
        <v>41</v>
      </c>
      <c r="D31" s="76">
        <f>4937.833*6*(0.13+0.2)</f>
        <v>9776.90934</v>
      </c>
      <c r="E31" s="35"/>
      <c r="F31" s="35"/>
      <c r="G31" s="35"/>
      <c r="H31" s="35"/>
      <c r="K31"/>
      <c r="L31"/>
      <c r="M31"/>
      <c r="N31"/>
    </row>
    <row r="32" spans="1:14" s="1" customFormat="1" ht="12.75">
      <c r="A32" s="115" t="s">
        <v>105</v>
      </c>
      <c r="B32" s="304" t="s">
        <v>34</v>
      </c>
      <c r="C32" s="115" t="s">
        <v>44</v>
      </c>
      <c r="D32" s="76">
        <f>4937.833*6*(0.9+0.73)</f>
        <v>48292.00674</v>
      </c>
      <c r="E32" s="35"/>
      <c r="F32" s="35"/>
      <c r="G32" s="35"/>
      <c r="H32" s="35"/>
      <c r="K32"/>
      <c r="L32"/>
      <c r="M32"/>
      <c r="N32"/>
    </row>
    <row r="33" spans="1:14" s="1" customFormat="1" ht="25.5">
      <c r="A33" s="113" t="s">
        <v>89</v>
      </c>
      <c r="B33" s="112" t="s">
        <v>34</v>
      </c>
      <c r="C33" s="115" t="s">
        <v>44</v>
      </c>
      <c r="D33" s="76">
        <f>4937.833*6*(2.13+1.95)+1.6</f>
        <v>120879.75184000001</v>
      </c>
      <c r="E33" s="35"/>
      <c r="F33" s="35"/>
      <c r="G33" s="35"/>
      <c r="H33" s="35"/>
      <c r="K33"/>
      <c r="L33"/>
      <c r="M33"/>
      <c r="N33"/>
    </row>
    <row r="34" spans="1:14" s="1" customFormat="1" ht="12.75">
      <c r="A34" s="115" t="s">
        <v>46</v>
      </c>
      <c r="B34" s="112" t="s">
        <v>47</v>
      </c>
      <c r="C34" s="115" t="s">
        <v>44</v>
      </c>
      <c r="D34" s="76">
        <f>4937.833*12*1.33</f>
        <v>78807.81468</v>
      </c>
      <c r="E34" s="35"/>
      <c r="F34" s="35"/>
      <c r="G34" s="35"/>
      <c r="H34" s="35"/>
      <c r="K34"/>
      <c r="L34"/>
      <c r="M34"/>
      <c r="N34"/>
    </row>
    <row r="35" spans="1:14" s="1" customFormat="1" ht="12.75">
      <c r="A35" s="115" t="s">
        <v>98</v>
      </c>
      <c r="B35" s="112" t="s">
        <v>38</v>
      </c>
      <c r="C35" s="225" t="s">
        <v>168</v>
      </c>
      <c r="D35" s="76">
        <f>4937.833*4.19*12</f>
        <v>248274.24324</v>
      </c>
      <c r="E35" s="35"/>
      <c r="F35" s="35"/>
      <c r="G35" s="35"/>
      <c r="H35" s="35"/>
      <c r="K35"/>
      <c r="L35"/>
      <c r="M35"/>
      <c r="N35"/>
    </row>
    <row r="36" spans="1:14" s="1" customFormat="1" ht="12.75">
      <c r="A36" s="115" t="s">
        <v>146</v>
      </c>
      <c r="B36" s="112"/>
      <c r="C36" s="115"/>
      <c r="D36" s="76"/>
      <c r="E36" s="35"/>
      <c r="F36" s="35"/>
      <c r="G36" s="35"/>
      <c r="H36" s="35"/>
      <c r="K36"/>
      <c r="L36"/>
      <c r="M36"/>
      <c r="N36"/>
    </row>
    <row r="37" spans="1:14" s="1" customFormat="1" ht="12.75">
      <c r="A37" s="115" t="s">
        <v>144</v>
      </c>
      <c r="B37" s="112" t="s">
        <v>38</v>
      </c>
      <c r="C37" s="115" t="s">
        <v>147</v>
      </c>
      <c r="D37" s="76">
        <v>17184.26</v>
      </c>
      <c r="E37" s="35"/>
      <c r="F37" s="35"/>
      <c r="G37" s="35"/>
      <c r="H37" s="35"/>
      <c r="K37"/>
      <c r="L37"/>
      <c r="M37"/>
      <c r="N37"/>
    </row>
    <row r="38" spans="1:14" s="1" customFormat="1" ht="12.75">
      <c r="A38" s="115" t="s">
        <v>145</v>
      </c>
      <c r="B38" s="112" t="s">
        <v>38</v>
      </c>
      <c r="C38" s="115" t="s">
        <v>148</v>
      </c>
      <c r="D38" s="76">
        <v>75162.06</v>
      </c>
      <c r="E38" s="35"/>
      <c r="F38" s="35"/>
      <c r="G38" s="35"/>
      <c r="H38" s="35"/>
      <c r="K38"/>
      <c r="L38"/>
      <c r="M38"/>
      <c r="N38"/>
    </row>
    <row r="39" spans="1:14" s="1" customFormat="1" ht="41.25" customHeight="1">
      <c r="A39" s="206" t="s">
        <v>138</v>
      </c>
      <c r="B39" s="207" t="s">
        <v>53</v>
      </c>
      <c r="C39" s="205"/>
      <c r="D39" s="377">
        <f>D40+D41+D42+D43+D44+D45+D46+D47++D48+D49+D50+D51</f>
        <v>196085.6</v>
      </c>
      <c r="E39" s="35"/>
      <c r="F39" s="35"/>
      <c r="G39" s="35"/>
      <c r="H39" s="35"/>
      <c r="K39"/>
      <c r="L39"/>
      <c r="M39"/>
      <c r="N39"/>
    </row>
    <row r="40" spans="1:14" s="1" customFormat="1" ht="20.25" customHeight="1">
      <c r="A40" s="227" t="s">
        <v>282</v>
      </c>
      <c r="B40" s="231" t="s">
        <v>119</v>
      </c>
      <c r="C40" s="115" t="s">
        <v>44</v>
      </c>
      <c r="D40" s="233">
        <v>711</v>
      </c>
      <c r="E40" s="35"/>
      <c r="F40" s="35"/>
      <c r="G40" s="35"/>
      <c r="H40" s="35"/>
      <c r="K40"/>
      <c r="L40"/>
      <c r="M40"/>
      <c r="N40"/>
    </row>
    <row r="41" spans="1:14" s="1" customFormat="1" ht="26.25" customHeight="1">
      <c r="A41" s="224" t="s">
        <v>193</v>
      </c>
      <c r="B41" s="207" t="s">
        <v>120</v>
      </c>
      <c r="C41" s="115" t="s">
        <v>37</v>
      </c>
      <c r="D41" s="75">
        <v>360</v>
      </c>
      <c r="E41" s="35"/>
      <c r="F41" s="35"/>
      <c r="G41" s="35"/>
      <c r="H41" s="35"/>
      <c r="K41"/>
      <c r="L41"/>
      <c r="M41"/>
      <c r="N41"/>
    </row>
    <row r="42" spans="1:14" s="1" customFormat="1" ht="21.75" customHeight="1">
      <c r="A42" s="206" t="s">
        <v>241</v>
      </c>
      <c r="B42" s="207" t="s">
        <v>127</v>
      </c>
      <c r="C42" s="232" t="s">
        <v>211</v>
      </c>
      <c r="D42" s="75">
        <v>681</v>
      </c>
      <c r="E42" s="35"/>
      <c r="F42" s="35"/>
      <c r="G42" s="35"/>
      <c r="H42" s="35"/>
      <c r="K42"/>
      <c r="L42"/>
      <c r="M42"/>
      <c r="N42"/>
    </row>
    <row r="43" spans="1:14" s="1" customFormat="1" ht="18" customHeight="1">
      <c r="A43" s="206" t="s">
        <v>243</v>
      </c>
      <c r="B43" s="228" t="s">
        <v>127</v>
      </c>
      <c r="C43" s="115" t="s">
        <v>44</v>
      </c>
      <c r="D43" s="75">
        <v>198.6</v>
      </c>
      <c r="E43" s="35"/>
      <c r="F43" s="35"/>
      <c r="G43" s="35"/>
      <c r="H43" s="35"/>
      <c r="K43"/>
      <c r="L43"/>
      <c r="M43"/>
      <c r="N43"/>
    </row>
    <row r="44" spans="1:14" s="1" customFormat="1" ht="24" customHeight="1">
      <c r="A44" s="224" t="s">
        <v>283</v>
      </c>
      <c r="B44" s="207" t="s">
        <v>122</v>
      </c>
      <c r="C44" s="232" t="s">
        <v>204</v>
      </c>
      <c r="D44" s="75">
        <v>1670</v>
      </c>
      <c r="E44" s="35"/>
      <c r="F44" s="35"/>
      <c r="G44" s="35"/>
      <c r="H44" s="35"/>
      <c r="K44"/>
      <c r="L44"/>
      <c r="M44"/>
      <c r="N44"/>
    </row>
    <row r="45" spans="1:14" s="1" customFormat="1" ht="17.25" customHeight="1">
      <c r="A45" s="75" t="s">
        <v>284</v>
      </c>
      <c r="B45" s="207" t="s">
        <v>122</v>
      </c>
      <c r="C45" s="232" t="s">
        <v>211</v>
      </c>
      <c r="D45" s="75">
        <v>83975</v>
      </c>
      <c r="E45" s="35"/>
      <c r="F45" s="35"/>
      <c r="G45" s="35"/>
      <c r="H45" s="35"/>
      <c r="K45"/>
      <c r="L45"/>
      <c r="M45"/>
      <c r="N45"/>
    </row>
    <row r="46" spans="1:14" s="1" customFormat="1" ht="17.25" customHeight="1">
      <c r="A46" s="224" t="s">
        <v>285</v>
      </c>
      <c r="B46" s="207" t="s">
        <v>122</v>
      </c>
      <c r="C46" s="232" t="s">
        <v>211</v>
      </c>
      <c r="D46" s="75">
        <v>75846</v>
      </c>
      <c r="E46" s="35"/>
      <c r="F46" s="35"/>
      <c r="G46" s="35"/>
      <c r="H46" s="35"/>
      <c r="K46"/>
      <c r="L46"/>
      <c r="M46"/>
      <c r="N46"/>
    </row>
    <row r="47" spans="1:14" s="1" customFormat="1" ht="17.25" customHeight="1">
      <c r="A47" s="224" t="s">
        <v>165</v>
      </c>
      <c r="B47" s="207" t="s">
        <v>125</v>
      </c>
      <c r="C47" s="232" t="s">
        <v>211</v>
      </c>
      <c r="D47" s="75">
        <v>13954</v>
      </c>
      <c r="E47" s="35"/>
      <c r="F47" s="35"/>
      <c r="G47" s="35"/>
      <c r="H47" s="35"/>
      <c r="K47"/>
      <c r="L47"/>
      <c r="M47"/>
      <c r="N47"/>
    </row>
    <row r="48" spans="1:14" s="1" customFormat="1" ht="17.25" customHeight="1">
      <c r="A48" s="224" t="s">
        <v>277</v>
      </c>
      <c r="B48" s="207" t="s">
        <v>125</v>
      </c>
      <c r="C48" s="115" t="s">
        <v>44</v>
      </c>
      <c r="D48" s="75">
        <v>3089</v>
      </c>
      <c r="E48" s="35"/>
      <c r="F48" s="35"/>
      <c r="G48" s="35"/>
      <c r="H48" s="35"/>
      <c r="K48"/>
      <c r="L48"/>
      <c r="M48"/>
      <c r="N48"/>
    </row>
    <row r="49" spans="1:14" s="1" customFormat="1" ht="17.25" customHeight="1">
      <c r="A49" s="224" t="s">
        <v>286</v>
      </c>
      <c r="B49" s="207" t="s">
        <v>123</v>
      </c>
      <c r="C49" s="115" t="s">
        <v>44</v>
      </c>
      <c r="D49" s="75">
        <v>5249</v>
      </c>
      <c r="E49" s="35"/>
      <c r="F49" s="35"/>
      <c r="G49" s="35"/>
      <c r="H49" s="35"/>
      <c r="K49"/>
      <c r="L49"/>
      <c r="M49"/>
      <c r="N49"/>
    </row>
    <row r="50" spans="1:14" s="1" customFormat="1" ht="24.75" customHeight="1">
      <c r="A50" s="224" t="s">
        <v>287</v>
      </c>
      <c r="B50" s="207" t="s">
        <v>123</v>
      </c>
      <c r="C50" s="130" t="s">
        <v>288</v>
      </c>
      <c r="D50" s="75">
        <v>9900</v>
      </c>
      <c r="E50" s="35"/>
      <c r="F50" s="35"/>
      <c r="G50" s="35"/>
      <c r="H50" s="35"/>
      <c r="K50"/>
      <c r="L50"/>
      <c r="M50"/>
      <c r="N50"/>
    </row>
    <row r="51" spans="1:14" s="1" customFormat="1" ht="17.25" customHeight="1">
      <c r="A51" s="224" t="s">
        <v>289</v>
      </c>
      <c r="B51" s="207" t="s">
        <v>128</v>
      </c>
      <c r="C51" s="115" t="s">
        <v>44</v>
      </c>
      <c r="D51" s="75">
        <v>452</v>
      </c>
      <c r="E51" s="35"/>
      <c r="F51" s="35"/>
      <c r="G51" s="35"/>
      <c r="H51" s="35"/>
      <c r="K51"/>
      <c r="L51"/>
      <c r="M51"/>
      <c r="N51"/>
    </row>
    <row r="52" spans="1:14" s="1" customFormat="1" ht="12.75">
      <c r="A52" s="24" t="s">
        <v>54</v>
      </c>
      <c r="B52" s="112"/>
      <c r="C52" s="115"/>
      <c r="D52" s="76">
        <f>D28+D29+D30+D31+D32+D33+D34+D35+D37+D38+D39</f>
        <v>981114.5332400001</v>
      </c>
      <c r="E52" s="474">
        <f>D52-D39-D37-D38</f>
        <v>692682.6132400001</v>
      </c>
      <c r="F52" s="35"/>
      <c r="G52" s="35"/>
      <c r="H52" s="35"/>
      <c r="K52"/>
      <c r="L52"/>
      <c r="M52"/>
      <c r="N52"/>
    </row>
    <row r="53" spans="1:14" s="1" customFormat="1" ht="12.75">
      <c r="A53" s="24" t="s">
        <v>55</v>
      </c>
      <c r="B53" s="112"/>
      <c r="C53" s="115"/>
      <c r="D53" s="76">
        <f>C25-D52</f>
        <v>242670.6621839999</v>
      </c>
      <c r="E53" s="36"/>
      <c r="F53" s="35"/>
      <c r="G53" s="35"/>
      <c r="H53" s="35"/>
      <c r="K53"/>
      <c r="L53"/>
      <c r="M53"/>
      <c r="N53"/>
    </row>
    <row r="54" spans="1:8" ht="12.75">
      <c r="A54" s="115" t="s">
        <v>13</v>
      </c>
      <c r="B54" s="112" t="s">
        <v>12</v>
      </c>
      <c r="C54" s="115"/>
      <c r="D54" s="80">
        <v>0</v>
      </c>
      <c r="E54" s="35"/>
      <c r="F54" s="35"/>
      <c r="G54" s="35"/>
      <c r="H54" s="35"/>
    </row>
    <row r="55" spans="1:8" ht="12.75">
      <c r="A55" s="115" t="s">
        <v>14</v>
      </c>
      <c r="B55" s="112" t="s">
        <v>12</v>
      </c>
      <c r="C55" s="115"/>
      <c r="D55" s="76">
        <v>160088.2</v>
      </c>
      <c r="E55" s="35"/>
      <c r="F55" s="35"/>
      <c r="G55" s="35"/>
      <c r="H55" s="35"/>
    </row>
    <row r="56" spans="1:8" ht="24" customHeight="1">
      <c r="A56" s="539" t="s">
        <v>56</v>
      </c>
      <c r="B56" s="539"/>
      <c r="C56" s="539"/>
      <c r="D56" s="539"/>
      <c r="E56" s="35"/>
      <c r="F56" s="35"/>
      <c r="G56" s="35"/>
      <c r="H56" s="35"/>
    </row>
    <row r="57" spans="1:8" ht="12.75">
      <c r="A57" s="115" t="s">
        <v>57</v>
      </c>
      <c r="B57" s="112" t="s">
        <v>58</v>
      </c>
      <c r="C57" s="115"/>
      <c r="D57" s="80">
        <v>0</v>
      </c>
      <c r="E57" s="35"/>
      <c r="F57" s="35"/>
      <c r="G57" s="35"/>
      <c r="H57" s="35"/>
    </row>
    <row r="58" spans="1:8" ht="12.75">
      <c r="A58" s="115" t="s">
        <v>59</v>
      </c>
      <c r="B58" s="112" t="s">
        <v>58</v>
      </c>
      <c r="C58" s="115"/>
      <c r="D58" s="80">
        <v>0</v>
      </c>
      <c r="E58" s="35"/>
      <c r="F58" s="35"/>
      <c r="G58" s="35"/>
      <c r="H58" s="35"/>
    </row>
    <row r="59" spans="1:8" ht="25.5">
      <c r="A59" s="130" t="s">
        <v>60</v>
      </c>
      <c r="B59" s="112" t="s">
        <v>58</v>
      </c>
      <c r="C59" s="115"/>
      <c r="D59" s="80">
        <v>0</v>
      </c>
      <c r="E59" s="35"/>
      <c r="F59" s="35"/>
      <c r="G59" s="35"/>
      <c r="H59" s="35"/>
    </row>
    <row r="60" spans="1:8" ht="12.75">
      <c r="A60" s="115" t="s">
        <v>61</v>
      </c>
      <c r="B60" s="112" t="s">
        <v>12</v>
      </c>
      <c r="C60" s="115"/>
      <c r="D60" s="80">
        <v>0</v>
      </c>
      <c r="E60" s="35"/>
      <c r="F60" s="35"/>
      <c r="G60" s="35"/>
      <c r="H60" s="35"/>
    </row>
    <row r="61" spans="1:8" ht="20.25" customHeight="1">
      <c r="A61" s="540" t="s">
        <v>62</v>
      </c>
      <c r="B61" s="540"/>
      <c r="C61" s="540"/>
      <c r="D61" s="540"/>
      <c r="E61" s="35"/>
      <c r="F61" s="35"/>
      <c r="G61" s="35"/>
      <c r="H61" s="35"/>
    </row>
    <row r="62" spans="1:8" ht="25.5">
      <c r="A62" s="130" t="s">
        <v>63</v>
      </c>
      <c r="B62" s="112" t="s">
        <v>12</v>
      </c>
      <c r="C62" s="115"/>
      <c r="D62" s="115">
        <v>0</v>
      </c>
      <c r="E62" s="35"/>
      <c r="F62" s="35"/>
      <c r="G62" s="35"/>
      <c r="H62" s="35"/>
    </row>
    <row r="63" spans="1:8" ht="12.75">
      <c r="A63" s="115" t="s">
        <v>13</v>
      </c>
      <c r="B63" s="112" t="s">
        <v>12</v>
      </c>
      <c r="C63" s="115"/>
      <c r="D63" s="115">
        <v>0</v>
      </c>
      <c r="E63" s="35"/>
      <c r="F63" s="35"/>
      <c r="G63" s="35"/>
      <c r="H63" s="35"/>
    </row>
    <row r="64" spans="1:8" ht="27" customHeight="1">
      <c r="A64" s="225" t="s">
        <v>379</v>
      </c>
      <c r="B64" s="112" t="s">
        <v>12</v>
      </c>
      <c r="C64" s="115"/>
      <c r="D64" s="229">
        <f>D66-D69-D70-D71-D72-D73</f>
        <v>544092.176362</v>
      </c>
      <c r="E64" s="35"/>
      <c r="F64" s="35"/>
      <c r="G64" s="35"/>
      <c r="H64" s="37"/>
    </row>
    <row r="65" spans="1:10" ht="17.25" customHeight="1">
      <c r="A65" s="135" t="s">
        <v>13</v>
      </c>
      <c r="B65" s="112" t="s">
        <v>12</v>
      </c>
      <c r="C65" s="115"/>
      <c r="D65" s="115">
        <v>0</v>
      </c>
      <c r="E65" s="35"/>
      <c r="F65" s="35"/>
      <c r="G65" s="35"/>
      <c r="H65" s="35"/>
      <c r="I65" s="3"/>
      <c r="J65" s="3"/>
    </row>
    <row r="66" spans="1:14" ht="12.75">
      <c r="A66" s="475" t="s">
        <v>380</v>
      </c>
      <c r="B66" s="112" t="s">
        <v>12</v>
      </c>
      <c r="C66" s="208"/>
      <c r="D66" s="208">
        <v>562182.97</v>
      </c>
      <c r="E66" s="35"/>
      <c r="F66" s="35"/>
      <c r="G66" s="35"/>
      <c r="H66" s="35" t="s">
        <v>27</v>
      </c>
      <c r="I66" s="4"/>
      <c r="J66" s="4"/>
      <c r="K66" s="5"/>
      <c r="L66" s="5"/>
      <c r="M66" s="5"/>
      <c r="N66" s="5"/>
    </row>
    <row r="67" spans="1:14" ht="18" customHeight="1" thickBot="1">
      <c r="A67" s="541" t="s">
        <v>65</v>
      </c>
      <c r="B67" s="541"/>
      <c r="C67" s="541"/>
      <c r="D67" s="541"/>
      <c r="E67" s="40"/>
      <c r="F67" s="44"/>
      <c r="G67" s="45"/>
      <c r="H67" s="35"/>
      <c r="I67" s="9"/>
      <c r="J67" s="9"/>
      <c r="K67" s="10"/>
      <c r="L67" s="10"/>
      <c r="M67" s="10"/>
      <c r="N67" s="10"/>
    </row>
    <row r="68" spans="1:14" ht="38.25">
      <c r="A68" s="34" t="s">
        <v>66</v>
      </c>
      <c r="B68" s="31" t="s">
        <v>67</v>
      </c>
      <c r="C68" s="56" t="s">
        <v>68</v>
      </c>
      <c r="D68" s="57" t="s">
        <v>103</v>
      </c>
      <c r="E68" s="40"/>
      <c r="F68" s="44"/>
      <c r="G68" s="45"/>
      <c r="H68" s="35"/>
      <c r="I68" s="9"/>
      <c r="J68" s="9"/>
      <c r="K68" s="10"/>
      <c r="L68" s="10"/>
      <c r="M68" s="10"/>
      <c r="N68" s="10"/>
    </row>
    <row r="69" spans="1:14" ht="12.75">
      <c r="A69" s="398" t="s">
        <v>368</v>
      </c>
      <c r="B69" s="25">
        <v>315323.05</v>
      </c>
      <c r="C69" s="60">
        <f>B69*0.9946</f>
        <v>313620.30553</v>
      </c>
      <c r="D69" s="394">
        <f>B69-C69</f>
        <v>1702.744469999976</v>
      </c>
      <c r="E69" s="40"/>
      <c r="F69" s="44"/>
      <c r="G69" s="45"/>
      <c r="H69" s="35"/>
      <c r="I69" s="9"/>
      <c r="J69" s="9"/>
      <c r="K69" s="10"/>
      <c r="L69" s="10"/>
      <c r="M69" s="10"/>
      <c r="N69" s="10"/>
    </row>
    <row r="70" spans="1:14" ht="12.75">
      <c r="A70" s="211" t="s">
        <v>70</v>
      </c>
      <c r="B70" s="99">
        <v>179309.74</v>
      </c>
      <c r="C70" s="60">
        <f>B70*0.9946</f>
        <v>178341.467404</v>
      </c>
      <c r="D70" s="460">
        <f>B70-C70</f>
        <v>968.2725959999952</v>
      </c>
      <c r="E70" s="49"/>
      <c r="F70" s="44"/>
      <c r="G70" s="45"/>
      <c r="H70" s="35"/>
      <c r="I70" s="9"/>
      <c r="J70" s="9"/>
      <c r="K70" s="10"/>
      <c r="L70" s="10"/>
      <c r="M70" s="10"/>
      <c r="N70" s="10"/>
    </row>
    <row r="71" spans="1:14" ht="12.75">
      <c r="A71" s="211" t="s">
        <v>71</v>
      </c>
      <c r="B71" s="99">
        <v>331755.71</v>
      </c>
      <c r="C71" s="60">
        <f>B71*0.9946</f>
        <v>329964.22916600003</v>
      </c>
      <c r="D71" s="460">
        <f>B71-C71</f>
        <v>1791.4808339999872</v>
      </c>
      <c r="E71" s="40"/>
      <c r="F71" s="44"/>
      <c r="G71" s="45"/>
      <c r="H71" s="35"/>
      <c r="I71" s="9"/>
      <c r="J71" s="9"/>
      <c r="K71" s="10"/>
      <c r="L71" s="10"/>
      <c r="M71" s="10"/>
      <c r="N71" s="10"/>
    </row>
    <row r="72" spans="1:14" ht="12.75">
      <c r="A72" s="211" t="s">
        <v>72</v>
      </c>
      <c r="B72" s="139">
        <v>1980355.09</v>
      </c>
      <c r="C72" s="60">
        <f>B72*0.9946</f>
        <v>1969661.1725140002</v>
      </c>
      <c r="D72" s="460">
        <f>B72-C72</f>
        <v>10693.917485999875</v>
      </c>
      <c r="E72" s="40">
        <f>(2.07+1.8)*6*2301.2-0.37*2301.2*6</f>
        <v>48325.2</v>
      </c>
      <c r="F72" s="47"/>
      <c r="G72" s="48"/>
      <c r="H72" s="40"/>
      <c r="I72" s="9"/>
      <c r="J72" s="9"/>
      <c r="K72" s="10"/>
      <c r="L72" s="10"/>
      <c r="M72" s="10"/>
      <c r="N72" s="10"/>
    </row>
    <row r="73" spans="1:14" ht="13.5" thickBot="1">
      <c r="A73" s="211" t="s">
        <v>73</v>
      </c>
      <c r="B73" s="139">
        <v>543403.38</v>
      </c>
      <c r="C73" s="60">
        <f>B73*0.9946</f>
        <v>540469.001748</v>
      </c>
      <c r="D73" s="460">
        <f>B73-C73</f>
        <v>2934.378251999966</v>
      </c>
      <c r="E73" s="40"/>
      <c r="F73" s="47"/>
      <c r="G73" s="48"/>
      <c r="H73" s="35"/>
      <c r="I73" s="9"/>
      <c r="J73" s="9"/>
      <c r="K73" s="10"/>
      <c r="L73" s="10"/>
      <c r="M73" s="10"/>
      <c r="N73" s="10"/>
    </row>
    <row r="74" spans="1:14" ht="76.5">
      <c r="A74" s="30" t="s">
        <v>75</v>
      </c>
      <c r="B74" s="31" t="s">
        <v>76</v>
      </c>
      <c r="C74" s="56" t="s">
        <v>77</v>
      </c>
      <c r="D74" s="57" t="s">
        <v>78</v>
      </c>
      <c r="E74" s="40"/>
      <c r="F74" s="47"/>
      <c r="G74" s="35"/>
      <c r="H74" s="39"/>
      <c r="I74" s="9"/>
      <c r="J74" s="9"/>
      <c r="K74" s="10"/>
      <c r="L74" s="10"/>
      <c r="M74" s="10"/>
      <c r="N74" s="10"/>
    </row>
    <row r="75" spans="1:14" ht="12.75">
      <c r="A75" s="398" t="s">
        <v>368</v>
      </c>
      <c r="B75" s="25">
        <v>315323.05</v>
      </c>
      <c r="C75" s="60">
        <f>B75*0.9946</f>
        <v>313620.30553</v>
      </c>
      <c r="D75" s="394">
        <f>B75-C75</f>
        <v>1702.744469999976</v>
      </c>
      <c r="E75" s="40"/>
      <c r="F75" s="47"/>
      <c r="G75" s="35"/>
      <c r="H75" s="39"/>
      <c r="I75" s="9"/>
      <c r="J75" s="9"/>
      <c r="K75" s="10"/>
      <c r="L75" s="10"/>
      <c r="M75" s="10"/>
      <c r="N75" s="10"/>
    </row>
    <row r="76" spans="1:14" ht="12.75">
      <c r="A76" s="211" t="s">
        <v>70</v>
      </c>
      <c r="B76" s="99">
        <f>B70</f>
        <v>179309.74</v>
      </c>
      <c r="C76" s="457">
        <f>C70</f>
        <v>178341.467404</v>
      </c>
      <c r="D76" s="460">
        <f>B76-C76</f>
        <v>968.2725959999952</v>
      </c>
      <c r="E76" s="40"/>
      <c r="F76" s="47"/>
      <c r="G76" s="35"/>
      <c r="H76" s="39"/>
      <c r="I76" s="9"/>
      <c r="J76" s="9" t="s">
        <v>27</v>
      </c>
      <c r="K76" s="10"/>
      <c r="L76" s="10"/>
      <c r="M76" s="10"/>
      <c r="N76" s="10"/>
    </row>
    <row r="77" spans="1:14" ht="12.75">
      <c r="A77" s="211" t="s">
        <v>71</v>
      </c>
      <c r="B77" s="99">
        <f>B71</f>
        <v>331755.71</v>
      </c>
      <c r="C77" s="457">
        <f>C71</f>
        <v>329964.22916600003</v>
      </c>
      <c r="D77" s="460">
        <f>B77-C77</f>
        <v>1791.4808339999872</v>
      </c>
      <c r="E77" s="40"/>
      <c r="F77" s="47"/>
      <c r="G77" s="35"/>
      <c r="H77" s="39"/>
      <c r="I77" s="9"/>
      <c r="J77" s="9"/>
      <c r="K77" s="10"/>
      <c r="L77" s="10"/>
      <c r="M77" s="10"/>
      <c r="N77" s="10"/>
    </row>
    <row r="78" spans="1:14" ht="12.75">
      <c r="A78" s="211" t="s">
        <v>72</v>
      </c>
      <c r="B78" s="139">
        <v>1706244.12</v>
      </c>
      <c r="C78" s="60">
        <f>B78*0.9946</f>
        <v>1697030.4017520002</v>
      </c>
      <c r="D78" s="460">
        <f>B78-C78</f>
        <v>9213.718247999903</v>
      </c>
      <c r="E78" s="40"/>
      <c r="F78" s="47"/>
      <c r="G78" s="35"/>
      <c r="H78" s="39"/>
      <c r="I78" s="9"/>
      <c r="J78" s="9"/>
      <c r="K78" s="10"/>
      <c r="L78" s="10"/>
      <c r="M78" s="10"/>
      <c r="N78" s="10"/>
    </row>
    <row r="79" spans="1:14" ht="12.75">
      <c r="A79" s="211" t="s">
        <v>73</v>
      </c>
      <c r="B79" s="139">
        <f>B73</f>
        <v>543403.38</v>
      </c>
      <c r="C79" s="457">
        <f>C73</f>
        <v>540469.001748</v>
      </c>
      <c r="D79" s="460">
        <f>B79-C79</f>
        <v>2934.378251999966</v>
      </c>
      <c r="E79" s="40"/>
      <c r="F79" s="47"/>
      <c r="G79" s="35"/>
      <c r="H79" s="39"/>
      <c r="I79" s="9"/>
      <c r="J79" s="9"/>
      <c r="K79" s="10"/>
      <c r="L79" s="10"/>
      <c r="M79" s="10"/>
      <c r="N79" s="10"/>
    </row>
    <row r="80" spans="1:14" ht="12.75">
      <c r="A80" s="218"/>
      <c r="B80" s="144"/>
      <c r="C80" s="461"/>
      <c r="D80" s="462"/>
      <c r="E80" s="40"/>
      <c r="F80" s="47"/>
      <c r="G80" s="35"/>
      <c r="H80" s="39"/>
      <c r="I80" s="9"/>
      <c r="J80" s="9"/>
      <c r="K80" s="10"/>
      <c r="L80" s="10"/>
      <c r="M80" s="10"/>
      <c r="N80" s="10"/>
    </row>
    <row r="81" spans="1:14" ht="25.5">
      <c r="A81" s="221" t="s">
        <v>79</v>
      </c>
      <c r="B81" s="144" t="s">
        <v>12</v>
      </c>
      <c r="C81" s="463"/>
      <c r="D81" s="464">
        <v>120315.82</v>
      </c>
      <c r="E81" s="40"/>
      <c r="F81" s="47"/>
      <c r="G81" s="35"/>
      <c r="H81" s="39"/>
      <c r="I81" s="9"/>
      <c r="J81" s="9" t="s">
        <v>27</v>
      </c>
      <c r="K81" s="10"/>
      <c r="L81" s="10"/>
      <c r="M81" s="10"/>
      <c r="N81" s="10"/>
    </row>
    <row r="82" spans="1:14" ht="17.25" customHeight="1">
      <c r="A82" s="542" t="s">
        <v>80</v>
      </c>
      <c r="B82" s="542"/>
      <c r="C82" s="542"/>
      <c r="D82" s="542"/>
      <c r="E82" s="49" t="e">
        <f>D82+B17</f>
        <v>#VALUE!</v>
      </c>
      <c r="F82" s="39"/>
      <c r="G82" s="35"/>
      <c r="H82" s="41" t="e">
        <f>E82-B16</f>
        <v>#VALUE!</v>
      </c>
      <c r="I82" s="9"/>
      <c r="J82" s="9"/>
      <c r="K82" s="10"/>
      <c r="L82" s="10"/>
      <c r="M82" s="10"/>
      <c r="N82" s="10"/>
    </row>
    <row r="83" spans="1:8" ht="21" customHeight="1">
      <c r="A83" s="20" t="s">
        <v>57</v>
      </c>
      <c r="B83" s="20" t="s">
        <v>58</v>
      </c>
      <c r="C83" s="28"/>
      <c r="D83" s="472">
        <v>1</v>
      </c>
      <c r="E83" s="50"/>
      <c r="F83" s="35"/>
      <c r="G83" s="35"/>
      <c r="H83" s="35"/>
    </row>
    <row r="84" spans="1:8" ht="21" customHeight="1">
      <c r="A84" s="20" t="s">
        <v>59</v>
      </c>
      <c r="B84" s="20" t="s">
        <v>58</v>
      </c>
      <c r="C84" s="28"/>
      <c r="D84" s="472">
        <v>1</v>
      </c>
      <c r="E84" s="50"/>
      <c r="F84" s="35"/>
      <c r="G84" s="35"/>
      <c r="H84" s="35"/>
    </row>
    <row r="85" spans="1:14" s="1" customFormat="1" ht="18" customHeight="1">
      <c r="A85" s="20" t="s">
        <v>60</v>
      </c>
      <c r="B85" s="20" t="s">
        <v>58</v>
      </c>
      <c r="C85" s="28"/>
      <c r="D85" s="471">
        <v>0</v>
      </c>
      <c r="E85" s="50"/>
      <c r="F85" s="35"/>
      <c r="G85" s="35"/>
      <c r="H85" s="35"/>
      <c r="K85"/>
      <c r="L85"/>
      <c r="M85"/>
      <c r="N85"/>
    </row>
    <row r="86" spans="1:14" s="1" customFormat="1" ht="16.5" customHeight="1">
      <c r="A86" s="20" t="s">
        <v>61</v>
      </c>
      <c r="B86" s="20" t="s">
        <v>12</v>
      </c>
      <c r="C86" s="28"/>
      <c r="D86" s="63">
        <v>1538.09</v>
      </c>
      <c r="E86" s="50"/>
      <c r="F86" s="35"/>
      <c r="G86" s="35"/>
      <c r="H86" s="35"/>
      <c r="K86"/>
      <c r="L86"/>
      <c r="M86"/>
      <c r="N86"/>
    </row>
    <row r="87" spans="1:14" s="1" customFormat="1" ht="15.75" customHeight="1">
      <c r="A87" s="529" t="s">
        <v>81</v>
      </c>
      <c r="B87" s="529"/>
      <c r="C87" s="529"/>
      <c r="D87" s="529"/>
      <c r="E87" s="50"/>
      <c r="F87" s="35"/>
      <c r="G87" s="35"/>
      <c r="H87" s="35"/>
      <c r="K87"/>
      <c r="L87"/>
      <c r="M87"/>
      <c r="N87"/>
    </row>
    <row r="88" spans="1:14" s="1" customFormat="1" ht="18.75" customHeight="1">
      <c r="A88" s="20" t="s">
        <v>82</v>
      </c>
      <c r="B88" s="20" t="s">
        <v>58</v>
      </c>
      <c r="C88" s="28"/>
      <c r="D88" s="472">
        <v>4</v>
      </c>
      <c r="E88" s="50"/>
      <c r="F88" s="35"/>
      <c r="G88" s="35"/>
      <c r="H88" s="35"/>
      <c r="K88"/>
      <c r="L88"/>
      <c r="M88"/>
      <c r="N88"/>
    </row>
    <row r="89" spans="1:14" s="1" customFormat="1" ht="21.75" customHeight="1">
      <c r="A89" s="20" t="s">
        <v>83</v>
      </c>
      <c r="B89" s="135" t="s">
        <v>58</v>
      </c>
      <c r="C89" s="145"/>
      <c r="D89" s="472">
        <v>2</v>
      </c>
      <c r="E89" s="50"/>
      <c r="F89" s="35"/>
      <c r="G89" s="35"/>
      <c r="H89" s="35"/>
      <c r="K89"/>
      <c r="L89"/>
      <c r="M89"/>
      <c r="N89"/>
    </row>
    <row r="90" spans="1:14" s="1" customFormat="1" ht="36" customHeight="1">
      <c r="A90" s="146" t="s">
        <v>84</v>
      </c>
      <c r="B90" s="20" t="s">
        <v>12</v>
      </c>
      <c r="C90" s="28"/>
      <c r="D90" s="63">
        <v>85438</v>
      </c>
      <c r="E90" s="50"/>
      <c r="F90" s="35"/>
      <c r="G90" s="35"/>
      <c r="H90" s="35"/>
      <c r="K90"/>
      <c r="L90"/>
      <c r="M90"/>
      <c r="N90"/>
    </row>
    <row r="91" spans="1:14" s="1" customFormat="1" ht="12.75">
      <c r="A91" s="147"/>
      <c r="B91" s="147"/>
      <c r="C91" s="147"/>
      <c r="D91" s="148"/>
      <c r="E91" s="35"/>
      <c r="F91" s="35"/>
      <c r="G91" s="35"/>
      <c r="H91" s="35"/>
      <c r="K91"/>
      <c r="L91"/>
      <c r="M91"/>
      <c r="N91"/>
    </row>
    <row r="92" spans="1:14" s="1" customFormat="1" ht="12.75">
      <c r="A92" s="81"/>
      <c r="B92" s="81"/>
      <c r="C92" s="81"/>
      <c r="D92" s="81"/>
      <c r="E92" s="35"/>
      <c r="F92" s="35"/>
      <c r="G92" s="35"/>
      <c r="H92" s="35" t="s">
        <v>27</v>
      </c>
      <c r="K92"/>
      <c r="L92"/>
      <c r="M92"/>
      <c r="N92"/>
    </row>
    <row r="93" spans="1:14" s="1" customFormat="1" ht="12.75">
      <c r="A93" s="90" t="s">
        <v>159</v>
      </c>
      <c r="B93" s="81"/>
      <c r="C93" s="81"/>
      <c r="D93" s="81"/>
      <c r="E93" s="35"/>
      <c r="F93" s="35"/>
      <c r="G93" s="35"/>
      <c r="H93" s="35"/>
      <c r="K93"/>
      <c r="L93"/>
      <c r="M93"/>
      <c r="N93"/>
    </row>
    <row r="94" spans="1:14" s="1" customFormat="1" ht="12.75">
      <c r="A94" s="81"/>
      <c r="B94" s="81"/>
      <c r="C94" s="81"/>
      <c r="D94" s="81"/>
      <c r="H94" s="1" t="s">
        <v>27</v>
      </c>
      <c r="K94"/>
      <c r="L94"/>
      <c r="M94"/>
      <c r="N94"/>
    </row>
    <row r="95" spans="1:14" s="1" customFormat="1" ht="12.75">
      <c r="A95" s="81" t="s">
        <v>85</v>
      </c>
      <c r="B95" s="81"/>
      <c r="C95" s="81"/>
      <c r="D95" s="81"/>
      <c r="K95"/>
      <c r="L95"/>
      <c r="M95"/>
      <c r="N95"/>
    </row>
    <row r="96" spans="1:4" ht="12.75">
      <c r="A96" s="81"/>
      <c r="B96" s="81"/>
      <c r="C96" s="81"/>
      <c r="D96" s="81"/>
    </row>
    <row r="97" spans="1:4" ht="12.75">
      <c r="A97" s="81"/>
      <c r="B97" s="81"/>
      <c r="C97" s="81"/>
      <c r="D97" s="81"/>
    </row>
    <row r="98" spans="1:4" ht="12.75">
      <c r="A98" s="51"/>
      <c r="B98" s="51"/>
      <c r="C98" s="51"/>
      <c r="D98" s="51"/>
    </row>
    <row r="99" spans="1:14" s="1" customFormat="1" ht="12.75">
      <c r="A99"/>
      <c r="B99"/>
      <c r="C99"/>
      <c r="D99"/>
      <c r="E99" s="1" t="s">
        <v>27</v>
      </c>
      <c r="K99"/>
      <c r="L99"/>
      <c r="M99"/>
      <c r="N99"/>
    </row>
  </sheetData>
  <sheetProtection selectLockedCells="1" selectUnlockedCells="1"/>
  <mergeCells count="13">
    <mergeCell ref="A1:D1"/>
    <mergeCell ref="A2:D2"/>
    <mergeCell ref="A3:D3"/>
    <mergeCell ref="A4:D4"/>
    <mergeCell ref="A5:D5"/>
    <mergeCell ref="A12:D12"/>
    <mergeCell ref="A6:D6"/>
    <mergeCell ref="A26:D26"/>
    <mergeCell ref="A56:D56"/>
    <mergeCell ref="A61:D61"/>
    <mergeCell ref="A67:D67"/>
    <mergeCell ref="A82:D82"/>
    <mergeCell ref="A87:D8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96" zoomScaleNormal="96" zoomScalePageLayoutView="0" workbookViewId="0" topLeftCell="A1">
      <selection activeCell="B23" sqref="B23"/>
    </sheetView>
  </sheetViews>
  <sheetFormatPr defaultColWidth="11.57421875" defaultRowHeight="12.75"/>
  <cols>
    <col min="1" max="1" width="54.00390625" style="0" customWidth="1"/>
    <col min="2" max="2" width="16.57421875" style="0" customWidth="1"/>
    <col min="3" max="3" width="28.421875" style="0" customWidth="1"/>
    <col min="4" max="4" width="13.421875" style="0" customWidth="1"/>
    <col min="5" max="6" width="0" style="1" hidden="1" customWidth="1"/>
    <col min="7" max="7" width="17.00390625" style="1" customWidth="1"/>
    <col min="8" max="8" width="5.28125" style="1" customWidth="1"/>
    <col min="9" max="9" width="30.003906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5">
      <c r="A1" s="555" t="s">
        <v>176</v>
      </c>
      <c r="B1" s="556"/>
      <c r="C1" s="556"/>
      <c r="D1" s="556"/>
    </row>
    <row r="2" spans="1:4" ht="15">
      <c r="A2" s="556" t="s">
        <v>1</v>
      </c>
      <c r="B2" s="556"/>
      <c r="C2" s="556"/>
      <c r="D2" s="556"/>
    </row>
    <row r="3" spans="1:4" ht="15">
      <c r="A3" s="556" t="s">
        <v>108</v>
      </c>
      <c r="B3" s="556"/>
      <c r="C3" s="556"/>
      <c r="D3" s="556"/>
    </row>
    <row r="4" spans="1:4" ht="15">
      <c r="A4" s="555" t="s">
        <v>189</v>
      </c>
      <c r="B4" s="556"/>
      <c r="C4" s="556"/>
      <c r="D4" s="556"/>
    </row>
    <row r="5" spans="1:7" ht="34.5" customHeight="1">
      <c r="A5" s="558" t="s">
        <v>3</v>
      </c>
      <c r="B5" s="559"/>
      <c r="C5" s="559"/>
      <c r="D5" s="559"/>
      <c r="E5" s="85"/>
      <c r="F5" s="85"/>
      <c r="G5" s="85"/>
    </row>
    <row r="6" spans="1:9" ht="15">
      <c r="A6" s="493" t="s">
        <v>116</v>
      </c>
      <c r="B6" s="494">
        <v>2</v>
      </c>
      <c r="C6" s="494">
        <v>3</v>
      </c>
      <c r="D6" s="495">
        <v>4</v>
      </c>
      <c r="G6" s="35"/>
      <c r="H6" s="35"/>
      <c r="I6" s="35"/>
    </row>
    <row r="7" spans="1:9" ht="15">
      <c r="A7" s="493" t="s">
        <v>7</v>
      </c>
      <c r="B7" s="496"/>
      <c r="C7" s="497" t="s">
        <v>190</v>
      </c>
      <c r="D7" s="498"/>
      <c r="G7" s="35"/>
      <c r="H7" s="35"/>
      <c r="I7" s="35"/>
    </row>
    <row r="8" spans="1:9" ht="15">
      <c r="A8" s="493" t="s">
        <v>8</v>
      </c>
      <c r="B8" s="496"/>
      <c r="C8" s="497" t="s">
        <v>205</v>
      </c>
      <c r="D8" s="498"/>
      <c r="G8" s="35"/>
      <c r="H8" s="35"/>
      <c r="I8" s="35"/>
    </row>
    <row r="9" spans="1:9" ht="15">
      <c r="A9" s="493" t="s">
        <v>9</v>
      </c>
      <c r="B9" s="496"/>
      <c r="C9" s="497" t="s">
        <v>191</v>
      </c>
      <c r="D9" s="498"/>
      <c r="G9" s="35"/>
      <c r="H9" s="35"/>
      <c r="I9" s="35"/>
    </row>
    <row r="10" spans="1:9" ht="31.5" customHeight="1">
      <c r="A10" s="557" t="s">
        <v>10</v>
      </c>
      <c r="B10" s="557"/>
      <c r="C10" s="557"/>
      <c r="D10" s="557"/>
      <c r="G10" s="35"/>
      <c r="H10" s="35"/>
      <c r="I10" s="35"/>
    </row>
    <row r="11" spans="1:13" s="1" customFormat="1" ht="29.25" customHeight="1">
      <c r="A11" s="499" t="s">
        <v>134</v>
      </c>
      <c r="B11" s="500" t="s">
        <v>12</v>
      </c>
      <c r="C11" s="501"/>
      <c r="D11" s="498"/>
      <c r="G11" s="51"/>
      <c r="H11" s="35"/>
      <c r="I11" s="35"/>
      <c r="J11"/>
      <c r="K11"/>
      <c r="L11"/>
      <c r="M11"/>
    </row>
    <row r="12" spans="1:13" s="1" customFormat="1" ht="30">
      <c r="A12" s="499" t="s">
        <v>163</v>
      </c>
      <c r="B12" s="500" t="s">
        <v>12</v>
      </c>
      <c r="C12" s="502">
        <v>311975.06</v>
      </c>
      <c r="D12" s="498"/>
      <c r="G12" s="51"/>
      <c r="H12" s="35"/>
      <c r="I12" s="35"/>
      <c r="J12"/>
      <c r="K12"/>
      <c r="L12"/>
      <c r="M12"/>
    </row>
    <row r="13" spans="1:13" s="1" customFormat="1" ht="15">
      <c r="A13" s="493" t="s">
        <v>13</v>
      </c>
      <c r="B13" s="500" t="s">
        <v>12</v>
      </c>
      <c r="C13" s="501">
        <v>0</v>
      </c>
      <c r="D13" s="498"/>
      <c r="G13" s="35"/>
      <c r="H13" s="35"/>
      <c r="I13" s="35"/>
      <c r="J13"/>
      <c r="K13"/>
      <c r="L13"/>
      <c r="M13"/>
    </row>
    <row r="14" spans="1:13" s="1" customFormat="1" ht="15">
      <c r="A14" s="493" t="s">
        <v>14</v>
      </c>
      <c r="B14" s="500" t="s">
        <v>12</v>
      </c>
      <c r="C14" s="502">
        <v>142737.52295999997</v>
      </c>
      <c r="D14" s="503"/>
      <c r="G14" s="35"/>
      <c r="H14" s="35"/>
      <c r="I14" s="35"/>
      <c r="J14"/>
      <c r="K14"/>
      <c r="L14"/>
      <c r="M14"/>
    </row>
    <row r="15" spans="1:13" s="1" customFormat="1" ht="31.5" customHeight="1">
      <c r="A15" s="504" t="s">
        <v>15</v>
      </c>
      <c r="B15" s="500" t="s">
        <v>12</v>
      </c>
      <c r="C15" s="502">
        <f>973124.49+12976.68+7715.76+43839.12</f>
        <v>1037656.05</v>
      </c>
      <c r="D15" s="503"/>
      <c r="G15" s="455">
        <f>C15-C17</f>
        <v>733238.034</v>
      </c>
      <c r="H15" s="35"/>
      <c r="I15" s="35"/>
      <c r="J15"/>
      <c r="K15"/>
      <c r="L15"/>
      <c r="M15"/>
    </row>
    <row r="16" spans="1:9" ht="15">
      <c r="A16" s="493" t="s">
        <v>16</v>
      </c>
      <c r="B16" s="500" t="s">
        <v>12</v>
      </c>
      <c r="C16" s="502">
        <f>C15-C17-C18</f>
        <v>442497.786</v>
      </c>
      <c r="D16" s="503"/>
      <c r="G16" s="456">
        <f>G15-G55</f>
        <v>64531.55999999994</v>
      </c>
      <c r="H16" s="35"/>
      <c r="I16" s="35"/>
    </row>
    <row r="17" spans="1:9" ht="15">
      <c r="A17" s="493" t="s">
        <v>17</v>
      </c>
      <c r="B17" s="500" t="s">
        <v>12</v>
      </c>
      <c r="C17" s="502">
        <f>(4.35+4.33)*6*5845.2</f>
        <v>304418.016</v>
      </c>
      <c r="D17" s="503"/>
      <c r="G17" s="476"/>
      <c r="H17" s="35"/>
      <c r="I17" s="35"/>
    </row>
    <row r="18" spans="1:9" ht="15">
      <c r="A18" s="493" t="s">
        <v>18</v>
      </c>
      <c r="B18" s="500" t="s">
        <v>12</v>
      </c>
      <c r="C18" s="502">
        <f>(4.19+4.1)*6*5845.2</f>
        <v>290740.24799999996</v>
      </c>
      <c r="D18" s="503"/>
      <c r="G18" s="35"/>
      <c r="H18" s="35"/>
      <c r="I18" s="35"/>
    </row>
    <row r="19" spans="1:9" ht="15">
      <c r="A19" s="493" t="s">
        <v>19</v>
      </c>
      <c r="B19" s="500" t="s">
        <v>12</v>
      </c>
      <c r="C19" s="502">
        <f>C20+C21+C22+C23</f>
        <v>975302.499825</v>
      </c>
      <c r="D19" s="503" t="s">
        <v>20</v>
      </c>
      <c r="G19" s="35"/>
      <c r="H19" s="35"/>
      <c r="I19" s="35"/>
    </row>
    <row r="20" spans="1:9" ht="15">
      <c r="A20" s="493" t="s">
        <v>21</v>
      </c>
      <c r="B20" s="500" t="s">
        <v>12</v>
      </c>
      <c r="C20" s="502">
        <f>C15*0.9165</f>
        <v>951011.769825</v>
      </c>
      <c r="D20" s="503"/>
      <c r="G20" s="35"/>
      <c r="H20" s="35"/>
      <c r="I20" s="35"/>
    </row>
    <row r="21" spans="1:9" ht="15">
      <c r="A21" s="493" t="s">
        <v>22</v>
      </c>
      <c r="B21" s="500" t="s">
        <v>12</v>
      </c>
      <c r="C21" s="502"/>
      <c r="D21" s="503"/>
      <c r="G21" s="35"/>
      <c r="H21" s="35"/>
      <c r="I21" s="35"/>
    </row>
    <row r="22" spans="1:9" ht="15">
      <c r="A22" s="493" t="s">
        <v>24</v>
      </c>
      <c r="B22" s="500" t="s">
        <v>12</v>
      </c>
      <c r="C22" s="502">
        <v>0</v>
      </c>
      <c r="D22" s="503"/>
      <c r="G22" s="35"/>
      <c r="H22" s="35"/>
      <c r="I22" s="35"/>
    </row>
    <row r="23" spans="1:9" ht="15">
      <c r="A23" s="496" t="s">
        <v>25</v>
      </c>
      <c r="B23" s="500" t="s">
        <v>12</v>
      </c>
      <c r="C23" s="502">
        <f>14556.81+9733.92</f>
        <v>24290.73</v>
      </c>
      <c r="D23" s="503"/>
      <c r="G23" s="35"/>
      <c r="H23" s="35"/>
      <c r="I23" s="35"/>
    </row>
    <row r="24" spans="1:9" ht="15">
      <c r="A24" s="493" t="s">
        <v>26</v>
      </c>
      <c r="B24" s="500" t="s">
        <v>12</v>
      </c>
      <c r="C24" s="502">
        <f>C12+C19</f>
        <v>1287277.559825</v>
      </c>
      <c r="D24" s="503" t="s">
        <v>27</v>
      </c>
      <c r="G24" s="35"/>
      <c r="H24" s="35"/>
      <c r="I24" s="35"/>
    </row>
    <row r="25" spans="1:9" ht="31.5" customHeight="1">
      <c r="A25" s="553" t="s">
        <v>28</v>
      </c>
      <c r="B25" s="553"/>
      <c r="C25" s="553"/>
      <c r="D25" s="553"/>
      <c r="G25" s="39"/>
      <c r="H25" s="35"/>
      <c r="I25" s="35"/>
    </row>
    <row r="26" spans="1:9" ht="75">
      <c r="A26" s="505" t="s">
        <v>29</v>
      </c>
      <c r="B26" s="506" t="s">
        <v>30</v>
      </c>
      <c r="C26" s="507" t="s">
        <v>31</v>
      </c>
      <c r="D26" s="508" t="s">
        <v>32</v>
      </c>
      <c r="G26" s="70" t="s">
        <v>117</v>
      </c>
      <c r="H26" s="35"/>
      <c r="I26" s="35"/>
    </row>
    <row r="27" spans="1:9" ht="20.25" customHeight="1">
      <c r="A27" s="509" t="s">
        <v>95</v>
      </c>
      <c r="B27" s="510" t="s">
        <v>34</v>
      </c>
      <c r="C27" s="511" t="s">
        <v>364</v>
      </c>
      <c r="D27" s="503">
        <f>(0.22+0.2)*6*5845.2</f>
        <v>14729.904000000002</v>
      </c>
      <c r="G27" s="259">
        <v>0.4</v>
      </c>
      <c r="H27" s="35"/>
      <c r="I27" s="35"/>
    </row>
    <row r="28" spans="1:9" ht="15.75">
      <c r="A28" s="509" t="s">
        <v>88</v>
      </c>
      <c r="B28" s="510" t="s">
        <v>36</v>
      </c>
      <c r="C28" s="509" t="s">
        <v>44</v>
      </c>
      <c r="D28" s="503">
        <f>(2.05+2.06)*6*5845.2</f>
        <v>144142.63199999998</v>
      </c>
      <c r="G28" s="260" t="s">
        <v>154</v>
      </c>
      <c r="H28" s="35"/>
      <c r="I28" s="35"/>
    </row>
    <row r="29" spans="1:13" s="1" customFormat="1" ht="15.75">
      <c r="A29" s="509" t="s">
        <v>362</v>
      </c>
      <c r="B29" s="510" t="s">
        <v>43</v>
      </c>
      <c r="C29" s="509" t="s">
        <v>39</v>
      </c>
      <c r="D29" s="503">
        <f>0.15*12*5845.2</f>
        <v>10521.359999999999</v>
      </c>
      <c r="G29" s="260" t="s">
        <v>149</v>
      </c>
      <c r="H29" s="35"/>
      <c r="I29" s="35"/>
      <c r="J29"/>
      <c r="K29"/>
      <c r="L29"/>
      <c r="M29"/>
    </row>
    <row r="30" spans="1:13" s="1" customFormat="1" ht="15.75">
      <c r="A30" s="509" t="s">
        <v>96</v>
      </c>
      <c r="B30" s="510" t="s">
        <v>34</v>
      </c>
      <c r="C30" s="509" t="s">
        <v>41</v>
      </c>
      <c r="D30" s="503">
        <f>0.24*12*5845.2</f>
        <v>16834.176</v>
      </c>
      <c r="G30" s="259">
        <v>0.21</v>
      </c>
      <c r="H30" s="35"/>
      <c r="I30" s="35"/>
      <c r="J30"/>
      <c r="K30"/>
      <c r="L30"/>
      <c r="M30"/>
    </row>
    <row r="31" spans="1:13" s="1" customFormat="1" ht="15.75">
      <c r="A31" s="509" t="s">
        <v>105</v>
      </c>
      <c r="B31" s="510" t="s">
        <v>34</v>
      </c>
      <c r="C31" s="509" t="s">
        <v>44</v>
      </c>
      <c r="D31" s="503">
        <f>0.42*12*5845.2</f>
        <v>29459.808</v>
      </c>
      <c r="G31" s="260" t="s">
        <v>150</v>
      </c>
      <c r="H31" s="35"/>
      <c r="I31" s="35"/>
      <c r="J31"/>
      <c r="K31"/>
      <c r="L31"/>
      <c r="M31"/>
    </row>
    <row r="32" spans="1:13" s="1" customFormat="1" ht="15.75">
      <c r="A32" s="509" t="s">
        <v>89</v>
      </c>
      <c r="B32" s="510" t="s">
        <v>34</v>
      </c>
      <c r="C32" s="509" t="s">
        <v>44</v>
      </c>
      <c r="D32" s="503">
        <f>(1.23+1.18)*6*5845.2</f>
        <v>84521.592</v>
      </c>
      <c r="G32" s="260" t="s">
        <v>151</v>
      </c>
      <c r="H32" s="35"/>
      <c r="I32" s="35"/>
      <c r="J32"/>
      <c r="K32"/>
      <c r="L32"/>
      <c r="M32"/>
    </row>
    <row r="33" spans="1:13" s="1" customFormat="1" ht="15.75">
      <c r="A33" s="509" t="s">
        <v>46</v>
      </c>
      <c r="B33" s="510" t="s">
        <v>47</v>
      </c>
      <c r="C33" s="509" t="s">
        <v>44</v>
      </c>
      <c r="D33" s="503">
        <f>1*12*5845.2</f>
        <v>70142.4</v>
      </c>
      <c r="G33" s="260" t="s">
        <v>152</v>
      </c>
      <c r="H33" s="35"/>
      <c r="I33" s="35"/>
      <c r="J33"/>
      <c r="K33"/>
      <c r="L33"/>
      <c r="M33"/>
    </row>
    <row r="34" spans="1:13" s="1" customFormat="1" ht="15">
      <c r="A34" s="509" t="s">
        <v>98</v>
      </c>
      <c r="B34" s="510" t="s">
        <v>38</v>
      </c>
      <c r="C34" s="512" t="s">
        <v>168</v>
      </c>
      <c r="D34" s="503">
        <f>(4.19+4.1)*5845.2*6-15883.35</f>
        <v>274856.898</v>
      </c>
      <c r="G34" s="261" t="s">
        <v>153</v>
      </c>
      <c r="H34" s="35"/>
      <c r="I34" s="35"/>
      <c r="J34"/>
      <c r="K34"/>
      <c r="L34"/>
      <c r="M34"/>
    </row>
    <row r="35" spans="1:13" s="1" customFormat="1" ht="15">
      <c r="A35" s="509" t="s">
        <v>101</v>
      </c>
      <c r="B35" s="510" t="s">
        <v>174</v>
      </c>
      <c r="C35" s="512" t="s">
        <v>41</v>
      </c>
      <c r="D35" s="503">
        <f>(0.29+0.38)*6*5845.2</f>
        <v>23497.703999999998</v>
      </c>
      <c r="G35" s="261"/>
      <c r="H35" s="35"/>
      <c r="I35" s="35"/>
      <c r="J35"/>
      <c r="K35"/>
      <c r="L35"/>
      <c r="M35"/>
    </row>
    <row r="36" spans="1:13" s="1" customFormat="1" ht="30">
      <c r="A36" s="505" t="s">
        <v>146</v>
      </c>
      <c r="B36" s="510"/>
      <c r="C36" s="513"/>
      <c r="D36" s="503"/>
      <c r="G36" s="261"/>
      <c r="H36" s="35"/>
      <c r="I36" s="35"/>
      <c r="J36"/>
      <c r="K36"/>
      <c r="L36"/>
      <c r="M36"/>
    </row>
    <row r="37" spans="1:13" s="1" customFormat="1" ht="15">
      <c r="A37" s="509" t="s">
        <v>144</v>
      </c>
      <c r="B37" s="510" t="s">
        <v>38</v>
      </c>
      <c r="C37" s="513" t="s">
        <v>147</v>
      </c>
      <c r="D37" s="503">
        <v>20692.44</v>
      </c>
      <c r="G37" s="261"/>
      <c r="H37" s="35"/>
      <c r="I37" s="35"/>
      <c r="J37"/>
      <c r="K37"/>
      <c r="L37"/>
      <c r="M37"/>
    </row>
    <row r="38" spans="1:13" s="1" customFormat="1" ht="15">
      <c r="A38" s="509" t="s">
        <v>145</v>
      </c>
      <c r="B38" s="510" t="s">
        <v>38</v>
      </c>
      <c r="C38" s="513" t="s">
        <v>148</v>
      </c>
      <c r="D38" s="503">
        <f>46770.84</f>
        <v>46770.84</v>
      </c>
      <c r="G38" s="261"/>
      <c r="H38" s="35"/>
      <c r="I38" s="35"/>
      <c r="J38"/>
      <c r="K38"/>
      <c r="L38"/>
      <c r="M38"/>
    </row>
    <row r="39" spans="1:13" s="1" customFormat="1" ht="31.5" customHeight="1">
      <c r="A39" s="514" t="s">
        <v>140</v>
      </c>
      <c r="B39" s="515" t="s">
        <v>53</v>
      </c>
      <c r="C39" s="516"/>
      <c r="D39" s="517">
        <v>427561.81</v>
      </c>
      <c r="G39" s="39"/>
      <c r="H39" s="35"/>
      <c r="I39" s="35"/>
      <c r="J39"/>
      <c r="K39"/>
      <c r="L39"/>
      <c r="M39"/>
    </row>
    <row r="40" spans="1:13" s="1" customFormat="1" ht="15.75" customHeight="1">
      <c r="A40" s="514" t="s">
        <v>290</v>
      </c>
      <c r="B40" s="515" t="s">
        <v>291</v>
      </c>
      <c r="C40" s="509" t="s">
        <v>44</v>
      </c>
      <c r="D40" s="518">
        <f>1089+1420+678</f>
        <v>3187</v>
      </c>
      <c r="G40" s="35"/>
      <c r="H40" s="35"/>
      <c r="I40" s="35"/>
      <c r="J40"/>
      <c r="K40"/>
      <c r="L40"/>
      <c r="M40"/>
    </row>
    <row r="41" spans="1:13" s="1" customFormat="1" ht="12.75" customHeight="1">
      <c r="A41" s="514" t="s">
        <v>303</v>
      </c>
      <c r="B41" s="515" t="s">
        <v>119</v>
      </c>
      <c r="C41" s="509" t="s">
        <v>44</v>
      </c>
      <c r="D41" s="518">
        <v>8639</v>
      </c>
      <c r="G41" s="35"/>
      <c r="H41" s="35"/>
      <c r="I41" s="35"/>
      <c r="J41"/>
      <c r="K41"/>
      <c r="L41"/>
      <c r="M41"/>
    </row>
    <row r="42" spans="1:13" s="1" customFormat="1" ht="16.5" customHeight="1">
      <c r="A42" s="514" t="s">
        <v>292</v>
      </c>
      <c r="B42" s="515" t="s">
        <v>124</v>
      </c>
      <c r="C42" s="509" t="s">
        <v>293</v>
      </c>
      <c r="D42" s="518">
        <v>13334.21</v>
      </c>
      <c r="G42" s="35"/>
      <c r="H42" s="35"/>
      <c r="I42" s="35"/>
      <c r="J42"/>
      <c r="K42"/>
      <c r="L42"/>
      <c r="M42"/>
    </row>
    <row r="43" spans="1:13" s="1" customFormat="1" ht="27" customHeight="1">
      <c r="A43" s="514" t="s">
        <v>294</v>
      </c>
      <c r="B43" s="515" t="s">
        <v>120</v>
      </c>
      <c r="C43" s="509" t="s">
        <v>44</v>
      </c>
      <c r="D43" s="518">
        <v>2173</v>
      </c>
      <c r="G43" s="35"/>
      <c r="H43" s="35"/>
      <c r="I43" s="35"/>
      <c r="J43"/>
      <c r="K43"/>
      <c r="L43"/>
      <c r="M43"/>
    </row>
    <row r="44" spans="1:13" s="1" customFormat="1" ht="16.5" customHeight="1">
      <c r="A44" s="519" t="s">
        <v>193</v>
      </c>
      <c r="B44" s="515" t="s">
        <v>120</v>
      </c>
      <c r="C44" s="509" t="s">
        <v>37</v>
      </c>
      <c r="D44" s="518">
        <v>630</v>
      </c>
      <c r="G44" s="35"/>
      <c r="H44" s="35"/>
      <c r="I44" s="35"/>
      <c r="J44"/>
      <c r="K44"/>
      <c r="L44"/>
      <c r="M44"/>
    </row>
    <row r="45" spans="1:13" s="1" customFormat="1" ht="17.25" customHeight="1">
      <c r="A45" s="519" t="s">
        <v>241</v>
      </c>
      <c r="B45" s="515" t="s">
        <v>127</v>
      </c>
      <c r="C45" s="511" t="s">
        <v>211</v>
      </c>
      <c r="D45" s="518">
        <v>681</v>
      </c>
      <c r="G45" s="35"/>
      <c r="H45" s="35"/>
      <c r="I45" s="35"/>
      <c r="J45"/>
      <c r="K45"/>
      <c r="L45"/>
      <c r="M45"/>
    </row>
    <row r="46" spans="1:13" s="1" customFormat="1" ht="15" customHeight="1">
      <c r="A46" s="519" t="s">
        <v>295</v>
      </c>
      <c r="B46" s="515" t="s">
        <v>129</v>
      </c>
      <c r="C46" s="509" t="s">
        <v>44</v>
      </c>
      <c r="D46" s="518">
        <f>967+198.6</f>
        <v>1165.6</v>
      </c>
      <c r="G46" s="35"/>
      <c r="H46" s="35"/>
      <c r="I46" s="35"/>
      <c r="J46"/>
      <c r="K46"/>
      <c r="L46"/>
      <c r="M46"/>
    </row>
    <row r="47" spans="1:13" s="1" customFormat="1" ht="15" customHeight="1">
      <c r="A47" s="514" t="s">
        <v>165</v>
      </c>
      <c r="B47" s="515" t="s">
        <v>129</v>
      </c>
      <c r="C47" s="511" t="s">
        <v>211</v>
      </c>
      <c r="D47" s="518">
        <v>65132</v>
      </c>
      <c r="G47" s="35"/>
      <c r="H47" s="35"/>
      <c r="I47" s="35"/>
      <c r="J47"/>
      <c r="K47"/>
      <c r="L47"/>
      <c r="M47"/>
    </row>
    <row r="48" spans="1:13" s="1" customFormat="1" ht="17.25" customHeight="1">
      <c r="A48" s="514" t="s">
        <v>296</v>
      </c>
      <c r="B48" s="515" t="s">
        <v>129</v>
      </c>
      <c r="C48" s="509" t="s">
        <v>44</v>
      </c>
      <c r="D48" s="518">
        <v>401</v>
      </c>
      <c r="G48" s="35"/>
      <c r="H48" s="35"/>
      <c r="I48" s="35"/>
      <c r="J48"/>
      <c r="K48"/>
      <c r="L48"/>
      <c r="M48"/>
    </row>
    <row r="49" spans="1:13" s="1" customFormat="1" ht="18" customHeight="1">
      <c r="A49" s="514" t="s">
        <v>297</v>
      </c>
      <c r="B49" s="515" t="s">
        <v>121</v>
      </c>
      <c r="C49" s="509" t="s">
        <v>44</v>
      </c>
      <c r="D49" s="518">
        <v>821</v>
      </c>
      <c r="G49" s="35"/>
      <c r="H49" s="35"/>
      <c r="I49" s="35"/>
      <c r="J49"/>
      <c r="K49"/>
      <c r="L49"/>
      <c r="M49"/>
    </row>
    <row r="50" spans="1:13" s="1" customFormat="1" ht="25.5" customHeight="1">
      <c r="A50" s="206" t="s">
        <v>298</v>
      </c>
      <c r="B50" s="244" t="s">
        <v>123</v>
      </c>
      <c r="C50" s="272" t="s">
        <v>196</v>
      </c>
      <c r="D50" s="74">
        <v>7403</v>
      </c>
      <c r="G50" s="35"/>
      <c r="H50" s="35"/>
      <c r="I50" s="35"/>
      <c r="J50"/>
      <c r="K50"/>
      <c r="L50"/>
      <c r="M50"/>
    </row>
    <row r="51" spans="1:13" s="1" customFormat="1" ht="18.75" customHeight="1">
      <c r="A51" s="206" t="s">
        <v>299</v>
      </c>
      <c r="B51" s="244" t="s">
        <v>123</v>
      </c>
      <c r="C51" s="241" t="s">
        <v>196</v>
      </c>
      <c r="D51" s="74">
        <v>136000</v>
      </c>
      <c r="G51" s="35"/>
      <c r="H51" s="35"/>
      <c r="I51" s="35"/>
      <c r="J51"/>
      <c r="K51"/>
      <c r="L51"/>
      <c r="M51"/>
    </row>
    <row r="52" spans="1:13" s="1" customFormat="1" ht="17.25" customHeight="1">
      <c r="A52" s="224" t="s">
        <v>300</v>
      </c>
      <c r="B52" s="244" t="s">
        <v>123</v>
      </c>
      <c r="C52" s="241" t="s">
        <v>44</v>
      </c>
      <c r="D52" s="74">
        <v>153802</v>
      </c>
      <c r="G52" s="35"/>
      <c r="H52" s="35"/>
      <c r="I52" s="35"/>
      <c r="J52"/>
      <c r="K52"/>
      <c r="L52"/>
      <c r="M52"/>
    </row>
    <row r="53" spans="1:13" s="1" customFormat="1" ht="17.25" customHeight="1">
      <c r="A53" s="206" t="s">
        <v>301</v>
      </c>
      <c r="B53" s="244" t="s">
        <v>123</v>
      </c>
      <c r="C53" s="272" t="s">
        <v>211</v>
      </c>
      <c r="D53" s="74">
        <v>30085</v>
      </c>
      <c r="G53" s="35"/>
      <c r="H53" s="35"/>
      <c r="I53" s="35"/>
      <c r="J53"/>
      <c r="K53"/>
      <c r="L53"/>
      <c r="M53"/>
    </row>
    <row r="54" spans="1:13" s="1" customFormat="1" ht="15.75" customHeight="1">
      <c r="A54" s="206" t="s">
        <v>302</v>
      </c>
      <c r="B54" s="244" t="s">
        <v>123</v>
      </c>
      <c r="C54" s="241" t="s">
        <v>204</v>
      </c>
      <c r="D54" s="74">
        <v>4738</v>
      </c>
      <c r="G54" s="35"/>
      <c r="H54" s="35"/>
      <c r="I54" s="35"/>
      <c r="J54"/>
      <c r="K54"/>
      <c r="L54"/>
      <c r="M54"/>
    </row>
    <row r="55" spans="1:13" s="1" customFormat="1" ht="18" customHeight="1">
      <c r="A55" s="24" t="s">
        <v>54</v>
      </c>
      <c r="B55" s="239"/>
      <c r="C55" s="241"/>
      <c r="D55" s="82">
        <f>D27+D28+D29+D30+D31+D32+D33+D34+D35+D37+D38+D39</f>
        <v>1163731.564</v>
      </c>
      <c r="G55" s="455">
        <f>D55-D39-D37-D38</f>
        <v>668706.474</v>
      </c>
      <c r="H55" s="35"/>
      <c r="I55" s="35"/>
      <c r="J55"/>
      <c r="K55"/>
      <c r="L55"/>
      <c r="M55"/>
    </row>
    <row r="56" spans="1:13" s="1" customFormat="1" ht="26.25">
      <c r="A56" s="71" t="s">
        <v>55</v>
      </c>
      <c r="B56" s="112" t="s">
        <v>12</v>
      </c>
      <c r="C56" s="241"/>
      <c r="D56" s="82">
        <f>C12+C17*0.9165+C23-D39</f>
        <v>187703.091664</v>
      </c>
      <c r="G56" s="456"/>
      <c r="H56" s="35"/>
      <c r="I56" s="35"/>
      <c r="J56"/>
      <c r="K56"/>
      <c r="L56"/>
      <c r="M56"/>
    </row>
    <row r="57" spans="1:9" ht="15.75">
      <c r="A57" s="115" t="s">
        <v>13</v>
      </c>
      <c r="B57" s="112" t="s">
        <v>12</v>
      </c>
      <c r="C57" s="241"/>
      <c r="D57" s="234">
        <v>0</v>
      </c>
      <c r="G57" s="35"/>
      <c r="H57" s="35"/>
      <c r="I57" s="35"/>
    </row>
    <row r="58" spans="1:9" ht="15.75">
      <c r="A58" s="115" t="s">
        <v>14</v>
      </c>
      <c r="B58" s="112" t="s">
        <v>12</v>
      </c>
      <c r="C58" s="241"/>
      <c r="D58" s="82">
        <f>C14+C15-C20</f>
        <v>229381.80313500005</v>
      </c>
      <c r="G58" s="35"/>
      <c r="H58" s="35"/>
      <c r="I58" s="35"/>
    </row>
    <row r="59" spans="1:9" ht="24" customHeight="1">
      <c r="A59" s="527" t="s">
        <v>56</v>
      </c>
      <c r="B59" s="527"/>
      <c r="C59" s="527"/>
      <c r="D59" s="527"/>
      <c r="G59" s="35"/>
      <c r="H59" s="35"/>
      <c r="I59" s="35"/>
    </row>
    <row r="60" spans="1:9" ht="15.75">
      <c r="A60" s="115" t="s">
        <v>57</v>
      </c>
      <c r="B60" s="239" t="s">
        <v>58</v>
      </c>
      <c r="C60" s="241">
        <v>0</v>
      </c>
      <c r="D60" s="234">
        <v>2</v>
      </c>
      <c r="G60" s="35"/>
      <c r="H60" s="35"/>
      <c r="I60" s="35"/>
    </row>
    <row r="61" spans="1:9" ht="15.75">
      <c r="A61" s="115" t="s">
        <v>59</v>
      </c>
      <c r="B61" s="239" t="s">
        <v>58</v>
      </c>
      <c r="C61" s="241">
        <v>0</v>
      </c>
      <c r="D61" s="234">
        <v>2</v>
      </c>
      <c r="G61" s="35"/>
      <c r="H61" s="35"/>
      <c r="I61" s="35"/>
    </row>
    <row r="62" spans="1:9" ht="26.25">
      <c r="A62" s="130" t="s">
        <v>60</v>
      </c>
      <c r="B62" s="239" t="s">
        <v>58</v>
      </c>
      <c r="C62" s="241">
        <v>0</v>
      </c>
      <c r="D62" s="234">
        <v>0</v>
      </c>
      <c r="G62" s="35"/>
      <c r="H62" s="35"/>
      <c r="I62" s="35"/>
    </row>
    <row r="63" spans="1:9" ht="15.75">
      <c r="A63" s="115" t="s">
        <v>61</v>
      </c>
      <c r="B63" s="239" t="s">
        <v>12</v>
      </c>
      <c r="C63" s="241">
        <v>0</v>
      </c>
      <c r="D63" s="234">
        <v>15883.35</v>
      </c>
      <c r="G63" s="35"/>
      <c r="H63" s="35"/>
      <c r="I63" s="35"/>
    </row>
    <row r="64" spans="1:9" ht="20.25" customHeight="1">
      <c r="A64" s="526" t="s">
        <v>62</v>
      </c>
      <c r="B64" s="526"/>
      <c r="C64" s="526"/>
      <c r="D64" s="526"/>
      <c r="G64" s="35"/>
      <c r="H64" s="35"/>
      <c r="I64" s="35"/>
    </row>
    <row r="65" spans="1:9" ht="26.25">
      <c r="A65" s="130" t="s">
        <v>63</v>
      </c>
      <c r="B65" s="239" t="s">
        <v>12</v>
      </c>
      <c r="C65" s="241"/>
      <c r="D65" s="241">
        <v>0</v>
      </c>
      <c r="G65" s="35"/>
      <c r="H65" s="35"/>
      <c r="I65" s="35"/>
    </row>
    <row r="66" spans="1:9" ht="15.75">
      <c r="A66" s="115" t="s">
        <v>13</v>
      </c>
      <c r="B66" s="239" t="s">
        <v>12</v>
      </c>
      <c r="C66" s="241"/>
      <c r="D66" s="241">
        <v>0</v>
      </c>
      <c r="G66" s="35"/>
      <c r="H66" s="35"/>
      <c r="I66" s="35"/>
    </row>
    <row r="67" spans="1:9" ht="15.75">
      <c r="A67" s="115" t="s">
        <v>14</v>
      </c>
      <c r="B67" s="239" t="s">
        <v>12</v>
      </c>
      <c r="C67" s="241"/>
      <c r="D67" s="241">
        <v>269714.19</v>
      </c>
      <c r="G67" s="37"/>
      <c r="H67" s="35"/>
      <c r="I67" s="35"/>
    </row>
    <row r="68" spans="1:9" ht="15.75">
      <c r="A68" s="132" t="s">
        <v>102</v>
      </c>
      <c r="B68" s="239" t="s">
        <v>12</v>
      </c>
      <c r="C68" s="247"/>
      <c r="D68" s="477">
        <v>0</v>
      </c>
      <c r="G68" s="35"/>
      <c r="H68" s="35"/>
      <c r="I68" s="35"/>
    </row>
    <row r="69" spans="1:9" ht="17.25" customHeight="1">
      <c r="A69" s="135" t="s">
        <v>13</v>
      </c>
      <c r="B69" s="239" t="s">
        <v>12</v>
      </c>
      <c r="C69" s="241"/>
      <c r="D69" s="241">
        <v>0</v>
      </c>
      <c r="G69" s="35"/>
      <c r="H69" s="37"/>
      <c r="I69" s="37"/>
    </row>
    <row r="70" spans="1:13" ht="15.75">
      <c r="A70" s="136" t="s">
        <v>14</v>
      </c>
      <c r="B70" s="239" t="s">
        <v>12</v>
      </c>
      <c r="C70" s="248"/>
      <c r="D70" s="248">
        <f>D67+D74+D75+D76+D77</f>
        <v>543506.5233500001</v>
      </c>
      <c r="G70" s="35" t="s">
        <v>27</v>
      </c>
      <c r="H70" s="38"/>
      <c r="I70" s="38"/>
      <c r="J70" s="5"/>
      <c r="K70" s="5"/>
      <c r="L70" s="5"/>
      <c r="M70" s="5"/>
    </row>
    <row r="71" spans="1:13" ht="18" customHeight="1" thickBot="1">
      <c r="A71" s="554" t="s">
        <v>65</v>
      </c>
      <c r="B71" s="554"/>
      <c r="C71" s="554"/>
      <c r="D71" s="554"/>
      <c r="E71" s="7"/>
      <c r="F71" s="8"/>
      <c r="G71" s="35"/>
      <c r="H71" s="39"/>
      <c r="I71" s="39"/>
      <c r="J71" s="10"/>
      <c r="K71" s="10"/>
      <c r="L71" s="10"/>
      <c r="M71" s="10"/>
    </row>
    <row r="72" spans="1:13" ht="63.75">
      <c r="A72" s="256" t="s">
        <v>66</v>
      </c>
      <c r="B72" s="12" t="s">
        <v>67</v>
      </c>
      <c r="C72" s="54" t="s">
        <v>68</v>
      </c>
      <c r="D72" s="55" t="s">
        <v>103</v>
      </c>
      <c r="E72" s="7"/>
      <c r="F72" s="8"/>
      <c r="G72" s="35"/>
      <c r="H72" s="39"/>
      <c r="I72" s="39"/>
      <c r="J72" s="10"/>
      <c r="K72" s="10"/>
      <c r="L72" s="10"/>
      <c r="M72" s="10"/>
    </row>
    <row r="73" spans="1:13" ht="15.75">
      <c r="A73" s="392" t="s">
        <v>368</v>
      </c>
      <c r="B73" s="235">
        <v>372512.85</v>
      </c>
      <c r="C73" s="60">
        <f>B73*0.9165</f>
        <v>341408.02702499996</v>
      </c>
      <c r="D73" s="391">
        <f>B73-C73</f>
        <v>31104.822975000017</v>
      </c>
      <c r="E73" s="7"/>
      <c r="F73" s="8"/>
      <c r="G73" s="35"/>
      <c r="H73" s="39"/>
      <c r="I73" s="39"/>
      <c r="J73" s="10"/>
      <c r="K73" s="10"/>
      <c r="L73" s="10"/>
      <c r="M73" s="10"/>
    </row>
    <row r="74" spans="1:13" ht="15.75">
      <c r="A74" s="140" t="s">
        <v>70</v>
      </c>
      <c r="B74" s="235">
        <v>262406.69</v>
      </c>
      <c r="C74" s="294">
        <f>B74*0.9165</f>
        <v>240495.731385</v>
      </c>
      <c r="D74" s="295">
        <f>B74-C74</f>
        <v>21910.95861500001</v>
      </c>
      <c r="E74" s="7"/>
      <c r="F74" s="8"/>
      <c r="G74" s="35"/>
      <c r="H74" s="39"/>
      <c r="I74" s="39"/>
      <c r="J74" s="10"/>
      <c r="K74" s="10"/>
      <c r="L74" s="10"/>
      <c r="M74" s="10"/>
    </row>
    <row r="75" spans="1:13" ht="15.75">
      <c r="A75" s="140" t="s">
        <v>71</v>
      </c>
      <c r="B75" s="235">
        <v>456018.92</v>
      </c>
      <c r="C75" s="294">
        <f>B75*0.9165</f>
        <v>417941.34018</v>
      </c>
      <c r="D75" s="295">
        <f>B75-C75</f>
        <v>38077.579819999984</v>
      </c>
      <c r="E75" s="7"/>
      <c r="F75" s="8"/>
      <c r="G75" s="35"/>
      <c r="H75" s="39"/>
      <c r="I75" s="39"/>
      <c r="J75" s="10"/>
      <c r="K75" s="10"/>
      <c r="L75" s="10"/>
      <c r="M75" s="10"/>
    </row>
    <row r="76" spans="1:13" ht="15.75">
      <c r="A76" s="140" t="s">
        <v>72</v>
      </c>
      <c r="B76" s="249">
        <v>1890496.83</v>
      </c>
      <c r="C76" s="294">
        <f>B76*0.9165</f>
        <v>1732640.344695</v>
      </c>
      <c r="D76" s="295">
        <f>B76-C76</f>
        <v>157856.4853050001</v>
      </c>
      <c r="E76" s="16"/>
      <c r="F76" s="17"/>
      <c r="G76" s="40"/>
      <c r="H76" s="39"/>
      <c r="I76" s="39"/>
      <c r="J76" s="10"/>
      <c r="K76" s="10"/>
      <c r="L76" s="10"/>
      <c r="M76" s="10"/>
    </row>
    <row r="77" spans="1:13" ht="16.5" thickBot="1">
      <c r="A77" s="140" t="s">
        <v>73</v>
      </c>
      <c r="B77" s="249">
        <v>670027.66</v>
      </c>
      <c r="C77" s="294">
        <f>B77*0.9165</f>
        <v>614080.35039</v>
      </c>
      <c r="D77" s="295">
        <f>B77-C77</f>
        <v>55947.30961</v>
      </c>
      <c r="E77" s="16"/>
      <c r="F77" s="17"/>
      <c r="G77" s="35"/>
      <c r="H77" s="39"/>
      <c r="I77" s="39"/>
      <c r="J77" s="10"/>
      <c r="K77" s="10"/>
      <c r="L77" s="10"/>
      <c r="M77" s="10"/>
    </row>
    <row r="78" spans="1:13" ht="89.25">
      <c r="A78" s="30" t="s">
        <v>75</v>
      </c>
      <c r="B78" s="31" t="s">
        <v>76</v>
      </c>
      <c r="C78" s="56" t="s">
        <v>77</v>
      </c>
      <c r="D78" s="57" t="s">
        <v>78</v>
      </c>
      <c r="E78" s="29"/>
      <c r="G78" s="39"/>
      <c r="H78" s="39"/>
      <c r="I78" s="39"/>
      <c r="J78" s="10"/>
      <c r="K78" s="10"/>
      <c r="L78" s="10"/>
      <c r="M78" s="10"/>
    </row>
    <row r="79" spans="1:13" ht="12.75">
      <c r="A79" s="393" t="s">
        <v>368</v>
      </c>
      <c r="B79" s="390">
        <v>372512.85</v>
      </c>
      <c r="C79" s="60">
        <v>341408.02702499996</v>
      </c>
      <c r="D79" s="394">
        <v>31104.822975000017</v>
      </c>
      <c r="E79" s="29"/>
      <c r="G79" s="39"/>
      <c r="H79" s="39"/>
      <c r="I79" s="39"/>
      <c r="J79" s="10"/>
      <c r="K79" s="10"/>
      <c r="L79" s="10"/>
      <c r="M79" s="10"/>
    </row>
    <row r="80" spans="1:13" ht="15.75">
      <c r="A80" s="211" t="s">
        <v>70</v>
      </c>
      <c r="B80" s="212">
        <f>B74</f>
        <v>262406.69</v>
      </c>
      <c r="C80" s="296">
        <f>C74</f>
        <v>240495.731385</v>
      </c>
      <c r="D80" s="297">
        <f>B80-C80</f>
        <v>21910.95861500001</v>
      </c>
      <c r="E80" s="29"/>
      <c r="G80" s="39"/>
      <c r="H80" s="39"/>
      <c r="I80" s="39" t="s">
        <v>27</v>
      </c>
      <c r="J80" s="10"/>
      <c r="K80" s="10"/>
      <c r="L80" s="10"/>
      <c r="M80" s="10"/>
    </row>
    <row r="81" spans="1:13" ht="15.75">
      <c r="A81" s="211" t="s">
        <v>71</v>
      </c>
      <c r="B81" s="212">
        <f>B75</f>
        <v>456018.92</v>
      </c>
      <c r="C81" s="296">
        <f>C75</f>
        <v>417941.34018</v>
      </c>
      <c r="D81" s="297">
        <f>B81-C81</f>
        <v>38077.579819999984</v>
      </c>
      <c r="E81" s="29"/>
      <c r="G81" s="39"/>
      <c r="H81" s="39"/>
      <c r="I81" s="39"/>
      <c r="J81" s="10"/>
      <c r="K81" s="10"/>
      <c r="L81" s="10"/>
      <c r="M81" s="10"/>
    </row>
    <row r="82" spans="1:13" ht="15.75">
      <c r="A82" s="211" t="s">
        <v>72</v>
      </c>
      <c r="B82" s="212">
        <v>1805539.77</v>
      </c>
      <c r="C82" s="296">
        <v>1732640.344695</v>
      </c>
      <c r="D82" s="297">
        <f>B82-C82</f>
        <v>72899.42530500004</v>
      </c>
      <c r="E82" s="29"/>
      <c r="G82" s="39"/>
      <c r="H82" s="39"/>
      <c r="I82" s="39"/>
      <c r="J82" s="10"/>
      <c r="K82" s="10"/>
      <c r="L82" s="10"/>
      <c r="M82" s="10"/>
    </row>
    <row r="83" spans="1:13" ht="15.75">
      <c r="A83" s="211" t="s">
        <v>73</v>
      </c>
      <c r="B83" s="212">
        <f>B77</f>
        <v>670027.66</v>
      </c>
      <c r="C83" s="296">
        <f>C77</f>
        <v>614080.35039</v>
      </c>
      <c r="D83" s="297">
        <f>B83-C83</f>
        <v>55947.30961</v>
      </c>
      <c r="E83" s="29"/>
      <c r="G83" s="39"/>
      <c r="H83" s="39"/>
      <c r="I83" s="39"/>
      <c r="J83" s="10"/>
      <c r="K83" s="10"/>
      <c r="L83" s="10"/>
      <c r="M83" s="10"/>
    </row>
    <row r="84" spans="1:13" ht="15.75">
      <c r="A84" s="218"/>
      <c r="B84" s="144"/>
      <c r="C84" s="298"/>
      <c r="D84" s="299"/>
      <c r="E84" s="16"/>
      <c r="G84" s="39"/>
      <c r="H84" s="39"/>
      <c r="I84" s="39"/>
      <c r="J84" s="10"/>
      <c r="K84" s="10"/>
      <c r="L84" s="10"/>
      <c r="M84" s="10"/>
    </row>
    <row r="85" spans="1:13" ht="26.25">
      <c r="A85" s="221" t="s">
        <v>79</v>
      </c>
      <c r="B85" s="144" t="s">
        <v>12</v>
      </c>
      <c r="C85" s="300"/>
      <c r="D85" s="301">
        <v>157184.45</v>
      </c>
      <c r="E85" s="16"/>
      <c r="G85" s="39"/>
      <c r="H85" s="39"/>
      <c r="I85" s="39" t="s">
        <v>27</v>
      </c>
      <c r="J85" s="10"/>
      <c r="K85" s="10"/>
      <c r="L85" s="10"/>
      <c r="M85" s="10"/>
    </row>
    <row r="86" spans="1:13" ht="17.25" customHeight="1">
      <c r="A86" s="536" t="s">
        <v>80</v>
      </c>
      <c r="B86" s="536"/>
      <c r="C86" s="536"/>
      <c r="D86" s="536"/>
      <c r="E86" s="9"/>
      <c r="G86" s="41" t="e">
        <f>#REF!-B15</f>
        <v>#REF!</v>
      </c>
      <c r="H86" s="39"/>
      <c r="I86" s="39"/>
      <c r="J86" s="10"/>
      <c r="K86" s="10"/>
      <c r="L86" s="10"/>
      <c r="M86" s="10"/>
    </row>
    <row r="87" spans="1:9" ht="21" customHeight="1">
      <c r="A87" s="20" t="s">
        <v>57</v>
      </c>
      <c r="B87" s="20" t="s">
        <v>58</v>
      </c>
      <c r="C87" s="20"/>
      <c r="D87" s="257">
        <v>3</v>
      </c>
      <c r="G87" s="35"/>
      <c r="H87" s="35"/>
      <c r="I87" s="35"/>
    </row>
    <row r="88" spans="1:9" ht="21" customHeight="1">
      <c r="A88" s="20" t="s">
        <v>59</v>
      </c>
      <c r="B88" s="20" t="s">
        <v>58</v>
      </c>
      <c r="C88" s="20"/>
      <c r="D88" s="257">
        <v>3</v>
      </c>
      <c r="G88" s="35"/>
      <c r="H88" s="35"/>
      <c r="I88" s="35"/>
    </row>
    <row r="89" spans="1:13" s="1" customFormat="1" ht="18" customHeight="1">
      <c r="A89" s="20" t="s">
        <v>60</v>
      </c>
      <c r="B89" s="20" t="s">
        <v>58</v>
      </c>
      <c r="C89" s="20"/>
      <c r="D89" s="257">
        <v>0</v>
      </c>
      <c r="G89" s="35"/>
      <c r="H89" s="35"/>
      <c r="I89" s="35"/>
      <c r="J89"/>
      <c r="K89"/>
      <c r="L89"/>
      <c r="M89"/>
    </row>
    <row r="90" spans="1:13" s="1" customFormat="1" ht="16.5" customHeight="1">
      <c r="A90" s="20" t="s">
        <v>61</v>
      </c>
      <c r="B90" s="20" t="s">
        <v>12</v>
      </c>
      <c r="C90" s="20"/>
      <c r="D90" s="257">
        <v>13095.59</v>
      </c>
      <c r="G90" s="35"/>
      <c r="H90" s="35"/>
      <c r="I90" s="35"/>
      <c r="J90"/>
      <c r="K90"/>
      <c r="L90"/>
      <c r="M90"/>
    </row>
    <row r="91" spans="1:13" s="1" customFormat="1" ht="15.75" customHeight="1">
      <c r="A91" s="529" t="s">
        <v>81</v>
      </c>
      <c r="B91" s="529"/>
      <c r="C91" s="529"/>
      <c r="D91" s="529"/>
      <c r="G91" s="35"/>
      <c r="H91" s="35"/>
      <c r="I91" s="35"/>
      <c r="J91"/>
      <c r="K91"/>
      <c r="L91"/>
      <c r="M91"/>
    </row>
    <row r="92" spans="1:13" s="1" customFormat="1" ht="18.75" customHeight="1">
      <c r="A92" s="20" t="s">
        <v>82</v>
      </c>
      <c r="B92" s="20" t="s">
        <v>58</v>
      </c>
      <c r="C92" s="20"/>
      <c r="D92" s="258">
        <v>0</v>
      </c>
      <c r="G92" s="35"/>
      <c r="H92" s="35"/>
      <c r="I92" s="35"/>
      <c r="J92"/>
      <c r="K92"/>
      <c r="L92"/>
      <c r="M92"/>
    </row>
    <row r="93" spans="1:13" s="1" customFormat="1" ht="21.75" customHeight="1">
      <c r="A93" s="20" t="s">
        <v>83</v>
      </c>
      <c r="B93" s="135" t="s">
        <v>58</v>
      </c>
      <c r="C93" s="135"/>
      <c r="D93" s="258">
        <v>2</v>
      </c>
      <c r="G93" s="35"/>
      <c r="H93" s="35"/>
      <c r="I93" s="35"/>
      <c r="J93"/>
      <c r="K93"/>
      <c r="L93"/>
      <c r="M93"/>
    </row>
    <row r="94" spans="1:13" s="1" customFormat="1" ht="36" customHeight="1">
      <c r="A94" s="146" t="s">
        <v>84</v>
      </c>
      <c r="B94" s="20" t="s">
        <v>12</v>
      </c>
      <c r="C94" s="20"/>
      <c r="D94" s="258">
        <v>25000</v>
      </c>
      <c r="G94" s="35"/>
      <c r="H94" s="35"/>
      <c r="I94" s="35"/>
      <c r="J94"/>
      <c r="K94"/>
      <c r="L94"/>
      <c r="M94"/>
    </row>
    <row r="95" spans="1:13" s="1" customFormat="1" ht="15.75">
      <c r="A95" s="147"/>
      <c r="B95" s="147"/>
      <c r="C95" s="147"/>
      <c r="D95" s="302"/>
      <c r="G95" s="35"/>
      <c r="H95" s="35"/>
      <c r="I95" s="35"/>
      <c r="J95"/>
      <c r="K95"/>
      <c r="L95"/>
      <c r="M95"/>
    </row>
    <row r="96" spans="1:13" s="1" customFormat="1" ht="12.75">
      <c r="A96" s="81"/>
      <c r="B96" s="81"/>
      <c r="C96" s="81"/>
      <c r="D96" s="81"/>
      <c r="G96" s="35" t="s">
        <v>27</v>
      </c>
      <c r="H96" s="35"/>
      <c r="I96" s="35"/>
      <c r="J96"/>
      <c r="K96"/>
      <c r="L96"/>
      <c r="M96"/>
    </row>
    <row r="97" spans="1:13" s="1" customFormat="1" ht="12.75">
      <c r="A97" s="81" t="s">
        <v>114</v>
      </c>
      <c r="B97" s="81"/>
      <c r="C97" s="81"/>
      <c r="D97" s="81"/>
      <c r="G97" s="35"/>
      <c r="H97" s="35"/>
      <c r="I97" s="35"/>
      <c r="J97"/>
      <c r="K97"/>
      <c r="L97"/>
      <c r="M97"/>
    </row>
    <row r="98" spans="1:13" s="1" customFormat="1" ht="12.75">
      <c r="A98" s="81"/>
      <c r="B98" s="81"/>
      <c r="C98" s="81"/>
      <c r="D98" s="81"/>
      <c r="G98" s="35" t="s">
        <v>27</v>
      </c>
      <c r="H98" s="35"/>
      <c r="I98" s="35"/>
      <c r="J98"/>
      <c r="K98"/>
      <c r="L98"/>
      <c r="M98"/>
    </row>
    <row r="99" spans="1:13" s="1" customFormat="1" ht="12.75">
      <c r="A99" s="81" t="s">
        <v>85</v>
      </c>
      <c r="B99" s="81"/>
      <c r="C99" s="81"/>
      <c r="D99" s="81"/>
      <c r="G99" s="35"/>
      <c r="H99" s="35"/>
      <c r="I99" s="35"/>
      <c r="J99"/>
      <c r="K99"/>
      <c r="L99"/>
      <c r="M99"/>
    </row>
    <row r="100" spans="1:9" ht="12.75">
      <c r="A100" s="81"/>
      <c r="B100" s="81"/>
      <c r="C100" s="81"/>
      <c r="D100" s="81"/>
      <c r="G100" s="35"/>
      <c r="H100" s="35"/>
      <c r="I100" s="35"/>
    </row>
    <row r="101" spans="1:9" ht="12.75">
      <c r="A101" s="81"/>
      <c r="B101" s="81"/>
      <c r="C101" s="81"/>
      <c r="D101" s="81"/>
      <c r="G101" s="35"/>
      <c r="H101" s="35"/>
      <c r="I101" s="35"/>
    </row>
    <row r="102" spans="1:9" ht="12.75">
      <c r="A102" s="81"/>
      <c r="B102" s="81"/>
      <c r="C102" s="81"/>
      <c r="D102" s="81"/>
      <c r="G102" s="35"/>
      <c r="H102" s="35"/>
      <c r="I102" s="35"/>
    </row>
    <row r="103" spans="1:13" s="1" customFormat="1" ht="12.75">
      <c r="A103" s="81"/>
      <c r="B103" s="81"/>
      <c r="C103" s="81"/>
      <c r="D103" s="81"/>
      <c r="J103"/>
      <c r="K103"/>
      <c r="L103"/>
      <c r="M103"/>
    </row>
  </sheetData>
  <sheetProtection selectLockedCells="1" selectUnlockedCells="1"/>
  <mergeCells count="12">
    <mergeCell ref="A1:D1"/>
    <mergeCell ref="A2:D2"/>
    <mergeCell ref="A3:D3"/>
    <mergeCell ref="A4:D4"/>
    <mergeCell ref="A10:D10"/>
    <mergeCell ref="A5:D5"/>
    <mergeCell ref="A25:D25"/>
    <mergeCell ref="A59:D59"/>
    <mergeCell ref="A64:D64"/>
    <mergeCell ref="A71:D71"/>
    <mergeCell ref="A86:D86"/>
    <mergeCell ref="A91:D91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2020-03-23T08:29:10Z</cp:lastPrinted>
  <dcterms:created xsi:type="dcterms:W3CDTF">2016-03-09T13:37:33Z</dcterms:created>
  <dcterms:modified xsi:type="dcterms:W3CDTF">2020-03-25T11:19:18Z</dcterms:modified>
  <cp:category/>
  <cp:version/>
  <cp:contentType/>
  <cp:contentStatus/>
</cp:coreProperties>
</file>