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tabRatio="569" firstSheet="3" activeTab="12"/>
  </bookViews>
  <sheets>
    <sheet name="Дзержинского 14" sheetId="1" r:id="rId1"/>
    <sheet name="Дзержинского 42" sheetId="2" r:id="rId2"/>
    <sheet name="Дзержинского 44" sheetId="3" r:id="rId3"/>
    <sheet name="Рожд 1" sheetId="4" r:id="rId4"/>
    <sheet name="Рожд 2" sheetId="5" r:id="rId5"/>
    <sheet name="Рожд 3" sheetId="6" r:id="rId6"/>
    <sheet name="Рожд 4" sheetId="7" r:id="rId7"/>
    <sheet name="Рожд 5" sheetId="8" r:id="rId8"/>
    <sheet name="Рожд 6" sheetId="9" r:id="rId9"/>
    <sheet name="Рожд7" sheetId="10" r:id="rId10"/>
    <sheet name="Рожд 8 " sheetId="11" r:id="rId11"/>
    <sheet name="Рожд 10 " sheetId="12" r:id="rId12"/>
    <sheet name="Весенняя 2" sheetId="13" r:id="rId13"/>
    <sheet name="Лист1" sheetId="14" r:id="rId14"/>
  </sheets>
  <definedNames>
    <definedName name="Excel_BuiltIn_Print_Area_1_1">#REF!</definedName>
    <definedName name="Excel_BuiltIn_Print_Area_1_1_1">#REF!</definedName>
  </definedNames>
  <calcPr fullCalcOnLoad="1"/>
</workbook>
</file>

<file path=xl/sharedStrings.xml><?xml version="1.0" encoding="utf-8"?>
<sst xmlns="http://schemas.openxmlformats.org/spreadsheetml/2006/main" count="2491" uniqueCount="376">
  <si>
    <t xml:space="preserve"> ОТЧЕТ    </t>
  </si>
  <si>
    <t>ДОГОВОРА УПРАВЛЕНИЯ МНОГОКВАРТИРНЫМ ДОМОМ</t>
  </si>
  <si>
    <t>ПО АДРЕСУ г. Заволжье, ул. Рождественская д.1</t>
  </si>
  <si>
    <t>Ф2.8 согласно приказа №882/пр. от 22.12.2014г. Министерства строительства и жилищно-коммунального хозяйства РФ</t>
  </si>
  <si>
    <t>Наименование параметра</t>
  </si>
  <si>
    <t>ед. изм.</t>
  </si>
  <si>
    <t>значение</t>
  </si>
  <si>
    <t xml:space="preserve"> Дата заполнения/внесения изменений</t>
  </si>
  <si>
    <t xml:space="preserve"> Начало отчетного периода</t>
  </si>
  <si>
    <t>Дата конца отчетного периода.</t>
  </si>
  <si>
    <t>1.'Общая информация о выполняемых работах (оказываемых услугах) по содержанию и текущему ремонту общего имущества</t>
  </si>
  <si>
    <t xml:space="preserve">Переходящие остатки денежных средств (на начало периода) по содержанию и  текущему ремонту </t>
  </si>
  <si>
    <t>руб.</t>
  </si>
  <si>
    <t>переплата потребителями</t>
  </si>
  <si>
    <t>задолженность потребителей</t>
  </si>
  <si>
    <t xml:space="preserve">.'Начислено за работы (услуги) по содержанию и текущему ремонту,в том числе:      </t>
  </si>
  <si>
    <t>за содержание дома</t>
  </si>
  <si>
    <t>за текущий ремонт</t>
  </si>
  <si>
    <t>за услуги управления</t>
  </si>
  <si>
    <t xml:space="preserve"> Получено денежных средств, в т.ч.:    </t>
  </si>
  <si>
    <t>х</t>
  </si>
  <si>
    <t xml:space="preserve"> денежных средств от потребителей</t>
  </si>
  <si>
    <t>целевых взносов от потребителей</t>
  </si>
  <si>
    <t>.</t>
  </si>
  <si>
    <t>субсидий</t>
  </si>
  <si>
    <t>денежных средств от использования общего имущества</t>
  </si>
  <si>
    <t>Всего денежных средств средств с учетом остатков</t>
  </si>
  <si>
    <t xml:space="preserve"> </t>
  </si>
  <si>
    <t>2.'Выполненные работы (оказанные услуги) по содержанию общего имущества и текущему ремонту в отчетном периоде</t>
  </si>
  <si>
    <t xml:space="preserve">Наименование работ и    услуг     (указывается в       соответствии с договором  управления) </t>
  </si>
  <si>
    <t xml:space="preserve">Периодичность (срок     выполнения)  по факту   </t>
  </si>
  <si>
    <t>Исполнитель услуги</t>
  </si>
  <si>
    <t>Расходы по содержанию жилья за год (руб)</t>
  </si>
  <si>
    <t xml:space="preserve">Обслуживание общестроит.конструкций </t>
  </si>
  <si>
    <t>2 раза в год</t>
  </si>
  <si>
    <t xml:space="preserve">Содержание придомовой территории </t>
  </si>
  <si>
    <t>5 раз в неделю</t>
  </si>
  <si>
    <t>ООО "Жилищные услуги"</t>
  </si>
  <si>
    <t>ежедневно</t>
  </si>
  <si>
    <t xml:space="preserve">Проверка дымоходов и вентканалов </t>
  </si>
  <si>
    <t>ООО "Патриот"</t>
  </si>
  <si>
    <t>Обслуживание систем электроснабжения</t>
  </si>
  <si>
    <t>4 раза в год</t>
  </si>
  <si>
    <t>ООО "ВДС-Сервис"</t>
  </si>
  <si>
    <t>Обслуживание внутридомовых систем  (ХВС,ГВС, ВО, отопления)</t>
  </si>
  <si>
    <t xml:space="preserve">Аварийно-диспетчерское обслуживание  </t>
  </si>
  <si>
    <t>круглосуточно</t>
  </si>
  <si>
    <t xml:space="preserve">Управление многоквартирным домом </t>
  </si>
  <si>
    <t xml:space="preserve">Уборка лестничных клеток  </t>
  </si>
  <si>
    <t xml:space="preserve">Обслуживание лифтов  </t>
  </si>
  <si>
    <t>ООО "Лифтсервис"</t>
  </si>
  <si>
    <t xml:space="preserve">Обслуживание мусоропроводов </t>
  </si>
  <si>
    <t>Согласно плана и по мере необходимости</t>
  </si>
  <si>
    <t>ИТОГО:</t>
  </si>
  <si>
    <t>Переходящие остатки денежных средств (на конец периода) :</t>
  </si>
  <si>
    <t>3. 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</si>
  <si>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</si>
  <si>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</si>
  <si>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</si>
  <si>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</si>
  <si>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</si>
  <si>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4.Общая информация по предоставленным коммунальным услугам</t>
  </si>
  <si>
    <t>Пеоеходящие остатки денежных средств (на начало периода), втом числе:</t>
  </si>
  <si>
    <t>Переходящие остатки денежных средств (на конец,периода)в том числе:</t>
  </si>
  <si>
    <t>5,Информация о предоставленных коммунальных услугах</t>
  </si>
  <si>
    <t>Вид коммунальной услуги, ед.изм., общий объем потребления</t>
  </si>
  <si>
    <t>Начислено потребителям (руб.)</t>
  </si>
  <si>
    <t>Оплачено потребителями (руб.)</t>
  </si>
  <si>
    <t>Задолженность потребителей            (руб.)</t>
  </si>
  <si>
    <t xml:space="preserve">водоснабжение                  </t>
  </si>
  <si>
    <t xml:space="preserve">водоотведение                  </t>
  </si>
  <si>
    <t xml:space="preserve">теплоснабжение                 </t>
  </si>
  <si>
    <t xml:space="preserve">горячее водоснабжение          </t>
  </si>
  <si>
    <t xml:space="preserve">электроснабжение               </t>
  </si>
  <si>
    <t>Вид коммунальной услуги</t>
  </si>
  <si>
    <t>Начислено поставщиком коммунального ресурса (руб.)</t>
  </si>
  <si>
    <t>Оплачено поставщику коммунального ресурса (руб.)</t>
  </si>
  <si>
    <t>Задолженность перед поставщиком коммунального ресурса (руб.)</t>
  </si>
  <si>
    <t>Сумма пени и штрафов, уплаченные поставщику коммунального ресурса</t>
  </si>
  <si>
    <t>6. Информация о наличии претензий по качеству предоставленных коммунальных услуг</t>
  </si>
  <si>
    <t>7. 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</si>
  <si>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</si>
  <si>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</si>
  <si>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</si>
  <si>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М.П.</t>
  </si>
  <si>
    <t>ПО АДРЕСУ г. Заволжье, ул. Рождественская д.2</t>
  </si>
  <si>
    <t xml:space="preserve">Переходящие остатки денежных средств (на начало периода) </t>
  </si>
  <si>
    <t>Содержание придомовой территории</t>
  </si>
  <si>
    <t>Обслуживание внутридомовых систем  (ХВС,ГВС,ВО,отопления)</t>
  </si>
  <si>
    <t xml:space="preserve">Уборка лестничных клеток </t>
  </si>
  <si>
    <t xml:space="preserve">Обслуживание лифтов </t>
  </si>
  <si>
    <t>ИТОГО :</t>
  </si>
  <si>
    <t>ПО АДРЕСУ г. Заволжье, ул. Рождественская д.3</t>
  </si>
  <si>
    <t>Переходящие остатки денежных средств (на начало периода) :</t>
  </si>
  <si>
    <t>Обслуживание общестроит.конструкций</t>
  </si>
  <si>
    <t>Проверка дымоходов и вентканалов</t>
  </si>
  <si>
    <t>Обслуживание внутридомовых систем  (ХВС,ГВС,ВО ,отопления)</t>
  </si>
  <si>
    <t>Управление многоквартирным домом</t>
  </si>
  <si>
    <t>Уборка лестничных клеток</t>
  </si>
  <si>
    <t>Обслуживание мусоропроводов</t>
  </si>
  <si>
    <t>Обслуживание газового оборудования</t>
  </si>
  <si>
    <t>Переходящие остатки денежных средств (на конец  периода)</t>
  </si>
  <si>
    <t>Задолженност потребителей            (руб.)</t>
  </si>
  <si>
    <t>ПО АДРЕСУ г. Заволжье, ул. Рождественская д.4</t>
  </si>
  <si>
    <t>Обслуживание систем  электроснабжения</t>
  </si>
  <si>
    <t xml:space="preserve">Обслуживание газового оборудования </t>
  </si>
  <si>
    <t>ПО АДРЕСУ г. Заволжье, ул. Рождественская д.5</t>
  </si>
  <si>
    <t>ПО АДРЕСУ г. Заволжье, ул. Рождественская д.6</t>
  </si>
  <si>
    <t>ПО АДРЕСУ г. Заволжье, ул. Рождественская д.7</t>
  </si>
  <si>
    <t>ПО АДРЕСУ г. Заволжье, ул. Рождественская д.8</t>
  </si>
  <si>
    <t>ПО АДРЕСУ г. Заволжье, ул. Рождественская д.10</t>
  </si>
  <si>
    <t>Переходящие остатки денежных средств (на конец периода,в том числе:</t>
  </si>
  <si>
    <t>ПО АДРЕСУ г. Заволжье, ул. Весенняя д.2</t>
  </si>
  <si>
    <t>Руководитель управляющей организации /____________________________________/_Кузьмичев Е.М./</t>
  </si>
  <si>
    <t>Справочно ,тарифы :</t>
  </si>
  <si>
    <t>Sдома=2169,80м2</t>
  </si>
  <si>
    <t>январь</t>
  </si>
  <si>
    <t>апрель</t>
  </si>
  <si>
    <t>июль</t>
  </si>
  <si>
    <t>август</t>
  </si>
  <si>
    <t>октябрь</t>
  </si>
  <si>
    <t>март</t>
  </si>
  <si>
    <t>сентябрь</t>
  </si>
  <si>
    <t>ноябрь</t>
  </si>
  <si>
    <t>май</t>
  </si>
  <si>
    <t>декабрь</t>
  </si>
  <si>
    <t>июнь</t>
  </si>
  <si>
    <t>Текущий ремонт и подготовка к сезонной эксплуатации , в том числе:</t>
  </si>
  <si>
    <t>Текущий ремонт и подготовка к сезонной эксплуатации, в том числе:</t>
  </si>
  <si>
    <t>Текущий ремонт и подготовка к сезонной эксплуатации (в том числе) :</t>
  </si>
  <si>
    <t>Текущий ремонт и подготовка  к сезонной эксплуатации (в том числе),</t>
  </si>
  <si>
    <t xml:space="preserve">Переходящие остатки денежных средств (на начало периода) : </t>
  </si>
  <si>
    <t>Текущий ремонт и подготовка к сезонной эксплуатации         (в том числе);</t>
  </si>
  <si>
    <t>Текущий ремонт и подготовка к сезонной эксплуатации,          в том числе:</t>
  </si>
  <si>
    <t>Текущий ремонт и подготовка к сезонной эксплуатации     ( в том числе):</t>
  </si>
  <si>
    <t>Текущий ремонт и подготовка к сезонной эксплуатации       (в том числе) ;</t>
  </si>
  <si>
    <t>Текущий ремонт и подготовка к сезонной эксплуатации  (в том числе),</t>
  </si>
  <si>
    <t>Текущий ремонт и подготовка к сезонной эксплуатации (в том числе);</t>
  </si>
  <si>
    <t>Sдома = 6136,8 м2</t>
  </si>
  <si>
    <t>Sдома=4109,6</t>
  </si>
  <si>
    <t>ХВ, ГВ</t>
  </si>
  <si>
    <t>Электроэнергии</t>
  </si>
  <si>
    <t>Использование энергоресурсов в целях содержания общего имущества, в том числе:</t>
  </si>
  <si>
    <t>МУП "Тепловодоканал"</t>
  </si>
  <si>
    <t>ПАО "ТНС-Энерго"</t>
  </si>
  <si>
    <t>1,14/1,02</t>
  </si>
  <si>
    <t>1,33/1,0</t>
  </si>
  <si>
    <t>4,88/4,0</t>
  </si>
  <si>
    <t>электроэнергии</t>
  </si>
  <si>
    <t>Руководитель управляющей организации /____________________________________/_Кузьмичев Е.М./___________________</t>
  </si>
  <si>
    <t>Руководитель управляющей организации /______________________/_Кузьмичев Е.М./_______________________</t>
  </si>
  <si>
    <t>Руководитель управляющей организации /______________________________/Кузьмичев Е.М./_________________________</t>
  </si>
  <si>
    <t>Руководитель управляющей организации /______________________/Кузьмичев Е.М.____________________________________</t>
  </si>
  <si>
    <t>Руководитель управляющей организации /______________________________/Кузьмичев Е.М./_____________________</t>
  </si>
  <si>
    <t>Руководитель управляющей организации /____________________________________/Кузьмичев Е.М./______________</t>
  </si>
  <si>
    <t>Руководитель управляющей организации /____________________________________/Кузьмичев Е.М._________________</t>
  </si>
  <si>
    <t>остатки по текущему ремонту:(в т.ч.остатки по К.Р.)</t>
  </si>
  <si>
    <t>ремонт лифта</t>
  </si>
  <si>
    <t>ремонт отмостки</t>
  </si>
  <si>
    <t>ООО "Прибрежье"</t>
  </si>
  <si>
    <t>ремонт лифтов</t>
  </si>
  <si>
    <t xml:space="preserve">1 раз в  год </t>
  </si>
  <si>
    <t xml:space="preserve"> ООО" ВДС-Сервис"</t>
  </si>
  <si>
    <t>УПРАВЛЯЮЩЕЙ ОРГАНИЗАЦИИ ООО «Прибрежье» О ВЫПОЛНЕНИИ</t>
  </si>
  <si>
    <t>ПО АДРЕСУ г. Заволжье, пр. Дзержинского д. 14</t>
  </si>
  <si>
    <t>Дезинсекция и дератизация подвальных помещений</t>
  </si>
  <si>
    <t>ПО АДРЕСУ г. Заволжье, пр. Дзержинского д. 42</t>
  </si>
  <si>
    <t>ПО АДРЕСУ г. Заволжье, пр. Дзержинского д. 44</t>
  </si>
  <si>
    <t>/Кузьмичев Е.М./</t>
  </si>
  <si>
    <t>Sдома=2555,98м2</t>
  </si>
  <si>
    <t>Sдома=3421,67м2</t>
  </si>
  <si>
    <t xml:space="preserve">"ООО "ВДС-Сервис"; </t>
  </si>
  <si>
    <t xml:space="preserve">ООО "ВДС-Сервис" </t>
  </si>
  <si>
    <t>"ООО "ВДС-Сервис"</t>
  </si>
  <si>
    <t>ООО "Альпстрой"</t>
  </si>
  <si>
    <t>февраль</t>
  </si>
  <si>
    <t>ИП Тупова А.Г.</t>
  </si>
  <si>
    <t>ремонт кровли</t>
  </si>
  <si>
    <t>закраска надписей на фасаде</t>
  </si>
  <si>
    <t>смена крана в кв.71</t>
  </si>
  <si>
    <t>смена розлива ХВС в подвале</t>
  </si>
  <si>
    <t>Sдома=2302,6 м2</t>
  </si>
  <si>
    <t>Sдома=6096,5м2</t>
  </si>
  <si>
    <t>Sдома = 4109,6 м2</t>
  </si>
  <si>
    <t>Sдома = 2169,8 м2</t>
  </si>
  <si>
    <t>Sдома = 4263,3 м2</t>
  </si>
  <si>
    <t>Sдома = 4192,5 м2</t>
  </si>
  <si>
    <t>Sдома = 4851м2</t>
  </si>
  <si>
    <t>Sдома=3092,5м2</t>
  </si>
  <si>
    <t>Дератизация и дезинсекция</t>
  </si>
  <si>
    <t xml:space="preserve">ООО "ВДС-Сервис"; </t>
  </si>
  <si>
    <t>(соглаш)</t>
  </si>
  <si>
    <t>Обращение с ТКО</t>
  </si>
  <si>
    <t>Переходящие остатки денежных средств (на начало периода), втом числе:</t>
  </si>
  <si>
    <t>обращение с ТКО</t>
  </si>
  <si>
    <t>'ООО "ВДС-Сервис"</t>
  </si>
  <si>
    <t>(дератизация поакту)</t>
  </si>
  <si>
    <t>4раза в год</t>
  </si>
  <si>
    <t>1 раз в неделю</t>
  </si>
  <si>
    <t>проверить</t>
  </si>
  <si>
    <t xml:space="preserve"> (1 раз в год)</t>
  </si>
  <si>
    <t>задолженность потребителей (на начало периода)</t>
  </si>
  <si>
    <t>задолженность потребителей (на конец периода)</t>
  </si>
  <si>
    <t>ЗА 2020 ГОД</t>
  </si>
  <si>
    <t>1 квартал 2021г.</t>
  </si>
  <si>
    <t>01.01.2020г.</t>
  </si>
  <si>
    <t>31.12.2020г.</t>
  </si>
  <si>
    <t>установка информационных досок в подъездах</t>
  </si>
  <si>
    <t>январь,сентябрь ноябрь</t>
  </si>
  <si>
    <t>ремонт пож. сигнализации (извещатель ручной)</t>
  </si>
  <si>
    <t>ООО "ПротивоПожарныйСервис"</t>
  </si>
  <si>
    <t>смена автомата и светильника на 1м этаже</t>
  </si>
  <si>
    <t>установка информационной доски в подъезде</t>
  </si>
  <si>
    <t>смена розетки в общей кухне кв.27</t>
  </si>
  <si>
    <t>смена светильников на 1,2,3,4,7 этажах</t>
  </si>
  <si>
    <t>апрель-ноябрь</t>
  </si>
  <si>
    <t>смена участка ХВС в кв.29</t>
  </si>
  <si>
    <t xml:space="preserve">ремонт тамбура и 1го этажа </t>
  </si>
  <si>
    <t>лифтовое оборудование (установка переговорного комплекта)</t>
  </si>
  <si>
    <t>смена вводных автоматов</t>
  </si>
  <si>
    <t>смена приборов отопления на 1м эт. смена смесителя кв.30</t>
  </si>
  <si>
    <t>установка почтовых ящиков</t>
  </si>
  <si>
    <t>зашивка оконных проемов над входной дверью,оконной створки , ремонт остекления</t>
  </si>
  <si>
    <t>установка дверной задвижки,окраска пандуса и перил,маркировка почтовых ящиков</t>
  </si>
  <si>
    <t>установка коробки ответвительной,уст-ка урны</t>
  </si>
  <si>
    <t>смена участков ХВС,ГВС и канализации в подвале</t>
  </si>
  <si>
    <t xml:space="preserve">ремонт домофона </t>
  </si>
  <si>
    <t>ООО "Мегаполиспрофлидер"</t>
  </si>
  <si>
    <t>смена участков проводки в кв.11, в коридоре. Крепление двери на крышу</t>
  </si>
  <si>
    <t>изготовление и монтаж дверного блока кв.19, ремонт двери выхода на кровлю</t>
  </si>
  <si>
    <t>ремонт полов на лестничных клетках</t>
  </si>
  <si>
    <t>перенос ливневок в подвале во2м и 3м подъездах</t>
  </si>
  <si>
    <t>июнь,сентябрь</t>
  </si>
  <si>
    <t>ремонт лифта 3го подъезда</t>
  </si>
  <si>
    <t>ремонт швов</t>
  </si>
  <si>
    <t>смена светильников на 3м эт.2го под-да</t>
  </si>
  <si>
    <t>возмещение мат-в по герметизации стен</t>
  </si>
  <si>
    <t>изготовление и установка поручня под.2 эт.1, ремонт скамейки</t>
  </si>
  <si>
    <t>смена светильников подвале, тамбура кв.1-2; 71; на 2м. этаже 2 подъезда)</t>
  </si>
  <si>
    <t>февраль-декабрь</t>
  </si>
  <si>
    <t>закраска надписей на стенах фасада</t>
  </si>
  <si>
    <t>изоляция труб в подвале</t>
  </si>
  <si>
    <t>смена вводного выключателя у кв.21</t>
  </si>
  <si>
    <t>смена участка хвс в кв.18</t>
  </si>
  <si>
    <t>герметизация межпанельных швов и утепление фасада кв.7,39,40</t>
  </si>
  <si>
    <t>июнь-август</t>
  </si>
  <si>
    <t>ООО "АльпСтрой"</t>
  </si>
  <si>
    <t>ремонт примыканий кровли к канализационному стояку</t>
  </si>
  <si>
    <t>Ип Тупова А.Г.</t>
  </si>
  <si>
    <t>установка урны 2 подъезд</t>
  </si>
  <si>
    <t>смена кранов в кв.81</t>
  </si>
  <si>
    <t>смена мусороприемника во 2м подъезде</t>
  </si>
  <si>
    <t>январь-март</t>
  </si>
  <si>
    <t>смена светильников в подвале и чердаке</t>
  </si>
  <si>
    <t>установка дверного блока тамбур кв1-2</t>
  </si>
  <si>
    <t>уст-ка урны</t>
  </si>
  <si>
    <t>смена выключателя 2под-д,1эт.; смена светильника 1 под-,7 этаж</t>
  </si>
  <si>
    <t>устройство газонного ограждения</t>
  </si>
  <si>
    <t>смена участков проводки у кв.93,пакетного выключателя. Нулевой шины</t>
  </si>
  <si>
    <t>подключение лифтов</t>
  </si>
  <si>
    <t>смена кранов гвс,хвс в кв.33 смена участка гвс в подвале</t>
  </si>
  <si>
    <t>ООО СК "РЕАЛ ГРУПП"</t>
  </si>
  <si>
    <t>ремонт остекления,оконных ручек подъездов  1,2</t>
  </si>
  <si>
    <t>ремонт освещания</t>
  </si>
  <si>
    <t>ремонт швов 2-го подъезда, утепление стен кв.68</t>
  </si>
  <si>
    <t>смена участков ХВС,ГВС в подвале, в кв.7,27</t>
  </si>
  <si>
    <t>январь,'февраль</t>
  </si>
  <si>
    <t>окраска лавочек</t>
  </si>
  <si>
    <t>смена запорной арматуры на техэтаже</t>
  </si>
  <si>
    <t>ремонт крыльца 1го под-да</t>
  </si>
  <si>
    <t>смена светильников в 1 подъезде на 2,7,9 этажах</t>
  </si>
  <si>
    <t>сентябрь-ноябрь</t>
  </si>
  <si>
    <t>герметизация межпанельных швов по кв.7</t>
  </si>
  <si>
    <t>смена ккранов ГВС,ХВС в кв.61</t>
  </si>
  <si>
    <t>смена участка отопления в  кв.66</t>
  </si>
  <si>
    <t>подключение лифтов 1,2 под-ды</t>
  </si>
  <si>
    <t>смена нулевой шины</t>
  </si>
  <si>
    <t>за 2020г.</t>
  </si>
  <si>
    <t>смена светильников 2 подъезд, 1эт.; 3 подъезд 1,5 эт.; 4 подъезд ,2, 4эт.</t>
  </si>
  <si>
    <t>февраль,апрель,ноябрь</t>
  </si>
  <si>
    <t>смена пакетного выкл у кв.8</t>
  </si>
  <si>
    <t>1480дез.</t>
  </si>
  <si>
    <t>смена системы канализации в подвале</t>
  </si>
  <si>
    <t>смена участков ГВС,ХВС в кв.31</t>
  </si>
  <si>
    <t>Тупова А.Г.</t>
  </si>
  <si>
    <t>июль, сентябрь</t>
  </si>
  <si>
    <t>окраска лавочек,урны</t>
  </si>
  <si>
    <t>ремонт ограждения</t>
  </si>
  <si>
    <t>ООО "Металлоконструкция"</t>
  </si>
  <si>
    <t>смена участка ГВС в кв.4</t>
  </si>
  <si>
    <t>герметизация межпанельных  швов кв.57,59</t>
  </si>
  <si>
    <t>смена участка канализации в кв.16</t>
  </si>
  <si>
    <t>смена светильников в 6п-д,1эт.,5п-д, 4эт. , смена выключателя 6под.1эт., смена плафона ,улица</t>
  </si>
  <si>
    <t>смена крана в кв 34</t>
  </si>
  <si>
    <t>смена светильника 1эт.3под-д</t>
  </si>
  <si>
    <t>смена выключателя 3 подъезд2эт, смена светильника 3под.2эт.</t>
  </si>
  <si>
    <t>смена участка канализации в кв.96</t>
  </si>
  <si>
    <t>оштукатуривание швов по кв.71</t>
  </si>
  <si>
    <t>ремонт кровли лоджиии кв.71</t>
  </si>
  <si>
    <t>смена оконных блоков в подъездах на пластиковые</t>
  </si>
  <si>
    <t>ИП "Калягин"</t>
  </si>
  <si>
    <t>смена кранов ГВС,ХВС в кв.75,47</t>
  </si>
  <si>
    <t>смена плафона на 1м эт.4под-да</t>
  </si>
  <si>
    <t>ремонт кровли козырьков</t>
  </si>
  <si>
    <t>ООО "РЕАЛ Групп"</t>
  </si>
  <si>
    <t>монтаж поручней</t>
  </si>
  <si>
    <t>ремонт ограждений</t>
  </si>
  <si>
    <t>возврат материалов (окраска подъездов под окнами)</t>
  </si>
  <si>
    <t>смена участка хвс в подвале</t>
  </si>
  <si>
    <t>смена кранов в кв.11,32</t>
  </si>
  <si>
    <t>смена участка канализации в кв.19</t>
  </si>
  <si>
    <t>смена задвижки ГВС в подвале</t>
  </si>
  <si>
    <t>ремонт 1го подъезда</t>
  </si>
  <si>
    <t>уст-ка почтовых ящиков в 1 и 2м подъездах</t>
  </si>
  <si>
    <t>смена задвижек в элеваторных узлах</t>
  </si>
  <si>
    <t>740 дез</t>
  </si>
  <si>
    <t>смена светильников в тамбуре кв.41-42, в 1 подъезде ,1эт.; смена плафона 1под-д,6эт. Пакетный выключатель у кв.8</t>
  </si>
  <si>
    <t>февраль-ноябрь</t>
  </si>
  <si>
    <t>смена кранов в кв.32,40</t>
  </si>
  <si>
    <t>март,сентябрь</t>
  </si>
  <si>
    <t>смена замка в электрощитовой</t>
  </si>
  <si>
    <t>смена участка канализации в кв.25</t>
  </si>
  <si>
    <t>герметизация межпанельных швов 1го под-да , утепление стен кв.68</t>
  </si>
  <si>
    <t>август,ноябрь</t>
  </si>
  <si>
    <t>установка готового поручня 1под.1эт.</t>
  </si>
  <si>
    <t>смена участка канализации в подвале</t>
  </si>
  <si>
    <t>2740дез</t>
  </si>
  <si>
    <t>смена кранов в кв.3, в подвале</t>
  </si>
  <si>
    <t>январь,сентябрь</t>
  </si>
  <si>
    <t>смена светильников : тамбур кв.85; во 2подъезде 2,5 этажи; тамбур кв.90; на техэтаже; смена выключателя в тамбуре кв.85, плафонов на улице, на техэтаже , во 2м подъезде 3,4 этажи.</t>
  </si>
  <si>
    <t>окраска тумб</t>
  </si>
  <si>
    <t>герметизация межпанельных швов,утепление стен</t>
  </si>
  <si>
    <t>ремонт 2го подъезда</t>
  </si>
  <si>
    <t>ООО "РЕАЛ ГРУПП"</t>
  </si>
  <si>
    <t>ООО "Пожарный центр"</t>
  </si>
  <si>
    <t>март,июнь,октябрь,ноябрь</t>
  </si>
  <si>
    <t>вынос крана для полива из подвала</t>
  </si>
  <si>
    <t>смена участка обратки во 2м подъезде</t>
  </si>
  <si>
    <t>смена участка канализации в кв.51</t>
  </si>
  <si>
    <t>установка урны</t>
  </si>
  <si>
    <t>герметизация межпанельных швов</t>
  </si>
  <si>
    <t>смена участка канализации в кв16</t>
  </si>
  <si>
    <t>спил и кронирование  деревьев</t>
  </si>
  <si>
    <t>ООО Эксплутационное предприятие №1"</t>
  </si>
  <si>
    <t>вывоз веток</t>
  </si>
  <si>
    <t>АО "Управление отходами-НН"</t>
  </si>
  <si>
    <t>ремонт остекления подъезд2 (1,3 эт); подъезд3 (2,3); ремонт двери выхода на кровлю</t>
  </si>
  <si>
    <t>смена участка канализации в кв.28 и канализационного стояка в подвале</t>
  </si>
  <si>
    <t>смена замка в РУ</t>
  </si>
  <si>
    <t>ремонт 4го подъезда</t>
  </si>
  <si>
    <t>ремонт кровли козырька и полов лестничных  площадок 4го подъезда</t>
  </si>
  <si>
    <t>смена вводного автомата у кв.16, смена плафона на лестничной площадке укв.6</t>
  </si>
  <si>
    <t>смена светильника в 1м подъезде на 2м этаже</t>
  </si>
  <si>
    <t>изготовление техпаспорта</t>
  </si>
  <si>
    <t>"Нижтехинвентаризация"</t>
  </si>
  <si>
    <t>ремонт остекления</t>
  </si>
  <si>
    <t xml:space="preserve">ремонт оголовка венттрубы </t>
  </si>
  <si>
    <t>305дез.</t>
  </si>
  <si>
    <t>смена участка отопления в подвале 3го под-да</t>
  </si>
  <si>
    <t>смена лавочки</t>
  </si>
  <si>
    <t>смена участка розлива отопления в подвале</t>
  </si>
  <si>
    <t>установка почтовых  ящиков</t>
  </si>
  <si>
    <t>325 дез.</t>
  </si>
  <si>
    <t>Sдома = 4945,67 м2</t>
  </si>
  <si>
    <t>(3000+1480)</t>
  </si>
  <si>
    <t>Sдома = 5847,5м2</t>
  </si>
  <si>
    <t xml:space="preserve">окончательная дезинфекция </t>
  </si>
  <si>
    <t>ООО "ДезСервис"</t>
  </si>
  <si>
    <t xml:space="preserve"> ООО "ДезСервис"</t>
  </si>
  <si>
    <t>(1274,62+774+</t>
  </si>
  <si>
    <t>1515)</t>
  </si>
  <si>
    <t>Обслуживание внутридомовых систем  (ХВС,ВО,отопления)</t>
  </si>
  <si>
    <t>ХВ</t>
  </si>
  <si>
    <t>изготовление и монтаж отливов на кровле</t>
  </si>
  <si>
    <t>смена вводного автомата  у кв. 36 (1 подъезд)</t>
  </si>
  <si>
    <t>Руководитель управляющей организации /____________________________________/Кузьмичев Е.М./________________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</si>
</sst>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 ;\-#,##0.00\ "/>
    <numFmt numFmtId="175" formatCode="#,###.00"/>
    <numFmt numFmtId="176" formatCode="0.0"/>
    <numFmt numFmtId="177" formatCode="0.0000"/>
    <numFmt numFmtId="178" formatCode="0.000"/>
    <numFmt numFmtId="179" formatCode="#,##0.0"/>
    <numFmt numFmtId="180" formatCode="#,###.0"/>
    <numFmt numFmtId="181" formatCode="#,###"/>
    <numFmt numFmtId="182" formatCode="#,###.000"/>
    <numFmt numFmtId="183" formatCode="#,##0.000"/>
    <numFmt numFmtId="184" formatCode="#,##0.0_ ;\-#,##0.0\ "/>
    <numFmt numFmtId="185" formatCode="0.00000"/>
    <numFmt numFmtId="186" formatCode="0.000000"/>
    <numFmt numFmtId="187" formatCode="0.0000000"/>
    <numFmt numFmtId="188" formatCode="0.00000000"/>
    <numFmt numFmtId="189" formatCode="0.000000000"/>
    <numFmt numFmtId="190" formatCode="0.0000000000"/>
    <numFmt numFmtId="191" formatCode="0.00000000000"/>
    <numFmt numFmtId="192" formatCode="#,##0_ ;\-#,##0\ "/>
    <numFmt numFmtId="193" formatCode="#,##0.0;\-#,##0.0"/>
  </numFmts>
  <fonts count="56">
    <font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rgb="FFFF000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hair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5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33" borderId="12" xfId="0" applyFont="1" applyFill="1" applyBorder="1" applyAlignment="1">
      <alignment wrapText="1"/>
    </xf>
    <xf numFmtId="0" fontId="4" fillId="33" borderId="13" xfId="0" applyFont="1" applyFill="1" applyBorder="1" applyAlignment="1">
      <alignment horizontal="center" vertical="center" wrapText="1"/>
    </xf>
    <xf numFmtId="39" fontId="3" fillId="33" borderId="13" xfId="0" applyNumberFormat="1" applyFont="1" applyFill="1" applyBorder="1" applyAlignment="1">
      <alignment horizontal="center" vertical="center" wrapText="1"/>
    </xf>
    <xf numFmtId="39" fontId="3" fillId="33" borderId="14" xfId="0" applyNumberFormat="1" applyFont="1" applyFill="1" applyBorder="1" applyAlignment="1">
      <alignment horizontal="center" vertical="center" wrapText="1"/>
    </xf>
    <xf numFmtId="174" fontId="0" fillId="0" borderId="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74" fontId="1" fillId="0" borderId="0" xfId="0" applyNumberFormat="1" applyFont="1" applyFill="1" applyAlignment="1">
      <alignment/>
    </xf>
    <xf numFmtId="2" fontId="1" fillId="0" borderId="0" xfId="0" applyNumberFormat="1" applyFont="1" applyBorder="1" applyAlignment="1">
      <alignment/>
    </xf>
    <xf numFmtId="0" fontId="4" fillId="33" borderId="17" xfId="0" applyFont="1" applyFill="1" applyBorder="1" applyAlignment="1">
      <alignment horizontal="left"/>
    </xf>
    <xf numFmtId="175" fontId="1" fillId="0" borderId="0" xfId="0" applyNumberFormat="1" applyFont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left"/>
    </xf>
    <xf numFmtId="0" fontId="1" fillId="0" borderId="21" xfId="0" applyFont="1" applyBorder="1" applyAlignment="1">
      <alignment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 wrapText="1"/>
    </xf>
    <xf numFmtId="39" fontId="3" fillId="33" borderId="23" xfId="0" applyNumberFormat="1" applyFont="1" applyFill="1" applyBorder="1" applyAlignment="1">
      <alignment horizontal="center" vertical="center" wrapText="1"/>
    </xf>
    <xf numFmtId="39" fontId="3" fillId="33" borderId="24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wrapText="1"/>
    </xf>
    <xf numFmtId="0" fontId="49" fillId="0" borderId="0" xfId="0" applyFont="1" applyAlignment="1">
      <alignment/>
    </xf>
    <xf numFmtId="2" fontId="49" fillId="0" borderId="0" xfId="0" applyNumberFormat="1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 wrapText="1"/>
    </xf>
    <xf numFmtId="0" fontId="49" fillId="0" borderId="0" xfId="0" applyFont="1" applyBorder="1" applyAlignment="1">
      <alignment/>
    </xf>
    <xf numFmtId="0" fontId="49" fillId="0" borderId="0" xfId="0" applyFont="1" applyFill="1" applyAlignment="1">
      <alignment/>
    </xf>
    <xf numFmtId="2" fontId="49" fillId="0" borderId="0" xfId="0" applyNumberFormat="1" applyFont="1" applyBorder="1" applyAlignment="1">
      <alignment/>
    </xf>
    <xf numFmtId="4" fontId="49" fillId="0" borderId="0" xfId="0" applyNumberFormat="1" applyFont="1" applyAlignment="1">
      <alignment/>
    </xf>
    <xf numFmtId="0" fontId="49" fillId="0" borderId="0" xfId="0" applyNumberFormat="1" applyFont="1" applyAlignment="1">
      <alignment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39" fontId="49" fillId="0" borderId="0" xfId="0" applyNumberFormat="1" applyFont="1" applyFill="1" applyAlignment="1">
      <alignment/>
    </xf>
    <xf numFmtId="0" fontId="49" fillId="0" borderId="15" xfId="0" applyFont="1" applyBorder="1" applyAlignment="1">
      <alignment/>
    </xf>
    <xf numFmtId="0" fontId="49" fillId="0" borderId="16" xfId="0" applyFont="1" applyBorder="1" applyAlignment="1">
      <alignment/>
    </xf>
    <xf numFmtId="174" fontId="49" fillId="0" borderId="0" xfId="0" applyNumberFormat="1" applyFont="1" applyFill="1" applyAlignment="1">
      <alignment/>
    </xf>
    <xf numFmtId="175" fontId="49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Border="1" applyAlignment="1" quotePrefix="1">
      <alignment horizontal="left"/>
    </xf>
    <xf numFmtId="39" fontId="4" fillId="33" borderId="13" xfId="0" applyNumberFormat="1" applyFont="1" applyFill="1" applyBorder="1" applyAlignment="1">
      <alignment horizontal="center" vertical="center" wrapText="1"/>
    </xf>
    <xf numFmtId="39" fontId="4" fillId="33" borderId="14" xfId="0" applyNumberFormat="1" applyFont="1" applyFill="1" applyBorder="1" applyAlignment="1">
      <alignment horizontal="center" vertical="center" wrapText="1"/>
    </xf>
    <xf numFmtId="39" fontId="4" fillId="33" borderId="23" xfId="0" applyNumberFormat="1" applyFont="1" applyFill="1" applyBorder="1" applyAlignment="1">
      <alignment horizontal="center" vertical="center" wrapText="1"/>
    </xf>
    <xf numFmtId="39" fontId="4" fillId="33" borderId="24" xfId="0" applyNumberFormat="1" applyFont="1" applyFill="1" applyBorder="1" applyAlignment="1">
      <alignment horizontal="center" vertical="center" wrapText="1"/>
    </xf>
    <xf numFmtId="39" fontId="4" fillId="33" borderId="20" xfId="0" applyNumberFormat="1" applyFont="1" applyFill="1" applyBorder="1" applyAlignment="1">
      <alignment horizontal="center" vertical="center" wrapText="1"/>
    </xf>
    <xf numFmtId="39" fontId="4" fillId="33" borderId="25" xfId="0" applyNumberFormat="1" applyFont="1" applyFill="1" applyBorder="1" applyAlignment="1">
      <alignment horizontal="center" vertical="center" wrapText="1"/>
    </xf>
    <xf numFmtId="39" fontId="4" fillId="33" borderId="15" xfId="0" applyNumberFormat="1" applyFont="1" applyFill="1" applyBorder="1" applyAlignment="1">
      <alignment horizontal="center" vertical="center" wrapText="1"/>
    </xf>
    <xf numFmtId="39" fontId="4" fillId="33" borderId="26" xfId="0" applyNumberFormat="1" applyFont="1" applyFill="1" applyBorder="1" applyAlignment="1">
      <alignment horizontal="center" vertical="center" wrapText="1"/>
    </xf>
    <xf numFmtId="0" fontId="49" fillId="0" borderId="0" xfId="0" applyFont="1" applyAlignment="1" quotePrefix="1">
      <alignment horizontal="left"/>
    </xf>
    <xf numFmtId="175" fontId="4" fillId="33" borderId="27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28" xfId="0" applyFont="1" applyFill="1" applyBorder="1" applyAlignment="1">
      <alignment/>
    </xf>
    <xf numFmtId="2" fontId="4" fillId="0" borderId="29" xfId="0" applyNumberFormat="1" applyFont="1" applyBorder="1" applyAlignment="1">
      <alignment/>
    </xf>
    <xf numFmtId="0" fontId="4" fillId="0" borderId="15" xfId="0" applyFont="1" applyFill="1" applyBorder="1" applyAlignment="1">
      <alignment horizontal="left" wrapText="1"/>
    </xf>
    <xf numFmtId="0" fontId="0" fillId="0" borderId="0" xfId="0" applyAlignment="1">
      <alignment/>
    </xf>
    <xf numFmtId="0" fontId="50" fillId="0" borderId="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2" fontId="4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2" fontId="4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 vertical="top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2" fontId="3" fillId="0" borderId="11" xfId="0" applyNumberFormat="1" applyFont="1" applyBorder="1" applyAlignment="1">
      <alignment/>
    </xf>
    <xf numFmtId="3" fontId="3" fillId="33" borderId="27" xfId="0" applyNumberFormat="1" applyFont="1" applyFill="1" applyBorder="1" applyAlignment="1">
      <alignment horizontal="right"/>
    </xf>
    <xf numFmtId="0" fontId="4" fillId="0" borderId="30" xfId="0" applyFont="1" applyBorder="1" applyAlignment="1">
      <alignment vertical="top"/>
    </xf>
    <xf numFmtId="0" fontId="0" fillId="0" borderId="0" xfId="0" applyAlignment="1">
      <alignment vertical="center"/>
    </xf>
    <xf numFmtId="4" fontId="4" fillId="33" borderId="31" xfId="0" applyNumberFormat="1" applyFont="1" applyFill="1" applyBorder="1" applyAlignment="1">
      <alignment horizontal="right"/>
    </xf>
    <xf numFmtId="4" fontId="3" fillId="33" borderId="27" xfId="0" applyNumberFormat="1" applyFont="1" applyFill="1" applyBorder="1" applyAlignment="1">
      <alignment horizontal="right"/>
    </xf>
    <xf numFmtId="4" fontId="4" fillId="33" borderId="27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4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/>
    </xf>
    <xf numFmtId="0" fontId="4" fillId="0" borderId="10" xfId="0" applyFont="1" applyBorder="1" applyAlignment="1" quotePrefix="1">
      <alignment horizontal="left" wrapText="1"/>
    </xf>
    <xf numFmtId="0" fontId="4" fillId="0" borderId="18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wrapText="1"/>
    </xf>
    <xf numFmtId="0" fontId="4" fillId="0" borderId="32" xfId="0" applyFont="1" applyFill="1" applyBorder="1" applyAlignment="1">
      <alignment vertical="center"/>
    </xf>
    <xf numFmtId="0" fontId="4" fillId="0" borderId="33" xfId="0" applyFont="1" applyBorder="1" applyAlignment="1">
      <alignment horizontal="left" wrapText="1"/>
    </xf>
    <xf numFmtId="0" fontId="4" fillId="0" borderId="34" xfId="0" applyFont="1" applyFill="1" applyBorder="1" applyAlignment="1">
      <alignment horizontal="left"/>
    </xf>
    <xf numFmtId="4" fontId="4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 wrapText="1"/>
    </xf>
    <xf numFmtId="2" fontId="4" fillId="0" borderId="35" xfId="0" applyNumberFormat="1" applyFont="1" applyBorder="1" applyAlignment="1">
      <alignment/>
    </xf>
    <xf numFmtId="0" fontId="4" fillId="0" borderId="36" xfId="0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 quotePrefix="1">
      <alignment horizontal="left" wrapText="1"/>
    </xf>
    <xf numFmtId="2" fontId="4" fillId="0" borderId="37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left"/>
    </xf>
    <xf numFmtId="0" fontId="4" fillId="0" borderId="28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wrapText="1"/>
    </xf>
    <xf numFmtId="0" fontId="4" fillId="0" borderId="39" xfId="0" applyFont="1" applyFill="1" applyBorder="1" applyAlignment="1">
      <alignment horizontal="left" vertical="top" wrapText="1"/>
    </xf>
    <xf numFmtId="0" fontId="4" fillId="0" borderId="40" xfId="0" applyFont="1" applyFill="1" applyBorder="1" applyAlignment="1">
      <alignment wrapText="1"/>
    </xf>
    <xf numFmtId="0" fontId="4" fillId="0" borderId="39" xfId="0" applyFont="1" applyFill="1" applyBorder="1" applyAlignment="1" quotePrefix="1">
      <alignment horizontal="left" vertical="top" wrapText="1"/>
    </xf>
    <xf numFmtId="4" fontId="4" fillId="0" borderId="40" xfId="0" applyNumberFormat="1" applyFont="1" applyFill="1" applyBorder="1" applyAlignment="1">
      <alignment vertical="top" wrapText="1"/>
    </xf>
    <xf numFmtId="0" fontId="4" fillId="0" borderId="39" xfId="0" applyFont="1" applyFill="1" applyBorder="1" applyAlignment="1" quotePrefix="1">
      <alignment horizontal="left" vertical="center" wrapText="1"/>
    </xf>
    <xf numFmtId="4" fontId="4" fillId="0" borderId="40" xfId="0" applyNumberFormat="1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4" fontId="4" fillId="0" borderId="40" xfId="0" applyNumberFormat="1" applyFont="1" applyFill="1" applyBorder="1" applyAlignment="1" quotePrefix="1">
      <alignment horizontal="left" vertical="top" wrapText="1"/>
    </xf>
    <xf numFmtId="4" fontId="4" fillId="0" borderId="32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2" fontId="4" fillId="0" borderId="16" xfId="0" applyNumberFormat="1" applyFont="1" applyBorder="1" applyAlignment="1">
      <alignment/>
    </xf>
    <xf numFmtId="0" fontId="4" fillId="0" borderId="10" xfId="0" applyFont="1" applyFill="1" applyBorder="1" applyAlignment="1">
      <alignment wrapText="1"/>
    </xf>
    <xf numFmtId="174" fontId="4" fillId="0" borderId="11" xfId="0" applyNumberFormat="1" applyFont="1" applyBorder="1" applyAlignment="1">
      <alignment/>
    </xf>
    <xf numFmtId="0" fontId="4" fillId="0" borderId="41" xfId="0" applyFont="1" applyFill="1" applyBorder="1" applyAlignment="1">
      <alignment horizontal="left"/>
    </xf>
    <xf numFmtId="0" fontId="4" fillId="0" borderId="41" xfId="0" applyFont="1" applyFill="1" applyBorder="1" applyAlignment="1">
      <alignment/>
    </xf>
    <xf numFmtId="0" fontId="4" fillId="0" borderId="42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6" xfId="0" applyFont="1" applyBorder="1" applyAlignment="1">
      <alignment horizontal="left" vertical="center" wrapText="1"/>
    </xf>
    <xf numFmtId="39" fontId="4" fillId="0" borderId="16" xfId="0" applyNumberFormat="1" applyFont="1" applyBorder="1" applyAlignment="1">
      <alignment horizontal="right" vertical="center" wrapText="1"/>
    </xf>
    <xf numFmtId="39" fontId="6" fillId="33" borderId="10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43" xfId="0" applyFont="1" applyFill="1" applyBorder="1" applyAlignment="1">
      <alignment/>
    </xf>
    <xf numFmtId="4" fontId="4" fillId="33" borderId="15" xfId="0" applyNumberFormat="1" applyFont="1" applyFill="1" applyBorder="1" applyAlignment="1">
      <alignment/>
    </xf>
    <xf numFmtId="39" fontId="6" fillId="33" borderId="44" xfId="0" applyNumberFormat="1" applyFont="1" applyFill="1" applyBorder="1" applyAlignment="1">
      <alignment horizontal="right"/>
    </xf>
    <xf numFmtId="0" fontId="4" fillId="33" borderId="45" xfId="0" applyFont="1" applyFill="1" applyBorder="1" applyAlignment="1">
      <alignment wrapText="1"/>
    </xf>
    <xf numFmtId="0" fontId="4" fillId="33" borderId="15" xfId="0" applyFont="1" applyFill="1" applyBorder="1" applyAlignment="1">
      <alignment/>
    </xf>
    <xf numFmtId="0" fontId="4" fillId="0" borderId="18" xfId="0" applyFont="1" applyBorder="1" applyAlignment="1">
      <alignment horizontal="left"/>
    </xf>
    <xf numFmtId="0" fontId="4" fillId="33" borderId="17" xfId="0" applyFont="1" applyFill="1" applyBorder="1" applyAlignment="1">
      <alignment horizontal="left"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wrapText="1"/>
    </xf>
    <xf numFmtId="0" fontId="4" fillId="0" borderId="0" xfId="0" applyFont="1" applyAlignment="1" quotePrefix="1">
      <alignment horizontal="left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2" fontId="6" fillId="33" borderId="10" xfId="0" applyNumberFormat="1" applyFont="1" applyFill="1" applyBorder="1" applyAlignment="1">
      <alignment horizontal="center" wrapText="1"/>
    </xf>
    <xf numFmtId="2" fontId="4" fillId="0" borderId="11" xfId="0" applyNumberFormat="1" applyFont="1" applyBorder="1" applyAlignment="1">
      <alignment wrapText="1"/>
    </xf>
    <xf numFmtId="2" fontId="4" fillId="33" borderId="10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Border="1" applyAlignment="1">
      <alignment wrapText="1"/>
    </xf>
    <xf numFmtId="2" fontId="8" fillId="33" borderId="10" xfId="0" applyNumberFormat="1" applyFont="1" applyFill="1" applyBorder="1" applyAlignment="1">
      <alignment horizont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horizontal="left" wrapText="1"/>
    </xf>
    <xf numFmtId="4" fontId="4" fillId="0" borderId="15" xfId="0" applyNumberFormat="1" applyFont="1" applyFill="1" applyBorder="1" applyAlignment="1">
      <alignment wrapText="1"/>
    </xf>
    <xf numFmtId="2" fontId="4" fillId="0" borderId="35" xfId="0" applyNumberFormat="1" applyFont="1" applyBorder="1" applyAlignment="1">
      <alignment wrapText="1"/>
    </xf>
    <xf numFmtId="0" fontId="4" fillId="0" borderId="36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wrapText="1"/>
    </xf>
    <xf numFmtId="2" fontId="4" fillId="0" borderId="37" xfId="0" applyNumberFormat="1" applyFont="1" applyBorder="1" applyAlignment="1">
      <alignment wrapText="1"/>
    </xf>
    <xf numFmtId="4" fontId="4" fillId="0" borderId="10" xfId="0" applyNumberFormat="1" applyFont="1" applyFill="1" applyBorder="1" applyAlignment="1">
      <alignment horizontal="left" wrapText="1"/>
    </xf>
    <xf numFmtId="4" fontId="4" fillId="0" borderId="38" xfId="0" applyNumberFormat="1" applyFont="1" applyFill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4" fillId="0" borderId="30" xfId="0" applyFont="1" applyBorder="1" applyAlignment="1">
      <alignment vertical="center" wrapText="1"/>
    </xf>
    <xf numFmtId="0" fontId="4" fillId="0" borderId="46" xfId="0" applyFont="1" applyBorder="1" applyAlignment="1">
      <alignment vertical="top" wrapText="1"/>
    </xf>
    <xf numFmtId="0" fontId="4" fillId="0" borderId="27" xfId="0" applyFont="1" applyFill="1" applyBorder="1" applyAlignment="1">
      <alignment wrapText="1"/>
    </xf>
    <xf numFmtId="0" fontId="4" fillId="0" borderId="46" xfId="0" applyFont="1" applyBorder="1" applyAlignment="1">
      <alignment vertical="center" wrapText="1"/>
    </xf>
    <xf numFmtId="2" fontId="4" fillId="0" borderId="15" xfId="0" applyNumberFormat="1" applyFont="1" applyFill="1" applyBorder="1" applyAlignment="1">
      <alignment wrapText="1"/>
    </xf>
    <xf numFmtId="2" fontId="4" fillId="0" borderId="16" xfId="0" applyNumberFormat="1" applyFont="1" applyBorder="1" applyAlignment="1">
      <alignment wrapText="1"/>
    </xf>
    <xf numFmtId="174" fontId="4" fillId="0" borderId="11" xfId="0" applyNumberFormat="1" applyFont="1" applyBorder="1" applyAlignment="1">
      <alignment wrapText="1"/>
    </xf>
    <xf numFmtId="0" fontId="4" fillId="0" borderId="41" xfId="0" applyFont="1" applyFill="1" applyBorder="1" applyAlignment="1">
      <alignment horizontal="left" wrapText="1"/>
    </xf>
    <xf numFmtId="0" fontId="4" fillId="0" borderId="41" xfId="0" applyFont="1" applyFill="1" applyBorder="1" applyAlignment="1">
      <alignment wrapText="1"/>
    </xf>
    <xf numFmtId="0" fontId="4" fillId="0" borderId="42" xfId="0" applyFont="1" applyBorder="1" applyAlignment="1">
      <alignment wrapText="1"/>
    </xf>
    <xf numFmtId="0" fontId="4" fillId="0" borderId="17" xfId="0" applyFont="1" applyBorder="1" applyAlignment="1">
      <alignment horizontal="left" wrapText="1"/>
    </xf>
    <xf numFmtId="0" fontId="4" fillId="33" borderId="47" xfId="0" applyFont="1" applyFill="1" applyBorder="1" applyAlignment="1">
      <alignment wrapText="1"/>
    </xf>
    <xf numFmtId="0" fontId="4" fillId="33" borderId="15" xfId="0" applyFont="1" applyFill="1" applyBorder="1" applyAlignment="1">
      <alignment horizont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wrapText="1"/>
    </xf>
    <xf numFmtId="4" fontId="4" fillId="33" borderId="15" xfId="0" applyNumberFormat="1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4" fontId="4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 horizontal="justify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wrapText="1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 quotePrefix="1">
      <alignment horizontal="left" vertical="top" wrapText="1"/>
    </xf>
    <xf numFmtId="4" fontId="4" fillId="0" borderId="10" xfId="0" applyNumberFormat="1" applyFont="1" applyFill="1" applyBorder="1" applyAlignment="1">
      <alignment vertical="top" wrapText="1"/>
    </xf>
    <xf numFmtId="174" fontId="4" fillId="0" borderId="16" xfId="0" applyNumberFormat="1" applyFont="1" applyBorder="1" applyAlignment="1">
      <alignment horizontal="right" vertical="center" wrapText="1"/>
    </xf>
    <xf numFmtId="0" fontId="4" fillId="33" borderId="49" xfId="0" applyFont="1" applyFill="1" applyBorder="1" applyAlignment="1">
      <alignment/>
    </xf>
    <xf numFmtId="39" fontId="6" fillId="33" borderId="50" xfId="0" applyNumberFormat="1" applyFont="1" applyFill="1" applyBorder="1" applyAlignment="1">
      <alignment horizontal="right"/>
    </xf>
    <xf numFmtId="0" fontId="4" fillId="33" borderId="51" xfId="0" applyFont="1" applyFill="1" applyBorder="1" applyAlignment="1">
      <alignment/>
    </xf>
    <xf numFmtId="175" fontId="4" fillId="33" borderId="15" xfId="0" applyNumberFormat="1" applyFont="1" applyFill="1" applyBorder="1" applyAlignment="1">
      <alignment/>
    </xf>
    <xf numFmtId="39" fontId="6" fillId="33" borderId="52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 horizontal="left"/>
    </xf>
    <xf numFmtId="0" fontId="4" fillId="33" borderId="54" xfId="0" applyFont="1" applyFill="1" applyBorder="1" applyAlignment="1">
      <alignment/>
    </xf>
    <xf numFmtId="2" fontId="6" fillId="33" borderId="55" xfId="0" applyNumberFormat="1" applyFont="1" applyFill="1" applyBorder="1" applyAlignment="1">
      <alignment horizontal="center"/>
    </xf>
    <xf numFmtId="39" fontId="6" fillId="33" borderId="56" xfId="0" applyNumberFormat="1" applyFont="1" applyFill="1" applyBorder="1" applyAlignment="1">
      <alignment horizontal="right"/>
    </xf>
    <xf numFmtId="0" fontId="4" fillId="33" borderId="16" xfId="0" applyFont="1" applyFill="1" applyBorder="1" applyAlignment="1">
      <alignment horizontal="left"/>
    </xf>
    <xf numFmtId="2" fontId="6" fillId="33" borderId="16" xfId="0" applyNumberFormat="1" applyFont="1" applyFill="1" applyBorder="1" applyAlignment="1">
      <alignment horizontal="center"/>
    </xf>
    <xf numFmtId="39" fontId="6" fillId="33" borderId="16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wrapText="1"/>
    </xf>
    <xf numFmtId="0" fontId="8" fillId="33" borderId="11" xfId="0" applyFont="1" applyFill="1" applyBorder="1" applyAlignment="1">
      <alignment horizontal="center"/>
    </xf>
    <xf numFmtId="39" fontId="6" fillId="33" borderId="11" xfId="0" applyNumberFormat="1" applyFont="1" applyFill="1" applyBorder="1" applyAlignment="1">
      <alignment horizontal="right"/>
    </xf>
    <xf numFmtId="0" fontId="4" fillId="0" borderId="10" xfId="0" applyFont="1" applyFill="1" applyBorder="1" applyAlignment="1" quotePrefix="1">
      <alignment horizontal="left" vertical="top"/>
    </xf>
    <xf numFmtId="0" fontId="4" fillId="0" borderId="10" xfId="0" applyFont="1" applyFill="1" applyBorder="1" applyAlignment="1" quotePrefix="1">
      <alignment horizontal="left"/>
    </xf>
    <xf numFmtId="4" fontId="4" fillId="0" borderId="10" xfId="0" applyNumberFormat="1" applyFont="1" applyFill="1" applyBorder="1" applyAlignment="1" quotePrefix="1">
      <alignment horizontal="left" wrapText="1"/>
    </xf>
    <xf numFmtId="0" fontId="4" fillId="0" borderId="10" xfId="0" applyFont="1" applyFill="1" applyBorder="1" applyAlignment="1" quotePrefix="1">
      <alignment horizontal="left" vertical="center"/>
    </xf>
    <xf numFmtId="4" fontId="4" fillId="0" borderId="10" xfId="0" applyNumberFormat="1" applyFont="1" applyFill="1" applyBorder="1" applyAlignment="1" quotePrefix="1">
      <alignment horizontal="left" vertical="top" wrapText="1"/>
    </xf>
    <xf numFmtId="174" fontId="4" fillId="0" borderId="10" xfId="0" applyNumberFormat="1" applyFont="1" applyFill="1" applyBorder="1" applyAlignment="1">
      <alignment/>
    </xf>
    <xf numFmtId="174" fontId="4" fillId="0" borderId="41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wrapText="1"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 quotePrefix="1">
      <alignment horizontal="left" vertical="top" wrapText="1"/>
    </xf>
    <xf numFmtId="174" fontId="3" fillId="0" borderId="10" xfId="0" applyNumberFormat="1" applyFont="1" applyFill="1" applyBorder="1" applyAlignment="1">
      <alignment/>
    </xf>
    <xf numFmtId="174" fontId="3" fillId="0" borderId="41" xfId="0" applyNumberFormat="1" applyFont="1" applyFill="1" applyBorder="1" applyAlignment="1">
      <alignment horizontal="right"/>
    </xf>
    <xf numFmtId="174" fontId="3" fillId="0" borderId="16" xfId="0" applyNumberFormat="1" applyFont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4" fillId="0" borderId="57" xfId="0" applyFont="1" applyFill="1" applyBorder="1" applyAlignment="1">
      <alignment horizontal="left"/>
    </xf>
    <xf numFmtId="4" fontId="4" fillId="0" borderId="58" xfId="0" applyNumberFormat="1" applyFont="1" applyFill="1" applyBorder="1" applyAlignment="1">
      <alignment/>
    </xf>
    <xf numFmtId="0" fontId="4" fillId="0" borderId="58" xfId="0" applyFont="1" applyFill="1" applyBorder="1" applyAlignment="1">
      <alignment horizontal="left" wrapText="1"/>
    </xf>
    <xf numFmtId="0" fontId="4" fillId="0" borderId="59" xfId="0" applyFont="1" applyBorder="1" applyAlignment="1">
      <alignment/>
    </xf>
    <xf numFmtId="0" fontId="4" fillId="0" borderId="32" xfId="0" applyFont="1" applyFill="1" applyBorder="1" applyAlignment="1">
      <alignment/>
    </xf>
    <xf numFmtId="0" fontId="4" fillId="33" borderId="12" xfId="0" applyFont="1" applyFill="1" applyBorder="1" applyAlignment="1">
      <alignment vertical="center" wrapText="1"/>
    </xf>
    <xf numFmtId="4" fontId="3" fillId="33" borderId="31" xfId="0" applyNumberFormat="1" applyFont="1" applyFill="1" applyBorder="1" applyAlignment="1">
      <alignment horizontal="right"/>
    </xf>
    <xf numFmtId="175" fontId="3" fillId="33" borderId="31" xfId="0" applyNumberFormat="1" applyFont="1" applyFill="1" applyBorder="1" applyAlignment="1">
      <alignment horizontal="right"/>
    </xf>
    <xf numFmtId="2" fontId="50" fillId="0" borderId="0" xfId="0" applyNumberFormat="1" applyFont="1" applyBorder="1" applyAlignment="1">
      <alignment horizontal="center"/>
    </xf>
    <xf numFmtId="2" fontId="50" fillId="0" borderId="0" xfId="0" applyNumberFormat="1" applyFont="1" applyBorder="1" applyAlignment="1" quotePrefix="1">
      <alignment horizontal="center"/>
    </xf>
    <xf numFmtId="2" fontId="50" fillId="0" borderId="0" xfId="0" applyNumberFormat="1" applyFont="1" applyBorder="1" applyAlignment="1" quotePrefix="1">
      <alignment horizontal="center" vertical="center"/>
    </xf>
    <xf numFmtId="2" fontId="4" fillId="0" borderId="33" xfId="0" applyNumberFormat="1" applyFont="1" applyBorder="1" applyAlignment="1">
      <alignment/>
    </xf>
    <xf numFmtId="0" fontId="4" fillId="0" borderId="27" xfId="0" applyFont="1" applyFill="1" applyBorder="1" applyAlignment="1" quotePrefix="1">
      <alignment horizontal="left" vertical="center" wrapText="1"/>
    </xf>
    <xf numFmtId="0" fontId="3" fillId="0" borderId="10" xfId="0" applyFont="1" applyFill="1" applyBorder="1" applyAlignment="1" quotePrefix="1">
      <alignment horizontal="left"/>
    </xf>
    <xf numFmtId="2" fontId="4" fillId="0" borderId="37" xfId="0" applyNumberFormat="1" applyFont="1" applyBorder="1" applyAlignment="1" quotePrefix="1">
      <alignment horizontal="right" wrapText="1"/>
    </xf>
    <xf numFmtId="0" fontId="4" fillId="0" borderId="36" xfId="0" applyFont="1" applyFill="1" applyBorder="1" applyAlignment="1" quotePrefix="1">
      <alignment horizontal="left" wrapText="1"/>
    </xf>
    <xf numFmtId="0" fontId="4" fillId="0" borderId="60" xfId="0" applyFont="1" applyFill="1" applyBorder="1" applyAlignment="1" quotePrefix="1">
      <alignment horizontal="left" wrapText="1"/>
    </xf>
    <xf numFmtId="0" fontId="4" fillId="0" borderId="41" xfId="0" applyFont="1" applyFill="1" applyBorder="1" applyAlignment="1" quotePrefix="1">
      <alignment horizontal="left" wrapText="1"/>
    </xf>
    <xf numFmtId="2" fontId="4" fillId="0" borderId="61" xfId="0" applyNumberFormat="1" applyFont="1" applyBorder="1" applyAlignment="1">
      <alignment wrapText="1"/>
    </xf>
    <xf numFmtId="2" fontId="4" fillId="0" borderId="33" xfId="0" applyNumberFormat="1" applyFont="1" applyBorder="1" applyAlignment="1">
      <alignment wrapText="1"/>
    </xf>
    <xf numFmtId="4" fontId="4" fillId="0" borderId="41" xfId="0" applyNumberFormat="1" applyFont="1" applyFill="1" applyBorder="1" applyAlignment="1" quotePrefix="1">
      <alignment horizontal="left" wrapText="1"/>
    </xf>
    <xf numFmtId="0" fontId="3" fillId="0" borderId="10" xfId="0" applyFont="1" applyFill="1" applyBorder="1" applyAlignment="1" quotePrefix="1">
      <alignment horizontal="left" wrapText="1"/>
    </xf>
    <xf numFmtId="0" fontId="1" fillId="34" borderId="0" xfId="0" applyFont="1" applyFill="1" applyAlignment="1">
      <alignment/>
    </xf>
    <xf numFmtId="2" fontId="4" fillId="0" borderId="11" xfId="0" applyNumberFormat="1" applyFont="1" applyBorder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left"/>
    </xf>
    <xf numFmtId="4" fontId="4" fillId="0" borderId="63" xfId="0" applyNumberFormat="1" applyFont="1" applyFill="1" applyBorder="1" applyAlignment="1">
      <alignment/>
    </xf>
    <xf numFmtId="2" fontId="4" fillId="0" borderId="64" xfId="0" applyNumberFormat="1" applyFont="1" applyBorder="1" applyAlignment="1">
      <alignment/>
    </xf>
    <xf numFmtId="0" fontId="4" fillId="0" borderId="36" xfId="0" applyFont="1" applyFill="1" applyBorder="1" applyAlignment="1" quotePrefix="1">
      <alignment horizontal="left"/>
    </xf>
    <xf numFmtId="0" fontId="4" fillId="0" borderId="37" xfId="0" applyFont="1" applyBorder="1" applyAlignment="1">
      <alignment/>
    </xf>
    <xf numFmtId="0" fontId="4" fillId="0" borderId="36" xfId="0" applyFont="1" applyFill="1" applyBorder="1" applyAlignment="1" quotePrefix="1">
      <alignment horizontal="left" vertical="top" wrapText="1"/>
    </xf>
    <xf numFmtId="0" fontId="4" fillId="0" borderId="60" xfId="0" applyFont="1" applyFill="1" applyBorder="1" applyAlignment="1" quotePrefix="1">
      <alignment horizontal="left" vertical="top"/>
    </xf>
    <xf numFmtId="4" fontId="4" fillId="0" borderId="41" xfId="0" applyNumberFormat="1" applyFont="1" applyFill="1" applyBorder="1" applyAlignment="1" quotePrefix="1">
      <alignment horizontal="left" vertical="top" wrapText="1"/>
    </xf>
    <xf numFmtId="0" fontId="4" fillId="0" borderId="61" xfId="0" applyFont="1" applyBorder="1" applyAlignment="1">
      <alignment vertical="top"/>
    </xf>
    <xf numFmtId="0" fontId="4" fillId="0" borderId="60" xfId="0" applyFont="1" applyFill="1" applyBorder="1" applyAlignment="1" quotePrefix="1">
      <alignment horizontal="left" vertical="top" wrapText="1"/>
    </xf>
    <xf numFmtId="4" fontId="4" fillId="0" borderId="41" xfId="0" applyNumberFormat="1" applyFont="1" applyFill="1" applyBorder="1" applyAlignment="1">
      <alignment vertical="top" wrapText="1"/>
    </xf>
    <xf numFmtId="4" fontId="4" fillId="0" borderId="38" xfId="0" applyNumberFormat="1" applyFont="1" applyFill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/>
    </xf>
    <xf numFmtId="0" fontId="4" fillId="33" borderId="15" xfId="0" applyFont="1" applyFill="1" applyBorder="1" applyAlignment="1">
      <alignment horizontal="right"/>
    </xf>
    <xf numFmtId="0" fontId="4" fillId="33" borderId="65" xfId="0" applyFont="1" applyFill="1" applyBorder="1" applyAlignment="1">
      <alignment/>
    </xf>
    <xf numFmtId="2" fontId="8" fillId="33" borderId="11" xfId="0" applyNumberFormat="1" applyFont="1" applyFill="1" applyBorder="1" applyAlignment="1">
      <alignment horizontal="center"/>
    </xf>
    <xf numFmtId="39" fontId="3" fillId="33" borderId="44" xfId="0" applyNumberFormat="1" applyFont="1" applyFill="1" applyBorder="1" applyAlignment="1">
      <alignment horizontal="right"/>
    </xf>
    <xf numFmtId="175" fontId="3" fillId="33" borderId="11" xfId="0" applyNumberFormat="1" applyFont="1" applyFill="1" applyBorder="1" applyAlignment="1">
      <alignment horizontal="center"/>
    </xf>
    <xf numFmtId="39" fontId="3" fillId="33" borderId="52" xfId="0" applyNumberFormat="1" applyFont="1" applyFill="1" applyBorder="1" applyAlignment="1">
      <alignment horizontal="right"/>
    </xf>
    <xf numFmtId="2" fontId="3" fillId="33" borderId="16" xfId="0" applyNumberFormat="1" applyFont="1" applyFill="1" applyBorder="1" applyAlignment="1">
      <alignment horizontal="center"/>
    </xf>
    <xf numFmtId="39" fontId="3" fillId="33" borderId="16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 horizontal="center"/>
    </xf>
    <xf numFmtId="39" fontId="3" fillId="33" borderId="11" xfId="0" applyNumberFormat="1" applyFont="1" applyFill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4" fontId="4" fillId="0" borderId="10" xfId="0" applyNumberFormat="1" applyFont="1" applyFill="1" applyBorder="1" applyAlignment="1" quotePrefix="1">
      <alignment horizontal="left"/>
    </xf>
    <xf numFmtId="4" fontId="3" fillId="0" borderId="10" xfId="0" applyNumberFormat="1" applyFont="1" applyFill="1" applyBorder="1" applyAlignment="1" quotePrefix="1">
      <alignment horizontal="left"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4" fontId="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0" xfId="0" applyFont="1" applyFill="1" applyBorder="1" applyAlignment="1" quotePrefix="1">
      <alignment horizontal="left" vertical="top" wrapText="1"/>
    </xf>
    <xf numFmtId="0" fontId="3" fillId="0" borderId="17" xfId="0" applyFont="1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33" borderId="17" xfId="0" applyFont="1" applyFill="1" applyBorder="1" applyAlignment="1">
      <alignment horizontal="left" wrapText="1"/>
    </xf>
    <xf numFmtId="0" fontId="3" fillId="0" borderId="0" xfId="0" applyFont="1" applyAlignment="1" quotePrefix="1">
      <alignment horizontal="left"/>
    </xf>
    <xf numFmtId="2" fontId="6" fillId="33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176" fontId="4" fillId="0" borderId="11" xfId="0" applyNumberFormat="1" applyFont="1" applyBorder="1" applyAlignment="1">
      <alignment/>
    </xf>
    <xf numFmtId="4" fontId="4" fillId="0" borderId="10" xfId="0" applyNumberFormat="1" applyFont="1" applyFill="1" applyBorder="1" applyAlignment="1" quotePrefix="1">
      <alignment horizontal="left" vertical="center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 quotePrefix="1">
      <alignment horizontal="left" vertical="center" wrapText="1"/>
    </xf>
    <xf numFmtId="4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right"/>
    </xf>
    <xf numFmtId="0" fontId="4" fillId="33" borderId="66" xfId="0" applyFont="1" applyFill="1" applyBorder="1" applyAlignment="1">
      <alignment horizontal="left"/>
    </xf>
    <xf numFmtId="0" fontId="4" fillId="33" borderId="67" xfId="0" applyFont="1" applyFill="1" applyBorder="1" applyAlignment="1">
      <alignment horizontal="left"/>
    </xf>
    <xf numFmtId="0" fontId="4" fillId="33" borderId="68" xfId="0" applyFont="1" applyFill="1" applyBorder="1" applyAlignment="1">
      <alignment horizontal="left"/>
    </xf>
    <xf numFmtId="0" fontId="4" fillId="33" borderId="69" xfId="0" applyFont="1" applyFill="1" applyBorder="1" applyAlignment="1">
      <alignment horizontal="left"/>
    </xf>
    <xf numFmtId="0" fontId="4" fillId="33" borderId="70" xfId="0" applyFont="1" applyFill="1" applyBorder="1" applyAlignment="1">
      <alignment horizontal="left"/>
    </xf>
    <xf numFmtId="0" fontId="4" fillId="33" borderId="71" xfId="0" applyFont="1" applyFill="1" applyBorder="1" applyAlignment="1">
      <alignment horizontal="left"/>
    </xf>
    <xf numFmtId="0" fontId="4" fillId="33" borderId="72" xfId="0" applyFont="1" applyFill="1" applyBorder="1" applyAlignment="1">
      <alignment horizontal="left"/>
    </xf>
    <xf numFmtId="4" fontId="4" fillId="33" borderId="73" xfId="0" applyNumberFormat="1" applyFont="1" applyFill="1" applyBorder="1" applyAlignment="1">
      <alignment horizontal="right"/>
    </xf>
    <xf numFmtId="0" fontId="4" fillId="33" borderId="70" xfId="0" applyFont="1" applyFill="1" applyBorder="1" applyAlignment="1">
      <alignment horizontal="left" wrapText="1"/>
    </xf>
    <xf numFmtId="176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6" xfId="0" applyNumberFormat="1" applyFont="1" applyBorder="1" applyAlignment="1">
      <alignment horizontal="right" vertical="center" wrapText="1"/>
    </xf>
    <xf numFmtId="39" fontId="4" fillId="33" borderId="14" xfId="0" applyNumberFormat="1" applyFont="1" applyFill="1" applyBorder="1" applyAlignment="1" quotePrefix="1">
      <alignment horizontal="center" vertical="center" wrapText="1"/>
    </xf>
    <xf numFmtId="180" fontId="4" fillId="33" borderId="73" xfId="0" applyNumberFormat="1" applyFont="1" applyFill="1" applyBorder="1" applyAlignment="1">
      <alignment horizontal="right"/>
    </xf>
    <xf numFmtId="0" fontId="4" fillId="0" borderId="38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7" xfId="0" applyFont="1" applyFill="1" applyBorder="1" applyAlignment="1" quotePrefix="1">
      <alignment horizontal="left" vertical="top" wrapText="1"/>
    </xf>
    <xf numFmtId="0" fontId="51" fillId="0" borderId="30" xfId="0" applyFont="1" applyBorder="1" applyAlignment="1">
      <alignment vertical="top" wrapText="1"/>
    </xf>
    <xf numFmtId="0" fontId="51" fillId="0" borderId="37" xfId="0" applyFont="1" applyBorder="1" applyAlignment="1">
      <alignment vertical="top"/>
    </xf>
    <xf numFmtId="0" fontId="52" fillId="0" borderId="11" xfId="0" applyFont="1" applyBorder="1" applyAlignment="1">
      <alignment vertical="top"/>
    </xf>
    <xf numFmtId="0" fontId="4" fillId="0" borderId="11" xfId="0" applyFont="1" applyBorder="1" applyAlignment="1">
      <alignment horizontal="right" vertical="top"/>
    </xf>
    <xf numFmtId="4" fontId="4" fillId="0" borderId="10" xfId="0" applyNumberFormat="1" applyFont="1" applyFill="1" applyBorder="1" applyAlignment="1" quotePrefix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 wrapText="1"/>
    </xf>
    <xf numFmtId="2" fontId="51" fillId="0" borderId="11" xfId="0" applyNumberFormat="1" applyFont="1" applyBorder="1" applyAlignment="1">
      <alignment vertical="top"/>
    </xf>
    <xf numFmtId="0" fontId="51" fillId="0" borderId="11" xfId="0" applyFont="1" applyBorder="1" applyAlignment="1">
      <alignment vertical="top"/>
    </xf>
    <xf numFmtId="2" fontId="52" fillId="0" borderId="11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0" fontId="51" fillId="0" borderId="30" xfId="0" applyFont="1" applyBorder="1" applyAlignment="1">
      <alignment vertical="top"/>
    </xf>
    <xf numFmtId="0" fontId="0" fillId="0" borderId="0" xfId="0" applyAlignment="1">
      <alignment horizontal="left" wrapText="1"/>
    </xf>
    <xf numFmtId="0" fontId="4" fillId="0" borderId="0" xfId="0" applyFont="1" applyBorder="1" applyAlignment="1" quotePrefix="1">
      <alignment horizontal="left" wrapText="1"/>
    </xf>
    <xf numFmtId="0" fontId="3" fillId="0" borderId="0" xfId="0" applyFont="1" applyBorder="1" applyAlignment="1" quotePrefix="1">
      <alignment horizontal="left" wrapText="1"/>
    </xf>
    <xf numFmtId="0" fontId="4" fillId="0" borderId="63" xfId="0" applyFont="1" applyFill="1" applyBorder="1" applyAlignment="1" quotePrefix="1">
      <alignment horizontal="left" wrapText="1"/>
    </xf>
    <xf numFmtId="0" fontId="4" fillId="0" borderId="15" xfId="0" applyFont="1" applyFill="1" applyBorder="1" applyAlignment="1" quotePrefix="1">
      <alignment horizontal="left" wrapText="1"/>
    </xf>
    <xf numFmtId="0" fontId="4" fillId="33" borderId="74" xfId="0" applyFont="1" applyFill="1" applyBorder="1" applyAlignment="1">
      <alignment wrapText="1"/>
    </xf>
    <xf numFmtId="39" fontId="4" fillId="33" borderId="75" xfId="0" applyNumberFormat="1" applyFont="1" applyFill="1" applyBorder="1" applyAlignment="1">
      <alignment horizontal="right" vertical="center" wrapText="1"/>
    </xf>
    <xf numFmtId="0" fontId="4" fillId="33" borderId="15" xfId="0" applyFont="1" applyFill="1" applyBorder="1" applyAlignment="1">
      <alignment horizontal="right" vertical="center" wrapText="1"/>
    </xf>
    <xf numFmtId="39" fontId="4" fillId="33" borderId="26" xfId="0" applyNumberFormat="1" applyFont="1" applyFill="1" applyBorder="1" applyAlignment="1">
      <alignment horizontal="right" vertical="center" wrapText="1"/>
    </xf>
    <xf numFmtId="0" fontId="4" fillId="33" borderId="48" xfId="0" applyFont="1" applyFill="1" applyBorder="1" applyAlignment="1">
      <alignment vertical="center" wrapText="1"/>
    </xf>
    <xf numFmtId="39" fontId="4" fillId="33" borderId="76" xfId="0" applyNumberFormat="1" applyFont="1" applyFill="1" applyBorder="1" applyAlignment="1">
      <alignment horizontal="right" vertical="center" wrapText="1"/>
    </xf>
    <xf numFmtId="2" fontId="4" fillId="0" borderId="11" xfId="0" applyNumberFormat="1" applyFont="1" applyBorder="1" applyAlignment="1" quotePrefix="1">
      <alignment horizontal="right"/>
    </xf>
    <xf numFmtId="0" fontId="4" fillId="33" borderId="48" xfId="0" applyFont="1" applyFill="1" applyBorder="1" applyAlignment="1">
      <alignment wrapText="1"/>
    </xf>
    <xf numFmtId="0" fontId="4" fillId="33" borderId="77" xfId="0" applyFont="1" applyFill="1" applyBorder="1" applyAlignment="1">
      <alignment horizontal="left" vertical="center"/>
    </xf>
    <xf numFmtId="0" fontId="4" fillId="33" borderId="77" xfId="0" applyFont="1" applyFill="1" applyBorder="1" applyAlignment="1">
      <alignment wrapText="1"/>
    </xf>
    <xf numFmtId="39" fontId="3" fillId="33" borderId="15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39" fontId="3" fillId="33" borderId="26" xfId="0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right" vertical="center" wrapText="1"/>
    </xf>
    <xf numFmtId="175" fontId="3" fillId="33" borderId="15" xfId="0" applyNumberFormat="1" applyFont="1" applyFill="1" applyBorder="1" applyAlignment="1">
      <alignment/>
    </xf>
    <xf numFmtId="4" fontId="3" fillId="0" borderId="41" xfId="0" applyNumberFormat="1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2" xfId="0" applyFont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27" xfId="0" applyFont="1" applyBorder="1" applyAlignment="1">
      <alignment wrapText="1"/>
    </xf>
    <xf numFmtId="0" fontId="4" fillId="0" borderId="78" xfId="0" applyFont="1" applyFill="1" applyBorder="1" applyAlignment="1">
      <alignment wrapText="1"/>
    </xf>
    <xf numFmtId="0" fontId="4" fillId="0" borderId="79" xfId="0" applyFont="1" applyBorder="1" applyAlignment="1">
      <alignment wrapText="1"/>
    </xf>
    <xf numFmtId="0" fontId="4" fillId="0" borderId="80" xfId="0" applyFont="1" applyBorder="1" applyAlignment="1">
      <alignment wrapText="1"/>
    </xf>
    <xf numFmtId="0" fontId="4" fillId="0" borderId="81" xfId="0" applyFont="1" applyFill="1" applyBorder="1" applyAlignment="1">
      <alignment/>
    </xf>
    <xf numFmtId="0" fontId="4" fillId="0" borderId="82" xfId="0" applyFont="1" applyBorder="1" applyAlignment="1">
      <alignment/>
    </xf>
    <xf numFmtId="2" fontId="4" fillId="0" borderId="82" xfId="0" applyNumberFormat="1" applyFont="1" applyBorder="1" applyAlignment="1">
      <alignment/>
    </xf>
    <xf numFmtId="2" fontId="4" fillId="0" borderId="73" xfId="0" applyNumberFormat="1" applyFont="1" applyBorder="1" applyAlignment="1">
      <alignment/>
    </xf>
    <xf numFmtId="2" fontId="4" fillId="0" borderId="42" xfId="0" applyNumberFormat="1" applyFont="1" applyBorder="1" applyAlignment="1">
      <alignment/>
    </xf>
    <xf numFmtId="4" fontId="3" fillId="0" borderId="42" xfId="0" applyNumberFormat="1" applyFont="1" applyBorder="1" applyAlignment="1">
      <alignment/>
    </xf>
    <xf numFmtId="0" fontId="4" fillId="0" borderId="27" xfId="0" applyFont="1" applyFill="1" applyBorder="1" applyAlignment="1">
      <alignment/>
    </xf>
    <xf numFmtId="4" fontId="4" fillId="0" borderId="27" xfId="0" applyNumberFormat="1" applyFont="1" applyFill="1" applyBorder="1" applyAlignment="1">
      <alignment wrapText="1"/>
    </xf>
    <xf numFmtId="4" fontId="3" fillId="0" borderId="27" xfId="0" applyNumberFormat="1" applyFont="1" applyFill="1" applyBorder="1" applyAlignment="1">
      <alignment/>
    </xf>
    <xf numFmtId="2" fontId="3" fillId="0" borderId="27" xfId="0" applyNumberFormat="1" applyFont="1" applyFill="1" applyBorder="1" applyAlignment="1">
      <alignment/>
    </xf>
    <xf numFmtId="4" fontId="3" fillId="0" borderId="27" xfId="0" applyNumberFormat="1" applyFont="1" applyBorder="1" applyAlignment="1">
      <alignment/>
    </xf>
    <xf numFmtId="2" fontId="3" fillId="33" borderId="10" xfId="0" applyNumberFormat="1" applyFont="1" applyFill="1" applyBorder="1" applyAlignment="1" quotePrefix="1">
      <alignment horizontal="center"/>
    </xf>
    <xf numFmtId="1" fontId="4" fillId="0" borderId="42" xfId="0" applyNumberFormat="1" applyFont="1" applyBorder="1" applyAlignment="1">
      <alignment/>
    </xf>
    <xf numFmtId="0" fontId="49" fillId="34" borderId="0" xfId="0" applyFont="1" applyFill="1" applyAlignment="1">
      <alignment/>
    </xf>
    <xf numFmtId="0" fontId="53" fillId="0" borderId="0" xfId="0" applyFont="1" applyAlignment="1">
      <alignment/>
    </xf>
    <xf numFmtId="3" fontId="4" fillId="33" borderId="27" xfId="0" applyNumberFormat="1" applyFont="1" applyFill="1" applyBorder="1" applyAlignment="1">
      <alignment horizontal="right" wrapText="1"/>
    </xf>
    <xf numFmtId="39" fontId="4" fillId="33" borderId="10" xfId="0" applyNumberFormat="1" applyFont="1" applyFill="1" applyBorder="1" applyAlignment="1">
      <alignment horizontal="center" wrapText="1"/>
    </xf>
    <xf numFmtId="39" fontId="4" fillId="33" borderId="83" xfId="0" applyNumberFormat="1" applyFont="1" applyFill="1" applyBorder="1" applyAlignment="1">
      <alignment horizontal="right" wrapText="1"/>
    </xf>
    <xf numFmtId="4" fontId="4" fillId="33" borderId="11" xfId="0" applyNumberFormat="1" applyFont="1" applyFill="1" applyBorder="1" applyAlignment="1">
      <alignment horizontal="center" wrapText="1"/>
    </xf>
    <xf numFmtId="39" fontId="4" fillId="33" borderId="44" xfId="0" applyNumberFormat="1" applyFont="1" applyFill="1" applyBorder="1" applyAlignment="1">
      <alignment horizontal="right" wrapText="1"/>
    </xf>
    <xf numFmtId="0" fontId="4" fillId="33" borderId="16" xfId="0" applyFont="1" applyFill="1" applyBorder="1" applyAlignment="1">
      <alignment horizontal="center" wrapText="1"/>
    </xf>
    <xf numFmtId="39" fontId="4" fillId="33" borderId="35" xfId="0" applyNumberFormat="1" applyFont="1" applyFill="1" applyBorder="1" applyAlignment="1">
      <alignment horizontal="right" wrapText="1"/>
    </xf>
    <xf numFmtId="39" fontId="4" fillId="33" borderId="10" xfId="0" applyNumberFormat="1" applyFont="1" applyFill="1" applyBorder="1" applyAlignment="1">
      <alignment horizontal="center"/>
    </xf>
    <xf numFmtId="39" fontId="4" fillId="33" borderId="44" xfId="0" applyNumberFormat="1" applyFont="1" applyFill="1" applyBorder="1" applyAlignment="1">
      <alignment horizontal="right"/>
    </xf>
    <xf numFmtId="39" fontId="4" fillId="33" borderId="52" xfId="0" applyNumberFormat="1" applyFont="1" applyFill="1" applyBorder="1" applyAlignment="1">
      <alignment horizontal="right"/>
    </xf>
    <xf numFmtId="2" fontId="4" fillId="33" borderId="16" xfId="0" applyNumberFormat="1" applyFont="1" applyFill="1" applyBorder="1" applyAlignment="1">
      <alignment horizontal="center"/>
    </xf>
    <xf numFmtId="39" fontId="4" fillId="33" borderId="16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/>
    </xf>
    <xf numFmtId="39" fontId="4" fillId="33" borderId="11" xfId="0" applyNumberFormat="1" applyFont="1" applyFill="1" applyBorder="1" applyAlignment="1">
      <alignment horizontal="right"/>
    </xf>
    <xf numFmtId="3" fontId="4" fillId="33" borderId="80" xfId="0" applyNumberFormat="1" applyFont="1" applyFill="1" applyBorder="1" applyAlignment="1">
      <alignment horizontal="right"/>
    </xf>
    <xf numFmtId="3" fontId="4" fillId="33" borderId="84" xfId="0" applyNumberFormat="1" applyFont="1" applyFill="1" applyBorder="1" applyAlignment="1">
      <alignment horizontal="right"/>
    </xf>
    <xf numFmtId="181" fontId="4" fillId="33" borderId="84" xfId="0" applyNumberFormat="1" applyFont="1" applyFill="1" applyBorder="1" applyAlignment="1">
      <alignment horizontal="right"/>
    </xf>
    <xf numFmtId="3" fontId="4" fillId="33" borderId="27" xfId="0" applyNumberFormat="1" applyFont="1" applyFill="1" applyBorder="1" applyAlignment="1">
      <alignment horizontal="right"/>
    </xf>
    <xf numFmtId="180" fontId="4" fillId="33" borderId="27" xfId="0" applyNumberFormat="1" applyFont="1" applyFill="1" applyBorder="1" applyAlignment="1">
      <alignment horizontal="right"/>
    </xf>
    <xf numFmtId="181" fontId="4" fillId="33" borderId="27" xfId="0" applyNumberFormat="1" applyFont="1" applyFill="1" applyBorder="1" applyAlignment="1">
      <alignment horizontal="right"/>
    </xf>
    <xf numFmtId="0" fontId="4" fillId="0" borderId="16" xfId="0" applyFont="1" applyBorder="1" applyAlignment="1" quotePrefix="1">
      <alignment horizontal="left" vertical="center" wrapText="1"/>
    </xf>
    <xf numFmtId="192" fontId="3" fillId="0" borderId="41" xfId="0" applyNumberFormat="1" applyFont="1" applyFill="1" applyBorder="1" applyAlignment="1">
      <alignment horizontal="right"/>
    </xf>
    <xf numFmtId="192" fontId="4" fillId="0" borderId="41" xfId="0" applyNumberFormat="1" applyFont="1" applyFill="1" applyBorder="1" applyAlignment="1">
      <alignment horizontal="right"/>
    </xf>
    <xf numFmtId="37" fontId="3" fillId="33" borderId="76" xfId="0" applyNumberFormat="1" applyFont="1" applyFill="1" applyBorder="1" applyAlignment="1">
      <alignment horizontal="right" vertical="center" wrapText="1"/>
    </xf>
    <xf numFmtId="0" fontId="49" fillId="34" borderId="0" xfId="0" applyFont="1" applyFill="1" applyAlignment="1" quotePrefix="1">
      <alignment horizontal="left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 quotePrefix="1">
      <alignment horizontal="left"/>
    </xf>
    <xf numFmtId="0" fontId="9" fillId="0" borderId="11" xfId="0" applyFont="1" applyBorder="1" applyAlignment="1">
      <alignment/>
    </xf>
    <xf numFmtId="0" fontId="9" fillId="0" borderId="10" xfId="0" applyFont="1" applyBorder="1" applyAlignment="1" quotePrefix="1">
      <alignment horizontal="left" wrapText="1"/>
    </xf>
    <xf numFmtId="4" fontId="9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" fontId="9" fillId="0" borderId="11" xfId="0" applyNumberFormat="1" applyFont="1" applyBorder="1" applyAlignment="1">
      <alignment/>
    </xf>
    <xf numFmtId="0" fontId="9" fillId="0" borderId="10" xfId="0" applyFont="1" applyBorder="1" applyAlignment="1">
      <alignment horizontal="left" wrapText="1"/>
    </xf>
    <xf numFmtId="0" fontId="9" fillId="0" borderId="10" xfId="0" applyFont="1" applyFill="1" applyBorder="1" applyAlignment="1">
      <alignment wrapText="1"/>
    </xf>
    <xf numFmtId="4" fontId="9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wrapText="1"/>
    </xf>
    <xf numFmtId="0" fontId="9" fillId="0" borderId="1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left" wrapText="1"/>
    </xf>
    <xf numFmtId="0" fontId="9" fillId="0" borderId="10" xfId="0" applyFont="1" applyFill="1" applyBorder="1" applyAlignment="1" quotePrefix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 quotePrefix="1">
      <alignment horizontal="left" vertical="top" wrapText="1"/>
    </xf>
    <xf numFmtId="4" fontId="9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54" fillId="0" borderId="11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10" xfId="0" applyFont="1" applyFill="1" applyBorder="1" applyAlignment="1" quotePrefix="1">
      <alignment horizontal="left" vertical="top"/>
    </xf>
    <xf numFmtId="0" fontId="9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top"/>
    </xf>
    <xf numFmtId="0" fontId="4" fillId="0" borderId="39" xfId="0" applyFont="1" applyFill="1" applyBorder="1" applyAlignment="1" quotePrefix="1">
      <alignment horizontal="left" wrapText="1"/>
    </xf>
    <xf numFmtId="4" fontId="4" fillId="0" borderId="40" xfId="0" applyNumberFormat="1" applyFont="1" applyFill="1" applyBorder="1" applyAlignment="1">
      <alignment horizontal="left" wrapText="1"/>
    </xf>
    <xf numFmtId="0" fontId="4" fillId="0" borderId="30" xfId="0" applyFont="1" applyBorder="1" applyAlignment="1">
      <alignment horizontal="right"/>
    </xf>
    <xf numFmtId="0" fontId="4" fillId="0" borderId="30" xfId="0" applyFont="1" applyBorder="1" applyAlignment="1">
      <alignment horizontal="right" vertical="top"/>
    </xf>
    <xf numFmtId="2" fontId="4" fillId="0" borderId="29" xfId="0" applyNumberFormat="1" applyFont="1" applyBorder="1" applyAlignment="1">
      <alignment vertical="top" wrapText="1"/>
    </xf>
    <xf numFmtId="2" fontId="3" fillId="0" borderId="42" xfId="0" applyNumberFormat="1" applyFont="1" applyBorder="1" applyAlignment="1">
      <alignment/>
    </xf>
    <xf numFmtId="180" fontId="4" fillId="33" borderId="80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2" fontId="53" fillId="0" borderId="0" xfId="0" applyNumberFormat="1" applyFont="1" applyAlignment="1">
      <alignment/>
    </xf>
    <xf numFmtId="4" fontId="49" fillId="34" borderId="0" xfId="0" applyNumberFormat="1" applyFont="1" applyFill="1" applyAlignment="1">
      <alignment horizontal="left"/>
    </xf>
    <xf numFmtId="2" fontId="53" fillId="34" borderId="0" xfId="0" applyNumberFormat="1" applyFont="1" applyFill="1" applyAlignment="1">
      <alignment horizontal="left"/>
    </xf>
    <xf numFmtId="0" fontId="49" fillId="34" borderId="0" xfId="0" applyNumberFormat="1" applyFont="1" applyFill="1" applyAlignment="1">
      <alignment/>
    </xf>
    <xf numFmtId="0" fontId="49" fillId="0" borderId="0" xfId="0" applyFont="1" applyAlignment="1">
      <alignment horizontal="left"/>
    </xf>
    <xf numFmtId="2" fontId="49" fillId="0" borderId="0" xfId="0" applyNumberFormat="1" applyFont="1" applyAlignment="1">
      <alignment horizontal="left"/>
    </xf>
    <xf numFmtId="4" fontId="49" fillId="0" borderId="0" xfId="0" applyNumberFormat="1" applyFont="1" applyAlignment="1">
      <alignment horizontal="left"/>
    </xf>
    <xf numFmtId="2" fontId="53" fillId="0" borderId="0" xfId="0" applyNumberFormat="1" applyFont="1" applyAlignment="1">
      <alignment horizontal="left"/>
    </xf>
    <xf numFmtId="176" fontId="49" fillId="0" borderId="0" xfId="0" applyNumberFormat="1" applyFont="1" applyAlignment="1">
      <alignment/>
    </xf>
    <xf numFmtId="179" fontId="49" fillId="0" borderId="0" xfId="0" applyNumberFormat="1" applyFont="1" applyAlignment="1">
      <alignment/>
    </xf>
    <xf numFmtId="1" fontId="49" fillId="0" borderId="0" xfId="0" applyNumberFormat="1" applyFont="1" applyAlignment="1">
      <alignment/>
    </xf>
    <xf numFmtId="0" fontId="49" fillId="0" borderId="0" xfId="0" applyFont="1" applyAlignment="1">
      <alignment vertical="top"/>
    </xf>
    <xf numFmtId="2" fontId="55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3" fillId="33" borderId="11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0" xfId="0" applyFont="1" applyFill="1" applyBorder="1" applyAlignment="1">
      <alignment/>
    </xf>
    <xf numFmtId="0" fontId="0" fillId="0" borderId="85" xfId="0" applyBorder="1" applyAlignment="1">
      <alignment/>
    </xf>
    <xf numFmtId="0" fontId="0" fillId="0" borderId="31" xfId="0" applyBorder="1" applyAlignment="1">
      <alignment/>
    </xf>
    <xf numFmtId="0" fontId="4" fillId="0" borderId="41" xfId="0" applyFont="1" applyFill="1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3" fillId="33" borderId="88" xfId="0" applyFont="1" applyFill="1" applyBorder="1" applyAlignment="1">
      <alignment horizontal="left"/>
    </xf>
    <xf numFmtId="0" fontId="4" fillId="33" borderId="89" xfId="0" applyFont="1" applyFill="1" applyBorder="1" applyAlignment="1">
      <alignment horizontal="left" wrapText="1"/>
    </xf>
    <xf numFmtId="0" fontId="3" fillId="33" borderId="42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 wrapText="1"/>
    </xf>
    <xf numFmtId="0" fontId="4" fillId="0" borderId="42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wrapText="1"/>
    </xf>
    <xf numFmtId="0" fontId="4" fillId="33" borderId="42" xfId="0" applyFont="1" applyFill="1" applyBorder="1" applyAlignment="1">
      <alignment wrapText="1"/>
    </xf>
    <xf numFmtId="0" fontId="4" fillId="33" borderId="42" xfId="0" applyFont="1" applyFill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 quotePrefix="1">
      <alignment horizontal="center" wrapText="1"/>
    </xf>
    <xf numFmtId="0" fontId="4" fillId="0" borderId="0" xfId="0" applyFont="1" applyAlignment="1" quotePrefix="1">
      <alignment horizontal="left" wrapText="1"/>
    </xf>
    <xf numFmtId="0" fontId="0" fillId="0" borderId="0" xfId="0" applyAlignment="1">
      <alignment wrapText="1"/>
    </xf>
    <xf numFmtId="0" fontId="4" fillId="33" borderId="90" xfId="0" applyFont="1" applyFill="1" applyBorder="1" applyAlignment="1">
      <alignment horizontal="left" wrapText="1"/>
    </xf>
    <xf numFmtId="0" fontId="4" fillId="33" borderId="91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0" fontId="9" fillId="33" borderId="11" xfId="0" applyFont="1" applyFill="1" applyBorder="1" applyAlignment="1">
      <alignment horizontal="left" wrapText="1"/>
    </xf>
    <xf numFmtId="0" fontId="9" fillId="0" borderId="21" xfId="0" applyFont="1" applyBorder="1" applyAlignment="1">
      <alignment horizontal="left" vertical="center" wrapText="1"/>
    </xf>
    <xf numFmtId="0" fontId="9" fillId="0" borderId="21" xfId="0" applyFont="1" applyBorder="1" applyAlignment="1">
      <alignment vertical="center" wrapText="1"/>
    </xf>
    <xf numFmtId="0" fontId="9" fillId="0" borderId="11" xfId="0" applyFont="1" applyFill="1" applyBorder="1" applyAlignment="1">
      <alignment wrapText="1"/>
    </xf>
    <xf numFmtId="0" fontId="3" fillId="33" borderId="42" xfId="0" applyFont="1" applyFill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33" borderId="89" xfId="0" applyFont="1" applyFill="1" applyBorder="1" applyAlignment="1">
      <alignment horizontal="left" wrapText="1"/>
    </xf>
    <xf numFmtId="0" fontId="4" fillId="33" borderId="91" xfId="0" applyFont="1" applyFill="1" applyBorder="1" applyAlignment="1">
      <alignment horizontal="left"/>
    </xf>
    <xf numFmtId="0" fontId="2" fillId="0" borderId="0" xfId="0" applyFont="1" applyBorder="1" applyAlignment="1" quotePrefix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zoomScalePageLayoutView="0" workbookViewId="0" topLeftCell="A28">
      <selection activeCell="D53" sqref="D53"/>
    </sheetView>
  </sheetViews>
  <sheetFormatPr defaultColWidth="11.57421875" defaultRowHeight="12.75"/>
  <cols>
    <col min="1" max="1" width="53.28125" style="0" customWidth="1"/>
    <col min="2" max="2" width="16.28125" style="0" customWidth="1"/>
    <col min="3" max="3" width="24.140625" style="0" customWidth="1"/>
    <col min="4" max="4" width="14.71093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74" t="s">
        <v>0</v>
      </c>
      <c r="B1" s="474"/>
      <c r="C1" s="474"/>
      <c r="D1" s="474"/>
    </row>
    <row r="2" spans="1:4" ht="15.75">
      <c r="A2" s="475" t="s">
        <v>163</v>
      </c>
      <c r="B2" s="476"/>
      <c r="C2" s="476"/>
      <c r="D2" s="476"/>
    </row>
    <row r="3" spans="1:4" ht="15.75">
      <c r="A3" s="476" t="s">
        <v>1</v>
      </c>
      <c r="B3" s="476"/>
      <c r="C3" s="476"/>
      <c r="D3" s="476"/>
    </row>
    <row r="4" spans="1:4" ht="12.75">
      <c r="A4" s="477" t="s">
        <v>164</v>
      </c>
      <c r="B4" s="478"/>
      <c r="C4" s="478"/>
      <c r="D4" s="478"/>
    </row>
    <row r="5" spans="1:4" ht="12.75">
      <c r="A5" s="477" t="s">
        <v>203</v>
      </c>
      <c r="B5" s="478"/>
      <c r="C5" s="478"/>
      <c r="D5" s="478"/>
    </row>
    <row r="6" spans="1:4" ht="3" customHeight="1">
      <c r="A6" s="195"/>
      <c r="B6" s="78"/>
      <c r="C6" s="78"/>
      <c r="D6" s="78"/>
    </row>
    <row r="7" spans="1:4" ht="30.75" customHeight="1">
      <c r="A7" s="480" t="s">
        <v>3</v>
      </c>
      <c r="B7" s="481"/>
      <c r="C7" s="481"/>
      <c r="D7" s="481"/>
    </row>
    <row r="8" spans="1:4" ht="16.5" customHeight="1">
      <c r="A8" s="52" t="s">
        <v>188</v>
      </c>
      <c r="B8" s="22"/>
      <c r="C8" s="22"/>
      <c r="D8" s="22"/>
    </row>
    <row r="9" spans="1:4" ht="12.75">
      <c r="A9" s="91">
        <v>1</v>
      </c>
      <c r="B9" s="91">
        <v>2</v>
      </c>
      <c r="C9" s="91">
        <v>3</v>
      </c>
      <c r="D9" s="92">
        <v>4</v>
      </c>
    </row>
    <row r="10" spans="1:5" ht="12.75">
      <c r="A10" s="64" t="s">
        <v>7</v>
      </c>
      <c r="B10" s="93"/>
      <c r="C10" s="94" t="s">
        <v>204</v>
      </c>
      <c r="D10" s="77"/>
      <c r="E10" s="34"/>
    </row>
    <row r="11" spans="1:5" ht="12.75">
      <c r="A11" s="64" t="s">
        <v>8</v>
      </c>
      <c r="B11" s="93"/>
      <c r="C11" s="94" t="s">
        <v>205</v>
      </c>
      <c r="D11" s="77"/>
      <c r="E11" s="34"/>
    </row>
    <row r="12" spans="1:8" ht="12.75">
      <c r="A12" s="64" t="s">
        <v>9</v>
      </c>
      <c r="B12" s="93"/>
      <c r="C12" s="94" t="s">
        <v>206</v>
      </c>
      <c r="D12" s="77"/>
      <c r="E12" s="34"/>
      <c r="F12" s="34"/>
      <c r="G12" s="34"/>
      <c r="H12" s="34"/>
    </row>
    <row r="13" spans="1:8" ht="31.5" customHeight="1">
      <c r="A13" s="479" t="s">
        <v>10</v>
      </c>
      <c r="B13" s="479"/>
      <c r="C13" s="479"/>
      <c r="D13" s="479"/>
      <c r="E13" s="34"/>
      <c r="F13" s="34"/>
      <c r="G13" s="34"/>
      <c r="H13" s="34"/>
    </row>
    <row r="14" spans="1:14" s="1" customFormat="1" ht="15.75">
      <c r="A14" s="64" t="s">
        <v>93</v>
      </c>
      <c r="B14" s="95" t="s">
        <v>12</v>
      </c>
      <c r="C14" s="72">
        <v>-13485.75</v>
      </c>
      <c r="D14" s="227"/>
      <c r="E14" s="34"/>
      <c r="F14" s="34"/>
      <c r="G14" s="34"/>
      <c r="H14" s="34"/>
      <c r="K14"/>
      <c r="L14"/>
      <c r="M14"/>
      <c r="N14"/>
    </row>
    <row r="15" spans="1:14" s="1" customFormat="1" ht="15.75">
      <c r="A15" s="64" t="s">
        <v>13</v>
      </c>
      <c r="B15" s="95" t="s">
        <v>12</v>
      </c>
      <c r="C15" s="228">
        <v>0</v>
      </c>
      <c r="D15" s="227"/>
      <c r="E15" s="34"/>
      <c r="F15" s="34"/>
      <c r="G15" s="34"/>
      <c r="H15" s="34"/>
      <c r="K15"/>
      <c r="L15"/>
      <c r="M15"/>
      <c r="N15"/>
    </row>
    <row r="16" spans="1:14" s="1" customFormat="1" ht="15.75">
      <c r="A16" s="64" t="s">
        <v>14</v>
      </c>
      <c r="B16" s="95" t="s">
        <v>12</v>
      </c>
      <c r="C16" s="72">
        <v>74982.2</v>
      </c>
      <c r="D16" s="79"/>
      <c r="E16" s="34"/>
      <c r="F16" s="34"/>
      <c r="G16" s="34"/>
      <c r="H16" s="34"/>
      <c r="K16"/>
      <c r="L16"/>
      <c r="M16"/>
      <c r="N16"/>
    </row>
    <row r="17" spans="1:14" s="1" customFormat="1" ht="31.5" customHeight="1">
      <c r="A17" s="63" t="s">
        <v>15</v>
      </c>
      <c r="B17" s="95" t="s">
        <v>12</v>
      </c>
      <c r="C17" s="72">
        <f>625303.92+2968.32+15957.6</f>
        <v>644229.84</v>
      </c>
      <c r="D17" s="79"/>
      <c r="E17" s="41">
        <f>C17-C19-18925.92</f>
        <v>503954.22</v>
      </c>
      <c r="F17" s="34"/>
      <c r="G17" s="34"/>
      <c r="H17" s="34"/>
      <c r="K17"/>
      <c r="L17"/>
      <c r="M17"/>
      <c r="N17"/>
    </row>
    <row r="18" spans="1:8" ht="15.75">
      <c r="A18" s="64" t="s">
        <v>16</v>
      </c>
      <c r="B18" s="95" t="s">
        <v>12</v>
      </c>
      <c r="C18" s="72">
        <f>C17-C19-C20</f>
        <v>367389.24</v>
      </c>
      <c r="D18" s="79"/>
      <c r="E18" s="41">
        <f>E17-E54</f>
        <v>0</v>
      </c>
      <c r="F18" s="34"/>
      <c r="G18" s="34"/>
      <c r="H18" s="34"/>
    </row>
    <row r="19" spans="1:8" ht="15.75">
      <c r="A19" s="64" t="s">
        <v>17</v>
      </c>
      <c r="B19" s="95" t="s">
        <v>12</v>
      </c>
      <c r="C19" s="72">
        <f>3092.5*3.27*12</f>
        <v>121349.70000000001</v>
      </c>
      <c r="D19" s="79"/>
      <c r="E19" s="42"/>
      <c r="F19" s="34"/>
      <c r="G19" s="34"/>
      <c r="H19" s="34"/>
    </row>
    <row r="20" spans="1:8" ht="15.75">
      <c r="A20" s="64" t="s">
        <v>18</v>
      </c>
      <c r="B20" s="95" t="s">
        <v>12</v>
      </c>
      <c r="C20" s="72">
        <f>4.19*12*3092.5</f>
        <v>155490.9</v>
      </c>
      <c r="D20" s="79"/>
      <c r="E20" s="42"/>
      <c r="F20" s="34"/>
      <c r="G20" s="34"/>
      <c r="H20" s="34"/>
    </row>
    <row r="21" spans="1:8" ht="15.75">
      <c r="A21" s="64" t="s">
        <v>19</v>
      </c>
      <c r="B21" s="95" t="s">
        <v>12</v>
      </c>
      <c r="C21" s="72">
        <f>C22+C23+C24+C25</f>
        <v>549785.745456</v>
      </c>
      <c r="D21" s="79" t="s">
        <v>20</v>
      </c>
      <c r="E21" s="41"/>
      <c r="F21" s="34"/>
      <c r="G21" s="34"/>
      <c r="H21" s="34"/>
    </row>
    <row r="22" spans="1:8" ht="15.75">
      <c r="A22" s="64" t="s">
        <v>21</v>
      </c>
      <c r="B22" s="95" t="s">
        <v>12</v>
      </c>
      <c r="C22" s="72">
        <f>C17*0.8534</f>
        <v>549785.745456</v>
      </c>
      <c r="D22" s="79"/>
      <c r="E22" s="34"/>
      <c r="F22" s="34"/>
      <c r="G22" s="34"/>
      <c r="H22" s="34"/>
    </row>
    <row r="23" spans="1:8" ht="15.75">
      <c r="A23" s="64" t="s">
        <v>22</v>
      </c>
      <c r="B23" s="95" t="s">
        <v>12</v>
      </c>
      <c r="C23" s="72">
        <v>0</v>
      </c>
      <c r="D23" s="79"/>
      <c r="E23" s="42"/>
      <c r="F23" s="34"/>
      <c r="G23" s="34"/>
      <c r="H23" s="34"/>
    </row>
    <row r="24" spans="1:8" ht="15.75">
      <c r="A24" s="64" t="s">
        <v>24</v>
      </c>
      <c r="B24" s="95" t="s">
        <v>12</v>
      </c>
      <c r="C24" s="72">
        <v>0</v>
      </c>
      <c r="D24" s="79"/>
      <c r="E24" s="42"/>
      <c r="F24" s="34"/>
      <c r="G24" s="34"/>
      <c r="H24" s="34"/>
    </row>
    <row r="25" spans="1:8" ht="15.75">
      <c r="A25" s="93" t="s">
        <v>25</v>
      </c>
      <c r="B25" s="95" t="s">
        <v>12</v>
      </c>
      <c r="C25" s="72">
        <v>0</v>
      </c>
      <c r="D25" s="79"/>
      <c r="E25" s="42"/>
      <c r="F25" s="34"/>
      <c r="G25" s="34"/>
      <c r="H25" s="34"/>
    </row>
    <row r="26" spans="1:8" ht="15.75">
      <c r="A26" s="64" t="s">
        <v>26</v>
      </c>
      <c r="B26" s="95" t="s">
        <v>12</v>
      </c>
      <c r="C26" s="72">
        <f>C14+C21</f>
        <v>536299.995456</v>
      </c>
      <c r="D26" s="79" t="s">
        <v>27</v>
      </c>
      <c r="E26" s="42"/>
      <c r="F26" s="34"/>
      <c r="G26" s="34"/>
      <c r="H26" s="34"/>
    </row>
    <row r="27" spans="1:8" ht="35.25" customHeight="1">
      <c r="A27" s="488" t="s">
        <v>28</v>
      </c>
      <c r="B27" s="488"/>
      <c r="C27" s="488"/>
      <c r="D27" s="488"/>
      <c r="E27" s="34"/>
      <c r="F27" s="34"/>
      <c r="G27" s="34"/>
      <c r="H27" s="34"/>
    </row>
    <row r="28" spans="1:8" ht="65.25" customHeight="1">
      <c r="A28" s="127" t="s">
        <v>29</v>
      </c>
      <c r="B28" s="229" t="s">
        <v>30</v>
      </c>
      <c r="C28" s="230" t="s">
        <v>31</v>
      </c>
      <c r="D28" s="231" t="s">
        <v>32</v>
      </c>
      <c r="E28" s="34"/>
      <c r="F28" s="34"/>
      <c r="G28" s="34"/>
      <c r="H28" s="34"/>
    </row>
    <row r="29" spans="1:8" ht="15.75">
      <c r="A29" s="112" t="s">
        <v>94</v>
      </c>
      <c r="B29" s="232" t="s">
        <v>34</v>
      </c>
      <c r="C29" s="265" t="s">
        <v>43</v>
      </c>
      <c r="D29" s="79">
        <f>3092.5*0.69*12</f>
        <v>25605.899999999998</v>
      </c>
      <c r="E29" s="34"/>
      <c r="F29" s="34"/>
      <c r="G29" s="34"/>
      <c r="H29" s="34"/>
    </row>
    <row r="30" spans="1:8" ht="15.75">
      <c r="A30" s="112" t="s">
        <v>165</v>
      </c>
      <c r="B30" s="232" t="s">
        <v>42</v>
      </c>
      <c r="C30" s="233" t="s">
        <v>367</v>
      </c>
      <c r="D30" s="79">
        <f>3092.5*0.15*12</f>
        <v>5566.5</v>
      </c>
      <c r="E30" s="34"/>
      <c r="F30" s="34"/>
      <c r="G30" s="34"/>
      <c r="H30" s="34"/>
    </row>
    <row r="31" spans="1:8" ht="15.75">
      <c r="A31" s="112" t="s">
        <v>87</v>
      </c>
      <c r="B31" s="232" t="s">
        <v>36</v>
      </c>
      <c r="C31" s="234" t="s">
        <v>43</v>
      </c>
      <c r="D31" s="79">
        <f>3092.5*12*2.4</f>
        <v>89064</v>
      </c>
      <c r="E31" s="34"/>
      <c r="F31" s="34"/>
      <c r="G31" s="34"/>
      <c r="H31" s="34"/>
    </row>
    <row r="32" spans="1:14" s="1" customFormat="1" ht="15.75">
      <c r="A32" s="112" t="s">
        <v>95</v>
      </c>
      <c r="B32" s="232" t="s">
        <v>34</v>
      </c>
      <c r="C32" s="234" t="s">
        <v>40</v>
      </c>
      <c r="D32" s="79">
        <f>3092.5*0.24*12</f>
        <v>8906.4</v>
      </c>
      <c r="E32" s="34"/>
      <c r="F32" s="34"/>
      <c r="G32" s="34"/>
      <c r="H32" s="34"/>
      <c r="K32"/>
      <c r="L32"/>
      <c r="M32"/>
      <c r="N32"/>
    </row>
    <row r="33" spans="1:14" s="1" customFormat="1" ht="15.75">
      <c r="A33" s="112" t="s">
        <v>104</v>
      </c>
      <c r="B33" s="232" t="s">
        <v>34</v>
      </c>
      <c r="C33" s="234" t="s">
        <v>43</v>
      </c>
      <c r="D33" s="79">
        <f>3092.5*12*0.7</f>
        <v>25977</v>
      </c>
      <c r="E33" s="34"/>
      <c r="F33" s="34"/>
      <c r="G33" s="34"/>
      <c r="H33" s="34"/>
      <c r="K33"/>
      <c r="L33"/>
      <c r="M33"/>
      <c r="N33"/>
    </row>
    <row r="34" spans="1:14" s="1" customFormat="1" ht="26.25">
      <c r="A34" s="127" t="s">
        <v>371</v>
      </c>
      <c r="B34" s="232" t="s">
        <v>34</v>
      </c>
      <c r="C34" s="234" t="s">
        <v>43</v>
      </c>
      <c r="D34" s="79">
        <f>3092.5*12*1.96</f>
        <v>72735.6</v>
      </c>
      <c r="E34" s="34"/>
      <c r="F34" s="34"/>
      <c r="G34" s="34"/>
      <c r="H34" s="34"/>
      <c r="K34"/>
      <c r="L34"/>
      <c r="M34"/>
      <c r="N34"/>
    </row>
    <row r="35" spans="1:14" s="1" customFormat="1" ht="15.75">
      <c r="A35" s="112" t="s">
        <v>48</v>
      </c>
      <c r="B35" s="232" t="s">
        <v>198</v>
      </c>
      <c r="C35" s="234" t="s">
        <v>43</v>
      </c>
      <c r="D35" s="79">
        <f>3092.5*12*1.09</f>
        <v>40449.9</v>
      </c>
      <c r="E35" s="34"/>
      <c r="F35" s="34"/>
      <c r="G35" s="34"/>
      <c r="H35" s="34"/>
      <c r="K35"/>
      <c r="L35"/>
      <c r="M35"/>
      <c r="N35"/>
    </row>
    <row r="36" spans="1:14" s="1" customFormat="1" ht="15.75">
      <c r="A36" s="112" t="s">
        <v>45</v>
      </c>
      <c r="B36" s="232" t="s">
        <v>46</v>
      </c>
      <c r="C36" s="234" t="s">
        <v>43</v>
      </c>
      <c r="D36" s="79">
        <f>3092.5*12*1.33</f>
        <v>49356.3</v>
      </c>
      <c r="E36" s="34"/>
      <c r="F36" s="34"/>
      <c r="G36" s="34"/>
      <c r="H36" s="34"/>
      <c r="K36"/>
      <c r="L36"/>
      <c r="M36"/>
      <c r="N36"/>
    </row>
    <row r="37" spans="1:14" s="1" customFormat="1" ht="15.75">
      <c r="A37" s="112" t="s">
        <v>97</v>
      </c>
      <c r="B37" s="232" t="s">
        <v>38</v>
      </c>
      <c r="C37" s="257" t="s">
        <v>159</v>
      </c>
      <c r="D37" s="79">
        <f>3092.5*12*4.19</f>
        <v>155490.90000000002</v>
      </c>
      <c r="E37" s="34"/>
      <c r="F37" s="34"/>
      <c r="G37" s="34"/>
      <c r="H37" s="34"/>
      <c r="K37"/>
      <c r="L37"/>
      <c r="M37"/>
      <c r="N37"/>
    </row>
    <row r="38" spans="1:14" s="1" customFormat="1" ht="15.75">
      <c r="A38" s="112" t="s">
        <v>100</v>
      </c>
      <c r="B38" s="232" t="s">
        <v>161</v>
      </c>
      <c r="C38" s="257" t="s">
        <v>40</v>
      </c>
      <c r="D38" s="79">
        <f>3092.5*0.83*12+0.42</f>
        <v>30801.72</v>
      </c>
      <c r="E38" s="34"/>
      <c r="F38" s="34"/>
      <c r="G38" s="34"/>
      <c r="H38" s="34"/>
      <c r="K38"/>
      <c r="L38"/>
      <c r="M38"/>
      <c r="N38"/>
    </row>
    <row r="39" spans="1:14" s="1" customFormat="1" ht="15.75">
      <c r="A39" s="112" t="s">
        <v>142</v>
      </c>
      <c r="B39" s="232"/>
      <c r="C39" s="235"/>
      <c r="D39" s="79"/>
      <c r="E39" s="34"/>
      <c r="F39" s="34"/>
      <c r="G39" s="34"/>
      <c r="H39" s="34"/>
      <c r="K39"/>
      <c r="L39"/>
      <c r="M39"/>
      <c r="N39"/>
    </row>
    <row r="40" spans="1:14" s="1" customFormat="1" ht="15.75">
      <c r="A40" s="112" t="s">
        <v>372</v>
      </c>
      <c r="B40" s="232" t="s">
        <v>38</v>
      </c>
      <c r="C40" s="235" t="s">
        <v>143</v>
      </c>
      <c r="D40" s="79">
        <v>2968.32</v>
      </c>
      <c r="E40" s="34"/>
      <c r="F40" s="34"/>
      <c r="G40" s="34"/>
      <c r="H40" s="34"/>
      <c r="K40"/>
      <c r="L40"/>
      <c r="M40"/>
      <c r="N40"/>
    </row>
    <row r="41" spans="1:14" s="1" customFormat="1" ht="15.75">
      <c r="A41" s="112" t="s">
        <v>141</v>
      </c>
      <c r="B41" s="232" t="s">
        <v>38</v>
      </c>
      <c r="C41" s="235" t="s">
        <v>144</v>
      </c>
      <c r="D41" s="79">
        <v>24232.28</v>
      </c>
      <c r="E41" s="34"/>
      <c r="F41" s="34"/>
      <c r="G41" s="34"/>
      <c r="H41" s="34"/>
      <c r="K41"/>
      <c r="L41"/>
      <c r="M41"/>
      <c r="N41"/>
    </row>
    <row r="42" spans="1:14" s="1" customFormat="1" ht="60" customHeight="1">
      <c r="A42" s="200" t="s">
        <v>132</v>
      </c>
      <c r="B42" s="237" t="s">
        <v>52</v>
      </c>
      <c r="C42" s="243"/>
      <c r="D42" s="344">
        <f>D43+D44+D45+D46+D47+D48+D49+D50+D51+D52</f>
        <v>162767.03</v>
      </c>
      <c r="E42" s="35"/>
      <c r="F42" s="34"/>
      <c r="G42" s="34"/>
      <c r="H42" s="34"/>
      <c r="K42"/>
      <c r="L42"/>
      <c r="M42"/>
      <c r="N42"/>
    </row>
    <row r="43" spans="1:14" s="1" customFormat="1" ht="22.5" customHeight="1">
      <c r="A43" s="200" t="s">
        <v>178</v>
      </c>
      <c r="B43" s="237" t="s">
        <v>121</v>
      </c>
      <c r="C43" s="243" t="s">
        <v>162</v>
      </c>
      <c r="D43" s="73">
        <v>1100</v>
      </c>
      <c r="E43" s="35"/>
      <c r="F43" s="34"/>
      <c r="G43" s="34"/>
      <c r="H43" s="34"/>
      <c r="K43"/>
      <c r="L43"/>
      <c r="M43"/>
      <c r="N43"/>
    </row>
    <row r="44" spans="1:14" s="1" customFormat="1" ht="19.5" customHeight="1">
      <c r="A44" s="200" t="s">
        <v>207</v>
      </c>
      <c r="B44" s="237" t="s">
        <v>121</v>
      </c>
      <c r="C44" s="233" t="s">
        <v>162</v>
      </c>
      <c r="D44" s="73">
        <v>5098</v>
      </c>
      <c r="E44" s="35"/>
      <c r="F44" s="34"/>
      <c r="G44" s="34"/>
      <c r="H44" s="34"/>
      <c r="K44"/>
      <c r="L44"/>
      <c r="M44"/>
      <c r="N44"/>
    </row>
    <row r="45" spans="1:14" s="1" customFormat="1" ht="19.5" customHeight="1">
      <c r="A45" s="200" t="s">
        <v>338</v>
      </c>
      <c r="B45" s="237" t="s">
        <v>121</v>
      </c>
      <c r="C45" s="233" t="s">
        <v>162</v>
      </c>
      <c r="D45" s="73">
        <v>2619</v>
      </c>
      <c r="E45" s="35"/>
      <c r="F45" s="34"/>
      <c r="G45" s="34"/>
      <c r="H45" s="34"/>
      <c r="K45"/>
      <c r="L45"/>
      <c r="M45"/>
      <c r="N45"/>
    </row>
    <row r="46" spans="1:14" s="1" customFormat="1" ht="16.5" customHeight="1">
      <c r="A46" s="200" t="s">
        <v>339</v>
      </c>
      <c r="B46" s="237" t="s">
        <v>126</v>
      </c>
      <c r="C46" s="233" t="s">
        <v>162</v>
      </c>
      <c r="D46" s="73">
        <v>1038</v>
      </c>
      <c r="E46" s="35"/>
      <c r="F46" s="34"/>
      <c r="G46" s="34"/>
      <c r="H46" s="34"/>
      <c r="K46"/>
      <c r="L46"/>
      <c r="M46"/>
      <c r="N46"/>
    </row>
    <row r="47" spans="1:14" s="1" customFormat="1" ht="20.25" customHeight="1">
      <c r="A47" s="200" t="s">
        <v>340</v>
      </c>
      <c r="B47" s="237" t="s">
        <v>119</v>
      </c>
      <c r="C47" s="243" t="s">
        <v>174</v>
      </c>
      <c r="D47" s="73">
        <v>82219</v>
      </c>
      <c r="E47" s="35"/>
      <c r="F47" s="34"/>
      <c r="G47" s="34"/>
      <c r="H47" s="34"/>
      <c r="K47"/>
      <c r="L47"/>
      <c r="M47"/>
      <c r="N47"/>
    </row>
    <row r="48" spans="1:14" s="1" customFormat="1" ht="16.5" customHeight="1">
      <c r="A48" s="200" t="s">
        <v>177</v>
      </c>
      <c r="B48" s="237" t="s">
        <v>119</v>
      </c>
      <c r="C48" s="306" t="s">
        <v>176</v>
      </c>
      <c r="D48" s="73">
        <v>37831</v>
      </c>
      <c r="E48" s="35"/>
      <c r="F48" s="34"/>
      <c r="G48" s="34"/>
      <c r="H48" s="34"/>
      <c r="K48"/>
      <c r="L48"/>
      <c r="M48"/>
      <c r="N48"/>
    </row>
    <row r="49" spans="1:14" s="1" customFormat="1" ht="23.25" customHeight="1">
      <c r="A49" s="200" t="s">
        <v>341</v>
      </c>
      <c r="B49" s="238" t="s">
        <v>119</v>
      </c>
      <c r="C49" s="233" t="s">
        <v>162</v>
      </c>
      <c r="D49" s="73">
        <v>3312</v>
      </c>
      <c r="E49" s="35"/>
      <c r="F49" s="34"/>
      <c r="G49" s="34"/>
      <c r="H49" s="34"/>
      <c r="K49"/>
      <c r="L49"/>
      <c r="M49"/>
      <c r="N49"/>
    </row>
    <row r="50" spans="1:14" s="1" customFormat="1" ht="48.75" customHeight="1">
      <c r="A50" s="200" t="s">
        <v>342</v>
      </c>
      <c r="B50" s="238" t="s">
        <v>122</v>
      </c>
      <c r="C50" s="233" t="s">
        <v>343</v>
      </c>
      <c r="D50" s="73">
        <v>14000</v>
      </c>
      <c r="E50" s="35"/>
      <c r="F50" s="34"/>
      <c r="G50" s="34"/>
      <c r="H50" s="34"/>
      <c r="K50"/>
      <c r="L50"/>
      <c r="M50"/>
      <c r="N50"/>
    </row>
    <row r="51" spans="1:14" s="1" customFormat="1" ht="38.25" customHeight="1">
      <c r="A51" s="200" t="s">
        <v>344</v>
      </c>
      <c r="B51" s="238" t="s">
        <v>120</v>
      </c>
      <c r="C51" s="233" t="s">
        <v>345</v>
      </c>
      <c r="D51" s="73">
        <v>14007</v>
      </c>
      <c r="E51" s="35"/>
      <c r="F51" s="34"/>
      <c r="G51" s="34"/>
      <c r="H51" s="34"/>
      <c r="K51"/>
      <c r="L51"/>
      <c r="M51"/>
      <c r="N51"/>
    </row>
    <row r="52" spans="1:14" s="1" customFormat="1" ht="31.5" customHeight="1">
      <c r="A52" s="200" t="s">
        <v>346</v>
      </c>
      <c r="B52" s="237" t="s">
        <v>123</v>
      </c>
      <c r="C52" s="233" t="s">
        <v>37</v>
      </c>
      <c r="D52" s="73">
        <f>1462.15+80.88</f>
        <v>1543.0300000000002</v>
      </c>
      <c r="E52" s="35"/>
      <c r="F52" s="34"/>
      <c r="G52" s="34"/>
      <c r="H52" s="34"/>
      <c r="K52"/>
      <c r="L52"/>
      <c r="M52"/>
      <c r="N52"/>
    </row>
    <row r="53" spans="1:14" s="1" customFormat="1" ht="15.75">
      <c r="A53" s="23" t="s">
        <v>53</v>
      </c>
      <c r="B53" s="232"/>
      <c r="C53" s="234"/>
      <c r="D53" s="79">
        <f>D29+D30+D31+D32+D33+D34+D35+D36+D37+D38+D40+D41+D42</f>
        <v>693921.85</v>
      </c>
      <c r="E53" s="35"/>
      <c r="F53" s="34"/>
      <c r="G53" s="34"/>
      <c r="H53" s="34"/>
      <c r="K53"/>
      <c r="L53"/>
      <c r="M53"/>
      <c r="N53"/>
    </row>
    <row r="54" spans="1:14" s="1" customFormat="1" ht="15.75">
      <c r="A54" s="23" t="s">
        <v>54</v>
      </c>
      <c r="B54" s="109" t="s">
        <v>12</v>
      </c>
      <c r="C54" s="234"/>
      <c r="D54" s="79">
        <f>C26-D53</f>
        <v>-157621.854544</v>
      </c>
      <c r="E54" s="35">
        <f>D53-D40-D41-D42</f>
        <v>503954.22</v>
      </c>
      <c r="F54" s="34"/>
      <c r="G54" s="34"/>
      <c r="H54" s="34"/>
      <c r="K54"/>
      <c r="L54"/>
      <c r="M54"/>
      <c r="N54"/>
    </row>
    <row r="55" spans="1:8" ht="15.75">
      <c r="A55" s="112" t="s">
        <v>13</v>
      </c>
      <c r="B55" s="109" t="s">
        <v>12</v>
      </c>
      <c r="C55" s="234"/>
      <c r="D55" s="227">
        <v>0</v>
      </c>
      <c r="E55" s="34"/>
      <c r="F55" s="34"/>
      <c r="G55" s="34"/>
      <c r="H55" s="34"/>
    </row>
    <row r="56" spans="1:8" ht="15.75">
      <c r="A56" s="112" t="s">
        <v>14</v>
      </c>
      <c r="B56" s="109" t="s">
        <v>12</v>
      </c>
      <c r="C56" s="234"/>
      <c r="D56" s="79">
        <v>75794.22</v>
      </c>
      <c r="E56" s="51"/>
      <c r="F56" s="34"/>
      <c r="G56" s="34"/>
      <c r="H56" s="34"/>
    </row>
    <row r="57" spans="1:8" ht="16.5" customHeight="1">
      <c r="A57" s="489" t="s">
        <v>55</v>
      </c>
      <c r="B57" s="489"/>
      <c r="C57" s="489"/>
      <c r="D57" s="489"/>
      <c r="E57" s="34"/>
      <c r="F57" s="34"/>
      <c r="G57" s="34"/>
      <c r="H57" s="34"/>
    </row>
    <row r="58" spans="1:8" ht="15.75">
      <c r="A58" s="112" t="s">
        <v>56</v>
      </c>
      <c r="B58" s="232" t="s">
        <v>57</v>
      </c>
      <c r="C58" s="234">
        <v>0</v>
      </c>
      <c r="D58" s="227">
        <v>0</v>
      </c>
      <c r="E58" s="34"/>
      <c r="F58" s="34"/>
      <c r="G58" s="34"/>
      <c r="H58" s="34"/>
    </row>
    <row r="59" spans="1:8" ht="15.75">
      <c r="A59" s="112" t="s">
        <v>58</v>
      </c>
      <c r="B59" s="232" t="s">
        <v>57</v>
      </c>
      <c r="C59" s="234">
        <v>0</v>
      </c>
      <c r="D59" s="227">
        <v>0</v>
      </c>
      <c r="E59" s="34"/>
      <c r="F59" s="34"/>
      <c r="G59" s="34"/>
      <c r="H59" s="34"/>
    </row>
    <row r="60" spans="1:8" ht="26.25">
      <c r="A60" s="127" t="s">
        <v>59</v>
      </c>
      <c r="B60" s="232" t="s">
        <v>57</v>
      </c>
      <c r="C60" s="234">
        <v>0</v>
      </c>
      <c r="D60" s="227">
        <v>0</v>
      </c>
      <c r="E60" s="34"/>
      <c r="F60" s="34"/>
      <c r="G60" s="34"/>
      <c r="H60" s="34"/>
    </row>
    <row r="61" spans="1:8" ht="15.75">
      <c r="A61" s="112" t="s">
        <v>60</v>
      </c>
      <c r="B61" s="232" t="s">
        <v>12</v>
      </c>
      <c r="C61" s="234">
        <v>0</v>
      </c>
      <c r="D61" s="227">
        <v>0</v>
      </c>
      <c r="E61" s="34"/>
      <c r="F61" s="34"/>
      <c r="G61" s="34"/>
      <c r="H61" s="34"/>
    </row>
    <row r="62" spans="1:8" ht="12.75">
      <c r="A62" s="482" t="s">
        <v>61</v>
      </c>
      <c r="B62" s="483"/>
      <c r="C62" s="483"/>
      <c r="D62" s="484"/>
      <c r="E62" s="34"/>
      <c r="F62" s="34"/>
      <c r="G62" s="34"/>
      <c r="H62" s="34"/>
    </row>
    <row r="63" spans="1:8" ht="26.25">
      <c r="A63" s="182" t="s">
        <v>62</v>
      </c>
      <c r="B63" s="375" t="s">
        <v>12</v>
      </c>
      <c r="C63" s="376"/>
      <c r="D63" s="395">
        <v>0</v>
      </c>
      <c r="E63" s="34"/>
      <c r="F63" s="34"/>
      <c r="G63" s="34"/>
      <c r="H63" s="34"/>
    </row>
    <row r="64" spans="1:8" ht="15.75">
      <c r="A64" s="182" t="s">
        <v>13</v>
      </c>
      <c r="B64" s="375" t="s">
        <v>12</v>
      </c>
      <c r="C64" s="376"/>
      <c r="D64" s="377">
        <v>0</v>
      </c>
      <c r="E64" s="34"/>
      <c r="F64" s="34"/>
      <c r="G64" s="34"/>
      <c r="H64" s="34"/>
    </row>
    <row r="65" spans="1:8" ht="15.75">
      <c r="A65" s="378" t="s">
        <v>14</v>
      </c>
      <c r="B65" s="375" t="s">
        <v>12</v>
      </c>
      <c r="C65" s="376"/>
      <c r="D65" s="458">
        <v>4907.67</v>
      </c>
      <c r="E65" s="34"/>
      <c r="F65" s="34"/>
      <c r="G65" s="34"/>
      <c r="H65" s="34"/>
    </row>
    <row r="66" spans="1:8" ht="26.25">
      <c r="A66" s="182" t="s">
        <v>63</v>
      </c>
      <c r="B66" s="375" t="s">
        <v>12</v>
      </c>
      <c r="C66" s="376"/>
      <c r="D66" s="377"/>
      <c r="E66" s="34"/>
      <c r="F66" s="34"/>
      <c r="G66" s="34"/>
      <c r="H66" s="34"/>
    </row>
    <row r="67" spans="1:8" ht="15.75">
      <c r="A67" s="378" t="s">
        <v>13</v>
      </c>
      <c r="B67" s="375" t="s">
        <v>12</v>
      </c>
      <c r="C67" s="376"/>
      <c r="D67" s="377">
        <v>0</v>
      </c>
      <c r="E67" s="34"/>
      <c r="F67" s="34"/>
      <c r="G67" s="34"/>
      <c r="H67" s="34"/>
    </row>
    <row r="68" spans="1:8" ht="15.75">
      <c r="A68" s="378" t="s">
        <v>14</v>
      </c>
      <c r="B68" s="375" t="s">
        <v>12</v>
      </c>
      <c r="C68" s="376"/>
      <c r="D68" s="387">
        <f>D65+D71</f>
        <v>29191.24459199999</v>
      </c>
      <c r="E68" s="34"/>
      <c r="F68" s="34"/>
      <c r="G68" s="34"/>
      <c r="H68" s="34"/>
    </row>
    <row r="69" spans="1:8" ht="13.5" thickBot="1">
      <c r="A69" s="485" t="s">
        <v>64</v>
      </c>
      <c r="B69" s="486"/>
      <c r="C69" s="486"/>
      <c r="D69" s="487"/>
      <c r="E69" s="34"/>
      <c r="F69" s="34"/>
      <c r="G69" s="34"/>
      <c r="H69" s="34"/>
    </row>
    <row r="70" spans="1:8" ht="51">
      <c r="A70" s="380" t="s">
        <v>65</v>
      </c>
      <c r="B70" s="381" t="s">
        <v>66</v>
      </c>
      <c r="C70" s="381" t="s">
        <v>67</v>
      </c>
      <c r="D70" s="382" t="s">
        <v>68</v>
      </c>
      <c r="E70" s="34"/>
      <c r="F70" s="34"/>
      <c r="G70" s="34"/>
      <c r="H70" s="34"/>
    </row>
    <row r="71" spans="1:8" ht="20.25" customHeight="1" thickBot="1">
      <c r="A71" s="383" t="s">
        <v>192</v>
      </c>
      <c r="B71" s="384">
        <v>165645.12</v>
      </c>
      <c r="C71" s="385">
        <f>B71*0.8534</f>
        <v>141361.545408</v>
      </c>
      <c r="D71" s="386">
        <f>B71-C71</f>
        <v>24283.57459199999</v>
      </c>
      <c r="E71" s="34"/>
      <c r="F71" s="34"/>
      <c r="G71" s="34"/>
      <c r="H71" s="34"/>
    </row>
    <row r="72" spans="1:8" ht="79.5" customHeight="1">
      <c r="A72" s="380" t="s">
        <v>74</v>
      </c>
      <c r="B72" s="381" t="s">
        <v>75</v>
      </c>
      <c r="C72" s="381" t="s">
        <v>76</v>
      </c>
      <c r="D72" s="382" t="s">
        <v>77</v>
      </c>
      <c r="E72" s="34"/>
      <c r="F72" s="34"/>
      <c r="G72" s="34"/>
      <c r="H72" s="34"/>
    </row>
    <row r="73" spans="1:8" ht="20.25" customHeight="1" thickBot="1">
      <c r="A73" s="383" t="s">
        <v>192</v>
      </c>
      <c r="B73" s="384">
        <f>B71</f>
        <v>165645.12</v>
      </c>
      <c r="C73" s="385">
        <f>C71</f>
        <v>141361.545408</v>
      </c>
      <c r="D73" s="386">
        <f>B73-C73</f>
        <v>24283.57459199999</v>
      </c>
      <c r="E73" s="34"/>
      <c r="F73" s="34"/>
      <c r="G73" s="34"/>
      <c r="H73" s="34"/>
    </row>
    <row r="74" spans="1:14" ht="17.25" customHeight="1">
      <c r="A74" s="490" t="s">
        <v>79</v>
      </c>
      <c r="B74" s="490"/>
      <c r="C74" s="490"/>
      <c r="D74" s="490"/>
      <c r="E74" s="48" t="e">
        <f>D74+B18</f>
        <v>#VALUE!</v>
      </c>
      <c r="F74" s="8"/>
      <c r="H74" s="18" t="e">
        <f>E74-B17</f>
        <v>#VALUE!</v>
      </c>
      <c r="I74" s="8"/>
      <c r="J74" s="8"/>
      <c r="K74" s="9"/>
      <c r="L74" s="9"/>
      <c r="M74" s="9"/>
      <c r="N74" s="9"/>
    </row>
    <row r="75" spans="1:5" ht="21" customHeight="1">
      <c r="A75" s="19" t="s">
        <v>56</v>
      </c>
      <c r="B75" s="19" t="s">
        <v>57</v>
      </c>
      <c r="C75" s="27"/>
      <c r="D75" s="80">
        <v>0</v>
      </c>
      <c r="E75" s="49"/>
    </row>
    <row r="76" spans="1:5" ht="21" customHeight="1">
      <c r="A76" s="19" t="s">
        <v>58</v>
      </c>
      <c r="B76" s="19" t="s">
        <v>57</v>
      </c>
      <c r="C76" s="27"/>
      <c r="D76" s="80">
        <v>0</v>
      </c>
      <c r="E76" s="49"/>
    </row>
    <row r="77" spans="1:14" s="1" customFormat="1" ht="18" customHeight="1">
      <c r="A77" s="19" t="s">
        <v>59</v>
      </c>
      <c r="B77" s="19" t="s">
        <v>57</v>
      </c>
      <c r="C77" s="27"/>
      <c r="D77" s="80">
        <v>0</v>
      </c>
      <c r="E77" s="49"/>
      <c r="K77"/>
      <c r="L77"/>
      <c r="M77"/>
      <c r="N77"/>
    </row>
    <row r="78" spans="1:14" s="1" customFormat="1" ht="16.5" customHeight="1">
      <c r="A78" s="19" t="s">
        <v>60</v>
      </c>
      <c r="B78" s="19" t="s">
        <v>12</v>
      </c>
      <c r="C78" s="27"/>
      <c r="D78" s="80">
        <v>0</v>
      </c>
      <c r="E78" s="49"/>
      <c r="K78"/>
      <c r="L78"/>
      <c r="M78"/>
      <c r="N78"/>
    </row>
    <row r="79" spans="1:14" s="1" customFormat="1" ht="15.75" customHeight="1">
      <c r="A79" s="491" t="s">
        <v>80</v>
      </c>
      <c r="B79" s="491"/>
      <c r="C79" s="491"/>
      <c r="D79" s="491"/>
      <c r="E79" s="49"/>
      <c r="K79"/>
      <c r="L79"/>
      <c r="M79"/>
      <c r="N79"/>
    </row>
    <row r="80" spans="1:14" s="1" customFormat="1" ht="18.75" customHeight="1">
      <c r="A80" s="19" t="s">
        <v>81</v>
      </c>
      <c r="B80" s="19" t="s">
        <v>57</v>
      </c>
      <c r="C80" s="27"/>
      <c r="D80" s="80">
        <v>4</v>
      </c>
      <c r="E80" s="49"/>
      <c r="K80"/>
      <c r="L80"/>
      <c r="M80"/>
      <c r="N80"/>
    </row>
    <row r="81" spans="1:14" s="1" customFormat="1" ht="21.75" customHeight="1">
      <c r="A81" s="19" t="s">
        <v>82</v>
      </c>
      <c r="B81" s="132" t="s">
        <v>57</v>
      </c>
      <c r="C81" s="142"/>
      <c r="D81" s="80">
        <v>3</v>
      </c>
      <c r="E81" s="49"/>
      <c r="K81"/>
      <c r="L81"/>
      <c r="M81"/>
      <c r="N81"/>
    </row>
    <row r="82" spans="1:14" s="1" customFormat="1" ht="24.75" customHeight="1">
      <c r="A82" s="143" t="s">
        <v>83</v>
      </c>
      <c r="B82" s="19" t="s">
        <v>12</v>
      </c>
      <c r="C82" s="27"/>
      <c r="D82" s="80">
        <v>24205.27</v>
      </c>
      <c r="E82" s="49"/>
      <c r="K82"/>
      <c r="L82"/>
      <c r="M82"/>
      <c r="N82"/>
    </row>
    <row r="83" spans="1:14" s="1" customFormat="1" ht="12.75">
      <c r="A83" s="78"/>
      <c r="B83" s="78"/>
      <c r="C83" s="78"/>
      <c r="D83" s="78"/>
      <c r="E83" s="34"/>
      <c r="H83" s="1" t="s">
        <v>27</v>
      </c>
      <c r="K83"/>
      <c r="L83"/>
      <c r="M83"/>
      <c r="N83"/>
    </row>
    <row r="84" spans="1:14" s="1" customFormat="1" ht="12.75">
      <c r="A84" s="87" t="s">
        <v>155</v>
      </c>
      <c r="B84" s="78"/>
      <c r="C84" s="78"/>
      <c r="D84" s="78"/>
      <c r="E84" s="34"/>
      <c r="K84"/>
      <c r="L84"/>
      <c r="M84"/>
      <c r="N84"/>
    </row>
    <row r="85" spans="1:14" s="1" customFormat="1" ht="12.75">
      <c r="A85" s="78" t="s">
        <v>84</v>
      </c>
      <c r="B85" s="78"/>
      <c r="C85" s="78"/>
      <c r="D85" s="78"/>
      <c r="E85" s="34"/>
      <c r="H85" s="1" t="s">
        <v>27</v>
      </c>
      <c r="K85"/>
      <c r="L85"/>
      <c r="M85"/>
      <c r="N85"/>
    </row>
    <row r="86" spans="1:14" s="1" customFormat="1" ht="12.75">
      <c r="A86" s="78"/>
      <c r="B86" s="78"/>
      <c r="C86" s="78"/>
      <c r="D86" s="78"/>
      <c r="E86" s="34"/>
      <c r="K86"/>
      <c r="L86"/>
      <c r="M86"/>
      <c r="N86"/>
    </row>
    <row r="87" spans="1:5" ht="12.75">
      <c r="A87" s="78"/>
      <c r="B87" s="78"/>
      <c r="C87" s="78"/>
      <c r="D87" s="78"/>
      <c r="E87" s="34"/>
    </row>
    <row r="88" ht="12.75">
      <c r="E88" s="34"/>
    </row>
    <row r="89" ht="12.75">
      <c r="E89" s="34"/>
    </row>
    <row r="90" spans="1:14" s="1" customFormat="1" ht="12.75">
      <c r="A90"/>
      <c r="B90"/>
      <c r="C90"/>
      <c r="D90"/>
      <c r="E90" s="1" t="s">
        <v>27</v>
      </c>
      <c r="K90"/>
      <c r="L90"/>
      <c r="M90"/>
      <c r="N90"/>
    </row>
  </sheetData>
  <sheetProtection selectLockedCells="1" selectUnlockedCells="1"/>
  <mergeCells count="13">
    <mergeCell ref="A62:D62"/>
    <mergeCell ref="A69:D69"/>
    <mergeCell ref="A27:D27"/>
    <mergeCell ref="A57:D57"/>
    <mergeCell ref="A74:D74"/>
    <mergeCell ref="A79:D79"/>
    <mergeCell ref="A1:D1"/>
    <mergeCell ref="A2:D2"/>
    <mergeCell ref="A3:D3"/>
    <mergeCell ref="A4:D4"/>
    <mergeCell ref="A5:D5"/>
    <mergeCell ref="A13:D13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zoomScale="112" zoomScaleNormal="112" zoomScalePageLayoutView="0" workbookViewId="0" topLeftCell="A40">
      <selection activeCell="D52" sqref="D52"/>
    </sheetView>
  </sheetViews>
  <sheetFormatPr defaultColWidth="11.57421875" defaultRowHeight="12.75"/>
  <cols>
    <col min="1" max="1" width="55.140625" style="0" customWidth="1"/>
    <col min="2" max="2" width="18.421875" style="0" customWidth="1"/>
    <col min="3" max="3" width="23.28125" style="0" customWidth="1"/>
    <col min="4" max="4" width="15.71093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2.75">
      <c r="A1" s="478" t="s">
        <v>0</v>
      </c>
      <c r="B1" s="478"/>
      <c r="C1" s="478"/>
      <c r="D1" s="478"/>
    </row>
    <row r="2" spans="1:4" ht="12.75">
      <c r="A2" s="477" t="s">
        <v>163</v>
      </c>
      <c r="B2" s="478"/>
      <c r="C2" s="478"/>
      <c r="D2" s="478"/>
    </row>
    <row r="3" spans="1:4" ht="12.75">
      <c r="A3" s="478" t="s">
        <v>1</v>
      </c>
      <c r="B3" s="478"/>
      <c r="C3" s="478"/>
      <c r="D3" s="478"/>
    </row>
    <row r="4" spans="1:4" ht="12.75">
      <c r="A4" s="478" t="s">
        <v>108</v>
      </c>
      <c r="B4" s="478"/>
      <c r="C4" s="478"/>
      <c r="D4" s="478"/>
    </row>
    <row r="5" spans="1:4" ht="12.75">
      <c r="A5" s="477" t="s">
        <v>203</v>
      </c>
      <c r="B5" s="478"/>
      <c r="C5" s="478"/>
      <c r="D5" s="478"/>
    </row>
    <row r="6" spans="1:4" ht="16.5" customHeight="1">
      <c r="A6" s="195" t="s">
        <v>115</v>
      </c>
      <c r="B6" s="78"/>
      <c r="C6" s="78"/>
      <c r="D6" s="78"/>
    </row>
    <row r="7" spans="1:4" ht="13.5" customHeight="1">
      <c r="A7" s="22" t="s">
        <v>3</v>
      </c>
      <c r="B7" s="22"/>
      <c r="C7" s="22"/>
      <c r="D7" s="22"/>
    </row>
    <row r="8" spans="1:4" ht="13.5" customHeight="1">
      <c r="A8" s="52" t="s">
        <v>184</v>
      </c>
      <c r="B8" s="22"/>
      <c r="C8" s="22"/>
      <c r="D8" s="22"/>
    </row>
    <row r="9" spans="1:5" ht="12.75">
      <c r="A9" s="91">
        <v>1</v>
      </c>
      <c r="B9" s="91">
        <v>2</v>
      </c>
      <c r="C9" s="91">
        <v>3</v>
      </c>
      <c r="D9" s="92">
        <v>4</v>
      </c>
      <c r="E9" s="34"/>
    </row>
    <row r="10" spans="1:5" ht="12.75">
      <c r="A10" s="64" t="s">
        <v>7</v>
      </c>
      <c r="B10" s="93"/>
      <c r="C10" s="94" t="s">
        <v>204</v>
      </c>
      <c r="D10" s="77"/>
      <c r="E10" s="34"/>
    </row>
    <row r="11" spans="1:5" ht="12.75">
      <c r="A11" s="64" t="s">
        <v>8</v>
      </c>
      <c r="B11" s="93"/>
      <c r="C11" s="94" t="s">
        <v>205</v>
      </c>
      <c r="D11" s="77"/>
      <c r="E11" s="34"/>
    </row>
    <row r="12" spans="1:5" ht="12.75">
      <c r="A12" s="64" t="s">
        <v>9</v>
      </c>
      <c r="B12" s="93"/>
      <c r="C12" s="94" t="s">
        <v>206</v>
      </c>
      <c r="D12" s="77"/>
      <c r="E12" s="34"/>
    </row>
    <row r="13" spans="1:5" ht="31.5" customHeight="1">
      <c r="A13" s="493" t="s">
        <v>10</v>
      </c>
      <c r="B13" s="493"/>
      <c r="C13" s="493"/>
      <c r="D13" s="493"/>
      <c r="E13" s="34"/>
    </row>
    <row r="14" spans="1:14" s="1" customFormat="1" ht="12.75">
      <c r="A14" s="64" t="s">
        <v>93</v>
      </c>
      <c r="B14" s="95" t="s">
        <v>12</v>
      </c>
      <c r="C14" s="71">
        <v>161969.47</v>
      </c>
      <c r="D14" s="77"/>
      <c r="E14" s="34"/>
      <c r="F14" s="34"/>
      <c r="G14" s="34"/>
      <c r="H14" s="34"/>
      <c r="K14"/>
      <c r="L14"/>
      <c r="M14"/>
      <c r="N14"/>
    </row>
    <row r="15" spans="1:14" s="1" customFormat="1" ht="12.75">
      <c r="A15" s="64" t="s">
        <v>13</v>
      </c>
      <c r="B15" s="95" t="s">
        <v>12</v>
      </c>
      <c r="C15" s="96">
        <v>0</v>
      </c>
      <c r="D15" s="77"/>
      <c r="E15" s="34"/>
      <c r="F15" s="34"/>
      <c r="G15" s="34"/>
      <c r="H15" s="34"/>
      <c r="K15"/>
      <c r="L15"/>
      <c r="M15"/>
      <c r="N15"/>
    </row>
    <row r="16" spans="1:14" s="1" customFormat="1" ht="12.75">
      <c r="A16" s="64" t="s">
        <v>14</v>
      </c>
      <c r="B16" s="95" t="s">
        <v>12</v>
      </c>
      <c r="C16" s="71">
        <v>114076.07</v>
      </c>
      <c r="D16" s="75"/>
      <c r="E16" s="34"/>
      <c r="F16" s="34"/>
      <c r="G16" s="34"/>
      <c r="H16" s="34"/>
      <c r="K16"/>
      <c r="L16"/>
      <c r="M16"/>
      <c r="N16"/>
    </row>
    <row r="17" spans="1:14" s="1" customFormat="1" ht="31.5" customHeight="1">
      <c r="A17" s="63" t="s">
        <v>15</v>
      </c>
      <c r="B17" s="95" t="s">
        <v>12</v>
      </c>
      <c r="C17" s="71">
        <f>411133.44+3904.8+2343.12+22782.72</f>
        <v>440164.07999999996</v>
      </c>
      <c r="D17" s="75"/>
      <c r="E17" s="41">
        <f>C17-C19-29030.64</f>
        <v>308284.9199999999</v>
      </c>
      <c r="F17" s="34"/>
      <c r="G17" s="34"/>
      <c r="H17" s="34"/>
      <c r="K17"/>
      <c r="L17"/>
      <c r="M17"/>
      <c r="N17"/>
    </row>
    <row r="18" spans="1:8" ht="12.75">
      <c r="A18" s="64" t="s">
        <v>16</v>
      </c>
      <c r="B18" s="95" t="s">
        <v>12</v>
      </c>
      <c r="C18" s="71">
        <f>C17-C19-C20</f>
        <v>228218.01599999992</v>
      </c>
      <c r="D18" s="75"/>
      <c r="E18" s="35">
        <f>E17-E52</f>
        <v>-740.0040000000736</v>
      </c>
      <c r="F18" s="34"/>
      <c r="G18" s="34"/>
      <c r="H18" s="34"/>
    </row>
    <row r="19" spans="1:8" ht="12.75">
      <c r="A19" s="64" t="s">
        <v>17</v>
      </c>
      <c r="B19" s="95" t="s">
        <v>12</v>
      </c>
      <c r="C19" s="71">
        <f>3.95*12*2169.8</f>
        <v>102848.52000000002</v>
      </c>
      <c r="D19" s="75"/>
      <c r="E19" s="42"/>
      <c r="F19" s="34"/>
      <c r="G19" s="34"/>
      <c r="H19" s="34"/>
    </row>
    <row r="20" spans="1:8" ht="12.75">
      <c r="A20" s="64" t="s">
        <v>18</v>
      </c>
      <c r="B20" s="95" t="s">
        <v>12</v>
      </c>
      <c r="C20" s="71">
        <f>2169.8*4.19*12</f>
        <v>109097.54400000002</v>
      </c>
      <c r="D20" s="75"/>
      <c r="E20" s="42"/>
      <c r="F20" s="34"/>
      <c r="G20" s="34"/>
      <c r="H20" s="34"/>
    </row>
    <row r="21" spans="1:8" ht="12.75">
      <c r="A21" s="64" t="s">
        <v>19</v>
      </c>
      <c r="B21" s="95" t="s">
        <v>12</v>
      </c>
      <c r="C21" s="71">
        <f>C22+C23+C24+C25</f>
        <v>531698.195688</v>
      </c>
      <c r="D21" s="75" t="s">
        <v>20</v>
      </c>
      <c r="E21" s="41"/>
      <c r="F21" s="34"/>
      <c r="G21" s="34"/>
      <c r="H21" s="34"/>
    </row>
    <row r="22" spans="1:8" ht="12.75">
      <c r="A22" s="64" t="s">
        <v>21</v>
      </c>
      <c r="B22" s="95" t="s">
        <v>12</v>
      </c>
      <c r="C22" s="71">
        <f>C17*1.1911</f>
        <v>524279.435688</v>
      </c>
      <c r="D22" s="75"/>
      <c r="E22" s="34"/>
      <c r="F22" s="34"/>
      <c r="G22" s="34"/>
      <c r="H22" s="34"/>
    </row>
    <row r="23" spans="1:8" ht="12.75">
      <c r="A23" s="64" t="s">
        <v>22</v>
      </c>
      <c r="B23" s="95" t="s">
        <v>12</v>
      </c>
      <c r="C23" s="71"/>
      <c r="D23" s="75"/>
      <c r="E23" s="42"/>
      <c r="F23" s="34"/>
      <c r="G23" s="34"/>
      <c r="H23" s="34"/>
    </row>
    <row r="24" spans="1:5" ht="12.75">
      <c r="A24" s="64" t="s">
        <v>24</v>
      </c>
      <c r="B24" s="95" t="s">
        <v>12</v>
      </c>
      <c r="C24" s="71">
        <v>0</v>
      </c>
      <c r="D24" s="75"/>
      <c r="E24" s="42"/>
    </row>
    <row r="25" spans="1:5" ht="12.75">
      <c r="A25" s="93" t="s">
        <v>25</v>
      </c>
      <c r="B25" s="95" t="s">
        <v>12</v>
      </c>
      <c r="C25" s="71">
        <f>4526.28+2892.48</f>
        <v>7418.76</v>
      </c>
      <c r="D25" s="75"/>
      <c r="E25" s="42"/>
    </row>
    <row r="26" spans="1:5" ht="12.75">
      <c r="A26" s="64" t="s">
        <v>26</v>
      </c>
      <c r="B26" s="95" t="s">
        <v>12</v>
      </c>
      <c r="C26" s="71">
        <f>C14+C21</f>
        <v>693667.6656879999</v>
      </c>
      <c r="D26" s="75" t="s">
        <v>27</v>
      </c>
      <c r="E26" s="42"/>
    </row>
    <row r="27" spans="1:5" ht="35.25" customHeight="1">
      <c r="A27" s="496" t="s">
        <v>28</v>
      </c>
      <c r="B27" s="496"/>
      <c r="C27" s="496"/>
      <c r="D27" s="496"/>
      <c r="E27" s="34"/>
    </row>
    <row r="28" spans="1:5" ht="51">
      <c r="A28" s="127" t="s">
        <v>29</v>
      </c>
      <c r="B28" s="169" t="s">
        <v>30</v>
      </c>
      <c r="C28" s="196" t="s">
        <v>31</v>
      </c>
      <c r="D28" s="197" t="s">
        <v>32</v>
      </c>
      <c r="E28" s="34"/>
    </row>
    <row r="29" spans="1:5" ht="12.75">
      <c r="A29" s="112" t="s">
        <v>94</v>
      </c>
      <c r="B29" s="109" t="s">
        <v>34</v>
      </c>
      <c r="C29" s="110" t="s">
        <v>190</v>
      </c>
      <c r="D29" s="75">
        <f>2169.8*0.5*12</f>
        <v>13018.800000000001</v>
      </c>
      <c r="E29" s="34"/>
    </row>
    <row r="30" spans="1:5" ht="12.75">
      <c r="A30" s="219" t="s">
        <v>87</v>
      </c>
      <c r="B30" s="109" t="s">
        <v>36</v>
      </c>
      <c r="C30" s="112" t="s">
        <v>43</v>
      </c>
      <c r="D30" s="75">
        <f>2.4*12*2169.8</f>
        <v>62490.24</v>
      </c>
      <c r="E30" s="34"/>
    </row>
    <row r="31" spans="1:14" s="1" customFormat="1" ht="12.75">
      <c r="A31" s="112" t="s">
        <v>189</v>
      </c>
      <c r="B31" s="109" t="s">
        <v>42</v>
      </c>
      <c r="C31" s="112" t="s">
        <v>367</v>
      </c>
      <c r="D31" s="75">
        <f>0.15*12*2169.8+740</f>
        <v>4645.639999999999</v>
      </c>
      <c r="E31" s="472" t="s">
        <v>315</v>
      </c>
      <c r="K31"/>
      <c r="L31"/>
      <c r="M31"/>
      <c r="N31"/>
    </row>
    <row r="32" spans="1:14" s="1" customFormat="1" ht="12.75">
      <c r="A32" s="112" t="s">
        <v>95</v>
      </c>
      <c r="B32" s="109" t="s">
        <v>34</v>
      </c>
      <c r="C32" s="112" t="s">
        <v>40</v>
      </c>
      <c r="D32" s="75">
        <f>0.24*12*2169.8</f>
        <v>6249.024</v>
      </c>
      <c r="E32" s="34"/>
      <c r="K32"/>
      <c r="L32"/>
      <c r="M32"/>
      <c r="N32"/>
    </row>
    <row r="33" spans="1:14" s="1" customFormat="1" ht="12.75">
      <c r="A33" s="112" t="s">
        <v>104</v>
      </c>
      <c r="B33" s="295" t="s">
        <v>34</v>
      </c>
      <c r="C33" s="112" t="s">
        <v>43</v>
      </c>
      <c r="D33" s="75">
        <f>0.73*12*2169.8</f>
        <v>19007.448</v>
      </c>
      <c r="E33" s="34"/>
      <c r="K33"/>
      <c r="L33"/>
      <c r="M33"/>
      <c r="N33"/>
    </row>
    <row r="34" spans="1:14" s="1" customFormat="1" ht="25.5">
      <c r="A34" s="127" t="s">
        <v>88</v>
      </c>
      <c r="B34" s="109" t="s">
        <v>34</v>
      </c>
      <c r="C34" s="112" t="s">
        <v>43</v>
      </c>
      <c r="D34" s="75">
        <f>2169.8*2.12*12</f>
        <v>55199.71200000001</v>
      </c>
      <c r="E34" s="34"/>
      <c r="K34"/>
      <c r="L34"/>
      <c r="M34"/>
      <c r="N34"/>
    </row>
    <row r="35" spans="1:14" s="1" customFormat="1" ht="12.75">
      <c r="A35" s="112" t="s">
        <v>45</v>
      </c>
      <c r="B35" s="109" t="s">
        <v>46</v>
      </c>
      <c r="C35" s="112" t="s">
        <v>43</v>
      </c>
      <c r="D35" s="75">
        <f>1.33*12*2169.8</f>
        <v>34630.008</v>
      </c>
      <c r="E35" s="34"/>
      <c r="K35"/>
      <c r="L35"/>
      <c r="M35"/>
      <c r="N35"/>
    </row>
    <row r="36" spans="1:14" s="1" customFormat="1" ht="12.75">
      <c r="A36" s="112" t="s">
        <v>97</v>
      </c>
      <c r="B36" s="109" t="s">
        <v>38</v>
      </c>
      <c r="C36" s="112" t="s">
        <v>159</v>
      </c>
      <c r="D36" s="75">
        <f>2169.8*4.19*12</f>
        <v>109097.54400000002</v>
      </c>
      <c r="E36" s="34"/>
      <c r="K36"/>
      <c r="L36"/>
      <c r="M36"/>
      <c r="N36"/>
    </row>
    <row r="37" spans="1:14" s="1" customFormat="1" ht="12.75">
      <c r="A37" s="112" t="s">
        <v>100</v>
      </c>
      <c r="B37" s="109" t="s">
        <v>161</v>
      </c>
      <c r="C37" s="112" t="s">
        <v>40</v>
      </c>
      <c r="D37" s="75">
        <f>2169.8*0.18*12-0.26</f>
        <v>4686.508</v>
      </c>
      <c r="E37" s="34"/>
      <c r="K37"/>
      <c r="L37"/>
      <c r="M37"/>
      <c r="N37"/>
    </row>
    <row r="38" spans="1:14" s="1" customFormat="1" ht="12.75">
      <c r="A38" s="112" t="s">
        <v>142</v>
      </c>
      <c r="B38" s="109"/>
      <c r="C38" s="112"/>
      <c r="D38" s="75"/>
      <c r="E38" s="34"/>
      <c r="F38" s="34"/>
      <c r="G38" s="34"/>
      <c r="H38" s="34"/>
      <c r="K38"/>
      <c r="L38"/>
      <c r="M38"/>
      <c r="N38"/>
    </row>
    <row r="39" spans="1:14" s="1" customFormat="1" ht="12.75">
      <c r="A39" s="112" t="s">
        <v>140</v>
      </c>
      <c r="B39" s="109" t="s">
        <v>38</v>
      </c>
      <c r="C39" s="112" t="s">
        <v>143</v>
      </c>
      <c r="D39" s="75">
        <f>2343.12+3904.8</f>
        <v>6247.92</v>
      </c>
      <c r="E39" s="34"/>
      <c r="F39" s="34"/>
      <c r="G39" s="34"/>
      <c r="H39" s="34"/>
      <c r="K39"/>
      <c r="L39"/>
      <c r="M39"/>
      <c r="N39"/>
    </row>
    <row r="40" spans="1:14" s="1" customFormat="1" ht="12.75">
      <c r="A40" s="112" t="s">
        <v>141</v>
      </c>
      <c r="B40" s="109" t="s">
        <v>38</v>
      </c>
      <c r="C40" s="112" t="s">
        <v>144</v>
      </c>
      <c r="D40" s="75">
        <v>33666.25</v>
      </c>
      <c r="E40" s="34"/>
      <c r="F40" s="34"/>
      <c r="G40" s="34"/>
      <c r="H40" s="34"/>
      <c r="K40"/>
      <c r="L40"/>
      <c r="M40"/>
      <c r="N40"/>
    </row>
    <row r="41" spans="1:14" s="1" customFormat="1" ht="53.25" customHeight="1">
      <c r="A41" s="200" t="s">
        <v>134</v>
      </c>
      <c r="B41" s="201" t="s">
        <v>52</v>
      </c>
      <c r="C41" s="199"/>
      <c r="D41" s="350">
        <f>D42+D43+D44+D45+D47+D48+D49+D50+D51+D46</f>
        <v>150527</v>
      </c>
      <c r="E41" s="34"/>
      <c r="F41" s="34"/>
      <c r="G41" s="34"/>
      <c r="H41" s="34"/>
      <c r="K41"/>
      <c r="L41"/>
      <c r="M41"/>
      <c r="N41"/>
    </row>
    <row r="42" spans="1:14" s="1" customFormat="1" ht="19.5" customHeight="1">
      <c r="A42" s="218" t="s">
        <v>309</v>
      </c>
      <c r="B42" s="201" t="s">
        <v>175</v>
      </c>
      <c r="C42" s="112" t="s">
        <v>43</v>
      </c>
      <c r="D42" s="74">
        <v>2225</v>
      </c>
      <c r="E42" s="34"/>
      <c r="F42" s="34"/>
      <c r="G42" s="34"/>
      <c r="H42" s="34"/>
      <c r="K42"/>
      <c r="L42"/>
      <c r="M42"/>
      <c r="N42"/>
    </row>
    <row r="43" spans="1:14" s="1" customFormat="1" ht="15" customHeight="1">
      <c r="A43" s="200" t="s">
        <v>178</v>
      </c>
      <c r="B43" s="201" t="s">
        <v>121</v>
      </c>
      <c r="C43" s="112" t="s">
        <v>162</v>
      </c>
      <c r="D43" s="74">
        <v>352</v>
      </c>
      <c r="E43" s="34"/>
      <c r="F43" s="34"/>
      <c r="G43" s="34"/>
      <c r="H43" s="34"/>
      <c r="K43"/>
      <c r="L43"/>
      <c r="M43"/>
      <c r="N43"/>
    </row>
    <row r="44" spans="1:14" s="1" customFormat="1" ht="20.25" customHeight="1">
      <c r="A44" s="198" t="s">
        <v>207</v>
      </c>
      <c r="B44" s="201" t="s">
        <v>121</v>
      </c>
      <c r="C44" s="199" t="s">
        <v>162</v>
      </c>
      <c r="D44" s="74">
        <v>2549</v>
      </c>
      <c r="E44" s="34"/>
      <c r="F44" s="34"/>
      <c r="G44" s="34"/>
      <c r="H44" s="34"/>
      <c r="K44"/>
      <c r="L44"/>
      <c r="M44"/>
      <c r="N44"/>
    </row>
    <row r="45" spans="1:14" s="1" customFormat="1" ht="15.75" customHeight="1">
      <c r="A45" s="198" t="s">
        <v>310</v>
      </c>
      <c r="B45" s="201" t="s">
        <v>126</v>
      </c>
      <c r="C45" s="199" t="s">
        <v>162</v>
      </c>
      <c r="D45" s="74">
        <v>3013</v>
      </c>
      <c r="E45" s="34"/>
      <c r="F45" s="34"/>
      <c r="G45" s="34"/>
      <c r="H45" s="34"/>
      <c r="K45"/>
      <c r="L45"/>
      <c r="M45"/>
      <c r="N45"/>
    </row>
    <row r="46" spans="1:14" s="1" customFormat="1" ht="15.75" customHeight="1">
      <c r="A46" s="198" t="s">
        <v>267</v>
      </c>
      <c r="B46" s="201" t="s">
        <v>126</v>
      </c>
      <c r="C46" s="199" t="s">
        <v>162</v>
      </c>
      <c r="D46" s="74">
        <v>562</v>
      </c>
      <c r="E46" s="34"/>
      <c r="F46" s="34"/>
      <c r="G46" s="34"/>
      <c r="H46" s="34"/>
      <c r="K46"/>
      <c r="L46"/>
      <c r="M46"/>
      <c r="N46"/>
    </row>
    <row r="47" spans="1:14" s="1" customFormat="1" ht="15.75" customHeight="1">
      <c r="A47" s="198" t="s">
        <v>311</v>
      </c>
      <c r="B47" s="201" t="s">
        <v>118</v>
      </c>
      <c r="C47" s="199" t="s">
        <v>162</v>
      </c>
      <c r="D47" s="74">
        <v>5085</v>
      </c>
      <c r="E47" s="34"/>
      <c r="F47" s="34"/>
      <c r="G47" s="34"/>
      <c r="H47" s="34"/>
      <c r="K47"/>
      <c r="L47"/>
      <c r="M47"/>
      <c r="N47"/>
    </row>
    <row r="48" spans="1:14" s="1" customFormat="1" ht="15.75" customHeight="1">
      <c r="A48" s="198" t="s">
        <v>158</v>
      </c>
      <c r="B48" s="201" t="s">
        <v>119</v>
      </c>
      <c r="C48" s="199" t="s">
        <v>176</v>
      </c>
      <c r="D48" s="74">
        <v>19699</v>
      </c>
      <c r="E48" s="34"/>
      <c r="F48" s="34"/>
      <c r="G48" s="34"/>
      <c r="H48" s="34"/>
      <c r="K48"/>
      <c r="L48"/>
      <c r="M48"/>
      <c r="N48"/>
    </row>
    <row r="49" spans="1:14" s="1" customFormat="1" ht="15.75" customHeight="1">
      <c r="A49" s="198" t="s">
        <v>312</v>
      </c>
      <c r="B49" s="201" t="s">
        <v>122</v>
      </c>
      <c r="C49" s="199" t="s">
        <v>176</v>
      </c>
      <c r="D49" s="74">
        <v>72389</v>
      </c>
      <c r="E49" s="34"/>
      <c r="F49" s="34"/>
      <c r="G49" s="34"/>
      <c r="H49" s="34"/>
      <c r="K49"/>
      <c r="L49"/>
      <c r="M49"/>
      <c r="N49"/>
    </row>
    <row r="50" spans="1:14" s="1" customFormat="1" ht="15.75" customHeight="1">
      <c r="A50" s="218" t="s">
        <v>313</v>
      </c>
      <c r="B50" s="201" t="s">
        <v>122</v>
      </c>
      <c r="C50" s="199" t="s">
        <v>162</v>
      </c>
      <c r="D50" s="74">
        <v>14983</v>
      </c>
      <c r="E50" s="34"/>
      <c r="F50" s="34"/>
      <c r="G50" s="34"/>
      <c r="H50" s="34"/>
      <c r="K50"/>
      <c r="L50"/>
      <c r="M50"/>
      <c r="N50"/>
    </row>
    <row r="51" spans="1:14" s="1" customFormat="1" ht="15.75" customHeight="1">
      <c r="A51" s="218" t="s">
        <v>314</v>
      </c>
      <c r="B51" s="201" t="s">
        <v>122</v>
      </c>
      <c r="C51" s="199" t="s">
        <v>162</v>
      </c>
      <c r="D51" s="74">
        <v>29670</v>
      </c>
      <c r="E51" s="34"/>
      <c r="F51" s="34"/>
      <c r="G51" s="34"/>
      <c r="H51" s="34"/>
      <c r="K51"/>
      <c r="L51"/>
      <c r="M51"/>
      <c r="N51"/>
    </row>
    <row r="52" spans="1:14" s="1" customFormat="1" ht="12.75">
      <c r="A52" s="23" t="s">
        <v>53</v>
      </c>
      <c r="B52" s="109"/>
      <c r="C52" s="112"/>
      <c r="D52" s="75">
        <f>D29+D30+D31+D32+D33+D34+D35+D36+D37+D39+D40+D41</f>
        <v>499466.094</v>
      </c>
      <c r="E52" s="461">
        <f>D52-D39-D40-D41</f>
        <v>309024.924</v>
      </c>
      <c r="F52" s="34"/>
      <c r="G52" s="34"/>
      <c r="H52" s="34"/>
      <c r="K52"/>
      <c r="L52"/>
      <c r="M52"/>
      <c r="N52"/>
    </row>
    <row r="53" spans="1:14" s="1" customFormat="1" ht="12.75">
      <c r="A53" s="23" t="s">
        <v>54</v>
      </c>
      <c r="B53" s="109"/>
      <c r="C53" s="112"/>
      <c r="D53" s="75">
        <f>C26-D52</f>
        <v>194201.57168799994</v>
      </c>
      <c r="E53" s="468"/>
      <c r="F53" s="34"/>
      <c r="G53" s="34"/>
      <c r="H53" s="34"/>
      <c r="K53"/>
      <c r="L53"/>
      <c r="M53"/>
      <c r="N53"/>
    </row>
    <row r="54" spans="1:8" ht="12.75">
      <c r="A54" s="112" t="s">
        <v>13</v>
      </c>
      <c r="B54" s="109" t="s">
        <v>12</v>
      </c>
      <c r="C54" s="112"/>
      <c r="D54" s="77">
        <v>0</v>
      </c>
      <c r="E54" s="397"/>
      <c r="F54" s="34"/>
      <c r="G54" s="34"/>
      <c r="H54" s="34"/>
    </row>
    <row r="55" spans="1:8" ht="12.75">
      <c r="A55" s="112" t="s">
        <v>14</v>
      </c>
      <c r="B55" s="109" t="s">
        <v>12</v>
      </c>
      <c r="C55" s="112"/>
      <c r="D55" s="75">
        <f>C16+C17-C22</f>
        <v>29960.71431199991</v>
      </c>
      <c r="E55" s="35"/>
      <c r="F55" s="34"/>
      <c r="G55" s="34"/>
      <c r="H55" s="34"/>
    </row>
    <row r="56" spans="1:8" ht="24" customHeight="1">
      <c r="A56" s="495" t="s">
        <v>55</v>
      </c>
      <c r="B56" s="495"/>
      <c r="C56" s="495"/>
      <c r="D56" s="495"/>
      <c r="E56" s="34"/>
      <c r="F56" s="34"/>
      <c r="G56" s="34"/>
      <c r="H56" s="34"/>
    </row>
    <row r="57" spans="1:8" ht="12.75">
      <c r="A57" s="112" t="s">
        <v>56</v>
      </c>
      <c r="B57" s="109" t="s">
        <v>57</v>
      </c>
      <c r="C57" s="112"/>
      <c r="D57" s="77">
        <v>0</v>
      </c>
      <c r="E57" s="34"/>
      <c r="F57" s="34"/>
      <c r="G57" s="34"/>
      <c r="H57" s="34"/>
    </row>
    <row r="58" spans="1:8" ht="12.75">
      <c r="A58" s="112" t="s">
        <v>58</v>
      </c>
      <c r="B58" s="109" t="s">
        <v>57</v>
      </c>
      <c r="C58" s="112"/>
      <c r="D58" s="77">
        <v>0</v>
      </c>
      <c r="E58" s="34"/>
      <c r="F58" s="34"/>
      <c r="G58" s="34"/>
      <c r="H58" s="34"/>
    </row>
    <row r="59" spans="1:8" ht="25.5">
      <c r="A59" s="127" t="s">
        <v>59</v>
      </c>
      <c r="B59" s="109" t="s">
        <v>57</v>
      </c>
      <c r="C59" s="112"/>
      <c r="D59" s="77">
        <v>0</v>
      </c>
      <c r="E59" s="34"/>
      <c r="F59" s="34"/>
      <c r="G59" s="34"/>
      <c r="H59" s="34"/>
    </row>
    <row r="60" spans="1:8" ht="12.75">
      <c r="A60" s="112" t="s">
        <v>60</v>
      </c>
      <c r="B60" s="109" t="s">
        <v>12</v>
      </c>
      <c r="C60" s="112"/>
      <c r="D60" s="77">
        <v>0</v>
      </c>
      <c r="E60" s="34"/>
      <c r="F60" s="34"/>
      <c r="G60" s="34"/>
      <c r="H60" s="34"/>
    </row>
    <row r="61" spans="1:8" ht="20.25" customHeight="1">
      <c r="A61" s="496" t="s">
        <v>61</v>
      </c>
      <c r="B61" s="496"/>
      <c r="C61" s="496"/>
      <c r="D61" s="496"/>
      <c r="E61" s="34"/>
      <c r="F61" s="34"/>
      <c r="G61" s="34"/>
      <c r="H61" s="34"/>
    </row>
    <row r="62" spans="1:8" ht="25.5">
      <c r="A62" s="127" t="s">
        <v>62</v>
      </c>
      <c r="B62" s="109" t="s">
        <v>12</v>
      </c>
      <c r="C62" s="112"/>
      <c r="D62" s="112">
        <v>0</v>
      </c>
      <c r="E62" s="34"/>
      <c r="F62" s="34"/>
      <c r="G62" s="34"/>
      <c r="H62" s="34"/>
    </row>
    <row r="63" spans="1:8" ht="12.75">
      <c r="A63" s="112" t="s">
        <v>13</v>
      </c>
      <c r="B63" s="109" t="s">
        <v>12</v>
      </c>
      <c r="C63" s="112"/>
      <c r="D63" s="112">
        <v>0</v>
      </c>
      <c r="E63" s="34"/>
      <c r="F63" s="34"/>
      <c r="G63" s="34"/>
      <c r="H63" s="34"/>
    </row>
    <row r="64" spans="1:8" ht="12.75">
      <c r="A64" s="112" t="s">
        <v>14</v>
      </c>
      <c r="B64" s="109" t="s">
        <v>12</v>
      </c>
      <c r="C64" s="112"/>
      <c r="D64" s="223">
        <v>41231.54</v>
      </c>
      <c r="E64" s="34"/>
      <c r="F64" s="34"/>
      <c r="G64" s="34"/>
      <c r="H64" s="36"/>
    </row>
    <row r="65" spans="1:8" ht="12.75">
      <c r="A65" s="129" t="s">
        <v>101</v>
      </c>
      <c r="B65" s="109" t="s">
        <v>12</v>
      </c>
      <c r="C65" s="224"/>
      <c r="D65" s="420">
        <v>0</v>
      </c>
      <c r="E65" s="34"/>
      <c r="F65" s="34"/>
      <c r="G65" s="34"/>
      <c r="H65" s="34"/>
    </row>
    <row r="66" spans="1:10" ht="17.25" customHeight="1">
      <c r="A66" s="132" t="s">
        <v>13</v>
      </c>
      <c r="B66" s="109" t="s">
        <v>12</v>
      </c>
      <c r="C66" s="112"/>
      <c r="D66" s="112">
        <v>0</v>
      </c>
      <c r="E66" s="34"/>
      <c r="F66" s="34"/>
      <c r="G66" s="34"/>
      <c r="H66" s="34"/>
      <c r="I66" s="3"/>
      <c r="J66" s="3"/>
    </row>
    <row r="67" spans="1:14" ht="12.75">
      <c r="A67" s="133" t="s">
        <v>14</v>
      </c>
      <c r="B67" s="109" t="s">
        <v>12</v>
      </c>
      <c r="C67" s="202"/>
      <c r="D67" s="202">
        <v>0</v>
      </c>
      <c r="E67" s="34"/>
      <c r="F67" s="34"/>
      <c r="G67" s="34"/>
      <c r="H67" s="34" t="s">
        <v>27</v>
      </c>
      <c r="I67" s="4"/>
      <c r="J67" s="4"/>
      <c r="K67" s="5"/>
      <c r="L67" s="5"/>
      <c r="M67" s="5"/>
      <c r="N67" s="5"/>
    </row>
    <row r="68" spans="1:14" ht="18" customHeight="1">
      <c r="A68" s="497" t="s">
        <v>64</v>
      </c>
      <c r="B68" s="497"/>
      <c r="C68" s="497"/>
      <c r="D68" s="497"/>
      <c r="E68" s="39"/>
      <c r="F68" s="43"/>
      <c r="G68" s="44"/>
      <c r="H68" s="34"/>
      <c r="I68" s="8"/>
      <c r="J68" s="8"/>
      <c r="K68" s="9"/>
      <c r="L68" s="9"/>
      <c r="M68" s="9"/>
      <c r="N68" s="9"/>
    </row>
    <row r="69" spans="1:14" ht="38.25">
      <c r="A69" s="10" t="s">
        <v>65</v>
      </c>
      <c r="B69" s="11" t="s">
        <v>66</v>
      </c>
      <c r="C69" s="53" t="s">
        <v>67</v>
      </c>
      <c r="D69" s="54" t="s">
        <v>102</v>
      </c>
      <c r="E69" s="39"/>
      <c r="F69" s="43"/>
      <c r="G69" s="44"/>
      <c r="H69" s="34"/>
      <c r="I69" s="8"/>
      <c r="J69" s="8"/>
      <c r="K69" s="9"/>
      <c r="L69" s="9"/>
      <c r="M69" s="9"/>
      <c r="N69" s="9"/>
    </row>
    <row r="70" spans="1:14" ht="12.75">
      <c r="A70" s="367" t="s">
        <v>194</v>
      </c>
      <c r="B70" s="24">
        <v>0</v>
      </c>
      <c r="C70" s="59">
        <f>B70</f>
        <v>0</v>
      </c>
      <c r="D70" s="363">
        <f>B70-C70</f>
        <v>0</v>
      </c>
      <c r="E70" s="39"/>
      <c r="F70" s="43"/>
      <c r="G70" s="44"/>
      <c r="H70" s="34"/>
      <c r="I70" s="8"/>
      <c r="J70" s="8"/>
      <c r="K70" s="9"/>
      <c r="L70" s="9"/>
      <c r="M70" s="9"/>
      <c r="N70" s="9"/>
    </row>
    <row r="71" spans="1:14" ht="12.75">
      <c r="A71" s="137" t="s">
        <v>69</v>
      </c>
      <c r="B71" s="96">
        <v>14039.32</v>
      </c>
      <c r="C71" s="59">
        <f>B71*1.1911</f>
        <v>16722.234052</v>
      </c>
      <c r="D71" s="406">
        <f>B71-C71</f>
        <v>-2682.914052</v>
      </c>
      <c r="E71" s="39"/>
      <c r="F71" s="43"/>
      <c r="G71" s="44"/>
      <c r="H71" s="34"/>
      <c r="I71" s="8"/>
      <c r="J71" s="8"/>
      <c r="K71" s="9"/>
      <c r="L71" s="9"/>
      <c r="M71" s="9"/>
      <c r="N71" s="9"/>
    </row>
    <row r="72" spans="1:14" ht="12.75">
      <c r="A72" s="137" t="s">
        <v>70</v>
      </c>
      <c r="B72" s="96">
        <v>25607.32</v>
      </c>
      <c r="C72" s="59">
        <f>B72*1.1911</f>
        <v>30500.878852</v>
      </c>
      <c r="D72" s="406">
        <f>B72-C72</f>
        <v>-4893.558852000002</v>
      </c>
      <c r="E72" s="39"/>
      <c r="F72" s="43"/>
      <c r="G72" s="44"/>
      <c r="H72" s="34"/>
      <c r="I72" s="8"/>
      <c r="J72" s="8"/>
      <c r="K72" s="9"/>
      <c r="L72" s="9"/>
      <c r="M72" s="9"/>
      <c r="N72" s="9"/>
    </row>
    <row r="73" spans="1:14" ht="12.75">
      <c r="A73" s="137" t="s">
        <v>71</v>
      </c>
      <c r="B73" s="136">
        <v>141880.52</v>
      </c>
      <c r="C73" s="59">
        <f>B73*1.1911</f>
        <v>168993.887372</v>
      </c>
      <c r="D73" s="406">
        <f>B73-C73</f>
        <v>-27113.367372000008</v>
      </c>
      <c r="E73" s="39"/>
      <c r="F73" s="46"/>
      <c r="G73" s="47"/>
      <c r="H73" s="39"/>
      <c r="I73" s="8"/>
      <c r="J73" s="8"/>
      <c r="K73" s="9"/>
      <c r="L73" s="9"/>
      <c r="M73" s="9"/>
      <c r="N73" s="9"/>
    </row>
    <row r="74" spans="1:14" ht="13.5" thickBot="1">
      <c r="A74" s="137" t="s">
        <v>72</v>
      </c>
      <c r="B74" s="136">
        <v>34231.84</v>
      </c>
      <c r="C74" s="59">
        <f>B74*1.1911</f>
        <v>40773.544623999995</v>
      </c>
      <c r="D74" s="406">
        <f>B74-C74</f>
        <v>-6541.704623999998</v>
      </c>
      <c r="E74" s="39"/>
      <c r="F74" s="46"/>
      <c r="G74" s="47"/>
      <c r="H74" s="34"/>
      <c r="I74" s="8"/>
      <c r="J74" s="8"/>
      <c r="K74" s="9"/>
      <c r="L74" s="9"/>
      <c r="M74" s="9"/>
      <c r="N74" s="9"/>
    </row>
    <row r="75" spans="1:14" ht="63.75">
      <c r="A75" s="29" t="s">
        <v>74</v>
      </c>
      <c r="B75" s="30" t="s">
        <v>75</v>
      </c>
      <c r="C75" s="55" t="s">
        <v>76</v>
      </c>
      <c r="D75" s="56" t="s">
        <v>77</v>
      </c>
      <c r="E75" s="39"/>
      <c r="F75" s="46"/>
      <c r="G75" s="34"/>
      <c r="H75" s="38"/>
      <c r="I75" s="8"/>
      <c r="J75" s="8"/>
      <c r="K75" s="9"/>
      <c r="L75" s="9"/>
      <c r="M75" s="9"/>
      <c r="N75" s="9"/>
    </row>
    <row r="76" spans="1:14" ht="12.75">
      <c r="A76" s="368" t="s">
        <v>194</v>
      </c>
      <c r="B76" s="362">
        <v>0</v>
      </c>
      <c r="C76" s="59">
        <f>B76</f>
        <v>0</v>
      </c>
      <c r="D76" s="365">
        <f>B76-C76</f>
        <v>0</v>
      </c>
      <c r="E76" s="39"/>
      <c r="F76" s="46"/>
      <c r="G76" s="34"/>
      <c r="H76" s="38"/>
      <c r="I76" s="8"/>
      <c r="J76" s="8"/>
      <c r="K76" s="9"/>
      <c r="L76" s="9"/>
      <c r="M76" s="9"/>
      <c r="N76" s="9"/>
    </row>
    <row r="77" spans="1:14" ht="12.75">
      <c r="A77" s="205" t="s">
        <v>69</v>
      </c>
      <c r="B77" s="138">
        <v>14039.32</v>
      </c>
      <c r="C77" s="59">
        <f>B77*1.1911</f>
        <v>16722.234052</v>
      </c>
      <c r="D77" s="407">
        <f>B77-C77</f>
        <v>-2682.914052</v>
      </c>
      <c r="E77" s="39"/>
      <c r="F77" s="46"/>
      <c r="G77" s="34"/>
      <c r="H77" s="38"/>
      <c r="I77" s="8"/>
      <c r="J77" s="8" t="s">
        <v>27</v>
      </c>
      <c r="K77" s="9"/>
      <c r="L77" s="9"/>
      <c r="M77" s="9"/>
      <c r="N77" s="9"/>
    </row>
    <row r="78" spans="1:14" ht="12.75">
      <c r="A78" s="205" t="s">
        <v>70</v>
      </c>
      <c r="B78" s="138">
        <v>25607.32</v>
      </c>
      <c r="C78" s="59">
        <f>B78*1.1911</f>
        <v>30500.878852</v>
      </c>
      <c r="D78" s="407">
        <f>B78-C78</f>
        <v>-4893.558852000002</v>
      </c>
      <c r="E78" s="39"/>
      <c r="F78" s="46"/>
      <c r="G78" s="34"/>
      <c r="H78" s="38"/>
      <c r="I78" s="8"/>
      <c r="J78" s="8"/>
      <c r="K78" s="9"/>
      <c r="L78" s="9"/>
      <c r="M78" s="9"/>
      <c r="N78" s="9"/>
    </row>
    <row r="79" spans="1:14" ht="12.75">
      <c r="A79" s="205" t="s">
        <v>71</v>
      </c>
      <c r="B79" s="138">
        <v>133892.653</v>
      </c>
      <c r="C79" s="59">
        <f>C73</f>
        <v>168993.887372</v>
      </c>
      <c r="D79" s="407">
        <f>B79-C79</f>
        <v>-35101.234372000006</v>
      </c>
      <c r="E79" s="39"/>
      <c r="F79" s="46"/>
      <c r="G79" s="34"/>
      <c r="H79" s="38"/>
      <c r="I79" s="8"/>
      <c r="J79" s="8"/>
      <c r="K79" s="9"/>
      <c r="L79" s="9"/>
      <c r="M79" s="9"/>
      <c r="N79" s="9"/>
    </row>
    <row r="80" spans="1:14" ht="12.75">
      <c r="A80" s="205" t="s">
        <v>72</v>
      </c>
      <c r="B80" s="138">
        <v>34231.84</v>
      </c>
      <c r="C80" s="59">
        <f>B80*1.1911</f>
        <v>40773.544623999995</v>
      </c>
      <c r="D80" s="407">
        <f>B80-C80</f>
        <v>-6541.704623999998</v>
      </c>
      <c r="E80" s="39"/>
      <c r="F80" s="46"/>
      <c r="G80" s="34"/>
      <c r="H80" s="38"/>
      <c r="I80" s="8"/>
      <c r="J80" s="8"/>
      <c r="K80" s="9"/>
      <c r="L80" s="9"/>
      <c r="M80" s="9"/>
      <c r="N80" s="9"/>
    </row>
    <row r="81" spans="1:14" ht="12.75">
      <c r="A81" s="212"/>
      <c r="B81" s="141"/>
      <c r="C81" s="213"/>
      <c r="D81" s="214"/>
      <c r="E81" s="39"/>
      <c r="F81" s="46"/>
      <c r="G81" s="34"/>
      <c r="H81" s="38"/>
      <c r="I81" s="8"/>
      <c r="J81" s="8"/>
      <c r="K81" s="9"/>
      <c r="L81" s="9"/>
      <c r="M81" s="9"/>
      <c r="N81" s="9"/>
    </row>
    <row r="82" spans="1:14" ht="25.5">
      <c r="A82" s="215" t="s">
        <v>78</v>
      </c>
      <c r="B82" s="141" t="s">
        <v>12</v>
      </c>
      <c r="C82" s="216"/>
      <c r="D82" s="217">
        <v>0</v>
      </c>
      <c r="E82" s="39"/>
      <c r="F82" s="46"/>
      <c r="G82" s="34"/>
      <c r="H82" s="38"/>
      <c r="I82" s="8"/>
      <c r="J82" s="8" t="s">
        <v>27</v>
      </c>
      <c r="K82" s="9"/>
      <c r="L82" s="9"/>
      <c r="M82" s="9"/>
      <c r="N82" s="9"/>
    </row>
    <row r="83" spans="1:14" ht="17.25" customHeight="1">
      <c r="A83" s="498" t="s">
        <v>79</v>
      </c>
      <c r="B83" s="498"/>
      <c r="C83" s="498"/>
      <c r="D83" s="498"/>
      <c r="E83" s="48" t="e">
        <f>D83+B18</f>
        <v>#VALUE!</v>
      </c>
      <c r="F83" s="38"/>
      <c r="G83" s="34"/>
      <c r="H83" s="40" t="e">
        <f>E83-B17</f>
        <v>#VALUE!</v>
      </c>
      <c r="I83" s="8"/>
      <c r="J83" s="8"/>
      <c r="K83" s="9"/>
      <c r="L83" s="9"/>
      <c r="M83" s="9"/>
      <c r="N83" s="9"/>
    </row>
    <row r="84" spans="1:8" ht="21" customHeight="1">
      <c r="A84" s="19" t="s">
        <v>56</v>
      </c>
      <c r="B84" s="19" t="s">
        <v>57</v>
      </c>
      <c r="C84" s="27"/>
      <c r="D84" s="415">
        <v>1</v>
      </c>
      <c r="E84" s="49"/>
      <c r="F84" s="34"/>
      <c r="G84" s="34"/>
      <c r="H84" s="34"/>
    </row>
    <row r="85" spans="1:8" ht="21" customHeight="1">
      <c r="A85" s="19" t="s">
        <v>58</v>
      </c>
      <c r="B85" s="19" t="s">
        <v>57</v>
      </c>
      <c r="C85" s="27"/>
      <c r="D85" s="415">
        <v>1</v>
      </c>
      <c r="E85" s="49"/>
      <c r="F85" s="34"/>
      <c r="G85" s="34"/>
      <c r="H85" s="34"/>
    </row>
    <row r="86" spans="1:14" s="1" customFormat="1" ht="18" customHeight="1">
      <c r="A86" s="19" t="s">
        <v>59</v>
      </c>
      <c r="B86" s="19" t="s">
        <v>57</v>
      </c>
      <c r="C86" s="27"/>
      <c r="D86" s="415">
        <v>0</v>
      </c>
      <c r="E86" s="49"/>
      <c r="F86" s="34"/>
      <c r="G86" s="34"/>
      <c r="H86" s="34"/>
      <c r="K86"/>
      <c r="L86"/>
      <c r="M86"/>
      <c r="N86"/>
    </row>
    <row r="87" spans="1:14" s="1" customFormat="1" ht="16.5" customHeight="1">
      <c r="A87" s="19" t="s">
        <v>60</v>
      </c>
      <c r="B87" s="19" t="s">
        <v>12</v>
      </c>
      <c r="C87" s="27"/>
      <c r="D87" s="85">
        <v>632.37</v>
      </c>
      <c r="E87" s="49"/>
      <c r="F87" s="34"/>
      <c r="G87" s="34"/>
      <c r="H87" s="34"/>
      <c r="K87"/>
      <c r="L87"/>
      <c r="M87"/>
      <c r="N87"/>
    </row>
    <row r="88" spans="1:14" s="1" customFormat="1" ht="15.75" customHeight="1">
      <c r="A88" s="491" t="s">
        <v>80</v>
      </c>
      <c r="B88" s="491"/>
      <c r="C88" s="491"/>
      <c r="D88" s="491"/>
      <c r="E88" s="49"/>
      <c r="F88" s="34"/>
      <c r="G88" s="34"/>
      <c r="H88" s="34"/>
      <c r="K88"/>
      <c r="L88"/>
      <c r="M88"/>
      <c r="N88"/>
    </row>
    <row r="89" spans="1:14" s="1" customFormat="1" ht="18.75" customHeight="1">
      <c r="A89" s="19" t="s">
        <v>81</v>
      </c>
      <c r="B89" s="19" t="s">
        <v>57</v>
      </c>
      <c r="C89" s="27"/>
      <c r="D89" s="415">
        <v>1</v>
      </c>
      <c r="E89" s="49"/>
      <c r="F89" s="34"/>
      <c r="G89" s="34"/>
      <c r="H89" s="34"/>
      <c r="K89"/>
      <c r="L89"/>
      <c r="M89"/>
      <c r="N89"/>
    </row>
    <row r="90" spans="1:14" s="1" customFormat="1" ht="21.75" customHeight="1">
      <c r="A90" s="19" t="s">
        <v>82</v>
      </c>
      <c r="B90" s="132" t="s">
        <v>57</v>
      </c>
      <c r="C90" s="142"/>
      <c r="D90" s="415">
        <v>1</v>
      </c>
      <c r="E90" s="49"/>
      <c r="F90" s="34"/>
      <c r="G90" s="34"/>
      <c r="H90" s="34"/>
      <c r="K90"/>
      <c r="L90"/>
      <c r="M90"/>
      <c r="N90"/>
    </row>
    <row r="91" spans="1:14" s="1" customFormat="1" ht="36" customHeight="1">
      <c r="A91" s="143" t="s">
        <v>83</v>
      </c>
      <c r="B91" s="19" t="s">
        <v>12</v>
      </c>
      <c r="C91" s="27"/>
      <c r="D91" s="85">
        <v>178849.25</v>
      </c>
      <c r="E91" s="49"/>
      <c r="F91" s="34"/>
      <c r="G91" s="34"/>
      <c r="H91" s="34"/>
      <c r="K91"/>
      <c r="L91"/>
      <c r="M91"/>
      <c r="N91"/>
    </row>
    <row r="92" spans="1:14" s="1" customFormat="1" ht="12.75">
      <c r="A92" s="144"/>
      <c r="B92" s="144"/>
      <c r="C92" s="144"/>
      <c r="D92" s="145"/>
      <c r="E92" s="34"/>
      <c r="F92" s="34"/>
      <c r="G92" s="34"/>
      <c r="H92" s="34"/>
      <c r="K92"/>
      <c r="L92"/>
      <c r="M92"/>
      <c r="N92"/>
    </row>
    <row r="93" spans="1:14" s="1" customFormat="1" ht="12.75">
      <c r="A93" s="78"/>
      <c r="B93" s="78"/>
      <c r="C93" s="78"/>
      <c r="D93" s="78"/>
      <c r="E93" s="34"/>
      <c r="F93" s="34"/>
      <c r="G93" s="34"/>
      <c r="H93" s="34" t="s">
        <v>27</v>
      </c>
      <c r="K93"/>
      <c r="L93"/>
      <c r="M93"/>
      <c r="N93"/>
    </row>
    <row r="94" spans="1:14" s="1" customFormat="1" ht="12.75">
      <c r="A94" s="87" t="s">
        <v>153</v>
      </c>
      <c r="B94" s="78"/>
      <c r="C94" s="78"/>
      <c r="D94" s="78"/>
      <c r="E94" s="34"/>
      <c r="F94" s="34"/>
      <c r="G94" s="34"/>
      <c r="H94" s="34"/>
      <c r="K94"/>
      <c r="L94"/>
      <c r="M94"/>
      <c r="N94"/>
    </row>
    <row r="95" spans="1:14" s="1" customFormat="1" ht="12.75">
      <c r="A95" s="78"/>
      <c r="B95" s="78"/>
      <c r="C95" s="78"/>
      <c r="D95" s="78"/>
      <c r="E95" s="34"/>
      <c r="F95" s="34"/>
      <c r="G95" s="34"/>
      <c r="H95" s="34" t="s">
        <v>27</v>
      </c>
      <c r="K95"/>
      <c r="L95"/>
      <c r="M95"/>
      <c r="N95"/>
    </row>
    <row r="96" spans="1:14" s="1" customFormat="1" ht="12.75">
      <c r="A96" s="78" t="s">
        <v>84</v>
      </c>
      <c r="B96" s="78"/>
      <c r="C96" s="78"/>
      <c r="D96" s="78"/>
      <c r="E96" s="34"/>
      <c r="F96" s="34"/>
      <c r="G96" s="34"/>
      <c r="H96" s="34"/>
      <c r="K96"/>
      <c r="L96"/>
      <c r="M96"/>
      <c r="N96"/>
    </row>
    <row r="97" spans="1:8" ht="12.75">
      <c r="A97" s="78"/>
      <c r="B97" s="78"/>
      <c r="C97" s="78"/>
      <c r="D97" s="78"/>
      <c r="E97" s="34"/>
      <c r="F97" s="34"/>
      <c r="G97" s="34"/>
      <c r="H97" s="34"/>
    </row>
    <row r="98" spans="1:8" ht="12.75">
      <c r="A98" s="50"/>
      <c r="B98" s="50"/>
      <c r="C98" s="50"/>
      <c r="D98" s="50"/>
      <c r="E98" s="34"/>
      <c r="F98" s="34"/>
      <c r="G98" s="34"/>
      <c r="H98" s="34"/>
    </row>
    <row r="99" spans="1:8" ht="12.75">
      <c r="A99" s="50"/>
      <c r="B99" s="50"/>
      <c r="C99" s="50"/>
      <c r="D99" s="50"/>
      <c r="E99" s="34"/>
      <c r="F99" s="34"/>
      <c r="G99" s="34"/>
      <c r="H99" s="34"/>
    </row>
    <row r="100" spans="1:14" s="1" customFormat="1" ht="12.75">
      <c r="A100" s="50"/>
      <c r="B100" s="50"/>
      <c r="C100" s="50"/>
      <c r="D100" s="50"/>
      <c r="E100" s="34" t="s">
        <v>27</v>
      </c>
      <c r="F100" s="34"/>
      <c r="G100" s="34"/>
      <c r="H100" s="34"/>
      <c r="K100"/>
      <c r="L100"/>
      <c r="M100"/>
      <c r="N100"/>
    </row>
    <row r="101" spans="1:4" ht="12.75">
      <c r="A101" s="50"/>
      <c r="B101" s="50"/>
      <c r="C101" s="50"/>
      <c r="D101" s="50"/>
    </row>
    <row r="102" spans="1:4" ht="12.75">
      <c r="A102" s="50"/>
      <c r="B102" s="50"/>
      <c r="C102" s="50"/>
      <c r="D102" s="50"/>
    </row>
  </sheetData>
  <sheetProtection selectLockedCells="1" selectUnlockedCells="1"/>
  <mergeCells count="12">
    <mergeCell ref="A27:D27"/>
    <mergeCell ref="A56:D56"/>
    <mergeCell ref="A61:D61"/>
    <mergeCell ref="A68:D68"/>
    <mergeCell ref="A83:D83"/>
    <mergeCell ref="A88:D88"/>
    <mergeCell ref="A1:D1"/>
    <mergeCell ref="A2:D2"/>
    <mergeCell ref="A3:D3"/>
    <mergeCell ref="A4:D4"/>
    <mergeCell ref="A5:D5"/>
    <mergeCell ref="A13:D13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4"/>
  <sheetViews>
    <sheetView zoomScale="98" zoomScaleNormal="98" zoomScalePageLayoutView="0" workbookViewId="0" topLeftCell="A49">
      <selection activeCell="D58" sqref="D58"/>
    </sheetView>
  </sheetViews>
  <sheetFormatPr defaultColWidth="11.57421875" defaultRowHeight="12.75"/>
  <cols>
    <col min="1" max="1" width="54.421875" style="0" customWidth="1"/>
    <col min="2" max="2" width="15.421875" style="0" customWidth="1"/>
    <col min="3" max="3" width="28.00390625" style="0" customWidth="1"/>
    <col min="4" max="4" width="16.0039062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74" t="s">
        <v>0</v>
      </c>
      <c r="B1" s="474"/>
      <c r="C1" s="474"/>
      <c r="D1" s="474"/>
    </row>
    <row r="2" spans="1:4" ht="15.75">
      <c r="A2" s="475" t="s">
        <v>163</v>
      </c>
      <c r="B2" s="476"/>
      <c r="C2" s="476"/>
      <c r="D2" s="476"/>
    </row>
    <row r="3" spans="1:4" ht="15.75">
      <c r="A3" s="476" t="s">
        <v>1</v>
      </c>
      <c r="B3" s="476"/>
      <c r="C3" s="476"/>
      <c r="D3" s="476"/>
    </row>
    <row r="4" spans="1:4" ht="12.75">
      <c r="A4" s="478" t="s">
        <v>109</v>
      </c>
      <c r="B4" s="478"/>
      <c r="C4" s="478"/>
      <c r="D4" s="478"/>
    </row>
    <row r="5" spans="1:4" ht="12.75">
      <c r="A5" s="477" t="s">
        <v>203</v>
      </c>
      <c r="B5" s="478"/>
      <c r="C5" s="478"/>
      <c r="D5" s="478"/>
    </row>
    <row r="6" spans="1:4" ht="3" customHeight="1">
      <c r="A6" s="195"/>
      <c r="B6" s="78"/>
      <c r="C6" s="78"/>
      <c r="D6" s="78"/>
    </row>
    <row r="7" spans="1:4" ht="13.5" customHeight="1">
      <c r="A7" s="22" t="s">
        <v>3</v>
      </c>
      <c r="B7" s="22"/>
      <c r="C7" s="22"/>
      <c r="D7" s="22"/>
    </row>
    <row r="8" spans="1:4" ht="13.5" customHeight="1">
      <c r="A8" s="52" t="s">
        <v>185</v>
      </c>
      <c r="B8" s="22"/>
      <c r="C8" s="22"/>
      <c r="D8" s="22"/>
    </row>
    <row r="9" spans="1:5" ht="12.75">
      <c r="A9" s="91">
        <v>1</v>
      </c>
      <c r="B9" s="91">
        <v>2</v>
      </c>
      <c r="C9" s="91">
        <v>3</v>
      </c>
      <c r="D9" s="92">
        <v>4</v>
      </c>
      <c r="E9" s="34"/>
    </row>
    <row r="10" spans="1:5" ht="12.75">
      <c r="A10" s="64" t="s">
        <v>7</v>
      </c>
      <c r="B10" s="93"/>
      <c r="C10" s="94" t="s">
        <v>204</v>
      </c>
      <c r="D10" s="77"/>
      <c r="E10" s="34"/>
    </row>
    <row r="11" spans="1:5" ht="12.75">
      <c r="A11" s="64" t="s">
        <v>8</v>
      </c>
      <c r="B11" s="93"/>
      <c r="C11" s="94" t="s">
        <v>205</v>
      </c>
      <c r="D11" s="77"/>
      <c r="E11" s="34"/>
    </row>
    <row r="12" spans="1:5" ht="12.75">
      <c r="A12" s="64" t="s">
        <v>9</v>
      </c>
      <c r="B12" s="93"/>
      <c r="C12" s="94" t="s">
        <v>206</v>
      </c>
      <c r="D12" s="77"/>
      <c r="E12" s="34"/>
    </row>
    <row r="13" spans="1:8" ht="31.5" customHeight="1">
      <c r="A13" s="479" t="s">
        <v>10</v>
      </c>
      <c r="B13" s="479"/>
      <c r="C13" s="479"/>
      <c r="D13" s="479"/>
      <c r="E13" s="34"/>
      <c r="F13" s="34"/>
      <c r="G13" s="34"/>
      <c r="H13" s="34"/>
    </row>
    <row r="14" spans="1:8" ht="15.75">
      <c r="A14" s="64" t="s">
        <v>93</v>
      </c>
      <c r="B14" s="95" t="s">
        <v>12</v>
      </c>
      <c r="C14" s="72">
        <v>-19651.6</v>
      </c>
      <c r="D14" s="227"/>
      <c r="E14" s="34"/>
      <c r="F14" s="34"/>
      <c r="G14" s="34"/>
      <c r="H14" s="34"/>
    </row>
    <row r="15" spans="1:8" ht="13.5" customHeight="1">
      <c r="A15" s="64" t="s">
        <v>13</v>
      </c>
      <c r="B15" s="95" t="s">
        <v>12</v>
      </c>
      <c r="C15" s="228">
        <v>0</v>
      </c>
      <c r="D15" s="227"/>
      <c r="E15" s="34"/>
      <c r="F15" s="34"/>
      <c r="G15" s="34"/>
      <c r="H15" s="34"/>
    </row>
    <row r="16" spans="1:8" ht="15.75">
      <c r="A16" s="64" t="s">
        <v>14</v>
      </c>
      <c r="B16" s="95" t="s">
        <v>12</v>
      </c>
      <c r="C16" s="72">
        <v>328400.25</v>
      </c>
      <c r="D16" s="79"/>
      <c r="E16" s="34"/>
      <c r="F16" s="34"/>
      <c r="G16" s="34"/>
      <c r="H16" s="34"/>
    </row>
    <row r="17" spans="1:8" ht="26.25" customHeight="1">
      <c r="A17" s="63" t="s">
        <v>15</v>
      </c>
      <c r="B17" s="95" t="s">
        <v>12</v>
      </c>
      <c r="C17" s="72">
        <f>1120086.84+5627.28+3325.5+107179.2</f>
        <v>1236218.82</v>
      </c>
      <c r="D17" s="79"/>
      <c r="E17" s="41">
        <f>C17-C19-116131.98</f>
        <v>928749.9360000001</v>
      </c>
      <c r="F17" s="34"/>
      <c r="G17" s="34"/>
      <c r="H17" s="34"/>
    </row>
    <row r="18" spans="1:8" ht="15.75">
      <c r="A18" s="64" t="s">
        <v>16</v>
      </c>
      <c r="B18" s="95" t="s">
        <v>12</v>
      </c>
      <c r="C18" s="72">
        <f>C17-C19-C20</f>
        <v>830523.192</v>
      </c>
      <c r="D18" s="79"/>
      <c r="E18" s="41">
        <f>E17-E58</f>
        <v>-740</v>
      </c>
      <c r="F18" s="34"/>
      <c r="G18" s="34"/>
      <c r="H18" s="34"/>
    </row>
    <row r="19" spans="1:8" ht="15.75">
      <c r="A19" s="64" t="s">
        <v>17</v>
      </c>
      <c r="B19" s="95" t="s">
        <v>12</v>
      </c>
      <c r="C19" s="72">
        <f>3.74*12*4263.3</f>
        <v>191336.904</v>
      </c>
      <c r="D19" s="79"/>
      <c r="E19" s="41"/>
      <c r="F19" s="34"/>
      <c r="G19" s="34"/>
      <c r="H19" s="34"/>
    </row>
    <row r="20" spans="1:8" ht="15.75">
      <c r="A20" s="64" t="s">
        <v>18</v>
      </c>
      <c r="B20" s="95" t="s">
        <v>12</v>
      </c>
      <c r="C20" s="72">
        <f>4.19*12*4263.3</f>
        <v>214358.72400000002</v>
      </c>
      <c r="D20" s="79"/>
      <c r="E20" s="34"/>
      <c r="F20" s="34"/>
      <c r="G20" s="34"/>
      <c r="H20" s="34"/>
    </row>
    <row r="21" spans="1:8" ht="15.75">
      <c r="A21" s="64" t="s">
        <v>19</v>
      </c>
      <c r="B21" s="95" t="s">
        <v>12</v>
      </c>
      <c r="C21" s="72">
        <f>C22+C23+C24+C25</f>
        <v>1443051.537914</v>
      </c>
      <c r="D21" s="79" t="s">
        <v>20</v>
      </c>
      <c r="E21" s="41"/>
      <c r="F21" s="34"/>
      <c r="G21" s="34"/>
      <c r="H21" s="34"/>
    </row>
    <row r="22" spans="1:8" ht="15.75">
      <c r="A22" s="64" t="s">
        <v>21</v>
      </c>
      <c r="B22" s="95" t="s">
        <v>12</v>
      </c>
      <c r="C22" s="72">
        <f>C17*1.1577</f>
        <v>1431170.527914</v>
      </c>
      <c r="D22" s="79"/>
      <c r="E22" s="34"/>
      <c r="F22" s="34"/>
      <c r="G22" s="34"/>
      <c r="H22" s="34"/>
    </row>
    <row r="23" spans="1:8" ht="13.5" customHeight="1">
      <c r="A23" s="64" t="s">
        <v>22</v>
      </c>
      <c r="B23" s="95" t="s">
        <v>12</v>
      </c>
      <c r="C23" s="72">
        <v>0</v>
      </c>
      <c r="D23" s="79"/>
      <c r="E23" s="42"/>
      <c r="F23" s="34"/>
      <c r="G23" s="34"/>
      <c r="H23" s="34"/>
    </row>
    <row r="24" spans="1:8" ht="15.75">
      <c r="A24" s="64" t="s">
        <v>24</v>
      </c>
      <c r="B24" s="95" t="s">
        <v>12</v>
      </c>
      <c r="C24" s="72">
        <v>0</v>
      </c>
      <c r="D24" s="79"/>
      <c r="E24" s="42"/>
      <c r="F24" s="34"/>
      <c r="G24" s="34"/>
      <c r="H24" s="34"/>
    </row>
    <row r="25" spans="1:8" ht="15.75">
      <c r="A25" s="93" t="s">
        <v>25</v>
      </c>
      <c r="B25" s="95" t="s">
        <v>12</v>
      </c>
      <c r="C25" s="72">
        <f>4462.25+4526.28+2892.48</f>
        <v>11881.009999999998</v>
      </c>
      <c r="D25" s="79"/>
      <c r="E25" s="42"/>
      <c r="F25" s="34"/>
      <c r="G25" s="34"/>
      <c r="H25" s="34"/>
    </row>
    <row r="26" spans="1:8" ht="15.75">
      <c r="A26" s="64" t="s">
        <v>26</v>
      </c>
      <c r="B26" s="95" t="s">
        <v>12</v>
      </c>
      <c r="C26" s="72">
        <f>C14+C21</f>
        <v>1423399.937914</v>
      </c>
      <c r="D26" s="79" t="s">
        <v>27</v>
      </c>
      <c r="E26" s="42"/>
      <c r="F26" s="34"/>
      <c r="G26" s="34"/>
      <c r="H26" s="34"/>
    </row>
    <row r="27" spans="1:8" ht="35.25" customHeight="1">
      <c r="A27" s="488" t="s">
        <v>28</v>
      </c>
      <c r="B27" s="488"/>
      <c r="C27" s="488"/>
      <c r="D27" s="488"/>
      <c r="E27" s="34"/>
      <c r="F27" s="34"/>
      <c r="G27" s="34"/>
      <c r="H27" s="34"/>
    </row>
    <row r="28" spans="1:8" ht="63">
      <c r="A28" s="127" t="s">
        <v>29</v>
      </c>
      <c r="B28" s="229" t="s">
        <v>30</v>
      </c>
      <c r="C28" s="230" t="s">
        <v>31</v>
      </c>
      <c r="D28" s="231" t="s">
        <v>32</v>
      </c>
      <c r="E28" s="34"/>
      <c r="F28" s="34"/>
      <c r="G28" s="34"/>
      <c r="H28" s="34"/>
    </row>
    <row r="29" spans="1:8" ht="15.75">
      <c r="A29" s="112" t="s">
        <v>94</v>
      </c>
      <c r="B29" s="232" t="s">
        <v>34</v>
      </c>
      <c r="C29" s="265" t="s">
        <v>367</v>
      </c>
      <c r="D29" s="79">
        <f>0.42*12*4263.3</f>
        <v>21487.032000000003</v>
      </c>
      <c r="E29" s="34"/>
      <c r="F29" s="34"/>
      <c r="G29" s="34"/>
      <c r="H29" s="34"/>
    </row>
    <row r="30" spans="1:8" ht="15.75">
      <c r="A30" s="112" t="s">
        <v>87</v>
      </c>
      <c r="B30" s="232" t="s">
        <v>36</v>
      </c>
      <c r="C30" s="234" t="s">
        <v>43</v>
      </c>
      <c r="D30" s="79">
        <f>2.4*12*4263.3</f>
        <v>122783.04</v>
      </c>
      <c r="E30" s="34"/>
      <c r="F30" s="34"/>
      <c r="G30" s="34"/>
      <c r="H30" s="34"/>
    </row>
    <row r="31" spans="1:14" s="1" customFormat="1" ht="15.75">
      <c r="A31" s="112" t="s">
        <v>189</v>
      </c>
      <c r="B31" s="232" t="s">
        <v>42</v>
      </c>
      <c r="C31" s="234" t="s">
        <v>195</v>
      </c>
      <c r="D31" s="79">
        <f>0.15*12*4263.3+740</f>
        <v>8413.939999999999</v>
      </c>
      <c r="E31" s="34" t="s">
        <v>315</v>
      </c>
      <c r="F31" s="34"/>
      <c r="G31" s="34"/>
      <c r="H31" s="34"/>
      <c r="K31"/>
      <c r="L31"/>
      <c r="M31"/>
      <c r="N31"/>
    </row>
    <row r="32" spans="1:14" s="1" customFormat="1" ht="15.75">
      <c r="A32" s="112" t="s">
        <v>95</v>
      </c>
      <c r="B32" s="232" t="s">
        <v>34</v>
      </c>
      <c r="C32" s="234" t="s">
        <v>40</v>
      </c>
      <c r="D32" s="79">
        <f>0.24*12*4263.3</f>
        <v>12278.304</v>
      </c>
      <c r="E32" s="34"/>
      <c r="F32" s="34"/>
      <c r="G32" s="34"/>
      <c r="H32" s="34"/>
      <c r="K32"/>
      <c r="L32"/>
      <c r="M32"/>
      <c r="N32"/>
    </row>
    <row r="33" spans="1:14" s="1" customFormat="1" ht="15.75">
      <c r="A33" s="112" t="s">
        <v>104</v>
      </c>
      <c r="B33" s="296" t="s">
        <v>34</v>
      </c>
      <c r="C33" s="234" t="s">
        <v>43</v>
      </c>
      <c r="D33" s="79">
        <f>0.63*12*4263.3</f>
        <v>32230.548000000003</v>
      </c>
      <c r="E33" s="34"/>
      <c r="F33" s="34"/>
      <c r="G33" s="34"/>
      <c r="H33" s="34"/>
      <c r="K33"/>
      <c r="L33"/>
      <c r="M33"/>
      <c r="N33"/>
    </row>
    <row r="34" spans="1:14" s="1" customFormat="1" ht="26.25">
      <c r="A34" s="127" t="s">
        <v>88</v>
      </c>
      <c r="B34" s="232" t="s">
        <v>34</v>
      </c>
      <c r="C34" s="234" t="s">
        <v>43</v>
      </c>
      <c r="D34" s="79">
        <f>1.42*12*4263.3</f>
        <v>72646.632</v>
      </c>
      <c r="E34" s="34"/>
      <c r="F34" s="34"/>
      <c r="G34" s="34"/>
      <c r="H34" s="34"/>
      <c r="K34"/>
      <c r="L34"/>
      <c r="M34"/>
      <c r="N34"/>
    </row>
    <row r="35" spans="1:14" s="1" customFormat="1" ht="15.75">
      <c r="A35" s="112" t="s">
        <v>45</v>
      </c>
      <c r="B35" s="232" t="s">
        <v>46</v>
      </c>
      <c r="C35" s="234" t="s">
        <v>43</v>
      </c>
      <c r="D35" s="79">
        <f>1.33*12*4263.3</f>
        <v>68042.26800000001</v>
      </c>
      <c r="E35" s="34"/>
      <c r="F35" s="34"/>
      <c r="G35" s="34"/>
      <c r="H35" s="34"/>
      <c r="K35"/>
      <c r="L35"/>
      <c r="M35"/>
      <c r="N35"/>
    </row>
    <row r="36" spans="1:14" s="1" customFormat="1" ht="15.75">
      <c r="A36" s="112" t="s">
        <v>97</v>
      </c>
      <c r="B36" s="232" t="s">
        <v>38</v>
      </c>
      <c r="C36" s="257" t="s">
        <v>159</v>
      </c>
      <c r="D36" s="79">
        <f>4.19*12*4263.3</f>
        <v>214358.72400000002</v>
      </c>
      <c r="E36" s="34"/>
      <c r="F36" s="34"/>
      <c r="G36" s="34"/>
      <c r="H36" s="34"/>
      <c r="K36"/>
      <c r="L36"/>
      <c r="M36"/>
      <c r="N36"/>
    </row>
    <row r="37" spans="1:14" s="1" customFormat="1" ht="15.75">
      <c r="A37" s="112" t="s">
        <v>98</v>
      </c>
      <c r="B37" s="236" t="s">
        <v>36</v>
      </c>
      <c r="C37" s="234" t="s">
        <v>43</v>
      </c>
      <c r="D37" s="79">
        <f>2.5*12*4263.3</f>
        <v>127899</v>
      </c>
      <c r="E37" s="34"/>
      <c r="F37" s="34"/>
      <c r="G37" s="34"/>
      <c r="H37" s="34"/>
      <c r="K37"/>
      <c r="L37"/>
      <c r="M37"/>
      <c r="N37"/>
    </row>
    <row r="38" spans="1:14" s="1" customFormat="1" ht="15.75">
      <c r="A38" s="112" t="s">
        <v>90</v>
      </c>
      <c r="B38" s="232" t="s">
        <v>38</v>
      </c>
      <c r="C38" s="234" t="s">
        <v>50</v>
      </c>
      <c r="D38" s="79">
        <f>4263.3*4.99*12-15144.68</f>
        <v>240141.72400000005</v>
      </c>
      <c r="E38" s="34"/>
      <c r="F38" s="34"/>
      <c r="G38" s="34"/>
      <c r="H38" s="34"/>
      <c r="K38"/>
      <c r="L38"/>
      <c r="M38"/>
      <c r="N38"/>
    </row>
    <row r="39" spans="1:14" s="1" customFormat="1" ht="15.75">
      <c r="A39" s="112" t="s">
        <v>99</v>
      </c>
      <c r="B39" s="232" t="s">
        <v>36</v>
      </c>
      <c r="C39" s="234" t="s">
        <v>43</v>
      </c>
      <c r="D39" s="79">
        <f>4263.3*2.56*12-130968.58</f>
        <v>-0.004000000000814907</v>
      </c>
      <c r="E39" s="34"/>
      <c r="F39" s="34"/>
      <c r="G39" s="34"/>
      <c r="H39" s="34"/>
      <c r="K39"/>
      <c r="L39"/>
      <c r="M39"/>
      <c r="N39"/>
    </row>
    <row r="40" spans="1:14" s="1" customFormat="1" ht="15.75">
      <c r="A40" s="112" t="s">
        <v>100</v>
      </c>
      <c r="B40" s="232" t="s">
        <v>161</v>
      </c>
      <c r="C40" s="234" t="s">
        <v>40</v>
      </c>
      <c r="D40" s="79">
        <f>0.18*12*4263.3</f>
        <v>9208.728000000001</v>
      </c>
      <c r="E40" s="34"/>
      <c r="F40" s="34"/>
      <c r="G40" s="34"/>
      <c r="H40" s="34"/>
      <c r="K40"/>
      <c r="L40"/>
      <c r="M40"/>
      <c r="N40"/>
    </row>
    <row r="41" spans="1:14" s="1" customFormat="1" ht="15.75">
      <c r="A41" s="112" t="s">
        <v>142</v>
      </c>
      <c r="B41" s="232"/>
      <c r="C41" s="235"/>
      <c r="D41" s="79"/>
      <c r="E41" s="34"/>
      <c r="F41" s="34"/>
      <c r="G41" s="34"/>
      <c r="H41" s="34"/>
      <c r="K41"/>
      <c r="L41"/>
      <c r="M41"/>
      <c r="N41"/>
    </row>
    <row r="42" spans="1:14" s="1" customFormat="1" ht="15.75">
      <c r="A42" s="112" t="s">
        <v>140</v>
      </c>
      <c r="B42" s="232" t="s">
        <v>38</v>
      </c>
      <c r="C42" s="235" t="s">
        <v>143</v>
      </c>
      <c r="D42" s="79">
        <f>3325.5+5627.28</f>
        <v>8952.779999999999</v>
      </c>
      <c r="E42" s="34"/>
      <c r="F42" s="34"/>
      <c r="G42" s="34"/>
      <c r="H42" s="34"/>
      <c r="K42"/>
      <c r="L42"/>
      <c r="M42"/>
      <c r="N42"/>
    </row>
    <row r="43" spans="1:14" s="1" customFormat="1" ht="15.75">
      <c r="A43" s="112" t="s">
        <v>141</v>
      </c>
      <c r="B43" s="232" t="s">
        <v>38</v>
      </c>
      <c r="C43" s="235" t="s">
        <v>144</v>
      </c>
      <c r="D43" s="79">
        <v>107179.2</v>
      </c>
      <c r="E43" s="34"/>
      <c r="F43" s="34"/>
      <c r="G43" s="34"/>
      <c r="H43" s="34"/>
      <c r="K43"/>
      <c r="L43"/>
      <c r="M43"/>
      <c r="N43"/>
    </row>
    <row r="44" spans="1:14" s="1" customFormat="1" ht="84" customHeight="1">
      <c r="A44" s="200" t="s">
        <v>133</v>
      </c>
      <c r="B44" s="237" t="s">
        <v>52</v>
      </c>
      <c r="C44" s="233"/>
      <c r="D44" s="351">
        <f>D45+D46+D47+D48+D49+D50+D51+D52+D53+D54+D55+D56+D57</f>
        <v>163896.13</v>
      </c>
      <c r="E44" s="35"/>
      <c r="F44" s="34"/>
      <c r="G44" s="34"/>
      <c r="H44" s="34"/>
      <c r="K44"/>
      <c r="L44"/>
      <c r="M44"/>
      <c r="N44"/>
    </row>
    <row r="45" spans="1:14" s="1" customFormat="1" ht="45" customHeight="1">
      <c r="A45" s="200" t="s">
        <v>316</v>
      </c>
      <c r="B45" s="237" t="s">
        <v>317</v>
      </c>
      <c r="C45" s="451" t="s">
        <v>43</v>
      </c>
      <c r="D45" s="76">
        <v>6831</v>
      </c>
      <c r="E45" s="35"/>
      <c r="F45" s="34"/>
      <c r="G45" s="34"/>
      <c r="H45" s="34"/>
      <c r="K45"/>
      <c r="L45"/>
      <c r="M45"/>
      <c r="N45"/>
    </row>
    <row r="46" spans="1:14" s="1" customFormat="1" ht="18" customHeight="1">
      <c r="A46" s="218" t="s">
        <v>178</v>
      </c>
      <c r="B46" s="238" t="s">
        <v>121</v>
      </c>
      <c r="C46" s="234" t="s">
        <v>162</v>
      </c>
      <c r="D46" s="76">
        <v>352</v>
      </c>
      <c r="E46" s="35"/>
      <c r="F46" s="34"/>
      <c r="G46" s="34"/>
      <c r="H46" s="34"/>
      <c r="K46"/>
      <c r="L46"/>
      <c r="M46"/>
      <c r="N46"/>
    </row>
    <row r="47" spans="1:14" s="1" customFormat="1" ht="21" customHeight="1">
      <c r="A47" s="200" t="s">
        <v>207</v>
      </c>
      <c r="B47" s="238" t="s">
        <v>121</v>
      </c>
      <c r="C47" s="234" t="s">
        <v>162</v>
      </c>
      <c r="D47" s="76">
        <v>2549</v>
      </c>
      <c r="E47" s="35"/>
      <c r="F47" s="34"/>
      <c r="G47" s="34"/>
      <c r="H47" s="34"/>
      <c r="K47"/>
      <c r="L47"/>
      <c r="M47"/>
      <c r="N47"/>
    </row>
    <row r="48" spans="1:14" s="1" customFormat="1" ht="31.5" customHeight="1">
      <c r="A48" s="198" t="s">
        <v>318</v>
      </c>
      <c r="B48" s="237" t="s">
        <v>319</v>
      </c>
      <c r="C48" s="234" t="s">
        <v>162</v>
      </c>
      <c r="D48" s="76">
        <v>1882</v>
      </c>
      <c r="E48" s="35"/>
      <c r="F48" s="34"/>
      <c r="G48" s="34"/>
      <c r="H48" s="34"/>
      <c r="K48"/>
      <c r="L48"/>
      <c r="M48"/>
      <c r="N48"/>
    </row>
    <row r="49" spans="1:14" s="1" customFormat="1" ht="16.5" customHeight="1">
      <c r="A49" s="218" t="s">
        <v>320</v>
      </c>
      <c r="B49" s="237" t="s">
        <v>122</v>
      </c>
      <c r="C49" s="234" t="s">
        <v>162</v>
      </c>
      <c r="D49" s="76">
        <v>1035</v>
      </c>
      <c r="E49" s="35"/>
      <c r="F49" s="34"/>
      <c r="G49" s="34"/>
      <c r="H49" s="34"/>
      <c r="K49"/>
      <c r="L49"/>
      <c r="M49"/>
      <c r="N49"/>
    </row>
    <row r="50" spans="1:14" s="1" customFormat="1" ht="25.5" customHeight="1">
      <c r="A50" s="200" t="s">
        <v>218</v>
      </c>
      <c r="B50" s="237" t="s">
        <v>117</v>
      </c>
      <c r="C50" s="234" t="s">
        <v>159</v>
      </c>
      <c r="D50" s="76">
        <v>29650.46</v>
      </c>
      <c r="E50" s="35"/>
      <c r="F50" s="34"/>
      <c r="G50" s="34"/>
      <c r="H50" s="34"/>
      <c r="K50"/>
      <c r="L50"/>
      <c r="M50"/>
      <c r="N50"/>
    </row>
    <row r="51" spans="1:14" s="1" customFormat="1" ht="15" customHeight="1">
      <c r="A51" s="198" t="s">
        <v>267</v>
      </c>
      <c r="B51" s="237" t="s">
        <v>126</v>
      </c>
      <c r="C51" s="234" t="s">
        <v>162</v>
      </c>
      <c r="D51" s="76">
        <v>562</v>
      </c>
      <c r="E51" s="35"/>
      <c r="F51" s="34"/>
      <c r="G51" s="34"/>
      <c r="H51" s="34"/>
      <c r="K51"/>
      <c r="L51"/>
      <c r="M51"/>
      <c r="N51"/>
    </row>
    <row r="52" spans="1:14" s="1" customFormat="1" ht="32.25" customHeight="1">
      <c r="A52" s="218" t="s">
        <v>321</v>
      </c>
      <c r="B52" s="238" t="s">
        <v>118</v>
      </c>
      <c r="C52" s="451" t="s">
        <v>162</v>
      </c>
      <c r="D52" s="76">
        <v>1513</v>
      </c>
      <c r="E52" s="35"/>
      <c r="F52" s="34"/>
      <c r="G52" s="34"/>
      <c r="H52" s="34"/>
      <c r="K52"/>
      <c r="L52"/>
      <c r="M52"/>
      <c r="N52"/>
    </row>
    <row r="53" spans="1:14" s="1" customFormat="1" ht="18" customHeight="1">
      <c r="A53" s="218" t="s">
        <v>158</v>
      </c>
      <c r="B53" s="237" t="s">
        <v>119</v>
      </c>
      <c r="C53" s="234" t="s">
        <v>176</v>
      </c>
      <c r="D53" s="76">
        <v>27060</v>
      </c>
      <c r="E53" s="35"/>
      <c r="F53" s="34"/>
      <c r="G53" s="34"/>
      <c r="H53" s="34"/>
      <c r="K53"/>
      <c r="L53"/>
      <c r="M53"/>
      <c r="N53"/>
    </row>
    <row r="54" spans="1:14" s="1" customFormat="1" ht="33" customHeight="1">
      <c r="A54" s="218" t="s">
        <v>160</v>
      </c>
      <c r="B54" s="237" t="s">
        <v>323</v>
      </c>
      <c r="C54" s="234" t="s">
        <v>50</v>
      </c>
      <c r="D54" s="76">
        <f>5542+13044</f>
        <v>18586</v>
      </c>
      <c r="E54" s="35"/>
      <c r="F54" s="34"/>
      <c r="G54" s="34"/>
      <c r="H54" s="34"/>
      <c r="K54"/>
      <c r="L54"/>
      <c r="M54"/>
      <c r="N54"/>
    </row>
    <row r="55" spans="1:14" s="1" customFormat="1" ht="27" customHeight="1">
      <c r="A55" s="200" t="s">
        <v>322</v>
      </c>
      <c r="B55" s="237" t="s">
        <v>122</v>
      </c>
      <c r="C55" s="234" t="s">
        <v>174</v>
      </c>
      <c r="D55" s="76">
        <v>71690</v>
      </c>
      <c r="E55" s="35"/>
      <c r="F55" s="34"/>
      <c r="G55" s="34"/>
      <c r="H55" s="34"/>
      <c r="K55"/>
      <c r="L55"/>
      <c r="M55"/>
      <c r="N55"/>
    </row>
    <row r="56" spans="1:14" s="1" customFormat="1" ht="33.75" customHeight="1">
      <c r="A56" s="218" t="s">
        <v>324</v>
      </c>
      <c r="B56" s="237" t="s">
        <v>123</v>
      </c>
      <c r="C56" s="352" t="s">
        <v>37</v>
      </c>
      <c r="D56" s="76">
        <v>491.67</v>
      </c>
      <c r="E56" s="35"/>
      <c r="F56" s="34"/>
      <c r="G56" s="34"/>
      <c r="H56" s="34"/>
      <c r="K56"/>
      <c r="L56"/>
      <c r="M56"/>
      <c r="N56"/>
    </row>
    <row r="57" spans="1:14" s="1" customFormat="1" ht="25.5" customHeight="1">
      <c r="A57" s="200" t="s">
        <v>325</v>
      </c>
      <c r="B57" s="237" t="s">
        <v>123</v>
      </c>
      <c r="C57" s="451" t="s">
        <v>162</v>
      </c>
      <c r="D57" s="76">
        <v>1694</v>
      </c>
      <c r="E57" s="35"/>
      <c r="F57" s="34"/>
      <c r="G57" s="34"/>
      <c r="H57" s="34"/>
      <c r="K57"/>
      <c r="L57"/>
      <c r="M57"/>
      <c r="N57"/>
    </row>
    <row r="58" spans="1:14" s="1" customFormat="1" ht="15.75">
      <c r="A58" s="23" t="s">
        <v>53</v>
      </c>
      <c r="B58" s="232"/>
      <c r="C58" s="234"/>
      <c r="D58" s="79">
        <f>D29+D30+D31+D32+D33+D34+D35+D36+D37+D38+D39+D40+D42+D43+D44</f>
        <v>1209518.046</v>
      </c>
      <c r="E58" s="35">
        <f>D58-D42-D43-D44</f>
        <v>929489.9360000001</v>
      </c>
      <c r="F58" s="34"/>
      <c r="G58" s="34"/>
      <c r="H58" s="34"/>
      <c r="K58"/>
      <c r="L58"/>
      <c r="M58"/>
      <c r="N58"/>
    </row>
    <row r="59" spans="1:14" s="1" customFormat="1" ht="15.75">
      <c r="A59" s="23" t="s">
        <v>54</v>
      </c>
      <c r="B59" s="109" t="s">
        <v>12</v>
      </c>
      <c r="C59" s="234"/>
      <c r="D59" s="79">
        <f>C26-D58</f>
        <v>213881.8919139998</v>
      </c>
      <c r="E59" s="35"/>
      <c r="F59" s="34"/>
      <c r="G59" s="34"/>
      <c r="H59" s="34"/>
      <c r="K59"/>
      <c r="L59"/>
      <c r="M59"/>
      <c r="N59"/>
    </row>
    <row r="60" spans="1:8" ht="15.75">
      <c r="A60" s="112" t="s">
        <v>13</v>
      </c>
      <c r="B60" s="109" t="s">
        <v>12</v>
      </c>
      <c r="C60" s="234"/>
      <c r="D60" s="227">
        <v>0</v>
      </c>
      <c r="E60" s="34"/>
      <c r="F60" s="34"/>
      <c r="G60" s="34"/>
      <c r="H60" s="34"/>
    </row>
    <row r="61" spans="1:8" ht="15.75">
      <c r="A61" s="112" t="s">
        <v>14</v>
      </c>
      <c r="B61" s="109" t="s">
        <v>12</v>
      </c>
      <c r="C61" s="234"/>
      <c r="D61" s="79">
        <f>C16+C17-C22</f>
        <v>133448.5420860001</v>
      </c>
      <c r="E61" s="35"/>
      <c r="F61" s="34"/>
      <c r="G61" s="34"/>
      <c r="H61" s="34"/>
    </row>
    <row r="62" spans="1:8" ht="24" customHeight="1">
      <c r="A62" s="489" t="s">
        <v>55</v>
      </c>
      <c r="B62" s="489"/>
      <c r="C62" s="489"/>
      <c r="D62" s="489"/>
      <c r="E62" s="34"/>
      <c r="F62" s="34"/>
      <c r="G62" s="34"/>
      <c r="H62" s="34"/>
    </row>
    <row r="63" spans="1:8" ht="15.75">
      <c r="A63" s="112" t="s">
        <v>56</v>
      </c>
      <c r="B63" s="232" t="s">
        <v>57</v>
      </c>
      <c r="C63" s="234">
        <v>0</v>
      </c>
      <c r="D63" s="227">
        <v>0</v>
      </c>
      <c r="E63" s="34"/>
      <c r="F63" s="34"/>
      <c r="G63" s="34"/>
      <c r="H63" s="34"/>
    </row>
    <row r="64" spans="1:8" ht="15.75">
      <c r="A64" s="112" t="s">
        <v>58</v>
      </c>
      <c r="B64" s="232" t="s">
        <v>57</v>
      </c>
      <c r="C64" s="234">
        <v>0</v>
      </c>
      <c r="D64" s="227">
        <v>0</v>
      </c>
      <c r="E64" s="34"/>
      <c r="F64" s="34"/>
      <c r="G64" s="34"/>
      <c r="H64" s="34"/>
    </row>
    <row r="65" spans="1:8" ht="26.25">
      <c r="A65" s="127" t="s">
        <v>59</v>
      </c>
      <c r="B65" s="232" t="s">
        <v>57</v>
      </c>
      <c r="C65" s="234">
        <v>0</v>
      </c>
      <c r="D65" s="227">
        <v>0</v>
      </c>
      <c r="E65" s="34"/>
      <c r="F65" s="34"/>
      <c r="G65" s="34"/>
      <c r="H65" s="34"/>
    </row>
    <row r="66" spans="1:8" ht="15.75">
      <c r="A66" s="112" t="s">
        <v>60</v>
      </c>
      <c r="B66" s="232" t="s">
        <v>12</v>
      </c>
      <c r="C66" s="234">
        <v>0</v>
      </c>
      <c r="D66" s="227">
        <v>0</v>
      </c>
      <c r="E66" s="34"/>
      <c r="F66" s="34"/>
      <c r="G66" s="34"/>
      <c r="H66" s="34"/>
    </row>
    <row r="67" spans="1:8" ht="20.25" customHeight="1">
      <c r="A67" s="488" t="s">
        <v>61</v>
      </c>
      <c r="B67" s="488"/>
      <c r="C67" s="488"/>
      <c r="D67" s="488"/>
      <c r="E67" s="34"/>
      <c r="F67" s="34"/>
      <c r="G67" s="34"/>
      <c r="H67" s="34"/>
    </row>
    <row r="68" spans="1:8" ht="24" customHeight="1">
      <c r="A68" s="127" t="s">
        <v>62</v>
      </c>
      <c r="B68" s="232" t="s">
        <v>12</v>
      </c>
      <c r="C68" s="234"/>
      <c r="D68" s="234">
        <v>0</v>
      </c>
      <c r="E68" s="34"/>
      <c r="F68" s="34"/>
      <c r="G68" s="34"/>
      <c r="H68" s="34"/>
    </row>
    <row r="69" spans="1:8" ht="13.5" customHeight="1">
      <c r="A69" s="112" t="s">
        <v>13</v>
      </c>
      <c r="B69" s="232" t="s">
        <v>12</v>
      </c>
      <c r="C69" s="234"/>
      <c r="D69" s="234">
        <v>0</v>
      </c>
      <c r="E69" s="34"/>
      <c r="F69" s="34"/>
      <c r="G69" s="34"/>
      <c r="H69" s="34"/>
    </row>
    <row r="70" spans="1:8" ht="15.75">
      <c r="A70" s="112" t="s">
        <v>14</v>
      </c>
      <c r="B70" s="232" t="s">
        <v>12</v>
      </c>
      <c r="C70" s="234"/>
      <c r="D70" s="239">
        <v>11848.94</v>
      </c>
      <c r="E70" s="34"/>
      <c r="F70" s="34"/>
      <c r="G70" s="34"/>
      <c r="H70" s="36"/>
    </row>
    <row r="71" spans="1:8" ht="15.75">
      <c r="A71" s="129" t="s">
        <v>101</v>
      </c>
      <c r="B71" s="232" t="s">
        <v>12</v>
      </c>
      <c r="C71" s="240"/>
      <c r="D71" s="419">
        <v>0</v>
      </c>
      <c r="E71" s="34"/>
      <c r="F71" s="34"/>
      <c r="G71" s="34"/>
      <c r="H71" s="34"/>
    </row>
    <row r="72" spans="1:10" ht="11.25" customHeight="1">
      <c r="A72" s="132" t="s">
        <v>13</v>
      </c>
      <c r="B72" s="232" t="s">
        <v>12</v>
      </c>
      <c r="C72" s="234"/>
      <c r="D72" s="234">
        <v>0</v>
      </c>
      <c r="E72" s="34"/>
      <c r="F72" s="34"/>
      <c r="G72" s="34"/>
      <c r="H72" s="34"/>
      <c r="I72" s="3"/>
      <c r="J72" s="3"/>
    </row>
    <row r="73" spans="1:14" ht="15.75">
      <c r="A73" s="133" t="s">
        <v>14</v>
      </c>
      <c r="B73" s="232" t="s">
        <v>12</v>
      </c>
      <c r="C73" s="241"/>
      <c r="D73" s="241">
        <f>D70+D77+D78+D80</f>
        <v>0.002262000005430309</v>
      </c>
      <c r="E73" s="34"/>
      <c r="F73" s="34"/>
      <c r="G73" s="34"/>
      <c r="H73" s="34"/>
      <c r="I73" s="4"/>
      <c r="J73" s="4"/>
      <c r="K73" s="5"/>
      <c r="L73" s="5"/>
      <c r="M73" s="5"/>
      <c r="N73" s="5"/>
    </row>
    <row r="74" spans="1:14" ht="18" customHeight="1">
      <c r="A74" s="514" t="s">
        <v>64</v>
      </c>
      <c r="B74" s="514"/>
      <c r="C74" s="514"/>
      <c r="D74" s="514"/>
      <c r="E74" s="39"/>
      <c r="F74" s="43"/>
      <c r="G74" s="44"/>
      <c r="H74" s="34"/>
      <c r="I74" s="8"/>
      <c r="J74" s="8"/>
      <c r="K74" s="9"/>
      <c r="L74" s="9"/>
      <c r="M74" s="9"/>
      <c r="N74" s="9"/>
    </row>
    <row r="75" spans="1:14" ht="72" customHeight="1">
      <c r="A75" s="10" t="s">
        <v>65</v>
      </c>
      <c r="B75" s="11" t="s">
        <v>66</v>
      </c>
      <c r="C75" s="12" t="s">
        <v>67</v>
      </c>
      <c r="D75" s="13" t="s">
        <v>102</v>
      </c>
      <c r="E75" s="39"/>
      <c r="F75" s="43"/>
      <c r="G75" s="44"/>
      <c r="H75" s="34"/>
      <c r="I75" s="8"/>
      <c r="J75" s="8"/>
      <c r="K75" s="9"/>
      <c r="L75" s="9"/>
      <c r="M75" s="9"/>
      <c r="N75" s="9"/>
    </row>
    <row r="76" spans="1:14" ht="19.5" customHeight="1">
      <c r="A76" s="367" t="s">
        <v>194</v>
      </c>
      <c r="B76" s="371">
        <v>0</v>
      </c>
      <c r="C76" s="370">
        <f>B76</f>
        <v>0</v>
      </c>
      <c r="D76" s="372">
        <f>B76-C76</f>
        <v>0</v>
      </c>
      <c r="E76" s="39"/>
      <c r="F76" s="43"/>
      <c r="G76" s="44"/>
      <c r="H76" s="34"/>
      <c r="I76" s="8"/>
      <c r="J76" s="8"/>
      <c r="K76" s="9"/>
      <c r="L76" s="9"/>
      <c r="M76" s="9"/>
      <c r="N76" s="9"/>
    </row>
    <row r="77" spans="1:14" ht="15.75">
      <c r="A77" s="137" t="s">
        <v>69</v>
      </c>
      <c r="B77" s="228">
        <v>13514.2</v>
      </c>
      <c r="C77" s="370">
        <f>B77*1.1577</f>
        <v>15645.38934</v>
      </c>
      <c r="D77" s="286">
        <f>B77-C77</f>
        <v>-2131.189339999999</v>
      </c>
      <c r="E77" s="39"/>
      <c r="F77" s="43"/>
      <c r="G77" s="44"/>
      <c r="H77" s="34"/>
      <c r="I77" s="8"/>
      <c r="J77" s="8"/>
      <c r="K77" s="9"/>
      <c r="L77" s="9"/>
      <c r="M77" s="9"/>
      <c r="N77" s="9"/>
    </row>
    <row r="78" spans="1:14" ht="15.75">
      <c r="A78" s="137" t="s">
        <v>70</v>
      </c>
      <c r="B78" s="228">
        <v>24545.42</v>
      </c>
      <c r="C78" s="370">
        <f>B78*1.1577</f>
        <v>28416.232733999997</v>
      </c>
      <c r="D78" s="286">
        <f>B78-C78</f>
        <v>-3870.812733999999</v>
      </c>
      <c r="E78" s="39"/>
      <c r="F78" s="43"/>
      <c r="G78" s="44"/>
      <c r="H78" s="34"/>
      <c r="I78" s="8"/>
      <c r="J78" s="8"/>
      <c r="K78" s="9"/>
      <c r="L78" s="9"/>
      <c r="M78" s="9"/>
      <c r="N78" s="9"/>
    </row>
    <row r="79" spans="1:14" ht="15.75">
      <c r="A79" s="137" t="s">
        <v>71</v>
      </c>
      <c r="B79" s="242">
        <v>-121933.81</v>
      </c>
      <c r="C79" s="370">
        <f>B79</f>
        <v>-121933.81</v>
      </c>
      <c r="D79" s="286">
        <v>0</v>
      </c>
      <c r="E79" s="39"/>
      <c r="F79" s="46"/>
      <c r="G79" s="47"/>
      <c r="H79" s="39"/>
      <c r="I79" s="8"/>
      <c r="J79" s="8"/>
      <c r="K79" s="9"/>
      <c r="L79" s="9"/>
      <c r="M79" s="9"/>
      <c r="N79" s="9"/>
    </row>
    <row r="80" spans="1:14" ht="16.5" thickBot="1">
      <c r="A80" s="137" t="s">
        <v>72</v>
      </c>
      <c r="B80" s="242">
        <v>37076.32</v>
      </c>
      <c r="C80" s="370">
        <f>B80*1.1577</f>
        <v>42923.255664</v>
      </c>
      <c r="D80" s="286">
        <f>B80-C80</f>
        <v>-5846.935663999997</v>
      </c>
      <c r="E80" s="39"/>
      <c r="F80" s="46"/>
      <c r="G80" s="47"/>
      <c r="H80" s="34"/>
      <c r="I80" s="8"/>
      <c r="J80" s="8"/>
      <c r="K80" s="9"/>
      <c r="L80" s="9"/>
      <c r="M80" s="9"/>
      <c r="N80" s="9"/>
    </row>
    <row r="81" spans="1:14" ht="104.25" customHeight="1">
      <c r="A81" s="29" t="s">
        <v>74</v>
      </c>
      <c r="B81" s="30" t="s">
        <v>75</v>
      </c>
      <c r="C81" s="31" t="s">
        <v>76</v>
      </c>
      <c r="D81" s="32" t="s">
        <v>77</v>
      </c>
      <c r="E81" s="39"/>
      <c r="F81" s="46"/>
      <c r="G81" s="34"/>
      <c r="H81" s="38"/>
      <c r="I81" s="8"/>
      <c r="J81" s="8"/>
      <c r="K81" s="9"/>
      <c r="L81" s="9"/>
      <c r="M81" s="9"/>
      <c r="N81" s="9"/>
    </row>
    <row r="82" spans="1:14" ht="18" customHeight="1">
      <c r="A82" s="368" t="s">
        <v>194</v>
      </c>
      <c r="B82" s="373">
        <v>0</v>
      </c>
      <c r="C82" s="370">
        <v>0</v>
      </c>
      <c r="D82" s="421">
        <f>B82-C82</f>
        <v>0</v>
      </c>
      <c r="E82" s="39"/>
      <c r="F82" s="46"/>
      <c r="G82" s="34"/>
      <c r="H82" s="38"/>
      <c r="I82" s="8"/>
      <c r="J82" s="8"/>
      <c r="K82" s="9"/>
      <c r="L82" s="9"/>
      <c r="M82" s="9"/>
      <c r="N82" s="9"/>
    </row>
    <row r="83" spans="1:14" ht="15.75">
      <c r="A83" s="205" t="s">
        <v>69</v>
      </c>
      <c r="B83" s="374">
        <v>13514.2</v>
      </c>
      <c r="C83" s="370">
        <f>B83*1.1577</f>
        <v>15645.38934</v>
      </c>
      <c r="D83" s="288">
        <f>B83-C83</f>
        <v>-2131.189339999999</v>
      </c>
      <c r="E83" s="39"/>
      <c r="F83" s="46"/>
      <c r="G83" s="34"/>
      <c r="H83" s="38"/>
      <c r="I83" s="8"/>
      <c r="J83" s="8" t="s">
        <v>27</v>
      </c>
      <c r="K83" s="9"/>
      <c r="L83" s="9"/>
      <c r="M83" s="9"/>
      <c r="N83" s="9"/>
    </row>
    <row r="84" spans="1:14" ht="15.75">
      <c r="A84" s="205" t="s">
        <v>70</v>
      </c>
      <c r="B84" s="374">
        <v>24545.42</v>
      </c>
      <c r="C84" s="370">
        <f>B84*1.1577</f>
        <v>28416.232733999997</v>
      </c>
      <c r="D84" s="288">
        <f>B84-C84</f>
        <v>-3870.812733999999</v>
      </c>
      <c r="E84" s="39"/>
      <c r="F84" s="46"/>
      <c r="G84" s="34"/>
      <c r="H84" s="38"/>
      <c r="I84" s="8"/>
      <c r="J84" s="8"/>
      <c r="K84" s="9"/>
      <c r="L84" s="9"/>
      <c r="M84" s="9"/>
      <c r="N84" s="9"/>
    </row>
    <row r="85" spans="1:14" ht="15.75">
      <c r="A85" s="205" t="s">
        <v>71</v>
      </c>
      <c r="B85" s="374">
        <v>0</v>
      </c>
      <c r="C85" s="370">
        <v>0</v>
      </c>
      <c r="D85" s="288">
        <v>0</v>
      </c>
      <c r="E85" s="39"/>
      <c r="F85" s="46"/>
      <c r="G85" s="34"/>
      <c r="H85" s="38"/>
      <c r="I85" s="8"/>
      <c r="J85" s="8"/>
      <c r="K85" s="9"/>
      <c r="L85" s="9"/>
      <c r="M85" s="9"/>
      <c r="N85" s="9"/>
    </row>
    <row r="86" spans="1:14" ht="15.75">
      <c r="A86" s="205" t="s">
        <v>72</v>
      </c>
      <c r="B86" s="374">
        <v>37076.32</v>
      </c>
      <c r="C86" s="370">
        <f>B86*1.1577</f>
        <v>42923.255664</v>
      </c>
      <c r="D86" s="288">
        <f>B86-C86</f>
        <v>-5846.935663999997</v>
      </c>
      <c r="E86" s="39"/>
      <c r="F86" s="46"/>
      <c r="G86" s="34"/>
      <c r="H86" s="38"/>
      <c r="I86" s="8"/>
      <c r="J86" s="8"/>
      <c r="K86" s="9"/>
      <c r="L86" s="9"/>
      <c r="M86" s="9"/>
      <c r="N86" s="9"/>
    </row>
    <row r="87" spans="1:14" ht="6.75" customHeight="1" hidden="1">
      <c r="A87" s="212"/>
      <c r="B87" s="141"/>
      <c r="C87" s="289"/>
      <c r="D87" s="290"/>
      <c r="E87" s="39"/>
      <c r="F87" s="46"/>
      <c r="G87" s="34"/>
      <c r="H87" s="38"/>
      <c r="I87" s="8"/>
      <c r="J87" s="8"/>
      <c r="K87" s="9"/>
      <c r="L87" s="9"/>
      <c r="M87" s="9"/>
      <c r="N87" s="9"/>
    </row>
    <row r="88" spans="1:14" ht="26.25">
      <c r="A88" s="215" t="s">
        <v>78</v>
      </c>
      <c r="B88" s="141" t="s">
        <v>12</v>
      </c>
      <c r="C88" s="291"/>
      <c r="D88" s="292">
        <v>0</v>
      </c>
      <c r="E88" s="39"/>
      <c r="F88" s="46"/>
      <c r="G88" s="34"/>
      <c r="H88" s="38"/>
      <c r="I88" s="8"/>
      <c r="J88" s="8" t="s">
        <v>27</v>
      </c>
      <c r="K88" s="9"/>
      <c r="L88" s="9"/>
      <c r="M88" s="9"/>
      <c r="N88" s="9"/>
    </row>
    <row r="89" spans="1:14" ht="12.75" customHeight="1">
      <c r="A89" s="492" t="s">
        <v>79</v>
      </c>
      <c r="B89" s="492"/>
      <c r="C89" s="492"/>
      <c r="D89" s="492"/>
      <c r="E89" s="48" t="e">
        <f>D89+B18</f>
        <v>#VALUE!</v>
      </c>
      <c r="F89" s="38"/>
      <c r="G89" s="34"/>
      <c r="H89" s="40" t="e">
        <f>E89-B17</f>
        <v>#VALUE!</v>
      </c>
      <c r="I89" s="8"/>
      <c r="J89" s="8"/>
      <c r="K89" s="9"/>
      <c r="L89" s="9"/>
      <c r="M89" s="9"/>
      <c r="N89" s="9"/>
    </row>
    <row r="90" spans="1:8" ht="15" customHeight="1">
      <c r="A90" s="19" t="s">
        <v>56</v>
      </c>
      <c r="B90" s="19" t="s">
        <v>57</v>
      </c>
      <c r="C90" s="27"/>
      <c r="D90" s="80">
        <v>1</v>
      </c>
      <c r="E90" s="49"/>
      <c r="F90" s="34"/>
      <c r="G90" s="34"/>
      <c r="H90" s="34"/>
    </row>
    <row r="91" spans="1:8" ht="21" customHeight="1">
      <c r="A91" s="19" t="s">
        <v>58</v>
      </c>
      <c r="B91" s="19" t="s">
        <v>57</v>
      </c>
      <c r="C91" s="27"/>
      <c r="D91" s="80">
        <v>1</v>
      </c>
      <c r="E91" s="49"/>
      <c r="F91" s="34"/>
      <c r="G91" s="34"/>
      <c r="H91" s="34"/>
    </row>
    <row r="92" spans="1:14" s="1" customFormat="1" ht="18" customHeight="1">
      <c r="A92" s="19" t="s">
        <v>59</v>
      </c>
      <c r="B92" s="19" t="s">
        <v>57</v>
      </c>
      <c r="C92" s="27"/>
      <c r="D92" s="80">
        <v>0</v>
      </c>
      <c r="E92" s="49"/>
      <c r="F92" s="34"/>
      <c r="G92" s="34"/>
      <c r="H92" s="34"/>
      <c r="K92"/>
      <c r="L92"/>
      <c r="M92"/>
      <c r="N92"/>
    </row>
    <row r="93" spans="1:14" s="1" customFormat="1" ht="16.5" customHeight="1">
      <c r="A93" s="19" t="s">
        <v>60</v>
      </c>
      <c r="B93" s="19" t="s">
        <v>12</v>
      </c>
      <c r="C93" s="27"/>
      <c r="D93" s="84">
        <v>1151.64</v>
      </c>
      <c r="E93" s="49"/>
      <c r="F93" s="34"/>
      <c r="G93" s="34"/>
      <c r="H93" s="34"/>
      <c r="K93"/>
      <c r="L93"/>
      <c r="M93"/>
      <c r="N93"/>
    </row>
    <row r="94" spans="1:14" s="1" customFormat="1" ht="13.5" customHeight="1">
      <c r="A94" s="491" t="s">
        <v>80</v>
      </c>
      <c r="B94" s="491"/>
      <c r="C94" s="491"/>
      <c r="D94" s="491"/>
      <c r="E94" s="49"/>
      <c r="F94" s="34"/>
      <c r="G94" s="34"/>
      <c r="H94" s="34"/>
      <c r="K94"/>
      <c r="L94"/>
      <c r="M94"/>
      <c r="N94"/>
    </row>
    <row r="95" spans="1:14" s="1" customFormat="1" ht="18.75" customHeight="1">
      <c r="A95" s="19" t="s">
        <v>81</v>
      </c>
      <c r="B95" s="19" t="s">
        <v>57</v>
      </c>
      <c r="C95" s="27"/>
      <c r="D95" s="80">
        <v>10</v>
      </c>
      <c r="E95" s="49"/>
      <c r="F95" s="34"/>
      <c r="G95" s="34"/>
      <c r="H95" s="34"/>
      <c r="K95"/>
      <c r="L95"/>
      <c r="M95"/>
      <c r="N95"/>
    </row>
    <row r="96" spans="1:14" s="1" customFormat="1" ht="15" customHeight="1">
      <c r="A96" s="19" t="s">
        <v>82</v>
      </c>
      <c r="B96" s="132" t="s">
        <v>57</v>
      </c>
      <c r="C96" s="142"/>
      <c r="D96" s="80">
        <v>2</v>
      </c>
      <c r="E96" s="49"/>
      <c r="F96" s="34"/>
      <c r="G96" s="34"/>
      <c r="H96" s="34"/>
      <c r="K96"/>
      <c r="L96"/>
      <c r="M96"/>
      <c r="N96"/>
    </row>
    <row r="97" spans="1:14" s="1" customFormat="1" ht="25.5" customHeight="1">
      <c r="A97" s="143" t="s">
        <v>83</v>
      </c>
      <c r="B97" s="19" t="s">
        <v>12</v>
      </c>
      <c r="C97" s="27"/>
      <c r="D97" s="80">
        <v>179033.18</v>
      </c>
      <c r="E97" s="49"/>
      <c r="F97" s="34"/>
      <c r="G97" s="34"/>
      <c r="H97" s="34"/>
      <c r="K97"/>
      <c r="L97"/>
      <c r="M97"/>
      <c r="N97"/>
    </row>
    <row r="98" spans="1:14" s="1" customFormat="1" ht="12.75">
      <c r="A98" s="87" t="s">
        <v>154</v>
      </c>
      <c r="B98" s="78"/>
      <c r="C98" s="78"/>
      <c r="D98" s="78"/>
      <c r="E98" s="34"/>
      <c r="F98" s="34"/>
      <c r="G98" s="34"/>
      <c r="H98" s="34"/>
      <c r="K98"/>
      <c r="L98"/>
      <c r="M98"/>
      <c r="N98"/>
    </row>
    <row r="99" spans="1:14" s="1" customFormat="1" ht="12.75">
      <c r="A99" s="78" t="s">
        <v>84</v>
      </c>
      <c r="B99" s="78"/>
      <c r="C99" s="78"/>
      <c r="D99" s="78"/>
      <c r="E99" s="34"/>
      <c r="F99" s="34"/>
      <c r="G99" s="34"/>
      <c r="H99" s="34" t="s">
        <v>27</v>
      </c>
      <c r="K99"/>
      <c r="L99"/>
      <c r="M99"/>
      <c r="N99"/>
    </row>
    <row r="100" spans="1:14" s="1" customFormat="1" ht="12.75">
      <c r="A100" s="78"/>
      <c r="B100" s="78"/>
      <c r="C100" s="78"/>
      <c r="D100" s="78"/>
      <c r="E100" s="34"/>
      <c r="F100" s="34"/>
      <c r="G100" s="34"/>
      <c r="H100" s="34"/>
      <c r="K100"/>
      <c r="L100"/>
      <c r="M100"/>
      <c r="N100"/>
    </row>
    <row r="101" spans="1:8" ht="12.75">
      <c r="A101" s="78"/>
      <c r="B101" s="78"/>
      <c r="C101" s="78"/>
      <c r="D101" s="78"/>
      <c r="E101" s="34"/>
      <c r="F101" s="34"/>
      <c r="G101" s="34"/>
      <c r="H101" s="34"/>
    </row>
    <row r="102" spans="1:8" ht="12.75">
      <c r="A102" s="78"/>
      <c r="B102" s="78"/>
      <c r="C102" s="78"/>
      <c r="D102" s="78"/>
      <c r="E102" s="34"/>
      <c r="F102" s="34"/>
      <c r="G102" s="34"/>
      <c r="H102" s="34"/>
    </row>
    <row r="103" spans="1:4" ht="12.75">
      <c r="A103" s="78"/>
      <c r="B103" s="78"/>
      <c r="C103" s="78"/>
      <c r="D103" s="78"/>
    </row>
    <row r="104" spans="1:14" s="1" customFormat="1" ht="12.75">
      <c r="A104"/>
      <c r="B104"/>
      <c r="C104"/>
      <c r="D104"/>
      <c r="E104" s="1" t="s">
        <v>27</v>
      </c>
      <c r="K104"/>
      <c r="L104"/>
      <c r="M104"/>
      <c r="N104"/>
    </row>
  </sheetData>
  <sheetProtection selectLockedCells="1" selectUnlockedCells="1"/>
  <mergeCells count="12">
    <mergeCell ref="A27:D27"/>
    <mergeCell ref="A62:D62"/>
    <mergeCell ref="A67:D67"/>
    <mergeCell ref="A74:D74"/>
    <mergeCell ref="A89:D89"/>
    <mergeCell ref="A94:D94"/>
    <mergeCell ref="A1:D1"/>
    <mergeCell ref="A2:D2"/>
    <mergeCell ref="A3:D3"/>
    <mergeCell ref="A4:D4"/>
    <mergeCell ref="A5:D5"/>
    <mergeCell ref="A13:D13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zoomScalePageLayoutView="0" workbookViewId="0" topLeftCell="A37">
      <selection activeCell="D51" sqref="D51"/>
    </sheetView>
  </sheetViews>
  <sheetFormatPr defaultColWidth="11.57421875" defaultRowHeight="12.75"/>
  <cols>
    <col min="1" max="1" width="51.8515625" style="0" customWidth="1"/>
    <col min="2" max="2" width="13.8515625" style="0" customWidth="1"/>
    <col min="3" max="3" width="32.421875" style="0" customWidth="1"/>
    <col min="4" max="4" width="14.71093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476" t="s">
        <v>0</v>
      </c>
      <c r="B1" s="476"/>
      <c r="C1" s="476"/>
      <c r="D1" s="476"/>
    </row>
    <row r="2" spans="1:4" ht="15.75">
      <c r="A2" s="475" t="s">
        <v>163</v>
      </c>
      <c r="B2" s="476"/>
      <c r="C2" s="476"/>
      <c r="D2" s="476"/>
    </row>
    <row r="3" spans="1:4" ht="15.75">
      <c r="A3" s="476" t="s">
        <v>1</v>
      </c>
      <c r="B3" s="476"/>
      <c r="C3" s="476"/>
      <c r="D3" s="476"/>
    </row>
    <row r="4" spans="1:4" ht="15.75">
      <c r="A4" s="476" t="s">
        <v>110</v>
      </c>
      <c r="B4" s="476"/>
      <c r="C4" s="476"/>
      <c r="D4" s="476"/>
    </row>
    <row r="5" spans="1:4" ht="15.75">
      <c r="A5" s="475" t="s">
        <v>203</v>
      </c>
      <c r="B5" s="476"/>
      <c r="C5" s="476"/>
      <c r="D5" s="476"/>
    </row>
    <row r="6" spans="1:4" ht="3" customHeight="1">
      <c r="A6" s="297"/>
      <c r="B6" s="298"/>
      <c r="C6" s="298"/>
      <c r="D6" s="298"/>
    </row>
    <row r="7" spans="1:4" ht="30.75" customHeight="1">
      <c r="A7" s="515" t="s">
        <v>3</v>
      </c>
      <c r="B7" s="481"/>
      <c r="C7" s="481"/>
      <c r="D7" s="481"/>
    </row>
    <row r="8" spans="1:4" ht="17.25" customHeight="1">
      <c r="A8" s="357" t="s">
        <v>186</v>
      </c>
      <c r="B8" s="355"/>
      <c r="C8" s="355"/>
      <c r="D8" s="355"/>
    </row>
    <row r="9" spans="1:4" ht="15.75">
      <c r="A9" s="299">
        <v>1</v>
      </c>
      <c r="B9" s="299">
        <v>2</v>
      </c>
      <c r="C9" s="299">
        <v>3</v>
      </c>
      <c r="D9" s="300">
        <v>4</v>
      </c>
    </row>
    <row r="10" spans="1:4" ht="15.75">
      <c r="A10" s="301" t="s">
        <v>7</v>
      </c>
      <c r="B10" s="302"/>
      <c r="C10" s="303" t="s">
        <v>204</v>
      </c>
      <c r="D10" s="227"/>
    </row>
    <row r="11" spans="1:4" ht="15.75">
      <c r="A11" s="301" t="s">
        <v>8</v>
      </c>
      <c r="B11" s="302"/>
      <c r="C11" s="303" t="s">
        <v>205</v>
      </c>
      <c r="D11" s="227"/>
    </row>
    <row r="12" spans="1:8" ht="15.75">
      <c r="A12" s="301" t="s">
        <v>9</v>
      </c>
      <c r="B12" s="302"/>
      <c r="C12" s="303" t="s">
        <v>206</v>
      </c>
      <c r="D12" s="227"/>
      <c r="E12" s="34"/>
      <c r="F12" s="34"/>
      <c r="G12" s="34"/>
      <c r="H12" s="34"/>
    </row>
    <row r="13" spans="1:8" ht="31.5" customHeight="1">
      <c r="A13" s="479" t="s">
        <v>10</v>
      </c>
      <c r="B13" s="479"/>
      <c r="C13" s="479"/>
      <c r="D13" s="479"/>
      <c r="E13" s="34"/>
      <c r="F13" s="34"/>
      <c r="G13" s="34"/>
      <c r="H13" s="34"/>
    </row>
    <row r="14" spans="1:14" s="1" customFormat="1" ht="15.75">
      <c r="A14" s="301" t="s">
        <v>93</v>
      </c>
      <c r="B14" s="304" t="s">
        <v>12</v>
      </c>
      <c r="C14" s="72">
        <v>-117477.46</v>
      </c>
      <c r="D14" s="227"/>
      <c r="E14" s="34"/>
      <c r="F14" s="34"/>
      <c r="G14" s="34"/>
      <c r="H14" s="34"/>
      <c r="I14" s="34"/>
      <c r="J14" s="34"/>
      <c r="K14"/>
      <c r="L14"/>
      <c r="M14"/>
      <c r="N14"/>
    </row>
    <row r="15" spans="1:14" s="1" customFormat="1" ht="15.75">
      <c r="A15" s="301" t="s">
        <v>13</v>
      </c>
      <c r="B15" s="304" t="s">
        <v>12</v>
      </c>
      <c r="C15" s="228">
        <v>0</v>
      </c>
      <c r="D15" s="227"/>
      <c r="E15" s="34"/>
      <c r="F15" s="34"/>
      <c r="G15" s="34"/>
      <c r="H15" s="34"/>
      <c r="I15" s="34"/>
      <c r="J15" s="34"/>
      <c r="K15"/>
      <c r="L15"/>
      <c r="M15"/>
      <c r="N15"/>
    </row>
    <row r="16" spans="1:14" s="1" customFormat="1" ht="15.75">
      <c r="A16" s="301" t="s">
        <v>14</v>
      </c>
      <c r="B16" s="304" t="s">
        <v>12</v>
      </c>
      <c r="C16" s="72">
        <v>151787.53</v>
      </c>
      <c r="D16" s="79"/>
      <c r="E16" s="34"/>
      <c r="F16" s="34"/>
      <c r="G16" s="34"/>
      <c r="H16" s="34"/>
      <c r="I16" s="34"/>
      <c r="J16" s="34"/>
      <c r="K16"/>
      <c r="L16"/>
      <c r="M16"/>
      <c r="N16"/>
    </row>
    <row r="17" spans="1:14" s="1" customFormat="1" ht="31.5" customHeight="1">
      <c r="A17" s="305" t="s">
        <v>15</v>
      </c>
      <c r="B17" s="304" t="s">
        <v>12</v>
      </c>
      <c r="C17" s="72">
        <f>794394.6+8553.36+5031+28676.22</f>
        <v>836655.1799999999</v>
      </c>
      <c r="D17" s="79"/>
      <c r="E17" s="41">
        <f>C17-C19-42260.58</f>
        <v>595167</v>
      </c>
      <c r="F17" s="34"/>
      <c r="G17" s="34"/>
      <c r="H17" s="34"/>
      <c r="I17" s="34"/>
      <c r="J17" s="34"/>
      <c r="K17"/>
      <c r="L17"/>
      <c r="M17"/>
      <c r="N17"/>
    </row>
    <row r="18" spans="1:10" ht="15.75">
      <c r="A18" s="301" t="s">
        <v>16</v>
      </c>
      <c r="B18" s="304" t="s">
        <v>12</v>
      </c>
      <c r="C18" s="72">
        <f>C17-C19-C20</f>
        <v>426628.67999999993</v>
      </c>
      <c r="D18" s="79"/>
      <c r="E18" s="41">
        <f>E17-E51</f>
        <v>-2740.29999999993</v>
      </c>
      <c r="F18" s="34"/>
      <c r="G18" s="34"/>
      <c r="H18" s="422" t="s">
        <v>196</v>
      </c>
      <c r="I18" s="34"/>
      <c r="J18" s="34"/>
    </row>
    <row r="19" spans="1:10" ht="15.75">
      <c r="A19" s="301" t="s">
        <v>17</v>
      </c>
      <c r="B19" s="304" t="s">
        <v>12</v>
      </c>
      <c r="C19" s="72">
        <f>4192.5*3.96*12</f>
        <v>199227.59999999998</v>
      </c>
      <c r="D19" s="79"/>
      <c r="E19" s="42"/>
      <c r="F19" s="34"/>
      <c r="G19" s="34"/>
      <c r="H19" s="34"/>
      <c r="I19" s="34"/>
      <c r="J19" s="34"/>
    </row>
    <row r="20" spans="1:10" ht="15.75">
      <c r="A20" s="301" t="s">
        <v>18</v>
      </c>
      <c r="B20" s="304" t="s">
        <v>12</v>
      </c>
      <c r="C20" s="72">
        <f>4192.5*4.19*12</f>
        <v>210798.90000000002</v>
      </c>
      <c r="D20" s="79"/>
      <c r="E20" s="42"/>
      <c r="F20" s="34"/>
      <c r="G20" s="34"/>
      <c r="H20" s="34"/>
      <c r="I20" s="34"/>
      <c r="J20" s="34"/>
    </row>
    <row r="21" spans="1:10" ht="15.75">
      <c r="A21" s="301" t="s">
        <v>19</v>
      </c>
      <c r="B21" s="304" t="s">
        <v>12</v>
      </c>
      <c r="C21" s="72">
        <f>C22+C23+C24+C25</f>
        <v>865129.696686</v>
      </c>
      <c r="D21" s="79" t="s">
        <v>20</v>
      </c>
      <c r="E21" s="41"/>
      <c r="F21" s="34"/>
      <c r="G21" s="34"/>
      <c r="H21" s="34"/>
      <c r="I21" s="34"/>
      <c r="J21" s="34"/>
    </row>
    <row r="22" spans="1:10" ht="15.75">
      <c r="A22" s="301" t="s">
        <v>21</v>
      </c>
      <c r="B22" s="304" t="s">
        <v>12</v>
      </c>
      <c r="C22" s="72">
        <f>C17*1.0177</f>
        <v>851463.976686</v>
      </c>
      <c r="D22" s="79"/>
      <c r="E22" s="34"/>
      <c r="F22" s="34"/>
      <c r="G22" s="34"/>
      <c r="H22" s="34"/>
      <c r="I22" s="34"/>
      <c r="J22" s="34"/>
    </row>
    <row r="23" spans="1:10" ht="15.75">
      <c r="A23" s="301" t="s">
        <v>22</v>
      </c>
      <c r="B23" s="304" t="s">
        <v>12</v>
      </c>
      <c r="C23" s="72">
        <v>0</v>
      </c>
      <c r="D23" s="79"/>
      <c r="E23" s="42"/>
      <c r="F23" s="34"/>
      <c r="G23" s="34"/>
      <c r="H23" s="34"/>
      <c r="I23" s="34"/>
      <c r="J23" s="34"/>
    </row>
    <row r="24" spans="1:10" ht="15.75">
      <c r="A24" s="301" t="s">
        <v>24</v>
      </c>
      <c r="B24" s="304" t="s">
        <v>12</v>
      </c>
      <c r="C24" s="72">
        <v>0</v>
      </c>
      <c r="D24" s="79"/>
      <c r="E24" s="42"/>
      <c r="F24" s="34"/>
      <c r="G24" s="34"/>
      <c r="H24" s="34"/>
      <c r="I24" s="34"/>
      <c r="J24" s="34"/>
    </row>
    <row r="25" spans="1:10" ht="15.75">
      <c r="A25" s="302" t="s">
        <v>25</v>
      </c>
      <c r="B25" s="304" t="s">
        <v>12</v>
      </c>
      <c r="C25" s="72">
        <f>7880.76+5784.96</f>
        <v>13665.720000000001</v>
      </c>
      <c r="D25" s="79"/>
      <c r="E25" s="42"/>
      <c r="F25" s="34"/>
      <c r="G25" s="34"/>
      <c r="H25" s="34"/>
      <c r="I25" s="34"/>
      <c r="J25" s="34"/>
    </row>
    <row r="26" spans="1:10" ht="15.75">
      <c r="A26" s="301" t="s">
        <v>26</v>
      </c>
      <c r="B26" s="304" t="s">
        <v>12</v>
      </c>
      <c r="C26" s="72">
        <f>C14+C21</f>
        <v>747652.236686</v>
      </c>
      <c r="D26" s="79" t="s">
        <v>27</v>
      </c>
      <c r="E26" s="42"/>
      <c r="F26" s="34"/>
      <c r="G26" s="34"/>
      <c r="H26" s="34"/>
      <c r="I26" s="34"/>
      <c r="J26" s="34"/>
    </row>
    <row r="27" spans="1:10" ht="35.25" customHeight="1">
      <c r="A27" s="488" t="s">
        <v>28</v>
      </c>
      <c r="B27" s="488"/>
      <c r="C27" s="488"/>
      <c r="D27" s="488"/>
      <c r="E27" s="34"/>
      <c r="F27" s="34"/>
      <c r="G27" s="34"/>
      <c r="H27" s="34"/>
      <c r="I27" s="34"/>
      <c r="J27" s="34"/>
    </row>
    <row r="28" spans="1:10" ht="65.25" customHeight="1">
      <c r="A28" s="233" t="s">
        <v>29</v>
      </c>
      <c r="B28" s="229" t="s">
        <v>30</v>
      </c>
      <c r="C28" s="230" t="s">
        <v>31</v>
      </c>
      <c r="D28" s="231" t="s">
        <v>32</v>
      </c>
      <c r="E28" s="34"/>
      <c r="F28" s="34"/>
      <c r="G28" s="34"/>
      <c r="H28" s="34"/>
      <c r="I28" s="34"/>
      <c r="J28" s="34"/>
    </row>
    <row r="29" spans="1:10" ht="15.75">
      <c r="A29" s="234" t="s">
        <v>94</v>
      </c>
      <c r="B29" s="232" t="s">
        <v>34</v>
      </c>
      <c r="C29" s="265" t="s">
        <v>190</v>
      </c>
      <c r="D29" s="79">
        <f>0.5*12*4192.5</f>
        <v>25155</v>
      </c>
      <c r="E29" s="34"/>
      <c r="F29" s="34"/>
      <c r="G29" s="34"/>
      <c r="H29" s="34"/>
      <c r="I29" s="34"/>
      <c r="J29" s="34"/>
    </row>
    <row r="30" spans="1:10" ht="15.75">
      <c r="A30" s="234" t="s">
        <v>87</v>
      </c>
      <c r="B30" s="232" t="s">
        <v>36</v>
      </c>
      <c r="C30" s="234" t="s">
        <v>43</v>
      </c>
      <c r="D30" s="79">
        <f>2.4*12*4192.5</f>
        <v>120743.99999999999</v>
      </c>
      <c r="E30" s="34"/>
      <c r="F30" s="34"/>
      <c r="G30" s="34"/>
      <c r="H30" s="34"/>
      <c r="I30" s="34"/>
      <c r="J30" s="34"/>
    </row>
    <row r="31" spans="1:14" s="1" customFormat="1" ht="15.75">
      <c r="A31" s="234" t="s">
        <v>189</v>
      </c>
      <c r="B31" s="232" t="s">
        <v>42</v>
      </c>
      <c r="C31" s="234" t="s">
        <v>368</v>
      </c>
      <c r="D31" s="79">
        <f>(0.15*12*4192.5)+2740</f>
        <v>10286.5</v>
      </c>
      <c r="E31" s="465" t="s">
        <v>326</v>
      </c>
      <c r="F31" s="34"/>
      <c r="G31" s="34"/>
      <c r="H31" s="34"/>
      <c r="I31" s="34"/>
      <c r="J31" s="34"/>
      <c r="K31"/>
      <c r="L31"/>
      <c r="M31"/>
      <c r="N31"/>
    </row>
    <row r="32" spans="1:14" s="1" customFormat="1" ht="15.75">
      <c r="A32" s="234" t="s">
        <v>95</v>
      </c>
      <c r="B32" s="232" t="s">
        <v>34</v>
      </c>
      <c r="C32" s="234" t="s">
        <v>40</v>
      </c>
      <c r="D32" s="79">
        <f>0.24*12*4192.5</f>
        <v>12074.4</v>
      </c>
      <c r="E32" s="34"/>
      <c r="F32" s="34"/>
      <c r="G32" s="34"/>
      <c r="H32" s="34"/>
      <c r="I32" s="34"/>
      <c r="J32" s="34"/>
      <c r="K32"/>
      <c r="L32"/>
      <c r="M32"/>
      <c r="N32"/>
    </row>
    <row r="33" spans="1:14" s="1" customFormat="1" ht="15.75">
      <c r="A33" s="234" t="s">
        <v>104</v>
      </c>
      <c r="B33" s="296" t="s">
        <v>34</v>
      </c>
      <c r="C33" s="234" t="s">
        <v>43</v>
      </c>
      <c r="D33" s="79">
        <f>0.73*12*4192.5</f>
        <v>36726.299999999996</v>
      </c>
      <c r="E33" s="34"/>
      <c r="F33" s="34"/>
      <c r="G33" s="34"/>
      <c r="H33" s="34"/>
      <c r="I33" s="34"/>
      <c r="J33" s="34"/>
      <c r="K33"/>
      <c r="L33"/>
      <c r="M33"/>
      <c r="N33"/>
    </row>
    <row r="34" spans="1:14" s="1" customFormat="1" ht="15.75">
      <c r="A34" s="234" t="s">
        <v>88</v>
      </c>
      <c r="B34" s="232" t="s">
        <v>34</v>
      </c>
      <c r="C34" s="234" t="s">
        <v>43</v>
      </c>
      <c r="D34" s="79">
        <f>2.05*12*4192.5</f>
        <v>103135.49999999999</v>
      </c>
      <c r="E34" s="34"/>
      <c r="F34" s="34"/>
      <c r="G34" s="34"/>
      <c r="H34" s="34"/>
      <c r="I34" s="34"/>
      <c r="J34" s="34"/>
      <c r="K34"/>
      <c r="L34"/>
      <c r="M34"/>
      <c r="N34"/>
    </row>
    <row r="35" spans="1:14" s="1" customFormat="1" ht="15.75">
      <c r="A35" s="234" t="s">
        <v>45</v>
      </c>
      <c r="B35" s="232" t="s">
        <v>46</v>
      </c>
      <c r="C35" s="234" t="s">
        <v>43</v>
      </c>
      <c r="D35" s="79">
        <f>1.33*12*4192.5</f>
        <v>66912.3</v>
      </c>
      <c r="E35" s="34"/>
      <c r="F35" s="34"/>
      <c r="G35" s="34"/>
      <c r="H35" s="34"/>
      <c r="I35" s="34"/>
      <c r="J35" s="34"/>
      <c r="K35"/>
      <c r="L35"/>
      <c r="M35"/>
      <c r="N35"/>
    </row>
    <row r="36" spans="1:14" s="1" customFormat="1" ht="15.75">
      <c r="A36" s="234" t="s">
        <v>97</v>
      </c>
      <c r="B36" s="232" t="s">
        <v>38</v>
      </c>
      <c r="C36" s="257" t="s">
        <v>159</v>
      </c>
      <c r="D36" s="79">
        <f>4.19*12*4192.5</f>
        <v>210798.9</v>
      </c>
      <c r="E36" s="34"/>
      <c r="F36" s="34"/>
      <c r="G36" s="34"/>
      <c r="H36" s="34"/>
      <c r="I36" s="34"/>
      <c r="J36" s="34"/>
      <c r="K36"/>
      <c r="L36"/>
      <c r="M36"/>
      <c r="N36"/>
    </row>
    <row r="37" spans="1:14" s="1" customFormat="1" ht="24.75" customHeight="1">
      <c r="A37" s="234" t="s">
        <v>100</v>
      </c>
      <c r="B37" s="232" t="s">
        <v>161</v>
      </c>
      <c r="C37" s="265" t="s">
        <v>40</v>
      </c>
      <c r="D37" s="79">
        <f>4192.5*0.24*12</f>
        <v>12074.4</v>
      </c>
      <c r="E37" s="34"/>
      <c r="F37" s="34"/>
      <c r="G37" s="34"/>
      <c r="H37" s="34"/>
      <c r="I37" s="34"/>
      <c r="J37" s="34"/>
      <c r="K37"/>
      <c r="L37"/>
      <c r="M37"/>
      <c r="N37"/>
    </row>
    <row r="38" spans="1:14" s="1" customFormat="1" ht="15.75">
      <c r="A38" s="234" t="s">
        <v>142</v>
      </c>
      <c r="B38" s="232"/>
      <c r="C38" s="235"/>
      <c r="D38" s="79"/>
      <c r="E38" s="34"/>
      <c r="F38" s="34"/>
      <c r="G38" s="34"/>
      <c r="H38" s="34"/>
      <c r="I38" s="34"/>
      <c r="J38" s="34"/>
      <c r="K38"/>
      <c r="L38"/>
      <c r="M38"/>
      <c r="N38"/>
    </row>
    <row r="39" spans="1:14" s="1" customFormat="1" ht="15.75">
      <c r="A39" s="234" t="s">
        <v>140</v>
      </c>
      <c r="B39" s="232" t="s">
        <v>38</v>
      </c>
      <c r="C39" s="235" t="s">
        <v>143</v>
      </c>
      <c r="D39" s="79">
        <f>5031+8553.36</f>
        <v>13584.36</v>
      </c>
      <c r="E39" s="34"/>
      <c r="F39" s="34"/>
      <c r="G39" s="34"/>
      <c r="H39" s="34"/>
      <c r="I39" s="34"/>
      <c r="J39" s="34"/>
      <c r="K39"/>
      <c r="L39"/>
      <c r="M39"/>
      <c r="N39"/>
    </row>
    <row r="40" spans="1:14" s="1" customFormat="1" ht="15.75">
      <c r="A40" s="234" t="s">
        <v>141</v>
      </c>
      <c r="B40" s="232" t="s">
        <v>38</v>
      </c>
      <c r="C40" s="235" t="s">
        <v>144</v>
      </c>
      <c r="D40" s="79">
        <v>50992.32</v>
      </c>
      <c r="E40" s="34"/>
      <c r="F40" s="34"/>
      <c r="G40" s="34"/>
      <c r="H40" s="34"/>
      <c r="I40" s="34"/>
      <c r="J40" s="34"/>
      <c r="K40"/>
      <c r="L40"/>
      <c r="M40"/>
      <c r="N40"/>
    </row>
    <row r="41" spans="1:14" s="1" customFormat="1" ht="29.25" customHeight="1">
      <c r="A41" s="306" t="s">
        <v>132</v>
      </c>
      <c r="B41" s="237" t="s">
        <v>52</v>
      </c>
      <c r="C41" s="243"/>
      <c r="D41" s="344">
        <f>D42+D43+D44+D45+D46+D47+D48+D50+D49</f>
        <v>62421</v>
      </c>
      <c r="E41" s="35"/>
      <c r="F41" s="34"/>
      <c r="G41" s="34"/>
      <c r="H41" s="34"/>
      <c r="I41" s="34"/>
      <c r="J41" s="34"/>
      <c r="K41"/>
      <c r="L41"/>
      <c r="M41"/>
      <c r="N41"/>
    </row>
    <row r="42" spans="1:14" s="1" customFormat="1" ht="49.5" customHeight="1">
      <c r="A42" s="306" t="s">
        <v>238</v>
      </c>
      <c r="B42" s="238" t="s">
        <v>239</v>
      </c>
      <c r="C42" s="233" t="s">
        <v>173</v>
      </c>
      <c r="D42" s="73">
        <v>4111</v>
      </c>
      <c r="E42" s="35"/>
      <c r="F42" s="34"/>
      <c r="G42" s="34"/>
      <c r="H42" s="34"/>
      <c r="I42" s="34"/>
      <c r="J42" s="34"/>
      <c r="K42"/>
      <c r="L42"/>
      <c r="M42"/>
      <c r="N42"/>
    </row>
    <row r="43" spans="1:14" s="1" customFormat="1" ht="44.25" customHeight="1">
      <c r="A43" s="306" t="s">
        <v>240</v>
      </c>
      <c r="B43" s="238" t="s">
        <v>121</v>
      </c>
      <c r="C43" s="353" t="s">
        <v>173</v>
      </c>
      <c r="D43" s="73">
        <v>352</v>
      </c>
      <c r="E43" s="35"/>
      <c r="F43" s="34"/>
      <c r="G43" s="34"/>
      <c r="H43" s="34"/>
      <c r="I43" s="34"/>
      <c r="J43" s="34"/>
      <c r="K43"/>
      <c r="L43"/>
      <c r="M43"/>
      <c r="N43"/>
    </row>
    <row r="44" spans="1:14" s="1" customFormat="1" ht="33.75" customHeight="1">
      <c r="A44" s="306" t="s">
        <v>207</v>
      </c>
      <c r="B44" s="238" t="s">
        <v>121</v>
      </c>
      <c r="C44" s="353" t="s">
        <v>173</v>
      </c>
      <c r="D44" s="73">
        <v>5098</v>
      </c>
      <c r="E44" s="35"/>
      <c r="F44" s="34"/>
      <c r="G44" s="34"/>
      <c r="H44" s="34"/>
      <c r="I44" s="34"/>
      <c r="J44" s="34"/>
      <c r="K44"/>
      <c r="L44"/>
      <c r="M44"/>
      <c r="N44"/>
    </row>
    <row r="45" spans="1:14" s="1" customFormat="1" ht="33.75" customHeight="1">
      <c r="A45" s="306" t="s">
        <v>241</v>
      </c>
      <c r="B45" s="237" t="s">
        <v>121</v>
      </c>
      <c r="C45" s="353" t="s">
        <v>173</v>
      </c>
      <c r="D45" s="73">
        <v>17179</v>
      </c>
      <c r="E45" s="35"/>
      <c r="F45" s="34"/>
      <c r="G45" s="34"/>
      <c r="H45" s="34"/>
      <c r="I45" s="34"/>
      <c r="J45" s="34"/>
      <c r="K45"/>
      <c r="L45"/>
      <c r="M45"/>
      <c r="N45"/>
    </row>
    <row r="46" spans="1:14" s="1" customFormat="1" ht="21.75" customHeight="1">
      <c r="A46" s="306" t="s">
        <v>242</v>
      </c>
      <c r="B46" s="237" t="s">
        <v>121</v>
      </c>
      <c r="C46" s="353" t="s">
        <v>173</v>
      </c>
      <c r="D46" s="73">
        <v>2050</v>
      </c>
      <c r="E46" s="35"/>
      <c r="F46" s="34"/>
      <c r="G46" s="34"/>
      <c r="H46" s="34"/>
      <c r="I46" s="34"/>
      <c r="J46" s="34"/>
      <c r="K46"/>
      <c r="L46"/>
      <c r="M46"/>
      <c r="N46"/>
    </row>
    <row r="47" spans="1:14" s="1" customFormat="1" ht="23.25" customHeight="1">
      <c r="A47" s="306" t="s">
        <v>243</v>
      </c>
      <c r="B47" s="237" t="s">
        <v>124</v>
      </c>
      <c r="C47" s="243" t="s">
        <v>173</v>
      </c>
      <c r="D47" s="73">
        <v>628</v>
      </c>
      <c r="E47" s="35"/>
      <c r="F47" s="34"/>
      <c r="G47" s="34"/>
      <c r="H47" s="34"/>
      <c r="I47" s="34"/>
      <c r="J47" s="34"/>
      <c r="K47"/>
      <c r="L47"/>
      <c r="M47"/>
      <c r="N47"/>
    </row>
    <row r="48" spans="1:14" s="1" customFormat="1" ht="31.5" customHeight="1">
      <c r="A48" s="306" t="s">
        <v>244</v>
      </c>
      <c r="B48" s="237" t="s">
        <v>245</v>
      </c>
      <c r="C48" s="233" t="s">
        <v>246</v>
      </c>
      <c r="D48" s="73">
        <v>26827</v>
      </c>
      <c r="E48" s="35"/>
      <c r="F48" s="34"/>
      <c r="G48" s="34"/>
      <c r="H48" s="34"/>
      <c r="I48" s="34"/>
      <c r="J48" s="34"/>
      <c r="K48"/>
      <c r="L48"/>
      <c r="M48"/>
      <c r="N48"/>
    </row>
    <row r="49" spans="1:14" s="1" customFormat="1" ht="19.5" customHeight="1">
      <c r="A49" s="306" t="s">
        <v>249</v>
      </c>
      <c r="B49" s="237" t="s">
        <v>122</v>
      </c>
      <c r="C49" s="243" t="s">
        <v>173</v>
      </c>
      <c r="D49" s="73">
        <v>2655</v>
      </c>
      <c r="E49" s="35"/>
      <c r="F49" s="34"/>
      <c r="G49" s="34"/>
      <c r="H49" s="34"/>
      <c r="I49" s="34"/>
      <c r="J49" s="34"/>
      <c r="K49"/>
      <c r="L49"/>
      <c r="M49"/>
      <c r="N49"/>
    </row>
    <row r="50" spans="1:14" s="1" customFormat="1" ht="40.5" customHeight="1">
      <c r="A50" s="306" t="s">
        <v>247</v>
      </c>
      <c r="B50" s="237" t="s">
        <v>125</v>
      </c>
      <c r="C50" s="353" t="s">
        <v>248</v>
      </c>
      <c r="D50" s="73">
        <v>3521</v>
      </c>
      <c r="E50" s="35"/>
      <c r="F50" s="34"/>
      <c r="G50" s="34"/>
      <c r="H50" s="34"/>
      <c r="I50" s="34"/>
      <c r="J50" s="34"/>
      <c r="K50"/>
      <c r="L50"/>
      <c r="M50"/>
      <c r="N50"/>
    </row>
    <row r="51" spans="1:14" s="1" customFormat="1" ht="15.75">
      <c r="A51" s="235" t="s">
        <v>53</v>
      </c>
      <c r="B51" s="232"/>
      <c r="C51" s="234"/>
      <c r="D51" s="79">
        <f>D29+D30+D31+D32+D33+D34+D35+D36+D37+D39+D40+D41</f>
        <v>724904.9799999999</v>
      </c>
      <c r="E51" s="35">
        <f>D51-D39-D40-D41</f>
        <v>597907.2999999999</v>
      </c>
      <c r="F51" s="34"/>
      <c r="G51" s="34"/>
      <c r="H51" s="34"/>
      <c r="I51" s="34"/>
      <c r="J51" s="34"/>
      <c r="K51"/>
      <c r="L51"/>
      <c r="M51"/>
      <c r="N51"/>
    </row>
    <row r="52" spans="1:14" s="1" customFormat="1" ht="15.75">
      <c r="A52" s="235" t="s">
        <v>54</v>
      </c>
      <c r="B52" s="232" t="s">
        <v>12</v>
      </c>
      <c r="C52" s="234"/>
      <c r="D52" s="79">
        <f>C26-D51</f>
        <v>22747.256686000153</v>
      </c>
      <c r="E52" s="473"/>
      <c r="F52" s="34"/>
      <c r="G52" s="34"/>
      <c r="H52" s="34"/>
      <c r="I52" s="34"/>
      <c r="J52" s="34"/>
      <c r="K52"/>
      <c r="L52"/>
      <c r="M52"/>
      <c r="N52"/>
    </row>
    <row r="53" spans="1:10" ht="15.75">
      <c r="A53" s="234" t="s">
        <v>13</v>
      </c>
      <c r="B53" s="232" t="s">
        <v>12</v>
      </c>
      <c r="C53" s="234"/>
      <c r="D53" s="79"/>
      <c r="E53" s="34"/>
      <c r="F53" s="34"/>
      <c r="G53" s="34"/>
      <c r="H53" s="34"/>
      <c r="I53" s="34"/>
      <c r="J53" s="34"/>
    </row>
    <row r="54" spans="1:10" ht="15.75">
      <c r="A54" s="234" t="s">
        <v>14</v>
      </c>
      <c r="B54" s="232" t="s">
        <v>12</v>
      </c>
      <c r="C54" s="234"/>
      <c r="D54" s="79">
        <f>C16+C17-C22</f>
        <v>136978.73331399995</v>
      </c>
      <c r="E54" s="35"/>
      <c r="F54" s="34"/>
      <c r="G54" s="34"/>
      <c r="H54" s="34"/>
      <c r="I54" s="34"/>
      <c r="J54" s="34"/>
    </row>
    <row r="55" spans="1:10" ht="16.5" customHeight="1">
      <c r="A55" s="489" t="s">
        <v>55</v>
      </c>
      <c r="B55" s="489"/>
      <c r="C55" s="489"/>
      <c r="D55" s="489"/>
      <c r="E55" s="34"/>
      <c r="F55" s="34"/>
      <c r="G55" s="34"/>
      <c r="H55" s="34"/>
      <c r="I55" s="34"/>
      <c r="J55" s="34"/>
    </row>
    <row r="56" spans="1:10" ht="15.75">
      <c r="A56" s="234" t="s">
        <v>56</v>
      </c>
      <c r="B56" s="232" t="s">
        <v>57</v>
      </c>
      <c r="C56" s="234">
        <v>0</v>
      </c>
      <c r="D56" s="227">
        <v>0</v>
      </c>
      <c r="E56" s="34"/>
      <c r="F56" s="34"/>
      <c r="G56" s="34"/>
      <c r="H56" s="34"/>
      <c r="I56" s="34"/>
      <c r="J56" s="34"/>
    </row>
    <row r="57" spans="1:10" ht="15.75">
      <c r="A57" s="234" t="s">
        <v>58</v>
      </c>
      <c r="B57" s="232" t="s">
        <v>57</v>
      </c>
      <c r="C57" s="234">
        <v>0</v>
      </c>
      <c r="D57" s="227">
        <v>0</v>
      </c>
      <c r="E57" s="34"/>
      <c r="F57" s="34"/>
      <c r="G57" s="34"/>
      <c r="H57" s="34"/>
      <c r="I57" s="34"/>
      <c r="J57" s="34"/>
    </row>
    <row r="58" spans="1:10" ht="31.5">
      <c r="A58" s="233" t="s">
        <v>59</v>
      </c>
      <c r="B58" s="232" t="s">
        <v>57</v>
      </c>
      <c r="C58" s="234">
        <v>0</v>
      </c>
      <c r="D58" s="227">
        <v>0</v>
      </c>
      <c r="E58" s="34"/>
      <c r="F58" s="34"/>
      <c r="G58" s="34"/>
      <c r="H58" s="34"/>
      <c r="I58" s="34"/>
      <c r="J58" s="34"/>
    </row>
    <row r="59" spans="1:10" ht="15.75">
      <c r="A59" s="234" t="s">
        <v>60</v>
      </c>
      <c r="B59" s="232" t="s">
        <v>12</v>
      </c>
      <c r="C59" s="234">
        <v>0</v>
      </c>
      <c r="D59" s="227">
        <v>0</v>
      </c>
      <c r="E59" s="34"/>
      <c r="F59" s="34"/>
      <c r="G59" s="34"/>
      <c r="H59" s="34"/>
      <c r="I59" s="34"/>
      <c r="J59" s="34"/>
    </row>
    <row r="60" spans="1:14" ht="17.25" customHeight="1">
      <c r="A60" s="492" t="s">
        <v>79</v>
      </c>
      <c r="B60" s="492"/>
      <c r="C60" s="492"/>
      <c r="D60" s="492"/>
      <c r="E60" s="48" t="e">
        <f>D60+B18</f>
        <v>#VALUE!</v>
      </c>
      <c r="F60" s="8"/>
      <c r="H60" s="18" t="e">
        <f>E60-B17</f>
        <v>#VALUE!</v>
      </c>
      <c r="I60" s="8"/>
      <c r="J60" s="8"/>
      <c r="K60" s="9"/>
      <c r="L60" s="9"/>
      <c r="M60" s="9"/>
      <c r="N60" s="9"/>
    </row>
    <row r="61" spans="1:5" ht="16.5" customHeight="1">
      <c r="A61" s="308" t="s">
        <v>56</v>
      </c>
      <c r="B61" s="308" t="s">
        <v>57</v>
      </c>
      <c r="C61" s="309"/>
      <c r="D61" s="80">
        <v>0</v>
      </c>
      <c r="E61" s="49"/>
    </row>
    <row r="62" spans="1:5" ht="15.75" customHeight="1">
      <c r="A62" s="308" t="s">
        <v>58</v>
      </c>
      <c r="B62" s="308" t="s">
        <v>57</v>
      </c>
      <c r="C62" s="309"/>
      <c r="D62" s="80">
        <v>0</v>
      </c>
      <c r="E62" s="49"/>
    </row>
    <row r="63" spans="1:14" s="1" customFormat="1" ht="15" customHeight="1">
      <c r="A63" s="308" t="s">
        <v>59</v>
      </c>
      <c r="B63" s="308" t="s">
        <v>57</v>
      </c>
      <c r="C63" s="309"/>
      <c r="D63" s="80">
        <v>0</v>
      </c>
      <c r="E63" s="49"/>
      <c r="K63"/>
      <c r="L63"/>
      <c r="M63"/>
      <c r="N63"/>
    </row>
    <row r="64" spans="1:14" s="1" customFormat="1" ht="16.5" customHeight="1">
      <c r="A64" s="308" t="s">
        <v>60</v>
      </c>
      <c r="B64" s="308" t="s">
        <v>12</v>
      </c>
      <c r="C64" s="309"/>
      <c r="D64" s="80">
        <v>0</v>
      </c>
      <c r="E64" s="49"/>
      <c r="K64"/>
      <c r="L64"/>
      <c r="M64"/>
      <c r="N64"/>
    </row>
    <row r="65" spans="1:14" s="1" customFormat="1" ht="15.75" customHeight="1">
      <c r="A65" s="516" t="s">
        <v>80</v>
      </c>
      <c r="B65" s="516"/>
      <c r="C65" s="516"/>
      <c r="D65" s="516"/>
      <c r="E65" s="49"/>
      <c r="K65"/>
      <c r="L65"/>
      <c r="M65"/>
      <c r="N65"/>
    </row>
    <row r="66" spans="1:14" s="1" customFormat="1" ht="18.75" customHeight="1">
      <c r="A66" s="308" t="s">
        <v>81</v>
      </c>
      <c r="B66" s="308" t="s">
        <v>57</v>
      </c>
      <c r="C66" s="309"/>
      <c r="D66" s="80">
        <v>7</v>
      </c>
      <c r="E66" s="49"/>
      <c r="K66"/>
      <c r="L66"/>
      <c r="M66"/>
      <c r="N66"/>
    </row>
    <row r="67" spans="1:14" s="1" customFormat="1" ht="17.25" customHeight="1">
      <c r="A67" s="308" t="s">
        <v>82</v>
      </c>
      <c r="B67" s="307" t="s">
        <v>57</v>
      </c>
      <c r="C67" s="310"/>
      <c r="D67" s="80">
        <v>4</v>
      </c>
      <c r="E67" s="49"/>
      <c r="K67"/>
      <c r="L67"/>
      <c r="M67"/>
      <c r="N67"/>
    </row>
    <row r="68" spans="1:14" s="1" customFormat="1" ht="27.75" customHeight="1">
      <c r="A68" s="311" t="s">
        <v>83</v>
      </c>
      <c r="B68" s="308" t="s">
        <v>12</v>
      </c>
      <c r="C68" s="309"/>
      <c r="D68" s="80">
        <v>59914.62</v>
      </c>
      <c r="E68" s="49"/>
      <c r="K68"/>
      <c r="L68"/>
      <c r="M68"/>
      <c r="N68"/>
    </row>
    <row r="69" spans="1:14" s="1" customFormat="1" ht="15.75">
      <c r="A69" s="312" t="s">
        <v>155</v>
      </c>
      <c r="B69" s="298"/>
      <c r="C69" s="298"/>
      <c r="D69" s="298"/>
      <c r="E69" s="34"/>
      <c r="K69"/>
      <c r="L69"/>
      <c r="M69"/>
      <c r="N69"/>
    </row>
    <row r="70" spans="1:14" s="1" customFormat="1" ht="15.75">
      <c r="A70" s="298" t="s">
        <v>84</v>
      </c>
      <c r="B70" s="298"/>
      <c r="C70" s="298"/>
      <c r="D70" s="298"/>
      <c r="E70" s="34"/>
      <c r="H70" s="1" t="s">
        <v>27</v>
      </c>
      <c r="K70"/>
      <c r="L70"/>
      <c r="M70"/>
      <c r="N70"/>
    </row>
    <row r="71" spans="1:14" s="1" customFormat="1" ht="15.75">
      <c r="A71" s="298"/>
      <c r="B71" s="298"/>
      <c r="C71" s="298"/>
      <c r="D71" s="298"/>
      <c r="E71" s="34"/>
      <c r="K71"/>
      <c r="L71"/>
      <c r="M71"/>
      <c r="N71"/>
    </row>
    <row r="72" spans="1:4" ht="12.75">
      <c r="A72" s="78"/>
      <c r="B72" s="78"/>
      <c r="C72" s="78"/>
      <c r="D72" s="78"/>
    </row>
    <row r="75" spans="1:14" s="1" customFormat="1" ht="12.75">
      <c r="A75"/>
      <c r="B75"/>
      <c r="C75"/>
      <c r="D75"/>
      <c r="E75" s="1" t="s">
        <v>27</v>
      </c>
      <c r="K75"/>
      <c r="L75"/>
      <c r="M75"/>
      <c r="N75"/>
    </row>
  </sheetData>
  <sheetProtection selectLockedCells="1" selectUnlockedCells="1"/>
  <mergeCells count="11">
    <mergeCell ref="A13:D13"/>
    <mergeCell ref="A7:D7"/>
    <mergeCell ref="A27:D27"/>
    <mergeCell ref="A55:D55"/>
    <mergeCell ref="A60:D60"/>
    <mergeCell ref="A65:D65"/>
    <mergeCell ref="A1:D1"/>
    <mergeCell ref="A2:D2"/>
    <mergeCell ref="A3:D3"/>
    <mergeCell ref="A4:D4"/>
    <mergeCell ref="A5:D5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tabSelected="1" zoomScale="95" zoomScaleNormal="95" zoomScalePageLayoutView="0" workbookViewId="0" topLeftCell="A52">
      <selection activeCell="D61" sqref="D61"/>
    </sheetView>
  </sheetViews>
  <sheetFormatPr defaultColWidth="11.57421875" defaultRowHeight="12.75"/>
  <cols>
    <col min="1" max="1" width="60.140625" style="0" customWidth="1"/>
    <col min="2" max="2" width="16.140625" style="0" customWidth="1"/>
    <col min="3" max="3" width="23.00390625" style="0" customWidth="1"/>
    <col min="4" max="4" width="13.0039062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518" t="s">
        <v>0</v>
      </c>
      <c r="B1" s="474"/>
      <c r="C1" s="474"/>
      <c r="D1" s="474"/>
    </row>
    <row r="2" spans="1:4" ht="15.75">
      <c r="A2" s="475" t="s">
        <v>163</v>
      </c>
      <c r="B2" s="476"/>
      <c r="C2" s="476"/>
      <c r="D2" s="476"/>
    </row>
    <row r="3" spans="1:4" ht="15.75">
      <c r="A3" s="476" t="s">
        <v>1</v>
      </c>
      <c r="B3" s="476"/>
      <c r="C3" s="476"/>
      <c r="D3" s="476"/>
    </row>
    <row r="4" spans="1:4" ht="12.75">
      <c r="A4" s="478" t="s">
        <v>112</v>
      </c>
      <c r="B4" s="478"/>
      <c r="C4" s="478"/>
      <c r="D4" s="478"/>
    </row>
    <row r="5" spans="1:4" ht="12.75">
      <c r="A5" s="477" t="s">
        <v>203</v>
      </c>
      <c r="B5" s="478"/>
      <c r="C5" s="478"/>
      <c r="D5" s="478"/>
    </row>
    <row r="6" ht="14.25" customHeight="1">
      <c r="A6" s="2"/>
    </row>
    <row r="7" spans="1:4" ht="42" customHeight="1">
      <c r="A7" s="480" t="s">
        <v>3</v>
      </c>
      <c r="B7" s="480"/>
      <c r="C7" s="480"/>
      <c r="D7" s="480"/>
    </row>
    <row r="8" spans="1:4" ht="12.75">
      <c r="A8" s="87" t="s">
        <v>187</v>
      </c>
      <c r="B8" s="78"/>
      <c r="C8" s="88"/>
      <c r="D8" s="78"/>
    </row>
    <row r="9" spans="1:4" ht="12.75">
      <c r="A9" s="89" t="s">
        <v>4</v>
      </c>
      <c r="B9" s="89" t="s">
        <v>5</v>
      </c>
      <c r="C9" s="89" t="s">
        <v>6</v>
      </c>
      <c r="D9" s="90"/>
    </row>
    <row r="10" spans="1:8" ht="12.75">
      <c r="A10" s="91">
        <v>1</v>
      </c>
      <c r="B10" s="91">
        <v>2</v>
      </c>
      <c r="C10" s="91">
        <v>3</v>
      </c>
      <c r="D10" s="92">
        <v>4</v>
      </c>
      <c r="E10" s="34"/>
      <c r="F10" s="34"/>
      <c r="G10" s="34"/>
      <c r="H10" s="34"/>
    </row>
    <row r="11" spans="1:8" ht="12.75">
      <c r="A11" s="64" t="s">
        <v>7</v>
      </c>
      <c r="B11" s="93"/>
      <c r="C11" s="94" t="s">
        <v>204</v>
      </c>
      <c r="D11" s="77"/>
      <c r="E11" s="34"/>
      <c r="F11" s="34"/>
      <c r="G11" s="34"/>
      <c r="H11" s="34"/>
    </row>
    <row r="12" spans="1:8" ht="12.75">
      <c r="A12" s="64" t="s">
        <v>8</v>
      </c>
      <c r="B12" s="93"/>
      <c r="C12" s="94" t="s">
        <v>205</v>
      </c>
      <c r="D12" s="77"/>
      <c r="E12" s="34"/>
      <c r="F12" s="34"/>
      <c r="G12" s="34"/>
      <c r="H12" s="34"/>
    </row>
    <row r="13" spans="1:8" ht="12.75">
      <c r="A13" s="64" t="s">
        <v>9</v>
      </c>
      <c r="B13" s="93"/>
      <c r="C13" s="94" t="s">
        <v>206</v>
      </c>
      <c r="D13" s="77"/>
      <c r="E13" s="34"/>
      <c r="F13" s="34"/>
      <c r="G13" s="34"/>
      <c r="H13" s="34"/>
    </row>
    <row r="14" spans="1:9" ht="31.5" customHeight="1">
      <c r="A14" s="493" t="s">
        <v>10</v>
      </c>
      <c r="B14" s="493"/>
      <c r="C14" s="493"/>
      <c r="D14" s="493"/>
      <c r="E14" s="34"/>
      <c r="F14" s="34"/>
      <c r="G14" s="34"/>
      <c r="H14" s="34"/>
      <c r="I14" s="34"/>
    </row>
    <row r="15" spans="1:9" ht="12.75">
      <c r="A15" s="64" t="s">
        <v>86</v>
      </c>
      <c r="B15" s="95" t="s">
        <v>12</v>
      </c>
      <c r="C15" s="71">
        <v>-40748.14</v>
      </c>
      <c r="D15" s="77"/>
      <c r="E15" s="34"/>
      <c r="F15" s="34"/>
      <c r="G15" s="34"/>
      <c r="H15" s="34"/>
      <c r="I15" s="34"/>
    </row>
    <row r="16" spans="1:9" ht="12.75">
      <c r="A16" s="64" t="s">
        <v>13</v>
      </c>
      <c r="B16" s="95" t="s">
        <v>12</v>
      </c>
      <c r="C16" s="96">
        <v>0</v>
      </c>
      <c r="D16" s="77"/>
      <c r="E16" s="34"/>
      <c r="F16" s="34"/>
      <c r="G16" s="34"/>
      <c r="H16" s="34"/>
      <c r="I16" s="34"/>
    </row>
    <row r="17" spans="1:9" ht="12.75">
      <c r="A17" s="64" t="s">
        <v>14</v>
      </c>
      <c r="B17" s="95" t="s">
        <v>12</v>
      </c>
      <c r="C17" s="71">
        <v>168130.51</v>
      </c>
      <c r="D17" s="75"/>
      <c r="E17" s="34"/>
      <c r="F17" s="34"/>
      <c r="G17" s="34"/>
      <c r="H17" s="34"/>
      <c r="I17" s="34"/>
    </row>
    <row r="18" spans="1:9" ht="31.5" customHeight="1">
      <c r="A18" s="63" t="s">
        <v>15</v>
      </c>
      <c r="B18" s="95" t="s">
        <v>12</v>
      </c>
      <c r="C18" s="71">
        <f>1290463.01+10769.22+6403.92+147858.84</f>
        <v>1455494.99</v>
      </c>
      <c r="D18" s="75"/>
      <c r="E18" s="41">
        <f>C18-C20-165031.98</f>
        <v>1026180.53</v>
      </c>
      <c r="F18" s="34"/>
      <c r="G18" s="34"/>
      <c r="H18" s="34"/>
      <c r="I18" s="34"/>
    </row>
    <row r="19" spans="1:9" ht="12.75">
      <c r="A19" s="64" t="s">
        <v>16</v>
      </c>
      <c r="B19" s="95" t="s">
        <v>12</v>
      </c>
      <c r="C19" s="71">
        <f>C18-C20-C21</f>
        <v>958364.51</v>
      </c>
      <c r="D19" s="75"/>
      <c r="E19" s="41">
        <f>E18-E61</f>
        <v>-3360.0000000001164</v>
      </c>
      <c r="F19" s="34"/>
      <c r="G19" s="34"/>
      <c r="H19" s="34"/>
      <c r="I19" s="34"/>
    </row>
    <row r="20" spans="1:9" ht="12.75">
      <c r="A20" s="64" t="s">
        <v>17</v>
      </c>
      <c r="B20" s="95" t="s">
        <v>12</v>
      </c>
      <c r="C20" s="71">
        <f>4851*4.54*12</f>
        <v>264282.48</v>
      </c>
      <c r="D20" s="75"/>
      <c r="E20" s="41"/>
      <c r="F20" s="34"/>
      <c r="G20" s="34"/>
      <c r="H20" s="34"/>
      <c r="I20" s="34"/>
    </row>
    <row r="21" spans="1:9" ht="12.75">
      <c r="A21" s="64" t="s">
        <v>18</v>
      </c>
      <c r="B21" s="95" t="s">
        <v>12</v>
      </c>
      <c r="C21" s="71">
        <f>4851*4*12</f>
        <v>232848</v>
      </c>
      <c r="D21" s="75"/>
      <c r="E21" s="34"/>
      <c r="F21" s="34"/>
      <c r="G21" s="34"/>
      <c r="H21" s="34"/>
      <c r="I21" s="34"/>
    </row>
    <row r="22" spans="1:9" ht="12.75">
      <c r="A22" s="64" t="s">
        <v>19</v>
      </c>
      <c r="B22" s="95" t="s">
        <v>12</v>
      </c>
      <c r="C22" s="71">
        <f>C23+C24+C25+C26</f>
        <v>1502598.978758</v>
      </c>
      <c r="D22" s="75" t="s">
        <v>20</v>
      </c>
      <c r="E22" s="41"/>
      <c r="F22" s="34"/>
      <c r="G22" s="34"/>
      <c r="H22" s="34"/>
      <c r="I22" s="34"/>
    </row>
    <row r="23" spans="1:9" ht="12.75">
      <c r="A23" s="64" t="s">
        <v>21</v>
      </c>
      <c r="B23" s="95" t="s">
        <v>12</v>
      </c>
      <c r="C23" s="97">
        <f>C18*1.0242</f>
        <v>1490717.968758</v>
      </c>
      <c r="D23" s="75"/>
      <c r="E23" s="34"/>
      <c r="F23" s="34"/>
      <c r="G23" s="34"/>
      <c r="H23" s="34"/>
      <c r="I23" s="34"/>
    </row>
    <row r="24" spans="1:9" ht="12.75">
      <c r="A24" s="64" t="s">
        <v>22</v>
      </c>
      <c r="B24" s="95" t="s">
        <v>12</v>
      </c>
      <c r="C24" s="97">
        <v>0</v>
      </c>
      <c r="D24" s="98">
        <v>65.21</v>
      </c>
      <c r="E24" s="42"/>
      <c r="F24" s="34"/>
      <c r="G24" s="34"/>
      <c r="H24" s="34"/>
      <c r="I24" s="34"/>
    </row>
    <row r="25" spans="1:9" ht="12.75">
      <c r="A25" s="64" t="s">
        <v>24</v>
      </c>
      <c r="B25" s="95" t="s">
        <v>12</v>
      </c>
      <c r="C25" s="71">
        <v>0</v>
      </c>
      <c r="D25" s="98">
        <v>119.63</v>
      </c>
      <c r="E25" s="42"/>
      <c r="F25" s="34"/>
      <c r="G25" s="34"/>
      <c r="H25" s="34"/>
      <c r="I25" s="34"/>
    </row>
    <row r="26" spans="1:9" ht="12.75">
      <c r="A26" s="93" t="s">
        <v>25</v>
      </c>
      <c r="B26" s="95" t="s">
        <v>12</v>
      </c>
      <c r="C26" s="71">
        <f>4462.25+4526.28+2892.48</f>
        <v>11881.009999999998</v>
      </c>
      <c r="D26" s="98"/>
      <c r="E26" s="42"/>
      <c r="F26" s="34"/>
      <c r="G26" s="34"/>
      <c r="H26" s="34"/>
      <c r="I26" s="34"/>
    </row>
    <row r="27" spans="1:9" ht="12.75">
      <c r="A27" s="64" t="s">
        <v>26</v>
      </c>
      <c r="B27" s="95" t="s">
        <v>12</v>
      </c>
      <c r="C27" s="71">
        <f>C15+C22</f>
        <v>1461850.8387580002</v>
      </c>
      <c r="D27" s="75" t="s">
        <v>27</v>
      </c>
      <c r="E27" s="42"/>
      <c r="F27" s="34"/>
      <c r="G27" s="34"/>
      <c r="H27" s="34"/>
      <c r="I27" s="34"/>
    </row>
    <row r="28" spans="1:9" ht="35.25" customHeight="1">
      <c r="A28" s="494" t="s">
        <v>28</v>
      </c>
      <c r="B28" s="494"/>
      <c r="C28" s="494"/>
      <c r="D28" s="494"/>
      <c r="E28" s="34"/>
      <c r="F28" s="34"/>
      <c r="G28" s="34"/>
      <c r="H28" s="34"/>
      <c r="I28" s="34"/>
    </row>
    <row r="29" spans="1:9" ht="51">
      <c r="A29" s="100" t="s">
        <v>29</v>
      </c>
      <c r="B29" s="101" t="s">
        <v>30</v>
      </c>
      <c r="C29" s="102" t="s">
        <v>31</v>
      </c>
      <c r="D29" s="103" t="s">
        <v>32</v>
      </c>
      <c r="E29" s="34"/>
      <c r="F29" s="34"/>
      <c r="G29" s="34"/>
      <c r="H29" s="34"/>
      <c r="I29" s="34"/>
    </row>
    <row r="30" spans="1:9" ht="12.75">
      <c r="A30" s="104" t="s">
        <v>33</v>
      </c>
      <c r="B30" s="105" t="s">
        <v>34</v>
      </c>
      <c r="C30" s="359" t="s">
        <v>190</v>
      </c>
      <c r="D30" s="107">
        <f>4851*0.3*12</f>
        <v>17463.6</v>
      </c>
      <c r="E30" s="34"/>
      <c r="F30" s="34"/>
      <c r="G30" s="34"/>
      <c r="H30" s="34"/>
      <c r="I30" s="34"/>
    </row>
    <row r="31" spans="1:9" ht="12.75">
      <c r="A31" s="108" t="s">
        <v>87</v>
      </c>
      <c r="B31" s="109" t="s">
        <v>36</v>
      </c>
      <c r="C31" s="112" t="s">
        <v>43</v>
      </c>
      <c r="D31" s="111">
        <f>4851*12*2</f>
        <v>116424</v>
      </c>
      <c r="E31" s="34"/>
      <c r="F31" s="34"/>
      <c r="G31" s="34"/>
      <c r="H31" s="34"/>
      <c r="I31" s="34"/>
    </row>
    <row r="32" spans="1:14" s="1" customFormat="1" ht="12.75">
      <c r="A32" s="108" t="s">
        <v>189</v>
      </c>
      <c r="B32" s="109" t="s">
        <v>197</v>
      </c>
      <c r="C32" s="219" t="s">
        <v>367</v>
      </c>
      <c r="D32" s="111">
        <f>4851*12*0.15+3360</f>
        <v>12091.8</v>
      </c>
      <c r="E32" s="465">
        <v>3360</v>
      </c>
      <c r="F32" s="34"/>
      <c r="G32" s="34"/>
      <c r="H32" s="34"/>
      <c r="I32" s="34"/>
      <c r="K32"/>
      <c r="L32"/>
      <c r="M32"/>
      <c r="N32"/>
    </row>
    <row r="33" spans="1:14" s="1" customFormat="1" ht="12.75">
      <c r="A33" s="108" t="s">
        <v>39</v>
      </c>
      <c r="B33" s="109" t="s">
        <v>34</v>
      </c>
      <c r="C33" s="112" t="s">
        <v>40</v>
      </c>
      <c r="D33" s="111">
        <f>4851*12*0.24</f>
        <v>13970.88</v>
      </c>
      <c r="E33" s="34"/>
      <c r="F33" s="34"/>
      <c r="G33" s="34"/>
      <c r="H33" s="34"/>
      <c r="I33" s="34"/>
      <c r="K33"/>
      <c r="L33"/>
      <c r="M33"/>
      <c r="N33"/>
    </row>
    <row r="34" spans="1:14" s="1" customFormat="1" ht="12.75">
      <c r="A34" s="108" t="s">
        <v>41</v>
      </c>
      <c r="B34" s="295" t="s">
        <v>34</v>
      </c>
      <c r="C34" s="112" t="s">
        <v>43</v>
      </c>
      <c r="D34" s="111">
        <f>4851*12*0.6</f>
        <v>34927.2</v>
      </c>
      <c r="E34" s="34"/>
      <c r="F34" s="34"/>
      <c r="G34" s="34"/>
      <c r="H34" s="34"/>
      <c r="I34" s="34"/>
      <c r="K34"/>
      <c r="L34"/>
      <c r="M34"/>
      <c r="N34"/>
    </row>
    <row r="35" spans="1:14" s="1" customFormat="1" ht="12.75">
      <c r="A35" s="108" t="s">
        <v>88</v>
      </c>
      <c r="B35" s="109" t="s">
        <v>34</v>
      </c>
      <c r="C35" s="112" t="s">
        <v>43</v>
      </c>
      <c r="D35" s="111">
        <f>1.4*12*4851</f>
        <v>81496.79999999999</v>
      </c>
      <c r="E35" s="34"/>
      <c r="F35" s="34"/>
      <c r="G35" s="34"/>
      <c r="H35" s="34"/>
      <c r="I35" s="34"/>
      <c r="K35"/>
      <c r="L35"/>
      <c r="M35"/>
      <c r="N35"/>
    </row>
    <row r="36" spans="1:14" s="1" customFormat="1" ht="12.75">
      <c r="A36" s="108" t="s">
        <v>45</v>
      </c>
      <c r="B36" s="109" t="s">
        <v>46</v>
      </c>
      <c r="C36" s="112" t="s">
        <v>43</v>
      </c>
      <c r="D36" s="111">
        <f>4851*12*1.2</f>
        <v>69854.4</v>
      </c>
      <c r="E36" s="34"/>
      <c r="F36" s="34"/>
      <c r="G36" s="34"/>
      <c r="H36" s="34"/>
      <c r="I36" s="34"/>
      <c r="K36"/>
      <c r="L36"/>
      <c r="M36"/>
      <c r="N36"/>
    </row>
    <row r="37" spans="1:14" s="1" customFormat="1" ht="12.75">
      <c r="A37" s="108" t="s">
        <v>47</v>
      </c>
      <c r="B37" s="109" t="s">
        <v>38</v>
      </c>
      <c r="C37" s="219" t="s">
        <v>159</v>
      </c>
      <c r="D37" s="111">
        <f>4*12*4851</f>
        <v>232848</v>
      </c>
      <c r="E37" s="34"/>
      <c r="F37" s="34"/>
      <c r="G37" s="34"/>
      <c r="H37" s="34"/>
      <c r="I37" s="34"/>
      <c r="K37"/>
      <c r="L37"/>
      <c r="M37"/>
      <c r="N37"/>
    </row>
    <row r="38" spans="1:14" s="1" customFormat="1" ht="12.75">
      <c r="A38" s="108" t="s">
        <v>89</v>
      </c>
      <c r="B38" s="113" t="s">
        <v>36</v>
      </c>
      <c r="C38" s="112" t="s">
        <v>43</v>
      </c>
      <c r="D38" s="111">
        <f>4851*12*2.5</f>
        <v>145530</v>
      </c>
      <c r="E38" s="34"/>
      <c r="F38" s="34"/>
      <c r="G38" s="34"/>
      <c r="H38" s="34"/>
      <c r="I38" s="34"/>
      <c r="K38"/>
      <c r="L38"/>
      <c r="M38"/>
      <c r="N38"/>
    </row>
    <row r="39" spans="1:14" s="1" customFormat="1" ht="12.75">
      <c r="A39" s="108" t="s">
        <v>90</v>
      </c>
      <c r="B39" s="109" t="s">
        <v>38</v>
      </c>
      <c r="C39" s="112" t="s">
        <v>50</v>
      </c>
      <c r="D39" s="111">
        <f>4851*12*4.99-1261.27</f>
        <v>289216.61</v>
      </c>
      <c r="E39" s="34"/>
      <c r="F39" s="34"/>
      <c r="G39" s="34"/>
      <c r="H39" s="34"/>
      <c r="I39" s="34"/>
      <c r="K39"/>
      <c r="L39"/>
      <c r="M39"/>
      <c r="N39"/>
    </row>
    <row r="40" spans="1:14" s="1" customFormat="1" ht="12.75">
      <c r="A40" s="108" t="s">
        <v>99</v>
      </c>
      <c r="B40" s="109" t="s">
        <v>36</v>
      </c>
      <c r="C40" s="112" t="s">
        <v>43</v>
      </c>
      <c r="D40" s="111">
        <v>0</v>
      </c>
      <c r="E40" s="34"/>
      <c r="F40" s="34"/>
      <c r="G40" s="34"/>
      <c r="H40" s="34"/>
      <c r="I40" s="34"/>
      <c r="K40"/>
      <c r="L40"/>
      <c r="M40"/>
      <c r="N40"/>
    </row>
    <row r="41" spans="1:14" s="1" customFormat="1" ht="12.75">
      <c r="A41" s="108" t="s">
        <v>100</v>
      </c>
      <c r="B41" s="109" t="s">
        <v>161</v>
      </c>
      <c r="C41" s="112" t="s">
        <v>40</v>
      </c>
      <c r="D41" s="111">
        <f>4851*0.27*12</f>
        <v>15717.24</v>
      </c>
      <c r="E41" s="34"/>
      <c r="F41" s="34"/>
      <c r="G41" s="34"/>
      <c r="H41" s="34"/>
      <c r="I41" s="34"/>
      <c r="K41"/>
      <c r="L41"/>
      <c r="M41"/>
      <c r="N41"/>
    </row>
    <row r="42" spans="1:14" s="1" customFormat="1" ht="12.75">
      <c r="A42" s="244" t="s">
        <v>142</v>
      </c>
      <c r="B42" s="245"/>
      <c r="C42" s="246"/>
      <c r="D42" s="247"/>
      <c r="E42" s="34"/>
      <c r="F42" s="34"/>
      <c r="G42" s="34"/>
      <c r="H42" s="34"/>
      <c r="I42" s="34"/>
      <c r="K42"/>
      <c r="L42"/>
      <c r="M42"/>
      <c r="N42"/>
    </row>
    <row r="43" spans="1:14" s="1" customFormat="1" ht="25.5">
      <c r="A43" s="244" t="s">
        <v>140</v>
      </c>
      <c r="B43" s="245" t="s">
        <v>38</v>
      </c>
      <c r="C43" s="246" t="s">
        <v>143</v>
      </c>
      <c r="D43" s="247">
        <f>6403.92+10769.22</f>
        <v>17173.14</v>
      </c>
      <c r="E43" s="34"/>
      <c r="F43" s="34"/>
      <c r="G43" s="34"/>
      <c r="H43" s="34"/>
      <c r="I43" s="34"/>
      <c r="K43"/>
      <c r="L43"/>
      <c r="M43"/>
      <c r="N43"/>
    </row>
    <row r="44" spans="1:14" s="1" customFormat="1" ht="12.75">
      <c r="A44" s="244" t="s">
        <v>141</v>
      </c>
      <c r="B44" s="245" t="s">
        <v>38</v>
      </c>
      <c r="C44" s="246" t="s">
        <v>144</v>
      </c>
      <c r="D44" s="247">
        <v>147858.84</v>
      </c>
      <c r="E44" s="34"/>
      <c r="F44" s="34"/>
      <c r="G44" s="34"/>
      <c r="H44" s="34"/>
      <c r="I44" s="34"/>
      <c r="K44"/>
      <c r="L44"/>
      <c r="M44"/>
      <c r="N44"/>
    </row>
    <row r="45" spans="1:14" s="1" customFormat="1" ht="50.25" customHeight="1">
      <c r="A45" s="118" t="s">
        <v>128</v>
      </c>
      <c r="B45" s="119" t="s">
        <v>52</v>
      </c>
      <c r="C45" s="117"/>
      <c r="D45" s="354">
        <f>D46+D47+D48+D49+D50+D51+D52+D53+D54+D55+D56+D57+D58</f>
        <v>332619.45999999996</v>
      </c>
      <c r="E45" s="35"/>
      <c r="F45" s="34"/>
      <c r="G45" s="34"/>
      <c r="H45" s="34"/>
      <c r="I45" s="34"/>
      <c r="K45"/>
      <c r="L45"/>
      <c r="M45"/>
      <c r="N45"/>
    </row>
    <row r="46" spans="1:14" s="1" customFormat="1" ht="28.5" customHeight="1">
      <c r="A46" s="118" t="s">
        <v>327</v>
      </c>
      <c r="B46" s="123" t="s">
        <v>328</v>
      </c>
      <c r="C46" s="452" t="s">
        <v>43</v>
      </c>
      <c r="D46" s="456">
        <v>1311</v>
      </c>
      <c r="E46" s="35"/>
      <c r="F46" s="34"/>
      <c r="G46" s="34"/>
      <c r="H46" s="34"/>
      <c r="I46" s="34"/>
      <c r="K46"/>
      <c r="L46"/>
      <c r="M46"/>
      <c r="N46"/>
    </row>
    <row r="47" spans="1:14" s="1" customFormat="1" ht="52.5" customHeight="1">
      <c r="A47" s="120" t="s">
        <v>329</v>
      </c>
      <c r="B47" s="123" t="s">
        <v>239</v>
      </c>
      <c r="C47" s="452" t="s">
        <v>43</v>
      </c>
      <c r="D47" s="81">
        <v>7063</v>
      </c>
      <c r="E47" s="35"/>
      <c r="F47" s="34"/>
      <c r="G47" s="34"/>
      <c r="H47" s="34"/>
      <c r="I47" s="34"/>
      <c r="K47"/>
      <c r="L47"/>
      <c r="M47"/>
      <c r="N47"/>
    </row>
    <row r="48" spans="1:14" s="1" customFormat="1" ht="27.75" customHeight="1">
      <c r="A48" s="120" t="s">
        <v>178</v>
      </c>
      <c r="B48" s="123" t="s">
        <v>121</v>
      </c>
      <c r="C48" s="112" t="s">
        <v>162</v>
      </c>
      <c r="D48" s="81">
        <v>352</v>
      </c>
      <c r="E48" s="35"/>
      <c r="F48" s="34"/>
      <c r="G48" s="34"/>
      <c r="H48" s="34"/>
      <c r="I48" s="34"/>
      <c r="K48"/>
      <c r="L48"/>
      <c r="M48"/>
      <c r="N48"/>
    </row>
    <row r="49" spans="1:14" s="1" customFormat="1" ht="20.25" customHeight="1">
      <c r="A49" s="120" t="s">
        <v>207</v>
      </c>
      <c r="B49" s="119" t="s">
        <v>121</v>
      </c>
      <c r="C49" s="112" t="s">
        <v>162</v>
      </c>
      <c r="D49" s="81">
        <v>2549</v>
      </c>
      <c r="E49" s="35"/>
      <c r="F49" s="34"/>
      <c r="G49" s="34"/>
      <c r="H49" s="34"/>
      <c r="I49" s="34"/>
      <c r="K49"/>
      <c r="L49"/>
      <c r="M49"/>
      <c r="N49"/>
    </row>
    <row r="50" spans="1:14" s="1" customFormat="1" ht="26.25" customHeight="1">
      <c r="A50" s="120" t="s">
        <v>218</v>
      </c>
      <c r="B50" s="119" t="s">
        <v>117</v>
      </c>
      <c r="C50" s="112" t="s">
        <v>159</v>
      </c>
      <c r="D50" s="81">
        <v>29650.46</v>
      </c>
      <c r="E50" s="35"/>
      <c r="F50" s="34"/>
      <c r="G50" s="34"/>
      <c r="H50" s="34"/>
      <c r="I50" s="34"/>
      <c r="K50"/>
      <c r="L50"/>
      <c r="M50"/>
      <c r="N50"/>
    </row>
    <row r="51" spans="1:14" s="1" customFormat="1" ht="21" customHeight="1">
      <c r="A51" s="120" t="s">
        <v>336</v>
      </c>
      <c r="B51" s="119" t="s">
        <v>126</v>
      </c>
      <c r="C51" s="112" t="s">
        <v>162</v>
      </c>
      <c r="D51" s="81">
        <v>5349</v>
      </c>
      <c r="E51" s="35"/>
      <c r="F51" s="34"/>
      <c r="G51" s="34"/>
      <c r="H51" s="34"/>
      <c r="I51" s="34"/>
      <c r="K51"/>
      <c r="L51"/>
      <c r="M51"/>
      <c r="N51"/>
    </row>
    <row r="52" spans="1:14" s="1" customFormat="1" ht="36" customHeight="1">
      <c r="A52" s="120" t="s">
        <v>160</v>
      </c>
      <c r="B52" s="119" t="s">
        <v>335</v>
      </c>
      <c r="C52" s="112" t="s">
        <v>50</v>
      </c>
      <c r="D52" s="81">
        <v>15866</v>
      </c>
      <c r="E52" s="35"/>
      <c r="F52" s="34"/>
      <c r="G52" s="34"/>
      <c r="H52" s="34"/>
      <c r="I52" s="34"/>
      <c r="K52"/>
      <c r="L52"/>
      <c r="M52"/>
      <c r="N52"/>
    </row>
    <row r="53" spans="1:14" s="1" customFormat="1" ht="18" customHeight="1">
      <c r="A53" s="120" t="s">
        <v>374</v>
      </c>
      <c r="B53" s="119" t="s">
        <v>119</v>
      </c>
      <c r="C53" s="112" t="s">
        <v>162</v>
      </c>
      <c r="D53" s="81">
        <v>1652</v>
      </c>
      <c r="E53" s="35"/>
      <c r="F53" s="34"/>
      <c r="G53" s="34"/>
      <c r="H53" s="34"/>
      <c r="I53" s="34"/>
      <c r="K53"/>
      <c r="L53"/>
      <c r="M53"/>
      <c r="N53"/>
    </row>
    <row r="54" spans="1:14" s="1" customFormat="1" ht="23.25" customHeight="1">
      <c r="A54" s="120" t="s">
        <v>330</v>
      </c>
      <c r="B54" s="119" t="s">
        <v>122</v>
      </c>
      <c r="C54" s="112" t="s">
        <v>162</v>
      </c>
      <c r="D54" s="81">
        <v>4403</v>
      </c>
      <c r="E54" s="35"/>
      <c r="F54" s="34"/>
      <c r="G54" s="34"/>
      <c r="H54" s="34"/>
      <c r="I54" s="34"/>
      <c r="K54"/>
      <c r="L54"/>
      <c r="M54"/>
      <c r="N54"/>
    </row>
    <row r="55" spans="1:14" s="1" customFormat="1" ht="24.75" customHeight="1">
      <c r="A55" s="118" t="s">
        <v>331</v>
      </c>
      <c r="B55" s="119" t="s">
        <v>120</v>
      </c>
      <c r="C55" s="198" t="s">
        <v>174</v>
      </c>
      <c r="D55" s="81">
        <v>91436</v>
      </c>
      <c r="E55" s="35"/>
      <c r="F55" s="34"/>
      <c r="G55" s="34"/>
      <c r="H55" s="34"/>
      <c r="I55" s="34"/>
      <c r="K55"/>
      <c r="L55"/>
      <c r="M55"/>
      <c r="N55"/>
    </row>
    <row r="56" spans="1:14" s="1" customFormat="1" ht="24.75" customHeight="1">
      <c r="A56" s="118" t="s">
        <v>337</v>
      </c>
      <c r="B56" s="119" t="s">
        <v>120</v>
      </c>
      <c r="C56" s="112" t="s">
        <v>162</v>
      </c>
      <c r="D56" s="81">
        <v>8133</v>
      </c>
      <c r="E56" s="35"/>
      <c r="F56" s="34"/>
      <c r="G56" s="34"/>
      <c r="H56" s="34"/>
      <c r="I56" s="34"/>
      <c r="K56"/>
      <c r="L56"/>
      <c r="M56"/>
      <c r="N56"/>
    </row>
    <row r="57" spans="1:14" s="1" customFormat="1" ht="21" customHeight="1">
      <c r="A57" s="120" t="s">
        <v>332</v>
      </c>
      <c r="B57" s="119" t="s">
        <v>120</v>
      </c>
      <c r="C57" s="112" t="s">
        <v>333</v>
      </c>
      <c r="D57" s="81">
        <v>145855</v>
      </c>
      <c r="E57" s="35"/>
      <c r="F57" s="34"/>
      <c r="G57" s="34"/>
      <c r="H57" s="34"/>
      <c r="I57" s="34"/>
      <c r="K57"/>
      <c r="L57"/>
      <c r="M57"/>
      <c r="N57"/>
    </row>
    <row r="58" spans="1:14" s="1" customFormat="1" ht="28.5" customHeight="1">
      <c r="A58" s="453" t="s">
        <v>373</v>
      </c>
      <c r="B58" s="454" t="s">
        <v>123</v>
      </c>
      <c r="C58" s="70" t="s">
        <v>334</v>
      </c>
      <c r="D58" s="455">
        <v>19000</v>
      </c>
      <c r="E58" s="35"/>
      <c r="F58" s="34"/>
      <c r="G58" s="34"/>
      <c r="H58" s="34"/>
      <c r="I58" s="34"/>
      <c r="K58"/>
      <c r="L58"/>
      <c r="M58"/>
      <c r="N58"/>
    </row>
    <row r="59" spans="1:14" s="1" customFormat="1" ht="25.5" customHeight="1">
      <c r="A59" s="118"/>
      <c r="B59" s="119"/>
      <c r="C59" s="112"/>
      <c r="D59" s="81"/>
      <c r="E59" s="35"/>
      <c r="F59" s="34"/>
      <c r="G59" s="34"/>
      <c r="H59" s="34"/>
      <c r="I59" s="34"/>
      <c r="K59"/>
      <c r="L59"/>
      <c r="M59"/>
      <c r="N59"/>
    </row>
    <row r="60" spans="1:14" s="1" customFormat="1" ht="30" customHeight="1">
      <c r="A60" s="118"/>
      <c r="B60" s="119"/>
      <c r="C60" s="112"/>
      <c r="D60" s="81"/>
      <c r="E60" s="35"/>
      <c r="F60" s="34"/>
      <c r="G60" s="34"/>
      <c r="H60" s="34"/>
      <c r="I60" s="34"/>
      <c r="K60"/>
      <c r="L60"/>
      <c r="M60"/>
      <c r="N60"/>
    </row>
    <row r="61" spans="1:14" s="1" customFormat="1" ht="12.75">
      <c r="A61" s="21" t="s">
        <v>91</v>
      </c>
      <c r="B61" s="124"/>
      <c r="C61" s="248"/>
      <c r="D61" s="255">
        <f>D30+D31+D32+D33+D34+D35+D36+D37+D38+D39+D40+D41+D43+D44+D45</f>
        <v>1527191.97</v>
      </c>
      <c r="E61" s="35">
        <f>D61-D45-D43-D44</f>
        <v>1029540.5300000001</v>
      </c>
      <c r="F61" s="34"/>
      <c r="G61" s="34"/>
      <c r="H61" s="34"/>
      <c r="I61" s="34"/>
      <c r="K61"/>
      <c r="L61"/>
      <c r="M61"/>
      <c r="N61"/>
    </row>
    <row r="62" spans="1:14" s="1" customFormat="1" ht="25.5">
      <c r="A62" s="67" t="s">
        <v>54</v>
      </c>
      <c r="B62" s="105" t="s">
        <v>12</v>
      </c>
      <c r="C62" s="125"/>
      <c r="D62" s="126">
        <f>C27-D61+171300.47</f>
        <v>105959.3387580002</v>
      </c>
      <c r="E62" s="35">
        <f>C27-D61</f>
        <v>-65341.1312419998</v>
      </c>
      <c r="F62" s="34"/>
      <c r="G62" s="34"/>
      <c r="H62" s="34"/>
      <c r="I62" s="34"/>
      <c r="K62"/>
      <c r="L62"/>
      <c r="M62"/>
      <c r="N62"/>
    </row>
    <row r="63" spans="1:9" ht="12.75">
      <c r="A63" s="112" t="s">
        <v>13</v>
      </c>
      <c r="B63" s="109" t="s">
        <v>12</v>
      </c>
      <c r="C63" s="112"/>
      <c r="D63" s="77"/>
      <c r="E63" s="34"/>
      <c r="F63" s="34"/>
      <c r="G63" s="34"/>
      <c r="H63" s="34"/>
      <c r="I63" s="34"/>
    </row>
    <row r="64" spans="1:9" ht="12.75">
      <c r="A64" s="112" t="s">
        <v>14</v>
      </c>
      <c r="B64" s="109" t="s">
        <v>12</v>
      </c>
      <c r="C64" s="112"/>
      <c r="D64" s="75">
        <v>132907.53</v>
      </c>
      <c r="E64" s="35"/>
      <c r="F64" s="34"/>
      <c r="G64" s="34"/>
      <c r="H64" s="34"/>
      <c r="I64" s="34"/>
    </row>
    <row r="65" spans="1:9" ht="24" customHeight="1">
      <c r="A65" s="495" t="s">
        <v>55</v>
      </c>
      <c r="B65" s="495"/>
      <c r="C65" s="495"/>
      <c r="D65" s="495"/>
      <c r="E65" s="34"/>
      <c r="F65" s="34"/>
      <c r="G65" s="34"/>
      <c r="H65" s="34"/>
      <c r="I65" s="34"/>
    </row>
    <row r="66" spans="1:9" ht="12.75">
      <c r="A66" s="112" t="s">
        <v>56</v>
      </c>
      <c r="B66" s="109" t="s">
        <v>57</v>
      </c>
      <c r="C66" s="112"/>
      <c r="D66" s="77">
        <v>0</v>
      </c>
      <c r="E66" s="34"/>
      <c r="F66" s="34"/>
      <c r="G66" s="34"/>
      <c r="H66" s="34"/>
      <c r="I66" s="34"/>
    </row>
    <row r="67" spans="1:9" ht="12.75">
      <c r="A67" s="112" t="s">
        <v>58</v>
      </c>
      <c r="B67" s="109" t="s">
        <v>57</v>
      </c>
      <c r="C67" s="112"/>
      <c r="D67" s="77">
        <v>0</v>
      </c>
      <c r="E67" s="34"/>
      <c r="F67" s="34"/>
      <c r="G67" s="34"/>
      <c r="H67" s="34"/>
      <c r="I67" s="34"/>
    </row>
    <row r="68" spans="1:9" ht="25.5">
      <c r="A68" s="127" t="s">
        <v>59</v>
      </c>
      <c r="B68" s="109" t="s">
        <v>57</v>
      </c>
      <c r="C68" s="112"/>
      <c r="D68" s="77">
        <v>0</v>
      </c>
      <c r="E68" s="34"/>
      <c r="F68" s="34"/>
      <c r="G68" s="34"/>
      <c r="H68" s="34"/>
      <c r="I68" s="34"/>
    </row>
    <row r="69" spans="1:9" ht="12.75">
      <c r="A69" s="112" t="s">
        <v>60</v>
      </c>
      <c r="B69" s="109" t="s">
        <v>12</v>
      </c>
      <c r="C69" s="112"/>
      <c r="D69" s="77">
        <v>0</v>
      </c>
      <c r="E69" s="34"/>
      <c r="F69" s="34"/>
      <c r="G69" s="34"/>
      <c r="H69" s="34"/>
      <c r="I69" s="34"/>
    </row>
    <row r="70" spans="1:14" ht="17.25" customHeight="1">
      <c r="A70" s="517" t="s">
        <v>79</v>
      </c>
      <c r="B70" s="517"/>
      <c r="C70" s="517"/>
      <c r="D70" s="517"/>
      <c r="E70" s="17"/>
      <c r="F70" s="8"/>
      <c r="H70" s="18" t="e">
        <f>E70-B18</f>
        <v>#VALUE!</v>
      </c>
      <c r="I70" s="8"/>
      <c r="J70" s="8"/>
      <c r="K70" s="9"/>
      <c r="L70" s="9"/>
      <c r="M70" s="9"/>
      <c r="N70" s="9"/>
    </row>
    <row r="71" spans="1:5" ht="21" customHeight="1">
      <c r="A71" s="19" t="s">
        <v>56</v>
      </c>
      <c r="B71" s="19" t="s">
        <v>57</v>
      </c>
      <c r="C71" s="27"/>
      <c r="D71" s="415">
        <v>0</v>
      </c>
      <c r="E71" s="20"/>
    </row>
    <row r="72" spans="1:5" ht="21" customHeight="1">
      <c r="A72" s="19" t="s">
        <v>58</v>
      </c>
      <c r="B72" s="19" t="s">
        <v>57</v>
      </c>
      <c r="C72" s="27"/>
      <c r="D72" s="415">
        <v>0</v>
      </c>
      <c r="E72" s="20"/>
    </row>
    <row r="73" spans="1:14" s="1" customFormat="1" ht="18" customHeight="1">
      <c r="A73" s="19" t="s">
        <v>59</v>
      </c>
      <c r="B73" s="19" t="s">
        <v>57</v>
      </c>
      <c r="C73" s="27"/>
      <c r="D73" s="415">
        <v>0</v>
      </c>
      <c r="E73" s="20"/>
      <c r="K73"/>
      <c r="L73"/>
      <c r="M73"/>
      <c r="N73"/>
    </row>
    <row r="74" spans="1:14" s="1" customFormat="1" ht="16.5" customHeight="1">
      <c r="A74" s="19" t="s">
        <v>60</v>
      </c>
      <c r="B74" s="19" t="s">
        <v>12</v>
      </c>
      <c r="C74" s="27"/>
      <c r="D74" s="415">
        <v>0</v>
      </c>
      <c r="E74" s="20"/>
      <c r="K74"/>
      <c r="L74"/>
      <c r="M74"/>
      <c r="N74"/>
    </row>
    <row r="75" spans="1:14" s="1" customFormat="1" ht="15.75" customHeight="1">
      <c r="A75" s="503" t="s">
        <v>80</v>
      </c>
      <c r="B75" s="503"/>
      <c r="C75" s="503"/>
      <c r="D75" s="503"/>
      <c r="E75" s="20"/>
      <c r="K75"/>
      <c r="L75"/>
      <c r="M75"/>
      <c r="N75"/>
    </row>
    <row r="76" spans="1:14" s="1" customFormat="1" ht="18.75" customHeight="1">
      <c r="A76" s="19" t="s">
        <v>81</v>
      </c>
      <c r="B76" s="19" t="s">
        <v>57</v>
      </c>
      <c r="C76" s="27"/>
      <c r="D76" s="415">
        <v>1</v>
      </c>
      <c r="E76" s="20"/>
      <c r="K76"/>
      <c r="L76"/>
      <c r="M76"/>
      <c r="N76"/>
    </row>
    <row r="77" spans="1:14" s="1" customFormat="1" ht="21.75" customHeight="1">
      <c r="A77" s="19" t="s">
        <v>82</v>
      </c>
      <c r="B77" s="132" t="s">
        <v>57</v>
      </c>
      <c r="C77" s="142"/>
      <c r="D77" s="415">
        <v>0</v>
      </c>
      <c r="E77" s="20"/>
      <c r="K77"/>
      <c r="L77"/>
      <c r="M77"/>
      <c r="N77"/>
    </row>
    <row r="78" spans="1:14" s="1" customFormat="1" ht="36" customHeight="1">
      <c r="A78" s="143" t="s">
        <v>83</v>
      </c>
      <c r="B78" s="19" t="s">
        <v>12</v>
      </c>
      <c r="C78" s="27"/>
      <c r="D78" s="415">
        <v>11088.09</v>
      </c>
      <c r="E78" s="20"/>
      <c r="K78"/>
      <c r="L78"/>
      <c r="M78"/>
      <c r="N78"/>
    </row>
    <row r="79" spans="1:14" s="1" customFormat="1" ht="12.75">
      <c r="A79" s="144"/>
      <c r="B79" s="144"/>
      <c r="C79" s="144"/>
      <c r="D79" s="145"/>
      <c r="K79"/>
      <c r="L79"/>
      <c r="M79"/>
      <c r="N79"/>
    </row>
    <row r="80" spans="1:14" s="1" customFormat="1" ht="12.75">
      <c r="A80" s="78"/>
      <c r="B80" s="78"/>
      <c r="C80" s="78"/>
      <c r="D80" s="78"/>
      <c r="H80" s="1" t="s">
        <v>27</v>
      </c>
      <c r="K80"/>
      <c r="L80"/>
      <c r="M80"/>
      <c r="N80"/>
    </row>
    <row r="81" spans="1:14" s="1" customFormat="1" ht="12.75">
      <c r="A81" s="87" t="s">
        <v>375</v>
      </c>
      <c r="B81" s="78"/>
      <c r="C81" s="78"/>
      <c r="D81" s="78"/>
      <c r="K81"/>
      <c r="L81"/>
      <c r="M81"/>
      <c r="N81"/>
    </row>
    <row r="82" spans="1:14" s="1" customFormat="1" ht="12.75">
      <c r="A82" s="78"/>
      <c r="B82" s="78"/>
      <c r="C82" s="78"/>
      <c r="D82" s="78"/>
      <c r="H82" s="1" t="s">
        <v>27</v>
      </c>
      <c r="K82"/>
      <c r="L82"/>
      <c r="M82"/>
      <c r="N82"/>
    </row>
    <row r="83" spans="1:14" s="1" customFormat="1" ht="12.75">
      <c r="A83" s="78" t="s">
        <v>84</v>
      </c>
      <c r="B83" s="78"/>
      <c r="C83" s="78"/>
      <c r="D83" s="78"/>
      <c r="K83"/>
      <c r="L83"/>
      <c r="M83"/>
      <c r="N83"/>
    </row>
    <row r="84" spans="1:4" ht="12.75">
      <c r="A84" s="78"/>
      <c r="B84" s="78"/>
      <c r="C84" s="78"/>
      <c r="D84" s="78"/>
    </row>
    <row r="85" spans="1:4" ht="12.75">
      <c r="A85" s="78"/>
      <c r="B85" s="78"/>
      <c r="C85" s="78"/>
      <c r="D85" s="78"/>
    </row>
    <row r="86" spans="1:4" ht="12.75">
      <c r="A86" s="50"/>
      <c r="B86" s="50"/>
      <c r="C86" s="50"/>
      <c r="D86" s="50"/>
    </row>
    <row r="87" spans="1:14" s="1" customFormat="1" ht="12.75">
      <c r="A87"/>
      <c r="B87"/>
      <c r="C87"/>
      <c r="D87"/>
      <c r="E87" s="1" t="s">
        <v>27</v>
      </c>
      <c r="K87"/>
      <c r="L87"/>
      <c r="M87"/>
      <c r="N87"/>
    </row>
  </sheetData>
  <sheetProtection selectLockedCells="1" selectUnlockedCells="1"/>
  <mergeCells count="11">
    <mergeCell ref="A1:D1"/>
    <mergeCell ref="A2:D2"/>
    <mergeCell ref="A3:D3"/>
    <mergeCell ref="A4:D4"/>
    <mergeCell ref="A5:D5"/>
    <mergeCell ref="A7:D7"/>
    <mergeCell ref="A75:D75"/>
    <mergeCell ref="A14:D14"/>
    <mergeCell ref="A28:D28"/>
    <mergeCell ref="A65:D65"/>
    <mergeCell ref="A70:D70"/>
  </mergeCells>
  <printOptions/>
  <pageMargins left="0.5597222222222222" right="0.7875" top="0.34097222222222223" bottom="0.7875" header="0.5118055555555555" footer="0.5118055555555555"/>
  <pageSetup fitToHeight="2" fitToWidth="2" horizontalDpi="600" verticalDpi="600" orientation="portrait" paperSize="1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zoomScalePageLayoutView="0" workbookViewId="0" topLeftCell="A44">
      <selection activeCell="D57" sqref="D57"/>
    </sheetView>
  </sheetViews>
  <sheetFormatPr defaultColWidth="11.57421875" defaultRowHeight="12.75"/>
  <cols>
    <col min="1" max="1" width="56.00390625" style="0" customWidth="1"/>
    <col min="2" max="2" width="16.28125" style="0" customWidth="1"/>
    <col min="3" max="3" width="23.00390625" style="0" customWidth="1"/>
    <col min="4" max="4" width="16.71093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74" t="s">
        <v>0</v>
      </c>
      <c r="B1" s="474"/>
      <c r="C1" s="474"/>
      <c r="D1" s="474"/>
    </row>
    <row r="2" spans="1:4" ht="15.75">
      <c r="A2" s="475" t="s">
        <v>163</v>
      </c>
      <c r="B2" s="476"/>
      <c r="C2" s="476"/>
      <c r="D2" s="476"/>
    </row>
    <row r="3" spans="1:4" ht="15.75">
      <c r="A3" s="476" t="s">
        <v>1</v>
      </c>
      <c r="B3" s="476"/>
      <c r="C3" s="476"/>
      <c r="D3" s="476"/>
    </row>
    <row r="4" spans="1:4" ht="12.75">
      <c r="A4" s="477" t="s">
        <v>166</v>
      </c>
      <c r="B4" s="478"/>
      <c r="C4" s="478"/>
      <c r="D4" s="478"/>
    </row>
    <row r="5" spans="1:5" ht="15" customHeight="1">
      <c r="A5" s="477" t="s">
        <v>203</v>
      </c>
      <c r="B5" s="478"/>
      <c r="C5" s="478"/>
      <c r="D5" s="478"/>
      <c r="E5" s="34"/>
    </row>
    <row r="6" spans="1:5" ht="3" customHeight="1" hidden="1">
      <c r="A6" s="195"/>
      <c r="B6" s="78"/>
      <c r="C6" s="78"/>
      <c r="D6" s="78"/>
      <c r="E6" s="34"/>
    </row>
    <row r="7" spans="1:5" ht="15.75" customHeight="1">
      <c r="A7" s="22" t="s">
        <v>3</v>
      </c>
      <c r="B7" s="22"/>
      <c r="C7" s="22"/>
      <c r="D7" s="22"/>
      <c r="E7" s="34"/>
    </row>
    <row r="8" spans="1:5" ht="16.5" customHeight="1">
      <c r="A8" s="52" t="s">
        <v>169</v>
      </c>
      <c r="B8" s="22"/>
      <c r="C8" s="22"/>
      <c r="D8" s="22"/>
      <c r="E8" s="34"/>
    </row>
    <row r="9" spans="1:5" ht="12.75">
      <c r="A9" s="91">
        <v>1</v>
      </c>
      <c r="B9" s="91">
        <v>2</v>
      </c>
      <c r="C9" s="91">
        <v>3</v>
      </c>
      <c r="D9" s="92">
        <v>4</v>
      </c>
      <c r="E9" s="34"/>
    </row>
    <row r="10" spans="1:5" ht="12.75">
      <c r="A10" s="64" t="s">
        <v>7</v>
      </c>
      <c r="B10" s="93"/>
      <c r="C10" s="94" t="s">
        <v>204</v>
      </c>
      <c r="D10" s="77"/>
      <c r="E10" s="34"/>
    </row>
    <row r="11" spans="1:5" ht="12.75">
      <c r="A11" s="64" t="s">
        <v>8</v>
      </c>
      <c r="B11" s="93"/>
      <c r="C11" s="94" t="s">
        <v>205</v>
      </c>
      <c r="D11" s="77"/>
      <c r="E11" s="34"/>
    </row>
    <row r="12" spans="1:8" ht="12.75">
      <c r="A12" s="64" t="s">
        <v>9</v>
      </c>
      <c r="B12" s="93"/>
      <c r="C12" s="94" t="s">
        <v>206</v>
      </c>
      <c r="D12" s="77"/>
      <c r="E12" s="34"/>
      <c r="F12" s="34"/>
      <c r="G12" s="34"/>
      <c r="H12" s="34"/>
    </row>
    <row r="13" spans="1:8" ht="31.5" customHeight="1">
      <c r="A13" s="479" t="s">
        <v>10</v>
      </c>
      <c r="B13" s="479"/>
      <c r="C13" s="479"/>
      <c r="D13" s="479"/>
      <c r="E13" s="34"/>
      <c r="F13" s="34"/>
      <c r="G13" s="34"/>
      <c r="H13" s="34"/>
    </row>
    <row r="14" spans="1:14" s="1" customFormat="1" ht="15.75">
      <c r="A14" s="64" t="s">
        <v>93</v>
      </c>
      <c r="B14" s="95" t="s">
        <v>12</v>
      </c>
      <c r="C14" s="72">
        <v>-19323.29</v>
      </c>
      <c r="D14" s="227"/>
      <c r="E14" s="34"/>
      <c r="F14" s="34"/>
      <c r="G14" s="34"/>
      <c r="H14" s="34"/>
      <c r="K14"/>
      <c r="L14"/>
      <c r="M14"/>
      <c r="N14"/>
    </row>
    <row r="15" spans="1:14" s="1" customFormat="1" ht="15.75">
      <c r="A15" s="64" t="s">
        <v>13</v>
      </c>
      <c r="B15" s="95" t="s">
        <v>12</v>
      </c>
      <c r="C15" s="228">
        <v>0</v>
      </c>
      <c r="D15" s="227"/>
      <c r="E15" s="34"/>
      <c r="F15" s="34"/>
      <c r="G15" s="34"/>
      <c r="H15" s="34"/>
      <c r="K15"/>
      <c r="L15"/>
      <c r="M15"/>
      <c r="N15"/>
    </row>
    <row r="16" spans="1:14" s="1" customFormat="1" ht="15.75">
      <c r="A16" s="64" t="s">
        <v>14</v>
      </c>
      <c r="B16" s="95" t="s">
        <v>12</v>
      </c>
      <c r="C16" s="72">
        <v>146862.65</v>
      </c>
      <c r="D16" s="79"/>
      <c r="E16" s="34"/>
      <c r="F16" s="34"/>
      <c r="G16" s="34"/>
      <c r="H16" s="34"/>
      <c r="K16"/>
      <c r="L16"/>
      <c r="M16"/>
      <c r="N16"/>
    </row>
    <row r="17" spans="1:14" s="1" customFormat="1" ht="31.5" customHeight="1">
      <c r="A17" s="63" t="s">
        <v>15</v>
      </c>
      <c r="B17" s="95" t="s">
        <v>12</v>
      </c>
      <c r="C17" s="72">
        <f>492907.96+2053.66+9054.26</f>
        <v>504015.88</v>
      </c>
      <c r="D17" s="79"/>
      <c r="E17" s="41">
        <f>C17-C19-2053.66-9054.26</f>
        <v>407078.104</v>
      </c>
      <c r="F17" s="34"/>
      <c r="G17" s="34"/>
      <c r="H17" s="34"/>
      <c r="K17"/>
      <c r="L17"/>
      <c r="M17"/>
      <c r="N17"/>
    </row>
    <row r="18" spans="1:8" ht="15.75">
      <c r="A18" s="64" t="s">
        <v>16</v>
      </c>
      <c r="B18" s="95" t="s">
        <v>12</v>
      </c>
      <c r="C18" s="72">
        <f>C17-C19-C20</f>
        <v>289747.7752</v>
      </c>
      <c r="D18" s="79"/>
      <c r="E18" s="41">
        <f>E17-E57</f>
        <v>0.003600000054575503</v>
      </c>
      <c r="F18" s="34"/>
      <c r="G18" s="34"/>
      <c r="H18" s="34"/>
    </row>
    <row r="19" spans="1:8" ht="15.75">
      <c r="A19" s="64" t="s">
        <v>17</v>
      </c>
      <c r="B19" s="95" t="s">
        <v>12</v>
      </c>
      <c r="C19" s="72">
        <f>2554.46*(2.51+3.09)*6</f>
        <v>85829.856</v>
      </c>
      <c r="D19" s="79"/>
      <c r="E19" s="42"/>
      <c r="F19" s="34"/>
      <c r="G19" s="34"/>
      <c r="H19" s="34"/>
    </row>
    <row r="20" spans="1:8" ht="15.75">
      <c r="A20" s="64" t="s">
        <v>18</v>
      </c>
      <c r="B20" s="95" t="s">
        <v>12</v>
      </c>
      <c r="C20" s="72">
        <f>2554.46*12*4.19</f>
        <v>128438.24880000002</v>
      </c>
      <c r="D20" s="79"/>
      <c r="E20" s="42"/>
      <c r="F20" s="34"/>
      <c r="G20" s="34"/>
      <c r="H20" s="34"/>
    </row>
    <row r="21" spans="1:8" ht="15.75">
      <c r="A21" s="64" t="s">
        <v>19</v>
      </c>
      <c r="B21" s="95" t="s">
        <v>12</v>
      </c>
      <c r="C21" s="72">
        <f>C22+C23+C24+C25</f>
        <v>510955.19776</v>
      </c>
      <c r="D21" s="79" t="s">
        <v>20</v>
      </c>
      <c r="E21" s="41"/>
      <c r="F21" s="34"/>
      <c r="G21" s="34"/>
      <c r="H21" s="34"/>
    </row>
    <row r="22" spans="1:8" ht="15.75">
      <c r="A22" s="64" t="s">
        <v>21</v>
      </c>
      <c r="B22" s="95" t="s">
        <v>12</v>
      </c>
      <c r="C22" s="394">
        <f>C17*0.952</f>
        <v>479823.11776</v>
      </c>
      <c r="D22" s="79"/>
      <c r="E22" s="34"/>
      <c r="F22" s="34"/>
      <c r="G22" s="34"/>
      <c r="H22" s="34"/>
    </row>
    <row r="23" spans="1:8" ht="15.75">
      <c r="A23" s="64" t="s">
        <v>22</v>
      </c>
      <c r="B23" s="95" t="s">
        <v>12</v>
      </c>
      <c r="C23" s="72">
        <v>0</v>
      </c>
      <c r="D23" s="79"/>
      <c r="E23" s="42"/>
      <c r="F23" s="34"/>
      <c r="G23" s="34"/>
      <c r="H23" s="34"/>
    </row>
    <row r="24" spans="1:8" ht="15.75">
      <c r="A24" s="64" t="s">
        <v>24</v>
      </c>
      <c r="B24" s="95" t="s">
        <v>12</v>
      </c>
      <c r="C24" s="72">
        <v>0</v>
      </c>
      <c r="D24" s="79"/>
      <c r="E24" s="42"/>
      <c r="F24" s="34"/>
      <c r="G24" s="34"/>
      <c r="H24" s="34"/>
    </row>
    <row r="25" spans="1:8" ht="15.75">
      <c r="A25" s="93" t="s">
        <v>25</v>
      </c>
      <c r="B25" s="95" t="s">
        <v>12</v>
      </c>
      <c r="C25" s="72">
        <v>31132.08</v>
      </c>
      <c r="D25" s="79"/>
      <c r="E25" s="42"/>
      <c r="F25" s="34"/>
      <c r="G25" s="34"/>
      <c r="H25" s="34"/>
    </row>
    <row r="26" spans="1:8" ht="15.75">
      <c r="A26" s="64" t="s">
        <v>26</v>
      </c>
      <c r="B26" s="95" t="s">
        <v>12</v>
      </c>
      <c r="C26" s="72">
        <f>C21+C14</f>
        <v>491631.90776000003</v>
      </c>
      <c r="D26" s="79" t="s">
        <v>27</v>
      </c>
      <c r="E26" s="42"/>
      <c r="F26" s="34"/>
      <c r="G26" s="34"/>
      <c r="H26" s="34"/>
    </row>
    <row r="27" spans="1:8" ht="35.25" customHeight="1">
      <c r="A27" s="488" t="s">
        <v>28</v>
      </c>
      <c r="B27" s="488"/>
      <c r="C27" s="488"/>
      <c r="D27" s="488"/>
      <c r="E27" s="34"/>
      <c r="F27" s="34"/>
      <c r="G27" s="34"/>
      <c r="H27" s="34"/>
    </row>
    <row r="28" spans="1:8" ht="65.25" customHeight="1">
      <c r="A28" s="127" t="s">
        <v>29</v>
      </c>
      <c r="B28" s="229" t="s">
        <v>30</v>
      </c>
      <c r="C28" s="230" t="s">
        <v>31</v>
      </c>
      <c r="D28" s="231" t="s">
        <v>32</v>
      </c>
      <c r="E28" s="34"/>
      <c r="F28" s="34"/>
      <c r="G28" s="34"/>
      <c r="H28" s="34"/>
    </row>
    <row r="29" spans="1:8" ht="31.5">
      <c r="A29" s="112" t="s">
        <v>94</v>
      </c>
      <c r="B29" s="232" t="s">
        <v>34</v>
      </c>
      <c r="C29" s="265" t="s">
        <v>43</v>
      </c>
      <c r="D29" s="79">
        <f>2554.46*12*0.69</f>
        <v>21150.928799999998</v>
      </c>
      <c r="E29" s="34"/>
      <c r="F29" s="34"/>
      <c r="G29" s="34"/>
      <c r="H29" s="79"/>
    </row>
    <row r="30" spans="1:8" ht="15.75">
      <c r="A30" s="112" t="s">
        <v>165</v>
      </c>
      <c r="B30" s="232" t="s">
        <v>42</v>
      </c>
      <c r="C30" s="233" t="s">
        <v>367</v>
      </c>
      <c r="D30" s="79">
        <f>2554.46*12*0.15+305</f>
        <v>4903.028</v>
      </c>
      <c r="E30" s="34" t="s">
        <v>357</v>
      </c>
      <c r="F30" s="34"/>
      <c r="G30" s="34"/>
      <c r="H30" s="79"/>
    </row>
    <row r="31" spans="1:8" ht="15.75">
      <c r="A31" s="112" t="s">
        <v>87</v>
      </c>
      <c r="B31" s="232" t="s">
        <v>36</v>
      </c>
      <c r="C31" s="234" t="s">
        <v>43</v>
      </c>
      <c r="D31" s="79">
        <f>2554.46*12*2.4</f>
        <v>73568.448</v>
      </c>
      <c r="E31" s="34"/>
      <c r="F31" s="34"/>
      <c r="G31" s="34"/>
      <c r="H31" s="79"/>
    </row>
    <row r="32" spans="1:14" s="1" customFormat="1" ht="15.75">
      <c r="A32" s="112" t="s">
        <v>95</v>
      </c>
      <c r="B32" s="232" t="s">
        <v>42</v>
      </c>
      <c r="C32" s="234" t="s">
        <v>40</v>
      </c>
      <c r="D32" s="79">
        <f>2554.46*0.28*12</f>
        <v>8582.9856</v>
      </c>
      <c r="E32" s="34"/>
      <c r="F32" s="34"/>
      <c r="G32" s="34"/>
      <c r="H32" s="79"/>
      <c r="K32"/>
      <c r="L32"/>
      <c r="M32"/>
      <c r="N32"/>
    </row>
    <row r="33" spans="1:14" s="1" customFormat="1" ht="15.75">
      <c r="A33" s="112" t="s">
        <v>104</v>
      </c>
      <c r="B33" s="232" t="s">
        <v>34</v>
      </c>
      <c r="C33" s="234" t="s">
        <v>43</v>
      </c>
      <c r="D33" s="79">
        <f>2554.46*12*0.7</f>
        <v>21457.464</v>
      </c>
      <c r="E33" s="34"/>
      <c r="F33" s="34"/>
      <c r="G33" s="34"/>
      <c r="H33" s="79"/>
      <c r="K33"/>
      <c r="L33"/>
      <c r="M33"/>
      <c r="N33"/>
    </row>
    <row r="34" spans="1:14" s="1" customFormat="1" ht="15.75">
      <c r="A34" s="112" t="s">
        <v>371</v>
      </c>
      <c r="B34" s="232" t="s">
        <v>34</v>
      </c>
      <c r="C34" s="234" t="s">
        <v>43</v>
      </c>
      <c r="D34" s="79">
        <f>2554.46*12*1.96</f>
        <v>60080.8992</v>
      </c>
      <c r="E34" s="34"/>
      <c r="F34" s="34"/>
      <c r="G34" s="34"/>
      <c r="H34" s="79"/>
      <c r="K34"/>
      <c r="L34"/>
      <c r="M34"/>
      <c r="N34"/>
    </row>
    <row r="35" spans="1:14" s="1" customFormat="1" ht="15.75">
      <c r="A35" s="112" t="s">
        <v>48</v>
      </c>
      <c r="B35" s="232" t="s">
        <v>198</v>
      </c>
      <c r="C35" s="234" t="s">
        <v>43</v>
      </c>
      <c r="D35" s="79">
        <f>2554.46*6*1.09</f>
        <v>16706.168400000002</v>
      </c>
      <c r="E35" s="34"/>
      <c r="F35" s="34"/>
      <c r="G35" s="34"/>
      <c r="H35" s="79"/>
      <c r="K35"/>
      <c r="L35"/>
      <c r="M35"/>
      <c r="N35"/>
    </row>
    <row r="36" spans="1:14" s="1" customFormat="1" ht="15.75">
      <c r="A36" s="112" t="s">
        <v>45</v>
      </c>
      <c r="B36" s="232" t="s">
        <v>46</v>
      </c>
      <c r="C36" s="234" t="s">
        <v>43</v>
      </c>
      <c r="D36" s="79">
        <f>2554.46*6*(1.44+1.33)</f>
        <v>42455.1252</v>
      </c>
      <c r="E36" s="34"/>
      <c r="F36" s="34"/>
      <c r="G36" s="34"/>
      <c r="H36" s="79"/>
      <c r="K36"/>
      <c r="L36"/>
      <c r="M36"/>
      <c r="N36"/>
    </row>
    <row r="37" spans="1:14" s="1" customFormat="1" ht="15.75">
      <c r="A37" s="112" t="s">
        <v>97</v>
      </c>
      <c r="B37" s="232" t="s">
        <v>38</v>
      </c>
      <c r="C37" s="257" t="s">
        <v>159</v>
      </c>
      <c r="D37" s="79">
        <f>2554.46*12*4.19</f>
        <v>128438.24880000002</v>
      </c>
      <c r="E37" s="34"/>
      <c r="F37" s="34"/>
      <c r="G37" s="34"/>
      <c r="H37" s="79"/>
      <c r="K37"/>
      <c r="L37"/>
      <c r="M37"/>
      <c r="N37"/>
    </row>
    <row r="38" spans="1:14" s="1" customFormat="1" ht="15.75">
      <c r="A38" s="112" t="s">
        <v>100</v>
      </c>
      <c r="B38" s="232" t="s">
        <v>161</v>
      </c>
      <c r="C38" s="257" t="s">
        <v>40</v>
      </c>
      <c r="D38" s="79">
        <f>2554.46*0.97*12+0.89</f>
        <v>29734.8044</v>
      </c>
      <c r="E38" s="34"/>
      <c r="F38" s="34"/>
      <c r="G38" s="34"/>
      <c r="H38" s="79"/>
      <c r="K38"/>
      <c r="L38"/>
      <c r="M38"/>
      <c r="N38"/>
    </row>
    <row r="39" spans="1:14" s="1" customFormat="1" ht="15.75">
      <c r="A39" s="112" t="s">
        <v>142</v>
      </c>
      <c r="B39" s="232"/>
      <c r="C39" s="235"/>
      <c r="D39" s="79"/>
      <c r="E39" s="34"/>
      <c r="F39" s="34"/>
      <c r="G39" s="34"/>
      <c r="H39" s="50"/>
      <c r="K39"/>
      <c r="L39"/>
      <c r="M39"/>
      <c r="N39"/>
    </row>
    <row r="40" spans="1:14" s="1" customFormat="1" ht="15.75">
      <c r="A40" s="112" t="s">
        <v>372</v>
      </c>
      <c r="B40" s="232" t="s">
        <v>38</v>
      </c>
      <c r="C40" s="235" t="s">
        <v>143</v>
      </c>
      <c r="D40" s="79">
        <v>2053.66</v>
      </c>
      <c r="E40" s="34"/>
      <c r="F40" s="34"/>
      <c r="G40" s="34"/>
      <c r="H40" s="51"/>
      <c r="K40"/>
      <c r="L40"/>
      <c r="M40"/>
      <c r="N40"/>
    </row>
    <row r="41" spans="1:14" s="1" customFormat="1" ht="15.75">
      <c r="A41" s="112" t="s">
        <v>141</v>
      </c>
      <c r="B41" s="232" t="s">
        <v>38</v>
      </c>
      <c r="C41" s="235" t="s">
        <v>144</v>
      </c>
      <c r="D41" s="79">
        <v>52121.1</v>
      </c>
      <c r="E41" s="34"/>
      <c r="F41" s="34"/>
      <c r="G41" s="34"/>
      <c r="H41" s="50"/>
      <c r="K41"/>
      <c r="L41"/>
      <c r="M41"/>
      <c r="N41"/>
    </row>
    <row r="42" spans="1:14" s="1" customFormat="1" ht="79.5" customHeight="1">
      <c r="A42" s="200" t="s">
        <v>132</v>
      </c>
      <c r="B42" s="238" t="s">
        <v>52</v>
      </c>
      <c r="C42" s="243"/>
      <c r="D42" s="344">
        <f>D43+D44+D45+D46+D47+D48+D49+D50+D51+D52+D53+D54+D55+D56</f>
        <v>115934.07</v>
      </c>
      <c r="E42" s="35"/>
      <c r="F42" s="34"/>
      <c r="G42" s="34"/>
      <c r="H42" s="34"/>
      <c r="K42"/>
      <c r="L42"/>
      <c r="M42"/>
      <c r="N42"/>
    </row>
    <row r="43" spans="1:14" s="1" customFormat="1" ht="30" customHeight="1">
      <c r="A43" s="200" t="s">
        <v>347</v>
      </c>
      <c r="B43" s="238" t="s">
        <v>116</v>
      </c>
      <c r="C43" s="243" t="s">
        <v>43</v>
      </c>
      <c r="D43" s="73">
        <v>4187</v>
      </c>
      <c r="E43" s="35"/>
      <c r="F43" s="34"/>
      <c r="G43" s="34"/>
      <c r="H43" s="34"/>
      <c r="K43"/>
      <c r="L43"/>
      <c r="M43"/>
      <c r="N43"/>
    </row>
    <row r="44" spans="1:14" s="1" customFormat="1" ht="25.5" customHeight="1">
      <c r="A44" s="200" t="s">
        <v>348</v>
      </c>
      <c r="B44" s="238" t="s">
        <v>175</v>
      </c>
      <c r="C44" s="243" t="s">
        <v>43</v>
      </c>
      <c r="D44" s="73">
        <v>500</v>
      </c>
      <c r="E44" s="35"/>
      <c r="F44" s="34"/>
      <c r="G44" s="34"/>
      <c r="H44" s="34"/>
      <c r="K44"/>
      <c r="L44"/>
      <c r="M44"/>
      <c r="N44"/>
    </row>
    <row r="45" spans="1:14" s="1" customFormat="1" ht="24.75" customHeight="1">
      <c r="A45" s="200" t="s">
        <v>178</v>
      </c>
      <c r="B45" s="238" t="s">
        <v>121</v>
      </c>
      <c r="C45" s="243" t="s">
        <v>162</v>
      </c>
      <c r="D45" s="73">
        <v>920</v>
      </c>
      <c r="E45" s="35"/>
      <c r="F45" s="34"/>
      <c r="G45" s="34"/>
      <c r="H45" s="34"/>
      <c r="K45"/>
      <c r="L45"/>
      <c r="M45"/>
      <c r="N45"/>
    </row>
    <row r="46" spans="1:14" s="1" customFormat="1" ht="25.5" customHeight="1">
      <c r="A46" s="200" t="s">
        <v>207</v>
      </c>
      <c r="B46" s="238" t="s">
        <v>121</v>
      </c>
      <c r="C46" s="243" t="s">
        <v>162</v>
      </c>
      <c r="D46" s="73">
        <v>5098</v>
      </c>
      <c r="E46" s="35"/>
      <c r="F46" s="34"/>
      <c r="G46" s="34"/>
      <c r="H46" s="34"/>
      <c r="K46"/>
      <c r="L46"/>
      <c r="M46"/>
      <c r="N46"/>
    </row>
    <row r="47" spans="1:14" s="1" customFormat="1" ht="27" customHeight="1">
      <c r="A47" s="200" t="s">
        <v>325</v>
      </c>
      <c r="B47" s="238" t="s">
        <v>117</v>
      </c>
      <c r="C47" s="243" t="s">
        <v>162</v>
      </c>
      <c r="D47" s="73">
        <v>1991</v>
      </c>
      <c r="E47" s="35"/>
      <c r="F47" s="34"/>
      <c r="G47" s="34"/>
      <c r="H47" s="34"/>
      <c r="K47"/>
      <c r="L47"/>
      <c r="M47"/>
      <c r="N47"/>
    </row>
    <row r="48" spans="1:14" s="1" customFormat="1" ht="18.75" customHeight="1">
      <c r="A48" s="200" t="s">
        <v>349</v>
      </c>
      <c r="B48" s="237" t="s">
        <v>117</v>
      </c>
      <c r="C48" s="233" t="s">
        <v>176</v>
      </c>
      <c r="D48" s="73">
        <v>31316</v>
      </c>
      <c r="E48" s="35"/>
      <c r="F48" s="34"/>
      <c r="G48" s="34"/>
      <c r="H48" s="34"/>
      <c r="K48"/>
      <c r="L48"/>
      <c r="M48"/>
      <c r="N48"/>
    </row>
    <row r="49" spans="1:14" s="1" customFormat="1" ht="30.75" customHeight="1">
      <c r="A49" s="200" t="s">
        <v>350</v>
      </c>
      <c r="B49" s="237" t="s">
        <v>124</v>
      </c>
      <c r="C49" s="233" t="s">
        <v>176</v>
      </c>
      <c r="D49" s="73">
        <v>27919</v>
      </c>
      <c r="E49" s="35"/>
      <c r="F49" s="34"/>
      <c r="G49" s="34"/>
      <c r="H49" s="34"/>
      <c r="K49"/>
      <c r="L49"/>
      <c r="M49"/>
      <c r="N49"/>
    </row>
    <row r="50" spans="1:14" s="1" customFormat="1" ht="21.75" customHeight="1">
      <c r="A50" s="200" t="s">
        <v>339</v>
      </c>
      <c r="B50" s="238" t="s">
        <v>126</v>
      </c>
      <c r="C50" s="243" t="s">
        <v>162</v>
      </c>
      <c r="D50" s="73">
        <v>1038</v>
      </c>
      <c r="E50" s="35"/>
      <c r="F50" s="34"/>
      <c r="G50" s="34"/>
      <c r="H50" s="34"/>
      <c r="K50"/>
      <c r="L50"/>
      <c r="M50"/>
      <c r="N50"/>
    </row>
    <row r="51" spans="1:14" s="1" customFormat="1" ht="36" customHeight="1">
      <c r="A51" s="200" t="s">
        <v>351</v>
      </c>
      <c r="B51" s="238" t="s">
        <v>122</v>
      </c>
      <c r="C51" s="243" t="s">
        <v>162</v>
      </c>
      <c r="D51" s="73">
        <v>1894</v>
      </c>
      <c r="E51" s="35"/>
      <c r="F51" s="34"/>
      <c r="G51" s="34"/>
      <c r="H51" s="34"/>
      <c r="K51"/>
      <c r="L51"/>
      <c r="M51"/>
      <c r="N51"/>
    </row>
    <row r="52" spans="1:14" s="1" customFormat="1" ht="21.75" customHeight="1">
      <c r="A52" s="200" t="s">
        <v>352</v>
      </c>
      <c r="B52" s="238" t="s">
        <v>120</v>
      </c>
      <c r="C52" s="243" t="s">
        <v>162</v>
      </c>
      <c r="D52" s="73">
        <v>797</v>
      </c>
      <c r="E52" s="35"/>
      <c r="F52" s="34"/>
      <c r="G52" s="34"/>
      <c r="H52" s="34"/>
      <c r="K52"/>
      <c r="L52"/>
      <c r="M52"/>
      <c r="N52"/>
    </row>
    <row r="53" spans="1:14" s="1" customFormat="1" ht="21.75" customHeight="1">
      <c r="A53" s="200" t="s">
        <v>177</v>
      </c>
      <c r="B53" s="238" t="s">
        <v>123</v>
      </c>
      <c r="C53" s="233" t="s">
        <v>333</v>
      </c>
      <c r="D53" s="73">
        <v>26036</v>
      </c>
      <c r="E53" s="35"/>
      <c r="F53" s="34"/>
      <c r="G53" s="34"/>
      <c r="H53" s="34"/>
      <c r="K53"/>
      <c r="L53"/>
      <c r="M53"/>
      <c r="N53"/>
    </row>
    <row r="54" spans="1:14" s="1" customFormat="1" ht="37.5" customHeight="1">
      <c r="A54" s="200" t="s">
        <v>353</v>
      </c>
      <c r="B54" s="238" t="s">
        <v>123</v>
      </c>
      <c r="C54" s="233" t="s">
        <v>354</v>
      </c>
      <c r="D54" s="73">
        <v>8243</v>
      </c>
      <c r="E54" s="35"/>
      <c r="F54" s="34"/>
      <c r="G54" s="34"/>
      <c r="H54" s="34"/>
      <c r="K54"/>
      <c r="L54"/>
      <c r="M54"/>
      <c r="N54"/>
    </row>
    <row r="55" spans="1:14" s="1" customFormat="1" ht="30" customHeight="1">
      <c r="A55" s="200" t="s">
        <v>355</v>
      </c>
      <c r="B55" s="238" t="s">
        <v>125</v>
      </c>
      <c r="C55" s="233" t="s">
        <v>37</v>
      </c>
      <c r="D55" s="73">
        <v>1495.07</v>
      </c>
      <c r="E55" s="35"/>
      <c r="F55" s="34"/>
      <c r="G55" s="34"/>
      <c r="H55" s="34"/>
      <c r="K55"/>
      <c r="L55"/>
      <c r="M55"/>
      <c r="N55"/>
    </row>
    <row r="56" spans="1:14" s="1" customFormat="1" ht="21.75" customHeight="1">
      <c r="A56" s="200" t="s">
        <v>356</v>
      </c>
      <c r="B56" s="238" t="s">
        <v>125</v>
      </c>
      <c r="C56" s="233" t="s">
        <v>40</v>
      </c>
      <c r="D56" s="73">
        <v>4500</v>
      </c>
      <c r="E56" s="461"/>
      <c r="F56" s="34"/>
      <c r="G56" s="34"/>
      <c r="H56" s="34"/>
      <c r="K56"/>
      <c r="L56"/>
      <c r="M56"/>
      <c r="N56"/>
    </row>
    <row r="57" spans="1:14" s="1" customFormat="1" ht="15.75">
      <c r="A57" s="23" t="s">
        <v>53</v>
      </c>
      <c r="B57" s="232"/>
      <c r="C57" s="234"/>
      <c r="D57" s="79">
        <f>D29+D30+D31+D32+D33+D34+D35+D36+D37+D38+D40+D41+D42</f>
        <v>577186.9304</v>
      </c>
      <c r="E57" s="461">
        <f>D57-D40-D41-D42</f>
        <v>407078.10039999994</v>
      </c>
      <c r="F57" s="34"/>
      <c r="G57" s="34"/>
      <c r="H57" s="34"/>
      <c r="I57" s="34"/>
      <c r="K57"/>
      <c r="L57"/>
      <c r="M57"/>
      <c r="N57"/>
    </row>
    <row r="58" spans="1:14" s="1" customFormat="1" ht="15.75">
      <c r="A58" s="23" t="s">
        <v>54</v>
      </c>
      <c r="B58" s="109" t="s">
        <v>12</v>
      </c>
      <c r="C58" s="234"/>
      <c r="D58" s="79">
        <f>C26-D57</f>
        <v>-85555.02263999992</v>
      </c>
      <c r="E58" s="397"/>
      <c r="F58" s="34"/>
      <c r="G58" s="34"/>
      <c r="H58" s="34"/>
      <c r="I58" s="34"/>
      <c r="K58"/>
      <c r="L58"/>
      <c r="M58"/>
      <c r="N58"/>
    </row>
    <row r="59" spans="1:9" ht="15.75">
      <c r="A59" s="112" t="s">
        <v>13</v>
      </c>
      <c r="B59" s="109" t="s">
        <v>12</v>
      </c>
      <c r="C59" s="234"/>
      <c r="D59" s="227">
        <v>0</v>
      </c>
      <c r="E59" s="397"/>
      <c r="F59" s="34"/>
      <c r="G59" s="34"/>
      <c r="H59" s="34"/>
      <c r="I59" s="34"/>
    </row>
    <row r="60" spans="1:9" ht="15.75">
      <c r="A60" s="112" t="s">
        <v>14</v>
      </c>
      <c r="B60" s="109" t="s">
        <v>12</v>
      </c>
      <c r="C60" s="234"/>
      <c r="D60" s="79">
        <f>C16+C17-C22</f>
        <v>171055.41224000003</v>
      </c>
      <c r="E60" s="461"/>
      <c r="F60" s="34"/>
      <c r="G60" s="34"/>
      <c r="H60" s="34"/>
      <c r="I60" s="34"/>
    </row>
    <row r="61" spans="1:9" ht="16.5" customHeight="1">
      <c r="A61" s="489" t="s">
        <v>55</v>
      </c>
      <c r="B61" s="489"/>
      <c r="C61" s="489"/>
      <c r="D61" s="489"/>
      <c r="E61" s="34"/>
      <c r="F61" s="34"/>
      <c r="G61" s="34"/>
      <c r="H61" s="34"/>
      <c r="I61" s="34"/>
    </row>
    <row r="62" spans="1:9" ht="15.75">
      <c r="A62" s="112" t="s">
        <v>56</v>
      </c>
      <c r="B62" s="232" t="s">
        <v>57</v>
      </c>
      <c r="C62" s="234">
        <v>0</v>
      </c>
      <c r="D62" s="227">
        <v>1</v>
      </c>
      <c r="E62" s="34"/>
      <c r="F62" s="34"/>
      <c r="G62" s="34"/>
      <c r="H62" s="34"/>
      <c r="I62" s="34"/>
    </row>
    <row r="63" spans="1:9" ht="15.75">
      <c r="A63" s="112" t="s">
        <v>58</v>
      </c>
      <c r="B63" s="232" t="s">
        <v>57</v>
      </c>
      <c r="C63" s="234">
        <v>0</v>
      </c>
      <c r="D63" s="227">
        <v>1</v>
      </c>
      <c r="E63" s="34"/>
      <c r="F63" s="34"/>
      <c r="G63" s="34"/>
      <c r="H63" s="34"/>
      <c r="I63" s="34"/>
    </row>
    <row r="64" spans="1:9" ht="26.25">
      <c r="A64" s="127" t="s">
        <v>59</v>
      </c>
      <c r="B64" s="232" t="s">
        <v>57</v>
      </c>
      <c r="C64" s="234">
        <v>0</v>
      </c>
      <c r="D64" s="227">
        <v>0</v>
      </c>
      <c r="E64" s="34"/>
      <c r="F64" s="34"/>
      <c r="G64" s="34"/>
      <c r="H64" s="34"/>
      <c r="I64" s="34"/>
    </row>
    <row r="65" spans="1:9" ht="15.75">
      <c r="A65" s="112" t="s">
        <v>60</v>
      </c>
      <c r="B65" s="232" t="s">
        <v>12</v>
      </c>
      <c r="C65" s="234">
        <v>0</v>
      </c>
      <c r="D65" s="227">
        <v>1190</v>
      </c>
      <c r="E65" s="34"/>
      <c r="F65" s="34"/>
      <c r="G65" s="34"/>
      <c r="H65" s="34" t="s">
        <v>199</v>
      </c>
      <c r="I65" s="34"/>
    </row>
    <row r="66" spans="1:14" ht="17.25" customHeight="1">
      <c r="A66" s="492" t="s">
        <v>79</v>
      </c>
      <c r="B66" s="492"/>
      <c r="C66" s="492"/>
      <c r="D66" s="492"/>
      <c r="E66" s="48" t="e">
        <f>D66+B18</f>
        <v>#VALUE!</v>
      </c>
      <c r="F66" s="8"/>
      <c r="H66" s="18" t="e">
        <f>E66-B17</f>
        <v>#VALUE!</v>
      </c>
      <c r="I66" s="8"/>
      <c r="J66" s="8"/>
      <c r="K66" s="9"/>
      <c r="L66" s="9"/>
      <c r="M66" s="9"/>
      <c r="N66" s="9"/>
    </row>
    <row r="67" spans="1:5" ht="21" customHeight="1">
      <c r="A67" s="19" t="s">
        <v>56</v>
      </c>
      <c r="B67" s="19" t="s">
        <v>57</v>
      </c>
      <c r="C67" s="27"/>
      <c r="D67" s="80">
        <v>0</v>
      </c>
      <c r="E67" s="49"/>
    </row>
    <row r="68" spans="1:5" ht="21" customHeight="1">
      <c r="A68" s="19" t="s">
        <v>58</v>
      </c>
      <c r="B68" s="19" t="s">
        <v>57</v>
      </c>
      <c r="C68" s="27"/>
      <c r="D68" s="80">
        <v>0</v>
      </c>
      <c r="E68" s="49"/>
    </row>
    <row r="69" spans="1:14" s="1" customFormat="1" ht="18" customHeight="1">
      <c r="A69" s="19" t="s">
        <v>59</v>
      </c>
      <c r="B69" s="19" t="s">
        <v>57</v>
      </c>
      <c r="C69" s="27"/>
      <c r="D69" s="80">
        <v>0</v>
      </c>
      <c r="E69" s="49"/>
      <c r="K69"/>
      <c r="L69"/>
      <c r="M69"/>
      <c r="N69"/>
    </row>
    <row r="70" spans="1:14" s="1" customFormat="1" ht="16.5" customHeight="1">
      <c r="A70" s="19" t="s">
        <v>60</v>
      </c>
      <c r="B70" s="19" t="s">
        <v>12</v>
      </c>
      <c r="C70" s="27"/>
      <c r="D70" s="80">
        <v>0</v>
      </c>
      <c r="E70" s="49"/>
      <c r="K70"/>
      <c r="L70"/>
      <c r="M70"/>
      <c r="N70"/>
    </row>
    <row r="71" spans="1:14" s="1" customFormat="1" ht="15.75" customHeight="1">
      <c r="A71" s="491" t="s">
        <v>80</v>
      </c>
      <c r="B71" s="491"/>
      <c r="C71" s="491"/>
      <c r="D71" s="491"/>
      <c r="E71" s="49"/>
      <c r="K71"/>
      <c r="L71"/>
      <c r="M71"/>
      <c r="N71"/>
    </row>
    <row r="72" spans="1:14" s="1" customFormat="1" ht="18.75" customHeight="1">
      <c r="A72" s="19" t="s">
        <v>81</v>
      </c>
      <c r="B72" s="19" t="s">
        <v>57</v>
      </c>
      <c r="C72" s="27"/>
      <c r="D72" s="80">
        <v>6</v>
      </c>
      <c r="E72" s="49"/>
      <c r="K72"/>
      <c r="L72"/>
      <c r="M72"/>
      <c r="N72"/>
    </row>
    <row r="73" spans="1:14" s="1" customFormat="1" ht="21.75" customHeight="1">
      <c r="A73" s="19" t="s">
        <v>82</v>
      </c>
      <c r="B73" s="132" t="s">
        <v>57</v>
      </c>
      <c r="C73" s="142"/>
      <c r="D73" s="80">
        <v>10</v>
      </c>
      <c r="E73" s="49"/>
      <c r="K73"/>
      <c r="L73"/>
      <c r="M73"/>
      <c r="N73"/>
    </row>
    <row r="74" spans="1:14" s="1" customFormat="1" ht="24.75" customHeight="1">
      <c r="A74" s="143" t="s">
        <v>83</v>
      </c>
      <c r="B74" s="19" t="s">
        <v>12</v>
      </c>
      <c r="C74" s="27"/>
      <c r="D74" s="80">
        <v>7868.21</v>
      </c>
      <c r="E74" s="49"/>
      <c r="K74"/>
      <c r="L74"/>
      <c r="M74"/>
      <c r="N74"/>
    </row>
    <row r="75" spans="1:14" s="1" customFormat="1" ht="12.75">
      <c r="A75" s="78"/>
      <c r="B75" s="78"/>
      <c r="C75" s="78"/>
      <c r="D75" s="78"/>
      <c r="E75" s="34"/>
      <c r="H75" s="1" t="s">
        <v>27</v>
      </c>
      <c r="K75"/>
      <c r="L75"/>
      <c r="M75"/>
      <c r="N75"/>
    </row>
    <row r="76" spans="1:14" s="1" customFormat="1" ht="12.75">
      <c r="A76" s="87" t="s">
        <v>155</v>
      </c>
      <c r="B76" s="78"/>
      <c r="C76" s="78"/>
      <c r="D76" s="78"/>
      <c r="E76" s="34"/>
      <c r="K76"/>
      <c r="L76"/>
      <c r="M76"/>
      <c r="N76"/>
    </row>
    <row r="77" spans="1:14" s="1" customFormat="1" ht="12.75">
      <c r="A77" s="78" t="s">
        <v>84</v>
      </c>
      <c r="B77" s="78"/>
      <c r="C77" s="78"/>
      <c r="D77" s="78"/>
      <c r="E77" s="34"/>
      <c r="H77" s="1" t="s">
        <v>27</v>
      </c>
      <c r="K77"/>
      <c r="L77"/>
      <c r="M77"/>
      <c r="N77"/>
    </row>
    <row r="78" spans="1:14" s="1" customFormat="1" ht="12.75">
      <c r="A78" s="78"/>
      <c r="B78" s="78"/>
      <c r="C78" s="78"/>
      <c r="D78" s="78"/>
      <c r="E78" s="34"/>
      <c r="K78"/>
      <c r="L78"/>
      <c r="M78"/>
      <c r="N78"/>
    </row>
    <row r="79" spans="1:5" ht="12.75">
      <c r="A79" s="78"/>
      <c r="B79" s="78"/>
      <c r="C79" s="78"/>
      <c r="D79" s="78"/>
      <c r="E79" s="34"/>
    </row>
    <row r="80" ht="12.75">
      <c r="E80" s="34"/>
    </row>
    <row r="81" ht="12.75">
      <c r="E81" s="34"/>
    </row>
    <row r="82" spans="1:14" s="1" customFormat="1" ht="12.75">
      <c r="A82"/>
      <c r="B82"/>
      <c r="C82"/>
      <c r="D82"/>
      <c r="E82" s="1" t="s">
        <v>27</v>
      </c>
      <c r="K82"/>
      <c r="L82"/>
      <c r="M82"/>
      <c r="N82"/>
    </row>
  </sheetData>
  <sheetProtection selectLockedCells="1" selectUnlockedCells="1"/>
  <mergeCells count="10">
    <mergeCell ref="A27:D27"/>
    <mergeCell ref="A61:D61"/>
    <mergeCell ref="A66:D66"/>
    <mergeCell ref="A71:D71"/>
    <mergeCell ref="A1:D1"/>
    <mergeCell ref="A2:D2"/>
    <mergeCell ref="A3:D3"/>
    <mergeCell ref="A4:D4"/>
    <mergeCell ref="A5:D5"/>
    <mergeCell ref="A13:D13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PageLayoutView="0" workbookViewId="0" topLeftCell="A37">
      <selection activeCell="D49" sqref="D49"/>
    </sheetView>
  </sheetViews>
  <sheetFormatPr defaultColWidth="11.57421875" defaultRowHeight="12.75"/>
  <cols>
    <col min="1" max="1" width="56.00390625" style="0" customWidth="1"/>
    <col min="2" max="2" width="16.28125" style="0" customWidth="1"/>
    <col min="3" max="3" width="23.57421875" style="0" customWidth="1"/>
    <col min="4" max="4" width="14.71093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74" t="s">
        <v>27</v>
      </c>
      <c r="B1" s="474"/>
      <c r="C1" s="474"/>
      <c r="D1" s="474"/>
    </row>
    <row r="2" spans="1:4" ht="15.75">
      <c r="A2" s="475" t="s">
        <v>163</v>
      </c>
      <c r="B2" s="476"/>
      <c r="C2" s="476"/>
      <c r="D2" s="476"/>
    </row>
    <row r="3" spans="1:4" ht="15.75">
      <c r="A3" s="476" t="s">
        <v>1</v>
      </c>
      <c r="B3" s="476"/>
      <c r="C3" s="476"/>
      <c r="D3" s="476"/>
    </row>
    <row r="4" spans="1:4" ht="12.75">
      <c r="A4" s="477" t="s">
        <v>167</v>
      </c>
      <c r="B4" s="478"/>
      <c r="C4" s="478"/>
      <c r="D4" s="478"/>
    </row>
    <row r="5" spans="1:4" ht="12.75">
      <c r="A5" s="477" t="s">
        <v>203</v>
      </c>
      <c r="B5" s="478"/>
      <c r="C5" s="478"/>
      <c r="D5" s="478"/>
    </row>
    <row r="6" spans="1:4" ht="3" customHeight="1">
      <c r="A6" s="195"/>
      <c r="B6" s="78"/>
      <c r="C6" s="78"/>
      <c r="D6" s="78"/>
    </row>
    <row r="7" spans="1:4" ht="15.75" customHeight="1">
      <c r="A7" s="22" t="s">
        <v>3</v>
      </c>
      <c r="B7" s="22"/>
      <c r="C7" s="22"/>
      <c r="D7" s="22"/>
    </row>
    <row r="8" spans="1:4" ht="16.5" customHeight="1">
      <c r="A8" s="52" t="s">
        <v>170</v>
      </c>
      <c r="B8" s="22"/>
      <c r="C8" s="22"/>
      <c r="D8" s="22"/>
    </row>
    <row r="9" spans="1:4" ht="12.75">
      <c r="A9" s="91">
        <v>1</v>
      </c>
      <c r="B9" s="91">
        <v>2</v>
      </c>
      <c r="C9" s="91">
        <v>3</v>
      </c>
      <c r="D9" s="92">
        <v>4</v>
      </c>
    </row>
    <row r="10" spans="1:5" ht="12.75">
      <c r="A10" s="64" t="s">
        <v>7</v>
      </c>
      <c r="B10" s="93"/>
      <c r="C10" s="94" t="s">
        <v>204</v>
      </c>
      <c r="D10" s="77"/>
      <c r="E10" s="34"/>
    </row>
    <row r="11" spans="1:5" ht="12.75">
      <c r="A11" s="64" t="s">
        <v>8</v>
      </c>
      <c r="B11" s="93"/>
      <c r="C11" s="94" t="s">
        <v>205</v>
      </c>
      <c r="D11" s="77"/>
      <c r="E11" s="34"/>
    </row>
    <row r="12" spans="1:8" ht="12.75">
      <c r="A12" s="64" t="s">
        <v>9</v>
      </c>
      <c r="B12" s="93"/>
      <c r="C12" s="94" t="s">
        <v>206</v>
      </c>
      <c r="D12" s="77"/>
      <c r="E12" s="34"/>
      <c r="F12" s="34"/>
      <c r="G12" s="34"/>
      <c r="H12" s="34"/>
    </row>
    <row r="13" spans="1:8" ht="31.5" customHeight="1">
      <c r="A13" s="479" t="s">
        <v>10</v>
      </c>
      <c r="B13" s="479"/>
      <c r="C13" s="479"/>
      <c r="D13" s="479"/>
      <c r="E13" s="34"/>
      <c r="F13" s="34"/>
      <c r="G13" s="34"/>
      <c r="H13" s="34"/>
    </row>
    <row r="14" spans="1:14" s="1" customFormat="1" ht="15.75">
      <c r="A14" s="64" t="s">
        <v>93</v>
      </c>
      <c r="B14" s="95" t="s">
        <v>12</v>
      </c>
      <c r="C14" s="72">
        <v>-239793.13</v>
      </c>
      <c r="D14" s="227"/>
      <c r="E14" s="34"/>
      <c r="F14" s="34"/>
      <c r="G14" s="34"/>
      <c r="H14" s="34"/>
      <c r="K14"/>
      <c r="L14"/>
      <c r="M14"/>
      <c r="N14"/>
    </row>
    <row r="15" spans="1:14" s="1" customFormat="1" ht="15.75">
      <c r="A15" s="64" t="s">
        <v>13</v>
      </c>
      <c r="B15" s="95" t="s">
        <v>12</v>
      </c>
      <c r="C15" s="228">
        <v>0</v>
      </c>
      <c r="D15" s="227"/>
      <c r="E15" s="34"/>
      <c r="F15" s="34"/>
      <c r="G15" s="34"/>
      <c r="H15" s="34"/>
      <c r="K15"/>
      <c r="L15"/>
      <c r="M15"/>
      <c r="N15"/>
    </row>
    <row r="16" spans="1:14" s="1" customFormat="1" ht="15.75">
      <c r="A16" s="64" t="s">
        <v>14</v>
      </c>
      <c r="B16" s="95" t="s">
        <v>12</v>
      </c>
      <c r="C16" s="72">
        <v>35959.06</v>
      </c>
      <c r="D16" s="79"/>
      <c r="E16" s="34"/>
      <c r="F16" s="34"/>
      <c r="G16" s="34"/>
      <c r="H16" s="34"/>
      <c r="K16"/>
      <c r="L16"/>
      <c r="M16"/>
      <c r="N16"/>
    </row>
    <row r="17" spans="1:14" s="1" customFormat="1" ht="31.5" customHeight="1">
      <c r="A17" s="63" t="s">
        <v>15</v>
      </c>
      <c r="B17" s="95" t="s">
        <v>12</v>
      </c>
      <c r="C17" s="72">
        <f>691857.39+2874.21+18271.38</f>
        <v>713002.98</v>
      </c>
      <c r="D17" s="79"/>
      <c r="E17" s="41">
        <f>C17-C19-21145.59</f>
        <v>567445.4688</v>
      </c>
      <c r="F17" s="34"/>
      <c r="G17" s="34"/>
      <c r="H17" s="34"/>
      <c r="K17"/>
      <c r="L17"/>
      <c r="M17"/>
      <c r="N17"/>
    </row>
    <row r="18" spans="1:8" ht="15.75">
      <c r="A18" s="64" t="s">
        <v>16</v>
      </c>
      <c r="B18" s="95" t="s">
        <v>12</v>
      </c>
      <c r="C18" s="72">
        <f>C17-C19-C20</f>
        <v>416549.4912</v>
      </c>
      <c r="D18" s="79"/>
      <c r="E18" s="41">
        <f>E17-E49</f>
        <v>-325.00399999995716</v>
      </c>
      <c r="F18" s="34"/>
      <c r="G18" s="34"/>
      <c r="H18" s="34"/>
    </row>
    <row r="19" spans="1:8" ht="15.75">
      <c r="A19" s="64" t="s">
        <v>17</v>
      </c>
      <c r="B19" s="95" t="s">
        <v>12</v>
      </c>
      <c r="C19" s="72">
        <f>3421.67*12*3.03</f>
        <v>124411.9212</v>
      </c>
      <c r="D19" s="79"/>
      <c r="E19" s="42"/>
      <c r="F19" s="34"/>
      <c r="G19" s="34"/>
      <c r="H19" s="34"/>
    </row>
    <row r="20" spans="1:8" ht="15.75">
      <c r="A20" s="64" t="s">
        <v>18</v>
      </c>
      <c r="B20" s="95" t="s">
        <v>12</v>
      </c>
      <c r="C20" s="72">
        <f>3421.67*12*4.19</f>
        <v>172041.5676</v>
      </c>
      <c r="D20" s="79"/>
      <c r="E20" s="42"/>
      <c r="F20" s="34"/>
      <c r="G20" s="34"/>
      <c r="H20" s="34"/>
    </row>
    <row r="21" spans="1:8" ht="15.75">
      <c r="A21" s="64" t="s">
        <v>19</v>
      </c>
      <c r="B21" s="95" t="s">
        <v>12</v>
      </c>
      <c r="C21" s="72">
        <f>C22+C23+C24+C25</f>
        <v>634643.952498</v>
      </c>
      <c r="D21" s="79" t="s">
        <v>20</v>
      </c>
      <c r="E21" s="41"/>
      <c r="F21" s="34"/>
      <c r="G21" s="34"/>
      <c r="H21" s="34"/>
    </row>
    <row r="22" spans="1:8" ht="15.75">
      <c r="A22" s="64" t="s">
        <v>21</v>
      </c>
      <c r="B22" s="95" t="s">
        <v>12</v>
      </c>
      <c r="C22" s="72">
        <f>C17*0.8901</f>
        <v>634643.952498</v>
      </c>
      <c r="D22" s="79"/>
      <c r="E22" s="34"/>
      <c r="F22" s="34"/>
      <c r="G22" s="34"/>
      <c r="H22" s="34"/>
    </row>
    <row r="23" spans="1:8" ht="15.75">
      <c r="A23" s="64" t="s">
        <v>22</v>
      </c>
      <c r="B23" s="95" t="s">
        <v>12</v>
      </c>
      <c r="C23" s="72">
        <v>0</v>
      </c>
      <c r="D23" s="79"/>
      <c r="E23" s="42"/>
      <c r="F23" s="34"/>
      <c r="G23" s="34"/>
      <c r="H23" s="34"/>
    </row>
    <row r="24" spans="1:8" ht="15.75">
      <c r="A24" s="64" t="s">
        <v>24</v>
      </c>
      <c r="B24" s="95" t="s">
        <v>12</v>
      </c>
      <c r="C24" s="72">
        <v>0</v>
      </c>
      <c r="D24" s="79"/>
      <c r="E24" s="42"/>
      <c r="F24" s="34"/>
      <c r="G24" s="34"/>
      <c r="H24" s="34"/>
    </row>
    <row r="25" spans="1:8" ht="15.75">
      <c r="A25" s="93" t="s">
        <v>25</v>
      </c>
      <c r="B25" s="95" t="s">
        <v>12</v>
      </c>
      <c r="C25" s="72">
        <v>0</v>
      </c>
      <c r="D25" s="79"/>
      <c r="E25" s="42"/>
      <c r="F25" s="34"/>
      <c r="G25" s="34"/>
      <c r="H25" s="34"/>
    </row>
    <row r="26" spans="1:8" ht="15.75">
      <c r="A26" s="64" t="s">
        <v>26</v>
      </c>
      <c r="B26" s="95" t="s">
        <v>12</v>
      </c>
      <c r="C26" s="72">
        <f>C14+C21</f>
        <v>394850.822498</v>
      </c>
      <c r="D26" s="79" t="s">
        <v>27</v>
      </c>
      <c r="E26" s="42"/>
      <c r="F26" s="34"/>
      <c r="G26" s="34"/>
      <c r="H26" s="34"/>
    </row>
    <row r="27" spans="1:8" ht="35.25" customHeight="1">
      <c r="A27" s="488" t="s">
        <v>28</v>
      </c>
      <c r="B27" s="488"/>
      <c r="C27" s="488"/>
      <c r="D27" s="488"/>
      <c r="E27" s="34"/>
      <c r="F27" s="34"/>
      <c r="G27" s="34"/>
      <c r="H27" s="34"/>
    </row>
    <row r="28" spans="1:8" ht="65.25" customHeight="1">
      <c r="A28" s="127" t="s">
        <v>29</v>
      </c>
      <c r="B28" s="229" t="s">
        <v>30</v>
      </c>
      <c r="C28" s="230" t="s">
        <v>31</v>
      </c>
      <c r="D28" s="231" t="s">
        <v>32</v>
      </c>
      <c r="E28" s="34"/>
      <c r="F28" s="34"/>
      <c r="G28" s="34"/>
      <c r="H28" s="34"/>
    </row>
    <row r="29" spans="1:8" ht="31.5">
      <c r="A29" s="112" t="s">
        <v>94</v>
      </c>
      <c r="B29" s="232" t="s">
        <v>34</v>
      </c>
      <c r="C29" s="265" t="s">
        <v>43</v>
      </c>
      <c r="D29" s="79">
        <f>3421.67*12*0.69</f>
        <v>28331.4276</v>
      </c>
      <c r="E29" s="34"/>
      <c r="F29" s="34"/>
      <c r="G29" s="34"/>
      <c r="H29" s="34"/>
    </row>
    <row r="30" spans="1:8" ht="15.75">
      <c r="A30" s="112" t="s">
        <v>165</v>
      </c>
      <c r="B30" s="232" t="s">
        <v>42</v>
      </c>
      <c r="C30" s="233" t="s">
        <v>367</v>
      </c>
      <c r="D30" s="79">
        <f>3421.67*12*0.15+325</f>
        <v>6484.006</v>
      </c>
      <c r="E30" s="34" t="s">
        <v>362</v>
      </c>
      <c r="F30" s="34"/>
      <c r="G30" s="34"/>
      <c r="H30" s="34"/>
    </row>
    <row r="31" spans="1:8" ht="15.75">
      <c r="A31" s="112" t="s">
        <v>87</v>
      </c>
      <c r="B31" s="232" t="s">
        <v>36</v>
      </c>
      <c r="C31" s="234" t="s">
        <v>43</v>
      </c>
      <c r="D31" s="79">
        <f>3421.67*12*2.4</f>
        <v>98544.096</v>
      </c>
      <c r="E31" s="34"/>
      <c r="F31" s="34"/>
      <c r="G31" s="34"/>
      <c r="H31" s="34"/>
    </row>
    <row r="32" spans="1:8" ht="15.75">
      <c r="A32" s="112" t="s">
        <v>48</v>
      </c>
      <c r="B32" s="296" t="s">
        <v>198</v>
      </c>
      <c r="C32" s="234" t="s">
        <v>43</v>
      </c>
      <c r="D32" s="79">
        <f>3421.67*12*1.09</f>
        <v>44755.443600000006</v>
      </c>
      <c r="E32" s="34"/>
      <c r="F32" s="34"/>
      <c r="G32" s="34"/>
      <c r="H32" s="34"/>
    </row>
    <row r="33" spans="1:14" s="1" customFormat="1" ht="15.75">
      <c r="A33" s="112" t="s">
        <v>95</v>
      </c>
      <c r="B33" s="232" t="s">
        <v>34</v>
      </c>
      <c r="C33" s="234" t="s">
        <v>40</v>
      </c>
      <c r="D33" s="79">
        <f>3421.67*0.48*12</f>
        <v>19708.819199999998</v>
      </c>
      <c r="E33" s="34"/>
      <c r="F33" s="34"/>
      <c r="G33" s="34"/>
      <c r="H33" s="34"/>
      <c r="K33"/>
      <c r="L33"/>
      <c r="M33"/>
      <c r="N33"/>
    </row>
    <row r="34" spans="1:14" s="1" customFormat="1" ht="15.75">
      <c r="A34" s="112" t="s">
        <v>104</v>
      </c>
      <c r="B34" s="232" t="s">
        <v>34</v>
      </c>
      <c r="C34" s="234" t="s">
        <v>43</v>
      </c>
      <c r="D34" s="79">
        <f>3421.67*12*0.7</f>
        <v>28742.028</v>
      </c>
      <c r="E34" s="34"/>
      <c r="F34" s="34"/>
      <c r="G34" s="34"/>
      <c r="H34" s="34"/>
      <c r="K34"/>
      <c r="L34"/>
      <c r="M34"/>
      <c r="N34"/>
    </row>
    <row r="35" spans="1:14" s="1" customFormat="1" ht="15.75">
      <c r="A35" s="112" t="s">
        <v>371</v>
      </c>
      <c r="B35" s="232" t="s">
        <v>34</v>
      </c>
      <c r="C35" s="234" t="s">
        <v>43</v>
      </c>
      <c r="D35" s="79">
        <f>3421.67*12*1.96</f>
        <v>80477.6784</v>
      </c>
      <c r="E35" s="34"/>
      <c r="F35" s="34"/>
      <c r="G35" s="34"/>
      <c r="H35" s="34"/>
      <c r="K35"/>
      <c r="L35"/>
      <c r="M35"/>
      <c r="N35"/>
    </row>
    <row r="36" spans="1:14" s="1" customFormat="1" ht="15.75">
      <c r="A36" s="112" t="s">
        <v>45</v>
      </c>
      <c r="B36" s="232" t="s">
        <v>46</v>
      </c>
      <c r="C36" s="234" t="s">
        <v>43</v>
      </c>
      <c r="D36" s="79">
        <f>3421.67*12*1.33</f>
        <v>54609.853200000005</v>
      </c>
      <c r="E36" s="34"/>
      <c r="F36" s="34"/>
      <c r="G36" s="34"/>
      <c r="H36" s="34"/>
      <c r="K36"/>
      <c r="L36"/>
      <c r="M36"/>
      <c r="N36"/>
    </row>
    <row r="37" spans="1:14" s="1" customFormat="1" ht="15.75">
      <c r="A37" s="112" t="s">
        <v>97</v>
      </c>
      <c r="B37" s="232" t="s">
        <v>38</v>
      </c>
      <c r="C37" s="257" t="s">
        <v>159</v>
      </c>
      <c r="D37" s="79">
        <f>3421.67*12*4.19</f>
        <v>172041.5676</v>
      </c>
      <c r="E37" s="34"/>
      <c r="F37" s="34"/>
      <c r="G37" s="34"/>
      <c r="H37" s="34"/>
      <c r="K37"/>
      <c r="L37"/>
      <c r="M37"/>
      <c r="N37"/>
    </row>
    <row r="38" spans="1:14" s="1" customFormat="1" ht="15.75">
      <c r="A38" s="112" t="s">
        <v>100</v>
      </c>
      <c r="B38" s="232" t="s">
        <v>161</v>
      </c>
      <c r="C38" s="265" t="s">
        <v>40</v>
      </c>
      <c r="D38" s="79">
        <f>3421.67*12*0.83-4.28</f>
        <v>34075.5532</v>
      </c>
      <c r="E38" s="34"/>
      <c r="F38" s="34"/>
      <c r="G38" s="34"/>
      <c r="H38" s="34"/>
      <c r="K38"/>
      <c r="L38"/>
      <c r="M38"/>
      <c r="N38"/>
    </row>
    <row r="39" spans="1:14" s="1" customFormat="1" ht="15.75">
      <c r="A39" s="112" t="s">
        <v>142</v>
      </c>
      <c r="B39" s="232"/>
      <c r="C39" s="235"/>
      <c r="D39" s="79"/>
      <c r="E39" s="34"/>
      <c r="F39" s="34"/>
      <c r="G39" s="34"/>
      <c r="H39" s="34"/>
      <c r="K39"/>
      <c r="L39"/>
      <c r="M39"/>
      <c r="N39"/>
    </row>
    <row r="40" spans="1:14" s="1" customFormat="1" ht="15.75">
      <c r="A40" s="112" t="s">
        <v>372</v>
      </c>
      <c r="B40" s="232" t="s">
        <v>38</v>
      </c>
      <c r="C40" s="235" t="s">
        <v>143</v>
      </c>
      <c r="D40" s="79">
        <v>2874.21</v>
      </c>
      <c r="E40" s="34"/>
      <c r="F40" s="34"/>
      <c r="G40" s="34"/>
      <c r="H40" s="34"/>
      <c r="K40"/>
      <c r="L40"/>
      <c r="M40"/>
      <c r="N40"/>
    </row>
    <row r="41" spans="1:14" s="1" customFormat="1" ht="15.75">
      <c r="A41" s="112" t="s">
        <v>141</v>
      </c>
      <c r="B41" s="232" t="s">
        <v>38</v>
      </c>
      <c r="C41" s="235" t="s">
        <v>144</v>
      </c>
      <c r="D41" s="79">
        <v>35843.48</v>
      </c>
      <c r="E41" s="34"/>
      <c r="F41" s="34"/>
      <c r="G41" s="34"/>
      <c r="H41" s="34"/>
      <c r="K41"/>
      <c r="L41"/>
      <c r="M41"/>
      <c r="N41"/>
    </row>
    <row r="42" spans="1:14" s="1" customFormat="1" ht="60" customHeight="1">
      <c r="A42" s="200" t="s">
        <v>132</v>
      </c>
      <c r="B42" s="237" t="s">
        <v>52</v>
      </c>
      <c r="C42" s="243"/>
      <c r="D42" s="344">
        <f>D43+D44+D45+D46+D47+D48</f>
        <v>47890</v>
      </c>
      <c r="E42" s="35"/>
      <c r="F42" s="34"/>
      <c r="G42" s="34"/>
      <c r="H42" s="34"/>
      <c r="K42"/>
      <c r="L42"/>
      <c r="M42"/>
      <c r="N42"/>
    </row>
    <row r="43" spans="1:14" s="1" customFormat="1" ht="33" customHeight="1">
      <c r="A43" s="200" t="s">
        <v>178</v>
      </c>
      <c r="B43" s="237" t="s">
        <v>121</v>
      </c>
      <c r="C43" s="243" t="s">
        <v>43</v>
      </c>
      <c r="D43" s="73">
        <v>980</v>
      </c>
      <c r="E43" s="35"/>
      <c r="F43" s="34"/>
      <c r="G43" s="34"/>
      <c r="H43" s="34"/>
      <c r="K43"/>
      <c r="L43"/>
      <c r="M43"/>
      <c r="N43"/>
    </row>
    <row r="44" spans="1:14" s="1" customFormat="1" ht="31.5" customHeight="1">
      <c r="A44" s="200" t="s">
        <v>207</v>
      </c>
      <c r="B44" s="237" t="s">
        <v>121</v>
      </c>
      <c r="C44" s="243" t="s">
        <v>43</v>
      </c>
      <c r="D44" s="73">
        <v>5098</v>
      </c>
      <c r="E44" s="35"/>
      <c r="F44" s="34"/>
      <c r="G44" s="34"/>
      <c r="H44" s="34"/>
      <c r="K44"/>
      <c r="L44"/>
      <c r="M44"/>
      <c r="N44"/>
    </row>
    <row r="45" spans="1:14" s="1" customFormat="1" ht="28.5" customHeight="1">
      <c r="A45" s="200" t="s">
        <v>358</v>
      </c>
      <c r="B45" s="237" t="s">
        <v>121</v>
      </c>
      <c r="C45" s="234" t="s">
        <v>43</v>
      </c>
      <c r="D45" s="73">
        <v>8069</v>
      </c>
      <c r="E45" s="35"/>
      <c r="F45" s="34"/>
      <c r="G45" s="34"/>
      <c r="H45" s="34"/>
      <c r="K45"/>
      <c r="L45"/>
      <c r="M45"/>
      <c r="N45"/>
    </row>
    <row r="46" spans="1:14" s="1" customFormat="1" ht="28.5" customHeight="1">
      <c r="A46" s="200" t="s">
        <v>360</v>
      </c>
      <c r="B46" s="237" t="s">
        <v>117</v>
      </c>
      <c r="C46" s="234" t="s">
        <v>43</v>
      </c>
      <c r="D46" s="73">
        <v>22707</v>
      </c>
      <c r="E46" s="35"/>
      <c r="F46" s="34"/>
      <c r="G46" s="34"/>
      <c r="H46" s="34"/>
      <c r="K46"/>
      <c r="L46"/>
      <c r="M46"/>
      <c r="N46"/>
    </row>
    <row r="47" spans="1:14" s="1" customFormat="1" ht="33" customHeight="1">
      <c r="A47" s="200" t="s">
        <v>359</v>
      </c>
      <c r="B47" s="237" t="s">
        <v>118</v>
      </c>
      <c r="C47" s="243" t="s">
        <v>37</v>
      </c>
      <c r="D47" s="73">
        <v>3544</v>
      </c>
      <c r="E47" s="35"/>
      <c r="F47" s="34"/>
      <c r="G47" s="34"/>
      <c r="H47" s="34"/>
      <c r="K47"/>
      <c r="L47"/>
      <c r="M47"/>
      <c r="N47"/>
    </row>
    <row r="48" spans="1:14" s="1" customFormat="1" ht="33" customHeight="1">
      <c r="A48" s="200" t="s">
        <v>361</v>
      </c>
      <c r="B48" s="237" t="s">
        <v>125</v>
      </c>
      <c r="C48" s="243" t="s">
        <v>43</v>
      </c>
      <c r="D48" s="73">
        <v>7492</v>
      </c>
      <c r="E48" s="35"/>
      <c r="F48" s="50"/>
      <c r="G48" s="50"/>
      <c r="H48" s="50"/>
      <c r="K48"/>
      <c r="L48"/>
      <c r="M48"/>
      <c r="N48"/>
    </row>
    <row r="49" spans="1:14" s="1" customFormat="1" ht="15.75">
      <c r="A49" s="23" t="s">
        <v>53</v>
      </c>
      <c r="B49" s="232"/>
      <c r="C49" s="234"/>
      <c r="D49" s="79">
        <f>D29+D30+D31+D32+D33+D34+D35+D36+D37+D38+D40+D41+D42</f>
        <v>654378.1627999999</v>
      </c>
      <c r="E49" s="35">
        <f>D49-D42-D40-D41</f>
        <v>567770.4728</v>
      </c>
      <c r="F49" s="50"/>
      <c r="G49" s="50"/>
      <c r="H49" s="50"/>
      <c r="K49"/>
      <c r="L49"/>
      <c r="M49"/>
      <c r="N49"/>
    </row>
    <row r="50" spans="1:14" s="1" customFormat="1" ht="15.75">
      <c r="A50" s="23" t="s">
        <v>54</v>
      </c>
      <c r="B50" s="109" t="s">
        <v>12</v>
      </c>
      <c r="C50" s="234"/>
      <c r="D50" s="79">
        <f>C26-D49</f>
        <v>-259527.34030199994</v>
      </c>
      <c r="E50" s="34"/>
      <c r="F50" s="50"/>
      <c r="G50" s="50"/>
      <c r="H50" s="50"/>
      <c r="K50"/>
      <c r="L50"/>
      <c r="M50"/>
      <c r="N50"/>
    </row>
    <row r="51" spans="1:8" ht="15.75">
      <c r="A51" s="112" t="s">
        <v>13</v>
      </c>
      <c r="B51" s="109" t="s">
        <v>12</v>
      </c>
      <c r="C51" s="234"/>
      <c r="D51" s="227">
        <v>0</v>
      </c>
      <c r="E51" s="34"/>
      <c r="F51" s="50"/>
      <c r="G51" s="50"/>
      <c r="H51" s="50"/>
    </row>
    <row r="52" spans="1:8" ht="15.75">
      <c r="A52" s="112" t="s">
        <v>14</v>
      </c>
      <c r="B52" s="109" t="s">
        <v>12</v>
      </c>
      <c r="C52" s="234"/>
      <c r="D52" s="79">
        <f>C16+C17-C22</f>
        <v>114318.08750200004</v>
      </c>
      <c r="E52" s="35"/>
      <c r="F52" s="34"/>
      <c r="G52" s="34"/>
      <c r="H52" s="34"/>
    </row>
    <row r="53" spans="1:8" ht="16.5" customHeight="1">
      <c r="A53" s="489" t="s">
        <v>55</v>
      </c>
      <c r="B53" s="489"/>
      <c r="C53" s="489"/>
      <c r="D53" s="489"/>
      <c r="E53" s="34"/>
      <c r="F53" s="34"/>
      <c r="G53" s="34"/>
      <c r="H53" s="34"/>
    </row>
    <row r="54" spans="1:8" ht="15.75">
      <c r="A54" s="112" t="s">
        <v>56</v>
      </c>
      <c r="B54" s="232" t="s">
        <v>57</v>
      </c>
      <c r="C54" s="234">
        <v>0</v>
      </c>
      <c r="D54" s="227">
        <v>0</v>
      </c>
      <c r="E54" s="34"/>
      <c r="F54" s="34"/>
      <c r="G54" s="34"/>
      <c r="H54" s="34"/>
    </row>
    <row r="55" spans="1:8" ht="15.75">
      <c r="A55" s="112" t="s">
        <v>58</v>
      </c>
      <c r="B55" s="232" t="s">
        <v>57</v>
      </c>
      <c r="C55" s="234">
        <v>0</v>
      </c>
      <c r="D55" s="227">
        <v>0</v>
      </c>
      <c r="E55" s="34"/>
      <c r="F55" s="34"/>
      <c r="G55" s="34"/>
      <c r="H55" s="34"/>
    </row>
    <row r="56" spans="1:8" ht="26.25">
      <c r="A56" s="127" t="s">
        <v>59</v>
      </c>
      <c r="B56" s="232" t="s">
        <v>57</v>
      </c>
      <c r="C56" s="234">
        <v>0</v>
      </c>
      <c r="D56" s="227">
        <v>0</v>
      </c>
      <c r="E56" s="34"/>
      <c r="F56" s="34"/>
      <c r="G56" s="34"/>
      <c r="H56" s="34"/>
    </row>
    <row r="57" spans="1:8" ht="15.75">
      <c r="A57" s="112" t="s">
        <v>60</v>
      </c>
      <c r="B57" s="232" t="s">
        <v>12</v>
      </c>
      <c r="C57" s="234">
        <v>0</v>
      </c>
      <c r="D57" s="227">
        <v>0</v>
      </c>
      <c r="E57" s="34"/>
      <c r="F57" s="34"/>
      <c r="G57" s="34"/>
      <c r="H57" s="34"/>
    </row>
    <row r="58" spans="1:8" ht="15.75">
      <c r="A58" s="130" t="s">
        <v>61</v>
      </c>
      <c r="B58" s="375"/>
      <c r="C58" s="376"/>
      <c r="D58" s="377"/>
      <c r="E58" s="34"/>
      <c r="F58" s="34"/>
      <c r="G58" s="34"/>
      <c r="H58" s="34"/>
    </row>
    <row r="59" spans="1:8" ht="15.75">
      <c r="A59" s="130" t="s">
        <v>62</v>
      </c>
      <c r="B59" s="375" t="s">
        <v>12</v>
      </c>
      <c r="C59" s="376"/>
      <c r="D59" s="377">
        <v>0</v>
      </c>
      <c r="E59" s="34"/>
      <c r="F59" s="34"/>
      <c r="G59" s="34"/>
      <c r="H59" s="34"/>
    </row>
    <row r="60" spans="1:8" ht="15.75">
      <c r="A60" s="130" t="s">
        <v>13</v>
      </c>
      <c r="B60" s="375" t="s">
        <v>12</v>
      </c>
      <c r="C60" s="376"/>
      <c r="D60" s="377">
        <v>0</v>
      </c>
      <c r="E60" s="34"/>
      <c r="F60" s="34"/>
      <c r="G60" s="34"/>
      <c r="H60" s="34"/>
    </row>
    <row r="61" spans="1:8" ht="15.75">
      <c r="A61" s="130" t="s">
        <v>14</v>
      </c>
      <c r="B61" s="375" t="s">
        <v>12</v>
      </c>
      <c r="C61" s="376"/>
      <c r="D61" s="377">
        <v>11324.38</v>
      </c>
      <c r="E61" s="34"/>
      <c r="F61" s="34"/>
      <c r="G61" s="34"/>
      <c r="H61" s="34"/>
    </row>
    <row r="62" spans="1:8" ht="15.75">
      <c r="A62" s="130" t="s">
        <v>63</v>
      </c>
      <c r="B62" s="375" t="s">
        <v>12</v>
      </c>
      <c r="C62" s="376"/>
      <c r="D62" s="377">
        <v>0</v>
      </c>
      <c r="E62" s="34"/>
      <c r="F62" s="34"/>
      <c r="G62" s="34"/>
      <c r="H62" s="34"/>
    </row>
    <row r="63" spans="1:8" ht="15.75">
      <c r="A63" s="130" t="s">
        <v>13</v>
      </c>
      <c r="B63" s="375" t="s">
        <v>12</v>
      </c>
      <c r="C63" s="376"/>
      <c r="D63" s="377">
        <v>0</v>
      </c>
      <c r="E63" s="34"/>
      <c r="F63" s="34"/>
      <c r="G63" s="34"/>
      <c r="H63" s="34"/>
    </row>
    <row r="64" spans="1:8" ht="15.75">
      <c r="A64" s="130" t="s">
        <v>14</v>
      </c>
      <c r="B64" s="375" t="s">
        <v>12</v>
      </c>
      <c r="C64" s="376"/>
      <c r="D64" s="388">
        <f>D61+D67</f>
        <v>32058.930557000007</v>
      </c>
      <c r="E64" s="34"/>
      <c r="F64" s="34"/>
      <c r="G64" s="34"/>
      <c r="H64" s="34"/>
    </row>
    <row r="65" spans="1:8" ht="15.75">
      <c r="A65" s="130" t="s">
        <v>64</v>
      </c>
      <c r="B65" s="375"/>
      <c r="C65" s="376"/>
      <c r="D65" s="377"/>
      <c r="E65" s="34"/>
      <c r="F65" s="34"/>
      <c r="G65" s="34"/>
      <c r="H65" s="34"/>
    </row>
    <row r="66" spans="1:8" ht="47.25" customHeight="1">
      <c r="A66" s="389" t="s">
        <v>65</v>
      </c>
      <c r="B66" s="390" t="s">
        <v>66</v>
      </c>
      <c r="C66" s="176" t="s">
        <v>67</v>
      </c>
      <c r="D66" s="379" t="s">
        <v>68</v>
      </c>
      <c r="E66" s="34"/>
      <c r="F66" s="34"/>
      <c r="G66" s="34"/>
      <c r="H66" s="34"/>
    </row>
    <row r="67" spans="1:8" ht="15.75">
      <c r="A67" s="389" t="s">
        <v>192</v>
      </c>
      <c r="B67" s="391">
        <v>188667.43</v>
      </c>
      <c r="C67" s="392">
        <f>B67*0.8901</f>
        <v>167932.87944299998</v>
      </c>
      <c r="D67" s="393">
        <f>B67-C67</f>
        <v>20734.55055700001</v>
      </c>
      <c r="E67" s="34"/>
      <c r="F67" s="34"/>
      <c r="G67" s="34"/>
      <c r="H67" s="34"/>
    </row>
    <row r="68" spans="1:8" ht="76.5" customHeight="1">
      <c r="A68" s="389" t="s">
        <v>74</v>
      </c>
      <c r="B68" s="390" t="s">
        <v>75</v>
      </c>
      <c r="C68" s="176" t="s">
        <v>76</v>
      </c>
      <c r="D68" s="379" t="s">
        <v>77</v>
      </c>
      <c r="E68" s="34"/>
      <c r="F68" s="34"/>
      <c r="G68" s="34"/>
      <c r="H68" s="34"/>
    </row>
    <row r="69" spans="1:8" ht="15.75">
      <c r="A69" s="389" t="s">
        <v>192</v>
      </c>
      <c r="B69" s="391">
        <f>B67</f>
        <v>188667.43</v>
      </c>
      <c r="C69" s="392">
        <f>C67</f>
        <v>167932.87944299998</v>
      </c>
      <c r="D69" s="393">
        <f>B69-C69</f>
        <v>20734.55055700001</v>
      </c>
      <c r="E69" s="34"/>
      <c r="F69" s="34"/>
      <c r="G69" s="34"/>
      <c r="H69" s="34"/>
    </row>
    <row r="70" spans="1:14" ht="17.25" customHeight="1">
      <c r="A70" s="490" t="s">
        <v>79</v>
      </c>
      <c r="B70" s="490"/>
      <c r="C70" s="490"/>
      <c r="D70" s="490"/>
      <c r="E70" s="48" t="e">
        <f>D70+B18</f>
        <v>#VALUE!</v>
      </c>
      <c r="F70" s="8"/>
      <c r="H70" s="18" t="e">
        <f>E70-B17</f>
        <v>#VALUE!</v>
      </c>
      <c r="I70" s="8"/>
      <c r="J70" s="8"/>
      <c r="K70" s="9"/>
      <c r="L70" s="9"/>
      <c r="M70" s="9"/>
      <c r="N70" s="9"/>
    </row>
    <row r="71" spans="1:5" ht="21" customHeight="1">
      <c r="A71" s="19" t="s">
        <v>56</v>
      </c>
      <c r="B71" s="19" t="s">
        <v>57</v>
      </c>
      <c r="C71" s="27"/>
      <c r="D71" s="80">
        <v>0</v>
      </c>
      <c r="E71" s="49"/>
    </row>
    <row r="72" spans="1:5" ht="21" customHeight="1">
      <c r="A72" s="19" t="s">
        <v>58</v>
      </c>
      <c r="B72" s="19" t="s">
        <v>57</v>
      </c>
      <c r="C72" s="27"/>
      <c r="D72" s="80">
        <v>0</v>
      </c>
      <c r="E72" s="49"/>
    </row>
    <row r="73" spans="1:14" s="1" customFormat="1" ht="18" customHeight="1">
      <c r="A73" s="19" t="s">
        <v>59</v>
      </c>
      <c r="B73" s="19" t="s">
        <v>57</v>
      </c>
      <c r="C73" s="27"/>
      <c r="D73" s="80">
        <v>0</v>
      </c>
      <c r="E73" s="49"/>
      <c r="K73"/>
      <c r="L73"/>
      <c r="M73"/>
      <c r="N73"/>
    </row>
    <row r="74" spans="1:14" s="1" customFormat="1" ht="16.5" customHeight="1">
      <c r="A74" s="19" t="s">
        <v>60</v>
      </c>
      <c r="B74" s="19" t="s">
        <v>12</v>
      </c>
      <c r="C74" s="27"/>
      <c r="D74" s="80">
        <v>0</v>
      </c>
      <c r="E74" s="49"/>
      <c r="K74"/>
      <c r="L74"/>
      <c r="M74"/>
      <c r="N74"/>
    </row>
    <row r="75" spans="1:14" s="1" customFormat="1" ht="15.75" customHeight="1">
      <c r="A75" s="491" t="s">
        <v>80</v>
      </c>
      <c r="B75" s="491"/>
      <c r="C75" s="491"/>
      <c r="D75" s="491"/>
      <c r="E75" s="20"/>
      <c r="K75"/>
      <c r="L75"/>
      <c r="M75"/>
      <c r="N75"/>
    </row>
    <row r="76" spans="1:14" s="1" customFormat="1" ht="18.75" customHeight="1">
      <c r="A76" s="19" t="s">
        <v>81</v>
      </c>
      <c r="B76" s="19" t="s">
        <v>57</v>
      </c>
      <c r="C76" s="27"/>
      <c r="D76" s="80">
        <v>2</v>
      </c>
      <c r="E76" s="20"/>
      <c r="K76"/>
      <c r="L76"/>
      <c r="M76"/>
      <c r="N76"/>
    </row>
    <row r="77" spans="1:14" s="1" customFormat="1" ht="21.75" customHeight="1">
      <c r="A77" s="19" t="s">
        <v>82</v>
      </c>
      <c r="B77" s="132" t="s">
        <v>57</v>
      </c>
      <c r="C77" s="142"/>
      <c r="D77" s="80">
        <v>7</v>
      </c>
      <c r="E77" s="20"/>
      <c r="K77"/>
      <c r="L77"/>
      <c r="M77"/>
      <c r="N77"/>
    </row>
    <row r="78" spans="1:14" s="1" customFormat="1" ht="24.75" customHeight="1">
      <c r="A78" s="143" t="s">
        <v>83</v>
      </c>
      <c r="B78" s="19" t="s">
        <v>12</v>
      </c>
      <c r="C78" s="27"/>
      <c r="D78" s="80">
        <v>33165.11</v>
      </c>
      <c r="E78" s="20"/>
      <c r="K78"/>
      <c r="L78"/>
      <c r="M78"/>
      <c r="N78"/>
    </row>
    <row r="79" spans="1:14" s="1" customFormat="1" ht="12.75">
      <c r="A79" s="78"/>
      <c r="B79" s="78"/>
      <c r="C79" s="78"/>
      <c r="D79" s="78"/>
      <c r="H79" s="1" t="s">
        <v>27</v>
      </c>
      <c r="K79"/>
      <c r="L79"/>
      <c r="M79"/>
      <c r="N79"/>
    </row>
    <row r="80" spans="1:14" s="1" customFormat="1" ht="12.75">
      <c r="A80" s="87" t="s">
        <v>155</v>
      </c>
      <c r="B80" s="78"/>
      <c r="C80" s="78"/>
      <c r="D80" s="78"/>
      <c r="K80"/>
      <c r="L80"/>
      <c r="M80"/>
      <c r="N80"/>
    </row>
    <row r="81" spans="1:14" s="1" customFormat="1" ht="12.75">
      <c r="A81" s="78" t="s">
        <v>84</v>
      </c>
      <c r="B81" s="78"/>
      <c r="C81" s="78"/>
      <c r="D81" s="78"/>
      <c r="H81" s="1" t="s">
        <v>27</v>
      </c>
      <c r="K81"/>
      <c r="L81"/>
      <c r="M81"/>
      <c r="N81"/>
    </row>
    <row r="82" spans="1:14" s="1" customFormat="1" ht="12.75">
      <c r="A82" s="78"/>
      <c r="B82" s="78"/>
      <c r="C82" s="78"/>
      <c r="D82" s="78"/>
      <c r="K82"/>
      <c r="L82"/>
      <c r="M82"/>
      <c r="N82"/>
    </row>
    <row r="83" spans="1:4" ht="12.75">
      <c r="A83" s="78"/>
      <c r="B83" s="78"/>
      <c r="C83" s="78"/>
      <c r="D83" s="78"/>
    </row>
    <row r="86" spans="1:14" s="1" customFormat="1" ht="12.75">
      <c r="A86"/>
      <c r="B86"/>
      <c r="C86"/>
      <c r="D86"/>
      <c r="E86" s="1" t="s">
        <v>27</v>
      </c>
      <c r="K86"/>
      <c r="L86"/>
      <c r="M86"/>
      <c r="N86"/>
    </row>
  </sheetData>
  <sheetProtection selectLockedCells="1" selectUnlockedCells="1"/>
  <mergeCells count="10">
    <mergeCell ref="A27:D27"/>
    <mergeCell ref="A53:D53"/>
    <mergeCell ref="A70:D70"/>
    <mergeCell ref="A75:D75"/>
    <mergeCell ref="A1:D1"/>
    <mergeCell ref="A2:D2"/>
    <mergeCell ref="A3:D3"/>
    <mergeCell ref="A4:D4"/>
    <mergeCell ref="A5:D5"/>
    <mergeCell ref="A13:D13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6"/>
  <sheetViews>
    <sheetView zoomScalePageLayoutView="0" workbookViewId="0" topLeftCell="A55">
      <selection activeCell="D66" sqref="D66"/>
    </sheetView>
  </sheetViews>
  <sheetFormatPr defaultColWidth="11.57421875" defaultRowHeight="12.75"/>
  <cols>
    <col min="1" max="1" width="47.421875" style="0" customWidth="1"/>
    <col min="2" max="2" width="18.28125" style="0" customWidth="1"/>
    <col min="3" max="3" width="23.00390625" style="0" customWidth="1"/>
    <col min="4" max="4" width="13.0039062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2.75">
      <c r="A1" s="478" t="s">
        <v>0</v>
      </c>
      <c r="B1" s="478"/>
      <c r="C1" s="478"/>
      <c r="D1" s="478"/>
    </row>
    <row r="2" spans="1:4" ht="12.75">
      <c r="A2" s="477" t="s">
        <v>163</v>
      </c>
      <c r="B2" s="478"/>
      <c r="C2" s="478"/>
      <c r="D2" s="478"/>
    </row>
    <row r="3" spans="1:4" ht="12.75">
      <c r="A3" s="478" t="s">
        <v>1</v>
      </c>
      <c r="B3" s="478"/>
      <c r="C3" s="478"/>
      <c r="D3" s="478"/>
    </row>
    <row r="4" spans="1:4" ht="12.75">
      <c r="A4" s="478" t="s">
        <v>2</v>
      </c>
      <c r="B4" s="478"/>
      <c r="C4" s="478"/>
      <c r="D4" s="478"/>
    </row>
    <row r="5" spans="1:4" ht="12.75">
      <c r="A5" s="477" t="s">
        <v>203</v>
      </c>
      <c r="B5" s="478"/>
      <c r="C5" s="478"/>
      <c r="D5" s="478"/>
    </row>
    <row r="6" spans="1:4" ht="6" customHeight="1">
      <c r="A6" s="195"/>
      <c r="B6" s="78"/>
      <c r="C6" s="78"/>
      <c r="D6" s="78"/>
    </row>
    <row r="7" spans="1:4" ht="23.25" customHeight="1">
      <c r="A7" s="480" t="s">
        <v>3</v>
      </c>
      <c r="B7" s="480"/>
      <c r="C7" s="480"/>
      <c r="D7" s="480"/>
    </row>
    <row r="8" spans="1:5" ht="17.25" customHeight="1">
      <c r="A8" s="87" t="s">
        <v>181</v>
      </c>
      <c r="B8" s="78"/>
      <c r="C8" s="88"/>
      <c r="D8" s="78"/>
      <c r="E8" s="34"/>
    </row>
    <row r="9" spans="1:5" ht="12.75">
      <c r="A9" s="89" t="s">
        <v>4</v>
      </c>
      <c r="B9" s="89" t="s">
        <v>5</v>
      </c>
      <c r="C9" s="89" t="s">
        <v>6</v>
      </c>
      <c r="D9" s="90"/>
      <c r="E9" s="34"/>
    </row>
    <row r="10" spans="1:5" ht="12.75">
      <c r="A10" s="91">
        <v>1</v>
      </c>
      <c r="B10" s="91">
        <v>2</v>
      </c>
      <c r="C10" s="91">
        <v>3</v>
      </c>
      <c r="D10" s="92">
        <v>4</v>
      </c>
      <c r="E10" s="34"/>
    </row>
    <row r="11" spans="1:8" ht="12.75">
      <c r="A11" s="64" t="s">
        <v>7</v>
      </c>
      <c r="B11" s="93"/>
      <c r="C11" s="94" t="s">
        <v>204</v>
      </c>
      <c r="D11" s="77"/>
      <c r="E11" s="34"/>
      <c r="F11" s="34"/>
      <c r="G11" s="34"/>
      <c r="H11" s="34"/>
    </row>
    <row r="12" spans="1:8" ht="12.75">
      <c r="A12" s="64" t="s">
        <v>8</v>
      </c>
      <c r="B12" s="93"/>
      <c r="C12" s="94" t="s">
        <v>205</v>
      </c>
      <c r="D12" s="77"/>
      <c r="E12" s="34"/>
      <c r="F12" s="34"/>
      <c r="G12" s="34"/>
      <c r="H12" s="34"/>
    </row>
    <row r="13" spans="1:8" ht="12.75">
      <c r="A13" s="64" t="s">
        <v>9</v>
      </c>
      <c r="B13" s="93"/>
      <c r="C13" s="94" t="s">
        <v>206</v>
      </c>
      <c r="D13" s="77"/>
      <c r="E13" s="34"/>
      <c r="F13" s="34"/>
      <c r="G13" s="34"/>
      <c r="H13" s="34"/>
    </row>
    <row r="14" spans="1:8" ht="31.5" customHeight="1">
      <c r="A14" s="493" t="s">
        <v>10</v>
      </c>
      <c r="B14" s="493"/>
      <c r="C14" s="493"/>
      <c r="D14" s="493"/>
      <c r="E14" s="396"/>
      <c r="F14" s="34"/>
      <c r="G14" s="34"/>
      <c r="H14" s="34"/>
    </row>
    <row r="15" spans="1:9" ht="38.25">
      <c r="A15" s="63" t="s">
        <v>11</v>
      </c>
      <c r="B15" s="95" t="s">
        <v>12</v>
      </c>
      <c r="C15" s="96">
        <v>-103220.32</v>
      </c>
      <c r="D15" s="77"/>
      <c r="E15" s="396"/>
      <c r="F15" s="34"/>
      <c r="G15" s="34"/>
      <c r="H15" s="34"/>
      <c r="I15" s="34"/>
    </row>
    <row r="16" spans="1:9" ht="12.75">
      <c r="A16" s="64" t="s">
        <v>13</v>
      </c>
      <c r="B16" s="95" t="s">
        <v>12</v>
      </c>
      <c r="C16" s="96">
        <v>0</v>
      </c>
      <c r="D16" s="77"/>
      <c r="E16" s="396"/>
      <c r="F16" s="34"/>
      <c r="G16" s="34"/>
      <c r="H16" s="34"/>
      <c r="I16" s="34"/>
    </row>
    <row r="17" spans="1:9" ht="12.75">
      <c r="A17" s="64" t="s">
        <v>14</v>
      </c>
      <c r="B17" s="95" t="s">
        <v>12</v>
      </c>
      <c r="C17" s="71">
        <v>504746.3</v>
      </c>
      <c r="D17" s="75"/>
      <c r="E17" s="396"/>
      <c r="F17" s="34"/>
      <c r="G17" s="34"/>
      <c r="H17" s="34"/>
      <c r="I17" s="34"/>
    </row>
    <row r="18" spans="1:9" ht="31.5" customHeight="1">
      <c r="A18" s="63" t="s">
        <v>15</v>
      </c>
      <c r="B18" s="95" t="s">
        <v>12</v>
      </c>
      <c r="C18" s="71">
        <f>906989.34+7875.06+4697.52+62307.9</f>
        <v>981869.8200000001</v>
      </c>
      <c r="D18" s="75"/>
      <c r="E18" s="462">
        <f>C18-C20-74880.48</f>
        <v>714952.5000000001</v>
      </c>
      <c r="F18" s="34"/>
      <c r="G18" s="34"/>
      <c r="H18" s="34"/>
      <c r="I18" s="34"/>
    </row>
    <row r="19" spans="1:9" ht="12.75">
      <c r="A19" s="64" t="s">
        <v>16</v>
      </c>
      <c r="B19" s="95" t="s">
        <v>12</v>
      </c>
      <c r="C19" s="71">
        <f>C18-C20-C21</f>
        <v>674058.2520000001</v>
      </c>
      <c r="D19" s="75"/>
      <c r="E19" s="463">
        <f>E18-E66</f>
        <v>-0.00399999984074384</v>
      </c>
      <c r="F19" s="34"/>
      <c r="G19" s="34"/>
      <c r="H19" s="397" t="s">
        <v>191</v>
      </c>
      <c r="I19" s="34"/>
    </row>
    <row r="20" spans="1:9" ht="12.75">
      <c r="A20" s="64" t="s">
        <v>17</v>
      </c>
      <c r="B20" s="95" t="s">
        <v>12</v>
      </c>
      <c r="C20" s="71">
        <f>(7.21+6.69)*6*2302.6</f>
        <v>192036.84</v>
      </c>
      <c r="D20" s="75"/>
      <c r="E20" s="464"/>
      <c r="F20" s="34"/>
      <c r="G20" s="34"/>
      <c r="H20" s="34"/>
      <c r="I20" s="34"/>
    </row>
    <row r="21" spans="1:9" ht="12.75">
      <c r="A21" s="64" t="s">
        <v>18</v>
      </c>
      <c r="B21" s="95" t="s">
        <v>12</v>
      </c>
      <c r="C21" s="267">
        <f>4.19*12*2302.6</f>
        <v>115774.728</v>
      </c>
      <c r="D21" s="75"/>
      <c r="E21" s="396"/>
      <c r="F21" s="34"/>
      <c r="G21" s="34"/>
      <c r="H21" s="34"/>
      <c r="I21" s="34"/>
    </row>
    <row r="22" spans="1:9" ht="12.75">
      <c r="A22" s="64" t="s">
        <v>19</v>
      </c>
      <c r="B22" s="95" t="s">
        <v>12</v>
      </c>
      <c r="C22" s="71">
        <f>C23+C24+C25+C26</f>
        <v>1187167.73454</v>
      </c>
      <c r="D22" s="75" t="s">
        <v>20</v>
      </c>
      <c r="E22" s="41" t="e">
        <f>B24+B25+B26+#REF!+B27</f>
        <v>#VALUE!</v>
      </c>
      <c r="F22" s="34"/>
      <c r="G22" s="34"/>
      <c r="H22" s="34"/>
      <c r="I22" s="34"/>
    </row>
    <row r="23" spans="1:9" ht="12.75">
      <c r="A23" s="64" t="s">
        <v>21</v>
      </c>
      <c r="B23" s="95" t="s">
        <v>12</v>
      </c>
      <c r="C23" s="71">
        <f>C18*1.197</f>
        <v>1175298.17454</v>
      </c>
      <c r="D23" s="75"/>
      <c r="E23" s="34"/>
      <c r="F23" s="34"/>
      <c r="G23" s="34"/>
      <c r="H23" s="34"/>
      <c r="I23" s="34"/>
    </row>
    <row r="24" spans="1:10" ht="12.75">
      <c r="A24" s="64" t="s">
        <v>22</v>
      </c>
      <c r="B24" s="95" t="s">
        <v>12</v>
      </c>
      <c r="C24" s="71">
        <v>0</v>
      </c>
      <c r="D24" s="98">
        <v>65.21</v>
      </c>
      <c r="E24" s="42" t="e">
        <f>B24/#REF!*1</f>
        <v>#VALUE!</v>
      </c>
      <c r="F24" s="34"/>
      <c r="G24" s="34"/>
      <c r="H24" s="34" t="s">
        <v>23</v>
      </c>
      <c r="I24" s="34"/>
      <c r="J24" s="266"/>
    </row>
    <row r="25" spans="1:9" ht="12.75">
      <c r="A25" s="64" t="s">
        <v>24</v>
      </c>
      <c r="B25" s="95" t="s">
        <v>12</v>
      </c>
      <c r="C25" s="71">
        <v>0</v>
      </c>
      <c r="D25" s="98">
        <v>119.63</v>
      </c>
      <c r="E25" s="42" t="e">
        <f>B25/#REF!*1</f>
        <v>#VALUE!</v>
      </c>
      <c r="F25" s="34"/>
      <c r="G25" s="34"/>
      <c r="H25" s="34"/>
      <c r="I25" s="34"/>
    </row>
    <row r="26" spans="1:9" ht="12.75">
      <c r="A26" s="93" t="s">
        <v>25</v>
      </c>
      <c r="B26" s="95" t="s">
        <v>12</v>
      </c>
      <c r="C26" s="71">
        <f>6402.48+4020.84+1446.24</f>
        <v>11869.56</v>
      </c>
      <c r="D26" s="98"/>
      <c r="E26" s="42" t="e">
        <f>B26/#REF!*1</f>
        <v>#VALUE!</v>
      </c>
      <c r="F26" s="34"/>
      <c r="G26" s="34"/>
      <c r="H26" s="34"/>
      <c r="I26" s="34"/>
    </row>
    <row r="27" spans="1:9" ht="12.75">
      <c r="A27" s="64" t="s">
        <v>26</v>
      </c>
      <c r="B27" s="95" t="s">
        <v>12</v>
      </c>
      <c r="C27" s="71">
        <f>C15+C22</f>
        <v>1083947.41454</v>
      </c>
      <c r="D27" s="75" t="s">
        <v>27</v>
      </c>
      <c r="E27" s="42" t="e">
        <f>B27/#REF!*1</f>
        <v>#VALUE!</v>
      </c>
      <c r="F27" s="34"/>
      <c r="G27" s="34"/>
      <c r="H27" s="34"/>
      <c r="I27" s="34"/>
    </row>
    <row r="28" spans="1:9" ht="25.5" customHeight="1">
      <c r="A28" s="494" t="s">
        <v>28</v>
      </c>
      <c r="B28" s="494"/>
      <c r="C28" s="494"/>
      <c r="D28" s="494"/>
      <c r="E28" s="34"/>
      <c r="F28" s="34"/>
      <c r="G28" s="34"/>
      <c r="H28" s="34"/>
      <c r="I28" s="34"/>
    </row>
    <row r="29" spans="1:9" ht="51">
      <c r="A29" s="100" t="s">
        <v>29</v>
      </c>
      <c r="B29" s="101" t="s">
        <v>30</v>
      </c>
      <c r="C29" s="268" t="s">
        <v>31</v>
      </c>
      <c r="D29" s="103" t="s">
        <v>32</v>
      </c>
      <c r="E29" s="34"/>
      <c r="F29" s="34"/>
      <c r="G29" s="34"/>
      <c r="H29" s="34"/>
      <c r="I29" s="34"/>
    </row>
    <row r="30" spans="1:9" ht="12.75">
      <c r="A30" s="269" t="s">
        <v>33</v>
      </c>
      <c r="B30" s="270" t="s">
        <v>34</v>
      </c>
      <c r="C30" s="358" t="s">
        <v>190</v>
      </c>
      <c r="D30" s="271">
        <f>(0.85+0.7)*6*2302.6</f>
        <v>21414.179999999997</v>
      </c>
      <c r="E30" s="34"/>
      <c r="F30" s="34"/>
      <c r="G30" s="34"/>
      <c r="H30" s="34"/>
      <c r="I30" s="34"/>
    </row>
    <row r="31" spans="1:9" ht="12.75">
      <c r="A31" s="108" t="s">
        <v>35</v>
      </c>
      <c r="B31" s="109" t="s">
        <v>36</v>
      </c>
      <c r="C31" s="112" t="s">
        <v>43</v>
      </c>
      <c r="D31" s="111">
        <f>2.4*12*2302.6</f>
        <v>66314.87999999999</v>
      </c>
      <c r="E31" s="34"/>
      <c r="F31" s="34"/>
      <c r="G31" s="34"/>
      <c r="H31" s="34"/>
      <c r="I31" s="34"/>
    </row>
    <row r="32" spans="1:9" ht="12.75">
      <c r="A32" s="108" t="s">
        <v>189</v>
      </c>
      <c r="B32" s="109" t="s">
        <v>42</v>
      </c>
      <c r="C32" s="112" t="s">
        <v>367</v>
      </c>
      <c r="D32" s="111">
        <f>0.15*2302.6*12</f>
        <v>4144.68</v>
      </c>
      <c r="E32" s="34"/>
      <c r="F32" s="34"/>
      <c r="G32" s="34"/>
      <c r="H32" s="34"/>
      <c r="I32" s="34"/>
    </row>
    <row r="33" spans="1:9" ht="12.75">
      <c r="A33" s="108"/>
      <c r="B33" s="109"/>
      <c r="C33" s="112"/>
      <c r="D33" s="111"/>
      <c r="E33" s="34"/>
      <c r="F33" s="34"/>
      <c r="G33" s="34"/>
      <c r="H33" s="34"/>
      <c r="I33" s="34"/>
    </row>
    <row r="34" spans="1:9" ht="12.75">
      <c r="A34" s="108" t="s">
        <v>39</v>
      </c>
      <c r="B34" s="109" t="s">
        <v>42</v>
      </c>
      <c r="C34" s="112" t="s">
        <v>40</v>
      </c>
      <c r="D34" s="111">
        <f>0.15*12*2302.6</f>
        <v>4144.679999999999</v>
      </c>
      <c r="E34" s="34"/>
      <c r="F34" s="34"/>
      <c r="G34" s="34"/>
      <c r="H34" s="34"/>
      <c r="I34" s="34"/>
    </row>
    <row r="35" spans="1:9" ht="12.75">
      <c r="A35" s="108" t="s">
        <v>41</v>
      </c>
      <c r="B35" s="295" t="s">
        <v>34</v>
      </c>
      <c r="C35" s="112" t="s">
        <v>43</v>
      </c>
      <c r="D35" s="111">
        <f>(2.7+2.91)*6*2302.6</f>
        <v>77505.516</v>
      </c>
      <c r="E35" s="34"/>
      <c r="F35" s="34"/>
      <c r="G35" s="34"/>
      <c r="H35" s="34"/>
      <c r="I35" s="34"/>
    </row>
    <row r="36" spans="1:9" ht="12.75">
      <c r="A36" s="108" t="s">
        <v>44</v>
      </c>
      <c r="B36" s="109" t="s">
        <v>34</v>
      </c>
      <c r="C36" s="112" t="s">
        <v>43</v>
      </c>
      <c r="D36" s="111">
        <f>(2.39+2.49)*6*2302.6</f>
        <v>67420.12800000001</v>
      </c>
      <c r="E36" s="34"/>
      <c r="F36" s="34"/>
      <c r="G36" s="34"/>
      <c r="H36" s="34"/>
      <c r="I36" s="34"/>
    </row>
    <row r="37" spans="1:9" ht="12.75">
      <c r="A37" s="108" t="s">
        <v>45</v>
      </c>
      <c r="B37" s="169" t="s">
        <v>46</v>
      </c>
      <c r="C37" s="112" t="s">
        <v>43</v>
      </c>
      <c r="D37" s="111">
        <f>(1.49+1.43)*6*2302.6</f>
        <v>40341.551999999996</v>
      </c>
      <c r="E37" s="34"/>
      <c r="F37" s="34"/>
      <c r="G37" s="34"/>
      <c r="H37" s="34"/>
      <c r="I37" s="34"/>
    </row>
    <row r="38" spans="1:9" ht="12.75">
      <c r="A38" s="108" t="s">
        <v>47</v>
      </c>
      <c r="B38" s="109" t="s">
        <v>38</v>
      </c>
      <c r="C38" s="219" t="s">
        <v>159</v>
      </c>
      <c r="D38" s="111">
        <f>4.19*12*2302.6</f>
        <v>115774.728</v>
      </c>
      <c r="E38" s="34"/>
      <c r="F38" s="34"/>
      <c r="G38" s="34"/>
      <c r="H38" s="34"/>
      <c r="I38" s="34"/>
    </row>
    <row r="39" spans="1:9" ht="12.75">
      <c r="A39" s="108" t="s">
        <v>48</v>
      </c>
      <c r="B39" s="109" t="s">
        <v>36</v>
      </c>
      <c r="C39" s="112" t="s">
        <v>43</v>
      </c>
      <c r="D39" s="111">
        <f>(3.8+4.05)*6*2302.6</f>
        <v>108452.45999999998</v>
      </c>
      <c r="E39" s="34"/>
      <c r="F39" s="34"/>
      <c r="G39" s="34"/>
      <c r="H39" s="34"/>
      <c r="I39" s="34"/>
    </row>
    <row r="40" spans="1:9" ht="12.75">
      <c r="A40" s="272" t="s">
        <v>49</v>
      </c>
      <c r="B40" s="109" t="s">
        <v>38</v>
      </c>
      <c r="C40" s="112" t="s">
        <v>50</v>
      </c>
      <c r="D40" s="111">
        <f>2302.6*12*4.99</f>
        <v>137879.688</v>
      </c>
      <c r="E40" s="34"/>
      <c r="F40" s="34"/>
      <c r="G40" s="34"/>
      <c r="H40" s="34"/>
      <c r="I40" s="34"/>
    </row>
    <row r="41" spans="1:9" ht="12.75">
      <c r="A41" s="259" t="s">
        <v>51</v>
      </c>
      <c r="B41" s="109" t="s">
        <v>36</v>
      </c>
      <c r="C41" s="110" t="s">
        <v>172</v>
      </c>
      <c r="D41" s="111">
        <f>2.56*12*2302.6+824.14</f>
        <v>71560.01199999999</v>
      </c>
      <c r="E41" s="34"/>
      <c r="F41" s="34"/>
      <c r="G41" s="34"/>
      <c r="H41" s="34"/>
      <c r="I41" s="34"/>
    </row>
    <row r="42" spans="1:9" ht="25.5">
      <c r="A42" s="259" t="s">
        <v>142</v>
      </c>
      <c r="B42" s="109"/>
      <c r="C42" s="112"/>
      <c r="D42" s="273"/>
      <c r="E42" s="34"/>
      <c r="F42" s="34"/>
      <c r="G42" s="34"/>
      <c r="H42" s="34"/>
      <c r="I42" s="34"/>
    </row>
    <row r="43" spans="1:9" ht="12.75">
      <c r="A43" s="168" t="s">
        <v>140</v>
      </c>
      <c r="B43" s="109" t="s">
        <v>38</v>
      </c>
      <c r="C43" s="112" t="s">
        <v>143</v>
      </c>
      <c r="D43" s="273">
        <f>5089.13+7927.11-882.82-629.18</f>
        <v>11504.24</v>
      </c>
      <c r="E43" s="34"/>
      <c r="F43" s="34"/>
      <c r="G43" s="34"/>
      <c r="H43" s="34"/>
      <c r="I43" s="34"/>
    </row>
    <row r="44" spans="1:9" ht="12.75">
      <c r="A44" s="168" t="s">
        <v>148</v>
      </c>
      <c r="B44" s="109" t="s">
        <v>38</v>
      </c>
      <c r="C44" s="112" t="s">
        <v>144</v>
      </c>
      <c r="D44" s="273">
        <f>82674.33-8215.78</f>
        <v>74458.55</v>
      </c>
      <c r="E44" s="34"/>
      <c r="F44" s="34"/>
      <c r="G44" s="34"/>
      <c r="H44" s="34"/>
      <c r="I44" s="34"/>
    </row>
    <row r="45" spans="1:9" ht="39" customHeight="1">
      <c r="A45" s="274" t="s">
        <v>129</v>
      </c>
      <c r="B45" s="201" t="s">
        <v>52</v>
      </c>
      <c r="C45" s="127"/>
      <c r="D45" s="343">
        <f>D46+D47+D48+D49+D50+D51+D52+D53+D54+D55+D56+D57+D58+D59+D60+D61+D62+D63+D65+D64</f>
        <v>208523.99</v>
      </c>
      <c r="E45" s="34"/>
      <c r="F45" s="34"/>
      <c r="G45" s="34"/>
      <c r="H45" s="34"/>
      <c r="I45" s="34"/>
    </row>
    <row r="46" spans="1:9" ht="33" customHeight="1">
      <c r="A46" s="278" t="s">
        <v>157</v>
      </c>
      <c r="B46" s="276" t="s">
        <v>208</v>
      </c>
      <c r="C46" s="200" t="s">
        <v>50</v>
      </c>
      <c r="D46" s="277">
        <v>15575</v>
      </c>
      <c r="E46" s="34"/>
      <c r="F46" s="34"/>
      <c r="G46" s="34"/>
      <c r="H46" s="34"/>
      <c r="I46" s="34"/>
    </row>
    <row r="47" spans="1:9" ht="36.75" customHeight="1">
      <c r="A47" s="278" t="s">
        <v>209</v>
      </c>
      <c r="B47" s="279" t="s">
        <v>175</v>
      </c>
      <c r="C47" s="200" t="s">
        <v>210</v>
      </c>
      <c r="D47" s="277">
        <v>600</v>
      </c>
      <c r="E47" s="34"/>
      <c r="F47" s="34"/>
      <c r="G47" s="34"/>
      <c r="H47" s="34"/>
      <c r="I47" s="34"/>
    </row>
    <row r="48" spans="1:9" ht="24" customHeight="1">
      <c r="A48" s="278" t="s">
        <v>211</v>
      </c>
      <c r="B48" s="276" t="s">
        <v>175</v>
      </c>
      <c r="C48" s="110" t="s">
        <v>172</v>
      </c>
      <c r="D48" s="277">
        <v>2060</v>
      </c>
      <c r="E48" s="34"/>
      <c r="F48" s="34"/>
      <c r="G48" s="34"/>
      <c r="H48" s="34"/>
      <c r="I48" s="34"/>
    </row>
    <row r="49" spans="1:9" ht="16.5" customHeight="1">
      <c r="A49" s="275" t="s">
        <v>212</v>
      </c>
      <c r="B49" s="276" t="s">
        <v>121</v>
      </c>
      <c r="C49" s="110" t="s">
        <v>172</v>
      </c>
      <c r="D49" s="277">
        <v>1274.51</v>
      </c>
      <c r="E49" s="34"/>
      <c r="F49" s="34"/>
      <c r="G49" s="34"/>
      <c r="H49" s="34"/>
      <c r="I49" s="34"/>
    </row>
    <row r="50" spans="1:9" ht="18" customHeight="1">
      <c r="A50" s="275" t="s">
        <v>213</v>
      </c>
      <c r="B50" s="279" t="s">
        <v>121</v>
      </c>
      <c r="C50" s="110" t="s">
        <v>172</v>
      </c>
      <c r="D50" s="277">
        <v>279</v>
      </c>
      <c r="E50" s="34"/>
      <c r="F50" s="34"/>
      <c r="G50" s="34"/>
      <c r="H50" s="34"/>
      <c r="I50" s="34"/>
    </row>
    <row r="51" spans="1:9" ht="17.25" customHeight="1">
      <c r="A51" s="278" t="s">
        <v>214</v>
      </c>
      <c r="B51" s="276" t="s">
        <v>215</v>
      </c>
      <c r="C51" s="110" t="s">
        <v>172</v>
      </c>
      <c r="D51" s="277">
        <v>12189</v>
      </c>
      <c r="E51" s="34"/>
      <c r="F51" s="34"/>
      <c r="G51" s="34"/>
      <c r="H51" s="34"/>
      <c r="I51" s="34"/>
    </row>
    <row r="52" spans="1:9" ht="18.75" customHeight="1">
      <c r="A52" s="278" t="s">
        <v>216</v>
      </c>
      <c r="B52" s="279" t="s">
        <v>215</v>
      </c>
      <c r="C52" s="110" t="s">
        <v>172</v>
      </c>
      <c r="D52" s="277">
        <v>728</v>
      </c>
      <c r="E52" s="34"/>
      <c r="F52" s="34"/>
      <c r="G52" s="34"/>
      <c r="H52" s="34"/>
      <c r="I52" s="34"/>
    </row>
    <row r="53" spans="1:9" ht="23.25" customHeight="1">
      <c r="A53" s="278" t="s">
        <v>217</v>
      </c>
      <c r="B53" s="279" t="s">
        <v>215</v>
      </c>
      <c r="C53" s="200" t="s">
        <v>176</v>
      </c>
      <c r="D53" s="277">
        <v>94650</v>
      </c>
      <c r="E53" s="34"/>
      <c r="F53" s="34"/>
      <c r="G53" s="34"/>
      <c r="H53" s="34"/>
      <c r="I53" s="34"/>
    </row>
    <row r="54" spans="1:9" ht="27.75" customHeight="1">
      <c r="A54" s="278" t="s">
        <v>218</v>
      </c>
      <c r="B54" s="279" t="s">
        <v>215</v>
      </c>
      <c r="C54" s="200" t="s">
        <v>159</v>
      </c>
      <c r="D54" s="277">
        <v>14825.23</v>
      </c>
      <c r="E54" s="34"/>
      <c r="F54" s="34"/>
      <c r="G54" s="34"/>
      <c r="H54" s="34"/>
      <c r="I54" s="34"/>
    </row>
    <row r="55" spans="1:9" ht="15.75" customHeight="1">
      <c r="A55" s="278" t="s">
        <v>219</v>
      </c>
      <c r="B55" s="279" t="s">
        <v>124</v>
      </c>
      <c r="C55" s="110" t="s">
        <v>172</v>
      </c>
      <c r="D55" s="277">
        <v>5368</v>
      </c>
      <c r="E55" s="34"/>
      <c r="F55" s="34"/>
      <c r="G55" s="34"/>
      <c r="H55" s="34"/>
      <c r="I55" s="34"/>
    </row>
    <row r="56" spans="1:9" ht="27" customHeight="1">
      <c r="A56" s="278" t="s">
        <v>220</v>
      </c>
      <c r="B56" s="276" t="s">
        <v>124</v>
      </c>
      <c r="C56" s="200" t="s">
        <v>172</v>
      </c>
      <c r="D56" s="277">
        <v>11402</v>
      </c>
      <c r="E56" s="34"/>
      <c r="F56" s="34"/>
      <c r="G56" s="34"/>
      <c r="H56" s="34"/>
      <c r="I56" s="34"/>
    </row>
    <row r="57" spans="1:9" ht="17.25" customHeight="1">
      <c r="A57" s="278" t="s">
        <v>221</v>
      </c>
      <c r="B57" s="279" t="s">
        <v>124</v>
      </c>
      <c r="C57" s="200" t="s">
        <v>172</v>
      </c>
      <c r="D57" s="277">
        <v>12560</v>
      </c>
      <c r="E57" s="34"/>
      <c r="F57" s="34"/>
      <c r="G57" s="34"/>
      <c r="H57" s="34"/>
      <c r="I57" s="34"/>
    </row>
    <row r="58" spans="1:9" ht="25.5" customHeight="1">
      <c r="A58" s="278" t="s">
        <v>222</v>
      </c>
      <c r="B58" s="279" t="s">
        <v>126</v>
      </c>
      <c r="C58" s="199" t="s">
        <v>37</v>
      </c>
      <c r="D58" s="277">
        <f>1797+1377</f>
        <v>3174</v>
      </c>
      <c r="E58" s="34"/>
      <c r="F58" s="34"/>
      <c r="G58" s="34"/>
      <c r="H58" s="34"/>
      <c r="I58" s="34"/>
    </row>
    <row r="59" spans="1:9" ht="25.5" customHeight="1">
      <c r="A59" s="278" t="s">
        <v>223</v>
      </c>
      <c r="B59" s="279" t="s">
        <v>126</v>
      </c>
      <c r="C59" s="199" t="s">
        <v>37</v>
      </c>
      <c r="D59" s="277">
        <v>700</v>
      </c>
      <c r="E59" s="34"/>
      <c r="F59" s="34"/>
      <c r="G59" s="34"/>
      <c r="H59" s="34"/>
      <c r="I59" s="34"/>
    </row>
    <row r="60" spans="1:9" ht="18" customHeight="1">
      <c r="A60" s="275" t="s">
        <v>224</v>
      </c>
      <c r="B60" s="279" t="s">
        <v>126</v>
      </c>
      <c r="C60" s="200" t="s">
        <v>172</v>
      </c>
      <c r="D60" s="277">
        <v>1662</v>
      </c>
      <c r="E60" s="34"/>
      <c r="F60" s="34"/>
      <c r="G60" s="34"/>
      <c r="H60" s="34"/>
      <c r="I60" s="34"/>
    </row>
    <row r="61" spans="1:9" ht="31.5" customHeight="1">
      <c r="A61" s="278" t="s">
        <v>225</v>
      </c>
      <c r="B61" s="279" t="s">
        <v>119</v>
      </c>
      <c r="C61" s="200" t="s">
        <v>172</v>
      </c>
      <c r="D61" s="277">
        <v>15358</v>
      </c>
      <c r="E61" s="34"/>
      <c r="F61" s="34"/>
      <c r="G61" s="34"/>
      <c r="H61" s="34"/>
      <c r="I61" s="34"/>
    </row>
    <row r="62" spans="1:9" ht="30" customHeight="1">
      <c r="A62" s="275" t="s">
        <v>226</v>
      </c>
      <c r="B62" s="279" t="s">
        <v>122</v>
      </c>
      <c r="C62" s="200" t="s">
        <v>227</v>
      </c>
      <c r="D62" s="277">
        <v>2600</v>
      </c>
      <c r="E62" s="34"/>
      <c r="F62" s="34"/>
      <c r="G62" s="34"/>
      <c r="H62" s="34"/>
      <c r="I62" s="34"/>
    </row>
    <row r="63" spans="1:9" ht="31.5" customHeight="1">
      <c r="A63" s="278" t="s">
        <v>228</v>
      </c>
      <c r="B63" s="279" t="s">
        <v>122</v>
      </c>
      <c r="C63" s="200" t="s">
        <v>172</v>
      </c>
      <c r="D63" s="277">
        <v>1122</v>
      </c>
      <c r="E63" s="34"/>
      <c r="F63" s="34"/>
      <c r="G63" s="34"/>
      <c r="H63" s="34"/>
      <c r="I63" s="34"/>
    </row>
    <row r="64" spans="1:9" ht="20.25" customHeight="1">
      <c r="A64" s="278" t="s">
        <v>230</v>
      </c>
      <c r="B64" s="279" t="s">
        <v>120</v>
      </c>
      <c r="C64" s="200" t="s">
        <v>176</v>
      </c>
      <c r="D64" s="277">
        <v>6016</v>
      </c>
      <c r="E64" s="34"/>
      <c r="F64" s="34"/>
      <c r="G64" s="34"/>
      <c r="H64" s="34"/>
      <c r="I64" s="34"/>
    </row>
    <row r="65" spans="1:9" ht="25.5" customHeight="1">
      <c r="A65" s="278" t="s">
        <v>229</v>
      </c>
      <c r="B65" s="279" t="s">
        <v>123</v>
      </c>
      <c r="C65" s="200" t="s">
        <v>37</v>
      </c>
      <c r="D65" s="277">
        <f>6247.57+133.68</f>
        <v>6381.25</v>
      </c>
      <c r="E65" s="465"/>
      <c r="F65" s="34"/>
      <c r="G65" s="34"/>
      <c r="H65" s="34"/>
      <c r="I65" s="34"/>
    </row>
    <row r="66" spans="1:9" ht="12.75">
      <c r="A66" s="65" t="s">
        <v>53</v>
      </c>
      <c r="B66" s="280"/>
      <c r="C66" s="339"/>
      <c r="D66" s="66">
        <f>D30+D31+D32+D34+D35+D36+D37+D38+D39+D40+D41+D43+D44+D45</f>
        <v>1009439.284</v>
      </c>
      <c r="E66" s="466">
        <f>D66-D45-D43-D44</f>
        <v>714952.504</v>
      </c>
      <c r="F66" s="34"/>
      <c r="G66" s="34"/>
      <c r="H66" s="34"/>
      <c r="I66" s="34"/>
    </row>
    <row r="67" spans="1:9" ht="25.5">
      <c r="A67" s="67" t="s">
        <v>54</v>
      </c>
      <c r="B67" s="105" t="s">
        <v>12</v>
      </c>
      <c r="C67" s="340"/>
      <c r="D67" s="126">
        <f>C27-D66</f>
        <v>74508.13054000004</v>
      </c>
      <c r="E67" s="35"/>
      <c r="F67" s="34"/>
      <c r="G67" s="34"/>
      <c r="H67" s="34"/>
      <c r="I67" s="34"/>
    </row>
    <row r="68" spans="1:9" ht="12.75">
      <c r="A68" s="112" t="s">
        <v>13</v>
      </c>
      <c r="B68" s="109" t="s">
        <v>12</v>
      </c>
      <c r="C68" s="112"/>
      <c r="D68" s="77">
        <v>0</v>
      </c>
      <c r="E68" s="34"/>
      <c r="F68" s="34"/>
      <c r="G68" s="34"/>
      <c r="H68" s="34"/>
      <c r="I68" s="34"/>
    </row>
    <row r="69" spans="1:9" ht="12.75">
      <c r="A69" s="112" t="s">
        <v>14</v>
      </c>
      <c r="B69" s="109" t="s">
        <v>12</v>
      </c>
      <c r="C69" s="112"/>
      <c r="D69" s="75">
        <f>C17+C18-C27</f>
        <v>402668.7054600001</v>
      </c>
      <c r="E69" s="34"/>
      <c r="F69" s="34"/>
      <c r="G69" s="34"/>
      <c r="H69" s="34"/>
      <c r="I69" s="34"/>
    </row>
    <row r="70" spans="1:9" ht="18.75" customHeight="1">
      <c r="A70" s="495" t="s">
        <v>55</v>
      </c>
      <c r="B70" s="495"/>
      <c r="C70" s="495"/>
      <c r="D70" s="495"/>
      <c r="E70" s="34"/>
      <c r="F70" s="34"/>
      <c r="G70" s="34"/>
      <c r="H70" s="34"/>
      <c r="I70" s="34"/>
    </row>
    <row r="71" spans="1:9" ht="12.75">
      <c r="A71" s="112" t="s">
        <v>56</v>
      </c>
      <c r="B71" s="109" t="s">
        <v>57</v>
      </c>
      <c r="C71" s="112"/>
      <c r="D71" s="77">
        <v>0</v>
      </c>
      <c r="E71" s="34"/>
      <c r="F71" s="34"/>
      <c r="G71" s="34"/>
      <c r="H71" s="34"/>
      <c r="I71" s="34"/>
    </row>
    <row r="72" spans="1:9" ht="12.75">
      <c r="A72" s="112" t="s">
        <v>58</v>
      </c>
      <c r="B72" s="109" t="s">
        <v>57</v>
      </c>
      <c r="C72" s="112"/>
      <c r="D72" s="77">
        <v>0</v>
      </c>
      <c r="E72" s="34"/>
      <c r="F72" s="34"/>
      <c r="G72" s="34"/>
      <c r="H72" s="34"/>
      <c r="I72" s="34"/>
    </row>
    <row r="73" spans="1:9" ht="25.5">
      <c r="A73" s="127" t="s">
        <v>59</v>
      </c>
      <c r="B73" s="109" t="s">
        <v>57</v>
      </c>
      <c r="C73" s="112"/>
      <c r="D73" s="77">
        <v>0</v>
      </c>
      <c r="E73" s="34"/>
      <c r="F73" s="34"/>
      <c r="G73" s="34"/>
      <c r="H73" s="34"/>
      <c r="I73" s="34"/>
    </row>
    <row r="74" spans="1:9" ht="12.75">
      <c r="A74" s="112" t="s">
        <v>60</v>
      </c>
      <c r="B74" s="109" t="s">
        <v>12</v>
      </c>
      <c r="C74" s="112"/>
      <c r="D74" s="77">
        <v>0</v>
      </c>
      <c r="E74" s="34"/>
      <c r="F74" s="34"/>
      <c r="G74" s="34"/>
      <c r="H74" s="34"/>
      <c r="I74" s="34"/>
    </row>
    <row r="75" spans="1:9" ht="20.25" customHeight="1">
      <c r="A75" s="496" t="s">
        <v>61</v>
      </c>
      <c r="B75" s="496"/>
      <c r="C75" s="496"/>
      <c r="D75" s="496"/>
      <c r="E75" s="34"/>
      <c r="F75" s="34"/>
      <c r="G75" s="34"/>
      <c r="H75" s="34"/>
      <c r="I75" s="34"/>
    </row>
    <row r="76" spans="1:9" ht="25.5">
      <c r="A76" s="127" t="s">
        <v>62</v>
      </c>
      <c r="B76" s="109" t="s">
        <v>12</v>
      </c>
      <c r="C76" s="112"/>
      <c r="D76" s="77">
        <v>0</v>
      </c>
      <c r="E76" s="34"/>
      <c r="F76" s="34"/>
      <c r="G76" s="34"/>
      <c r="H76" s="34"/>
      <c r="I76" s="34"/>
    </row>
    <row r="77" spans="1:9" ht="12.75">
      <c r="A77" s="112" t="s">
        <v>13</v>
      </c>
      <c r="B77" s="109" t="s">
        <v>12</v>
      </c>
      <c r="C77" s="112"/>
      <c r="D77" s="77">
        <v>0</v>
      </c>
      <c r="E77" s="34"/>
      <c r="F77" s="34"/>
      <c r="G77" s="34"/>
      <c r="H77" s="34"/>
      <c r="I77" s="34"/>
    </row>
    <row r="78" spans="1:9" ht="12.75">
      <c r="A78" s="112" t="s">
        <v>14</v>
      </c>
      <c r="B78" s="109" t="s">
        <v>12</v>
      </c>
      <c r="C78" s="112"/>
      <c r="D78" s="128">
        <f>D81-D84-D85-D86-D87-D88</f>
        <v>1324988.5992</v>
      </c>
      <c r="E78" s="34"/>
      <c r="F78" s="34"/>
      <c r="G78" s="34"/>
      <c r="H78" s="36"/>
      <c r="I78" s="34"/>
    </row>
    <row r="79" spans="1:9" ht="25.5">
      <c r="A79" s="181" t="s">
        <v>63</v>
      </c>
      <c r="B79" s="109" t="s">
        <v>12</v>
      </c>
      <c r="C79" s="130"/>
      <c r="D79" s="131">
        <v>0</v>
      </c>
      <c r="E79" s="34"/>
      <c r="F79" s="34"/>
      <c r="G79" s="34"/>
      <c r="H79" s="34"/>
      <c r="I79" s="34"/>
    </row>
    <row r="80" spans="1:10" ht="17.25" customHeight="1">
      <c r="A80" s="132" t="s">
        <v>13</v>
      </c>
      <c r="B80" s="109" t="s">
        <v>12</v>
      </c>
      <c r="C80" s="112"/>
      <c r="D80" s="77">
        <v>0</v>
      </c>
      <c r="E80" s="34"/>
      <c r="F80" s="34"/>
      <c r="G80" s="34"/>
      <c r="H80" s="34"/>
      <c r="I80" s="36"/>
      <c r="J80" s="3"/>
    </row>
    <row r="81" spans="1:14" ht="12.75">
      <c r="A81" s="133" t="s">
        <v>14</v>
      </c>
      <c r="B81" s="109" t="s">
        <v>12</v>
      </c>
      <c r="C81" s="281"/>
      <c r="D81" s="202">
        <v>1152827.62</v>
      </c>
      <c r="E81" s="34"/>
      <c r="F81" s="34"/>
      <c r="G81" s="34"/>
      <c r="H81" s="34" t="s">
        <v>27</v>
      </c>
      <c r="I81" s="37"/>
      <c r="J81" s="4"/>
      <c r="K81" s="5"/>
      <c r="L81" s="5"/>
      <c r="M81" s="5"/>
      <c r="N81" s="5"/>
    </row>
    <row r="82" spans="1:14" ht="18" customHeight="1">
      <c r="A82" s="497" t="s">
        <v>64</v>
      </c>
      <c r="B82" s="497"/>
      <c r="C82" s="497"/>
      <c r="D82" s="497"/>
      <c r="E82" s="39"/>
      <c r="F82" s="43"/>
      <c r="G82" s="44"/>
      <c r="H82" s="34"/>
      <c r="I82" s="38"/>
      <c r="J82" s="8"/>
      <c r="K82" s="9"/>
      <c r="L82" s="9"/>
      <c r="M82" s="9"/>
      <c r="N82" s="9"/>
    </row>
    <row r="83" spans="1:14" ht="63.75">
      <c r="A83" s="10" t="s">
        <v>65</v>
      </c>
      <c r="B83" s="11" t="s">
        <v>66</v>
      </c>
      <c r="C83" s="53" t="s">
        <v>67</v>
      </c>
      <c r="D83" s="54" t="s">
        <v>68</v>
      </c>
      <c r="E83" s="39"/>
      <c r="F83" s="43"/>
      <c r="G83" s="44"/>
      <c r="H83" s="34"/>
      <c r="I83" s="38"/>
      <c r="J83" s="14"/>
      <c r="K83" s="9"/>
      <c r="L83" s="9"/>
      <c r="M83" s="9"/>
      <c r="N83" s="9"/>
    </row>
    <row r="84" spans="1:14" ht="12.75">
      <c r="A84" s="137" t="s">
        <v>69</v>
      </c>
      <c r="B84" s="282">
        <v>42518.98</v>
      </c>
      <c r="C84" s="135">
        <f>B84*1.197</f>
        <v>50895.21906</v>
      </c>
      <c r="D84" s="139">
        <f>B84-C84</f>
        <v>-8376.23906</v>
      </c>
      <c r="E84" s="45"/>
      <c r="F84" s="43"/>
      <c r="G84" s="44"/>
      <c r="H84" s="34"/>
      <c r="I84" s="38"/>
      <c r="J84" s="8"/>
      <c r="K84" s="9"/>
      <c r="L84" s="9"/>
      <c r="M84" s="9"/>
      <c r="N84" s="9"/>
    </row>
    <row r="85" spans="1:14" ht="12.75">
      <c r="A85" s="137" t="s">
        <v>70</v>
      </c>
      <c r="B85" s="282">
        <v>78222.98</v>
      </c>
      <c r="C85" s="135">
        <f>B85*1.197</f>
        <v>93632.90706</v>
      </c>
      <c r="D85" s="139">
        <f>B85-C85</f>
        <v>-15409.927060000002</v>
      </c>
      <c r="E85" s="39"/>
      <c r="F85" s="43"/>
      <c r="G85" s="44"/>
      <c r="H85" s="34"/>
      <c r="I85" s="38"/>
      <c r="J85" s="8"/>
      <c r="K85" s="9"/>
      <c r="L85" s="9"/>
      <c r="M85" s="9"/>
      <c r="N85" s="9"/>
    </row>
    <row r="86" spans="1:14" ht="12.75">
      <c r="A86" s="137" t="s">
        <v>71</v>
      </c>
      <c r="B86" s="283">
        <v>181963.4</v>
      </c>
      <c r="C86" s="135">
        <f>B86*1.197</f>
        <v>217810.1898</v>
      </c>
      <c r="D86" s="139">
        <f>B86-C86</f>
        <v>-35846.7898</v>
      </c>
      <c r="E86" s="39">
        <f>(2.07+1.8)*6*2301.2-0.37*2301.2*6</f>
        <v>48325.2</v>
      </c>
      <c r="F86" s="46"/>
      <c r="G86" s="47"/>
      <c r="H86" s="39"/>
      <c r="I86" s="38"/>
      <c r="J86" s="8"/>
      <c r="K86" s="9"/>
      <c r="L86" s="9"/>
      <c r="M86" s="9"/>
      <c r="N86" s="9"/>
    </row>
    <row r="87" spans="1:14" ht="12.75">
      <c r="A87" s="137" t="s">
        <v>72</v>
      </c>
      <c r="B87" s="283">
        <v>93664.89</v>
      </c>
      <c r="C87" s="135">
        <f>B87*1.197</f>
        <v>112116.87333</v>
      </c>
      <c r="D87" s="139">
        <f>B87-C87</f>
        <v>-18451.983330000003</v>
      </c>
      <c r="E87" s="39"/>
      <c r="F87" s="46"/>
      <c r="G87" s="47"/>
      <c r="H87" s="34"/>
      <c r="I87" s="38"/>
      <c r="J87" s="8"/>
      <c r="K87" s="9"/>
      <c r="L87" s="9"/>
      <c r="M87" s="9"/>
      <c r="N87" s="9"/>
    </row>
    <row r="88" spans="1:14" ht="13.5" thickBot="1">
      <c r="A88" s="203" t="s">
        <v>73</v>
      </c>
      <c r="B88" s="284">
        <v>477543.35</v>
      </c>
      <c r="C88" s="135">
        <f>B88*1.197</f>
        <v>571619.38995</v>
      </c>
      <c r="D88" s="204">
        <f>B88-C88</f>
        <v>-94076.03995</v>
      </c>
      <c r="E88" s="39"/>
      <c r="F88" s="46"/>
      <c r="G88" s="47"/>
      <c r="H88" s="34"/>
      <c r="I88" s="38"/>
      <c r="J88" s="8"/>
      <c r="K88" s="9"/>
      <c r="L88" s="9"/>
      <c r="M88" s="9"/>
      <c r="N88" s="9"/>
    </row>
    <row r="89" spans="1:14" ht="67.5" customHeight="1">
      <c r="A89" s="29" t="s">
        <v>74</v>
      </c>
      <c r="B89" s="30" t="s">
        <v>75</v>
      </c>
      <c r="C89" s="55" t="s">
        <v>76</v>
      </c>
      <c r="D89" s="56" t="s">
        <v>77</v>
      </c>
      <c r="E89" s="39"/>
      <c r="F89" s="46"/>
      <c r="G89" s="34"/>
      <c r="H89" s="38"/>
      <c r="I89" s="8"/>
      <c r="J89" s="8"/>
      <c r="K89" s="9"/>
      <c r="L89" s="9"/>
      <c r="M89" s="9"/>
      <c r="N89" s="9"/>
    </row>
    <row r="90" spans="1:14" ht="12.75">
      <c r="A90" s="205" t="s">
        <v>69</v>
      </c>
      <c r="B90" s="141">
        <f aca="true" t="shared" si="0" ref="B90:C93">B84</f>
        <v>42518.98</v>
      </c>
      <c r="C90" s="285">
        <f t="shared" si="0"/>
        <v>50895.21906</v>
      </c>
      <c r="D90" s="207">
        <f>B90-C90</f>
        <v>-8376.23906</v>
      </c>
      <c r="E90" s="39"/>
      <c r="F90" s="46"/>
      <c r="G90" s="34"/>
      <c r="H90" s="38"/>
      <c r="I90" s="8"/>
      <c r="J90" s="8" t="s">
        <v>27</v>
      </c>
      <c r="K90" s="9"/>
      <c r="L90" s="9"/>
      <c r="M90" s="9"/>
      <c r="N90" s="9"/>
    </row>
    <row r="91" spans="1:14" ht="12.75">
      <c r="A91" s="205" t="s">
        <v>70</v>
      </c>
      <c r="B91" s="141">
        <f t="shared" si="0"/>
        <v>78222.98</v>
      </c>
      <c r="C91" s="285">
        <f t="shared" si="0"/>
        <v>93632.90706</v>
      </c>
      <c r="D91" s="207">
        <f>B91-C91</f>
        <v>-15409.927060000002</v>
      </c>
      <c r="E91" s="39"/>
      <c r="F91" s="46"/>
      <c r="G91" s="34"/>
      <c r="H91" s="38"/>
      <c r="I91" s="8"/>
      <c r="J91" s="8"/>
      <c r="K91" s="9"/>
      <c r="L91" s="9"/>
      <c r="M91" s="9"/>
      <c r="N91" s="9"/>
    </row>
    <row r="92" spans="1:14" ht="12.75">
      <c r="A92" s="205" t="s">
        <v>71</v>
      </c>
      <c r="B92" s="141">
        <f t="shared" si="0"/>
        <v>181963.4</v>
      </c>
      <c r="C92" s="285">
        <f t="shared" si="0"/>
        <v>217810.1898</v>
      </c>
      <c r="D92" s="207">
        <f>B92-C92</f>
        <v>-35846.7898</v>
      </c>
      <c r="E92" s="39"/>
      <c r="F92" s="46"/>
      <c r="G92" s="34"/>
      <c r="H92" s="38"/>
      <c r="I92" s="8"/>
      <c r="J92" s="8"/>
      <c r="K92" s="9"/>
      <c r="L92" s="9"/>
      <c r="M92" s="9"/>
      <c r="N92" s="9"/>
    </row>
    <row r="93" spans="1:14" ht="12.75">
      <c r="A93" s="205" t="s">
        <v>72</v>
      </c>
      <c r="B93" s="141">
        <f t="shared" si="0"/>
        <v>93664.89</v>
      </c>
      <c r="C93" s="285">
        <f t="shared" si="0"/>
        <v>112116.87333</v>
      </c>
      <c r="D93" s="207">
        <f>B93-C93</f>
        <v>-18451.983330000003</v>
      </c>
      <c r="E93" s="39"/>
      <c r="F93" s="46"/>
      <c r="G93" s="34"/>
      <c r="H93" s="38"/>
      <c r="I93" s="8"/>
      <c r="J93" s="8"/>
      <c r="K93" s="9"/>
      <c r="L93" s="9"/>
      <c r="M93" s="9"/>
      <c r="N93" s="9"/>
    </row>
    <row r="94" spans="1:14" ht="13.5" thickBot="1">
      <c r="A94" s="208" t="s">
        <v>73</v>
      </c>
      <c r="B94" s="209">
        <v>477534.77</v>
      </c>
      <c r="C94" s="210">
        <f>B94</f>
        <v>477534.77</v>
      </c>
      <c r="D94" s="211">
        <f>B94-C94</f>
        <v>0</v>
      </c>
      <c r="E94" s="39"/>
      <c r="F94" s="46"/>
      <c r="G94" s="34"/>
      <c r="H94" s="38" t="s">
        <v>27</v>
      </c>
      <c r="I94" s="8"/>
      <c r="J94" s="8"/>
      <c r="K94" s="9"/>
      <c r="L94" s="9"/>
      <c r="M94" s="9"/>
      <c r="N94" s="9"/>
    </row>
    <row r="95" spans="1:14" ht="12.75">
      <c r="A95" s="212"/>
      <c r="B95" s="141"/>
      <c r="C95" s="213"/>
      <c r="D95" s="214"/>
      <c r="E95" s="39"/>
      <c r="F95" s="15"/>
      <c r="H95" s="8"/>
      <c r="I95" s="8"/>
      <c r="J95" s="8"/>
      <c r="K95" s="9"/>
      <c r="L95" s="9"/>
      <c r="M95" s="9"/>
      <c r="N95" s="9"/>
    </row>
    <row r="96" spans="1:14" ht="25.5">
      <c r="A96" s="215" t="s">
        <v>78</v>
      </c>
      <c r="B96" s="141" t="s">
        <v>12</v>
      </c>
      <c r="C96" s="216"/>
      <c r="D96" s="217">
        <v>0</v>
      </c>
      <c r="E96" s="39"/>
      <c r="F96" s="15"/>
      <c r="H96" s="8"/>
      <c r="I96" s="8"/>
      <c r="J96" s="8" t="s">
        <v>27</v>
      </c>
      <c r="K96" s="9"/>
      <c r="L96" s="9"/>
      <c r="M96" s="9"/>
      <c r="N96" s="9"/>
    </row>
    <row r="97" spans="1:14" ht="17.25" customHeight="1">
      <c r="A97" s="498" t="s">
        <v>79</v>
      </c>
      <c r="B97" s="498"/>
      <c r="C97" s="498"/>
      <c r="D97" s="498"/>
      <c r="E97" s="48" t="e">
        <f>D97+B19</f>
        <v>#VALUE!</v>
      </c>
      <c r="F97" s="8"/>
      <c r="H97" s="18" t="e">
        <f>E97-B18</f>
        <v>#VALUE!</v>
      </c>
      <c r="I97" s="8"/>
      <c r="J97" s="8"/>
      <c r="K97" s="9"/>
      <c r="L97" s="9"/>
      <c r="M97" s="9"/>
      <c r="N97" s="9"/>
    </row>
    <row r="98" spans="1:5" ht="21" customHeight="1">
      <c r="A98" s="19" t="s">
        <v>56</v>
      </c>
      <c r="B98" s="19" t="s">
        <v>57</v>
      </c>
      <c r="C98" s="19"/>
      <c r="D98" s="83">
        <v>2</v>
      </c>
      <c r="E98" s="49"/>
    </row>
    <row r="99" spans="1:5" ht="21" customHeight="1">
      <c r="A99" s="19" t="s">
        <v>58</v>
      </c>
      <c r="B99" s="19" t="s">
        <v>57</v>
      </c>
      <c r="C99" s="19"/>
      <c r="D99" s="83">
        <v>2</v>
      </c>
      <c r="E99" s="49"/>
    </row>
    <row r="100" spans="1:5" ht="18" customHeight="1">
      <c r="A100" s="19" t="s">
        <v>59</v>
      </c>
      <c r="B100" s="19" t="s">
        <v>57</v>
      </c>
      <c r="C100" s="19"/>
      <c r="D100" s="83">
        <v>0</v>
      </c>
      <c r="E100" s="49"/>
    </row>
    <row r="101" spans="1:5" ht="16.5" customHeight="1">
      <c r="A101" s="19" t="s">
        <v>60</v>
      </c>
      <c r="B101" s="19" t="s">
        <v>12</v>
      </c>
      <c r="C101" s="19"/>
      <c r="D101" s="83">
        <v>1468.6</v>
      </c>
      <c r="E101" s="49"/>
    </row>
    <row r="102" spans="1:5" ht="15.75" customHeight="1">
      <c r="A102" s="491" t="s">
        <v>80</v>
      </c>
      <c r="B102" s="491"/>
      <c r="C102" s="491"/>
      <c r="D102" s="491"/>
      <c r="E102" s="49"/>
    </row>
    <row r="103" spans="1:5" ht="18.75" customHeight="1">
      <c r="A103" s="19" t="s">
        <v>81</v>
      </c>
      <c r="B103" s="19" t="s">
        <v>57</v>
      </c>
      <c r="C103" s="19"/>
      <c r="D103" s="83">
        <v>0</v>
      </c>
      <c r="E103" s="49"/>
    </row>
    <row r="104" spans="1:5" ht="21.75" customHeight="1">
      <c r="A104" s="19" t="s">
        <v>82</v>
      </c>
      <c r="B104" s="132" t="s">
        <v>57</v>
      </c>
      <c r="C104" s="132"/>
      <c r="D104" s="83">
        <v>30</v>
      </c>
      <c r="E104" s="49"/>
    </row>
    <row r="105" spans="1:5" ht="36" customHeight="1">
      <c r="A105" s="143" t="s">
        <v>83</v>
      </c>
      <c r="B105" s="19" t="s">
        <v>12</v>
      </c>
      <c r="C105" s="19"/>
      <c r="D105" s="83">
        <v>548742.83</v>
      </c>
      <c r="E105" s="49"/>
    </row>
    <row r="106" spans="1:5" ht="12.75">
      <c r="A106" s="144"/>
      <c r="B106" s="144"/>
      <c r="C106" s="144"/>
      <c r="D106" s="145"/>
      <c r="E106" s="34"/>
    </row>
    <row r="107" spans="1:8" ht="12.75">
      <c r="A107" s="78"/>
      <c r="B107" s="78"/>
      <c r="C107" s="78"/>
      <c r="D107" s="78"/>
      <c r="E107" s="34"/>
      <c r="H107" s="1" t="s">
        <v>27</v>
      </c>
    </row>
    <row r="108" spans="1:5" ht="12.75">
      <c r="A108" s="78" t="s">
        <v>113</v>
      </c>
      <c r="B108" s="78"/>
      <c r="C108" s="78"/>
      <c r="D108" s="78"/>
      <c r="E108" s="34"/>
    </row>
    <row r="109" spans="1:8" ht="12.75">
      <c r="A109" s="78"/>
      <c r="B109" s="78"/>
      <c r="C109" s="78"/>
      <c r="D109" s="78"/>
      <c r="E109" s="34"/>
      <c r="H109" s="1" t="s">
        <v>27</v>
      </c>
    </row>
    <row r="110" spans="1:5" ht="12.75">
      <c r="A110" s="78" t="s">
        <v>84</v>
      </c>
      <c r="B110" s="78"/>
      <c r="C110" s="78"/>
      <c r="D110" s="78"/>
      <c r="E110" s="34"/>
    </row>
    <row r="111" spans="1:5" ht="12.75">
      <c r="A111" s="78"/>
      <c r="B111" s="78"/>
      <c r="C111" s="78"/>
      <c r="D111" s="78"/>
      <c r="E111" s="34"/>
    </row>
    <row r="112" spans="1:5" ht="12.75">
      <c r="A112" s="78"/>
      <c r="B112" s="78"/>
      <c r="C112" s="78"/>
      <c r="D112" s="78"/>
      <c r="E112" s="34"/>
    </row>
    <row r="113" spans="1:4" ht="12.75">
      <c r="A113" s="78"/>
      <c r="B113" s="78"/>
      <c r="C113" s="78"/>
      <c r="D113" s="78"/>
    </row>
    <row r="114" spans="1:5" ht="12.75">
      <c r="A114" s="78"/>
      <c r="B114" s="78"/>
      <c r="C114" s="78"/>
      <c r="D114" s="78"/>
      <c r="E114" s="1" t="s">
        <v>27</v>
      </c>
    </row>
    <row r="115" spans="1:4" ht="12.75">
      <c r="A115" s="78"/>
      <c r="B115" s="78"/>
      <c r="C115" s="78"/>
      <c r="D115" s="78"/>
    </row>
    <row r="116" spans="1:4" ht="12.75">
      <c r="A116" s="50"/>
      <c r="B116" s="50"/>
      <c r="C116" s="50"/>
      <c r="D116" s="50"/>
    </row>
  </sheetData>
  <sheetProtection selectLockedCells="1" selectUnlockedCells="1"/>
  <mergeCells count="13">
    <mergeCell ref="A102:D102"/>
    <mergeCell ref="A14:D14"/>
    <mergeCell ref="A28:D28"/>
    <mergeCell ref="A70:D70"/>
    <mergeCell ref="A75:D75"/>
    <mergeCell ref="A82:D82"/>
    <mergeCell ref="A97:D97"/>
    <mergeCell ref="A1:D1"/>
    <mergeCell ref="A2:D2"/>
    <mergeCell ref="A3:D3"/>
    <mergeCell ref="A4:D4"/>
    <mergeCell ref="A5:D5"/>
    <mergeCell ref="A7:D7"/>
  </mergeCells>
  <printOptions/>
  <pageMargins left="0.5597222222222222" right="0.7875" top="0.5208333333333334" bottom="0.41944444444444445" header="0.5118055555555555" footer="0.5118055555555555"/>
  <pageSetup fitToHeight="2" fitToWidth="2" horizontalDpi="600" verticalDpi="600" orientation="portrait" paperSize="12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"/>
  <sheetViews>
    <sheetView zoomScale="106" zoomScaleNormal="106" zoomScalePageLayoutView="0" workbookViewId="0" topLeftCell="A48">
      <selection activeCell="D57" sqref="D57"/>
    </sheetView>
  </sheetViews>
  <sheetFormatPr defaultColWidth="11.57421875" defaultRowHeight="12.75"/>
  <cols>
    <col min="1" max="1" width="50.28125" style="0" customWidth="1"/>
    <col min="2" max="2" width="17.8515625" style="0" customWidth="1"/>
    <col min="3" max="3" width="24.57421875" style="0" customWidth="1"/>
    <col min="4" max="4" width="17.71093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2.75">
      <c r="A1" s="499" t="s">
        <v>0</v>
      </c>
      <c r="B1" s="499"/>
      <c r="C1" s="499"/>
      <c r="D1" s="499"/>
    </row>
    <row r="2" spans="1:4" ht="12.75">
      <c r="A2" s="500" t="s">
        <v>163</v>
      </c>
      <c r="B2" s="499"/>
      <c r="C2" s="499"/>
      <c r="D2" s="499"/>
    </row>
    <row r="3" spans="1:4" ht="12.75">
      <c r="A3" s="499" t="s">
        <v>1</v>
      </c>
      <c r="B3" s="499"/>
      <c r="C3" s="499"/>
      <c r="D3" s="499"/>
    </row>
    <row r="4" spans="1:4" ht="12.75">
      <c r="A4" s="499" t="s">
        <v>85</v>
      </c>
      <c r="B4" s="499"/>
      <c r="C4" s="499"/>
      <c r="D4" s="499"/>
    </row>
    <row r="5" spans="1:4" ht="12.75">
      <c r="A5" s="500" t="s">
        <v>203</v>
      </c>
      <c r="B5" s="499"/>
      <c r="C5" s="499"/>
      <c r="D5" s="499"/>
    </row>
    <row r="6" spans="1:4" ht="8.25" customHeight="1">
      <c r="A6" s="146"/>
      <c r="B6" s="147"/>
      <c r="C6" s="147"/>
      <c r="D6" s="147"/>
    </row>
    <row r="7" spans="1:4" ht="28.5" customHeight="1">
      <c r="A7" s="480" t="s">
        <v>3</v>
      </c>
      <c r="B7" s="480"/>
      <c r="C7" s="480"/>
      <c r="D7" s="480"/>
    </row>
    <row r="8" spans="1:5" ht="12.75">
      <c r="A8" s="148" t="s">
        <v>182</v>
      </c>
      <c r="B8" s="149"/>
      <c r="C8" s="150"/>
      <c r="D8" s="149"/>
      <c r="E8" s="34"/>
    </row>
    <row r="9" spans="1:5" ht="12.75">
      <c r="A9" s="89" t="s">
        <v>4</v>
      </c>
      <c r="B9" s="89" t="s">
        <v>5</v>
      </c>
      <c r="C9" s="89" t="s">
        <v>6</v>
      </c>
      <c r="D9" s="90"/>
      <c r="E9" s="34"/>
    </row>
    <row r="10" spans="1:8" ht="12.75">
      <c r="A10" s="151">
        <v>1</v>
      </c>
      <c r="B10" s="151">
        <v>2</v>
      </c>
      <c r="C10" s="151">
        <v>3</v>
      </c>
      <c r="D10" s="152">
        <v>4</v>
      </c>
      <c r="E10" s="34"/>
      <c r="F10" s="34"/>
      <c r="G10" s="34"/>
      <c r="H10" s="34"/>
    </row>
    <row r="11" spans="1:8" ht="12.75">
      <c r="A11" s="63" t="s">
        <v>7</v>
      </c>
      <c r="B11" s="153"/>
      <c r="C11" s="99" t="s">
        <v>204</v>
      </c>
      <c r="D11" s="154"/>
      <c r="E11" s="34"/>
      <c r="F11" s="34"/>
      <c r="G11" s="34"/>
      <c r="H11" s="34"/>
    </row>
    <row r="12" spans="1:8" ht="12.75">
      <c r="A12" s="63" t="s">
        <v>8</v>
      </c>
      <c r="B12" s="153"/>
      <c r="C12" s="99" t="s">
        <v>205</v>
      </c>
      <c r="D12" s="154"/>
      <c r="E12" s="34"/>
      <c r="F12" s="34"/>
      <c r="G12" s="34"/>
      <c r="H12" s="34"/>
    </row>
    <row r="13" spans="1:8" ht="12.75">
      <c r="A13" s="63" t="s">
        <v>9</v>
      </c>
      <c r="B13" s="153"/>
      <c r="C13" s="99" t="s">
        <v>206</v>
      </c>
      <c r="D13" s="154"/>
      <c r="E13" s="34"/>
      <c r="F13" s="34"/>
      <c r="G13" s="34"/>
      <c r="H13" s="34"/>
    </row>
    <row r="14" spans="1:8" ht="31.5" customHeight="1">
      <c r="A14" s="493" t="s">
        <v>10</v>
      </c>
      <c r="B14" s="493"/>
      <c r="C14" s="493"/>
      <c r="D14" s="493"/>
      <c r="E14" s="34"/>
      <c r="F14" s="34"/>
      <c r="G14" s="34"/>
      <c r="H14" s="34"/>
    </row>
    <row r="15" spans="1:8" ht="25.5">
      <c r="A15" s="63" t="s">
        <v>86</v>
      </c>
      <c r="B15" s="155" t="s">
        <v>12</v>
      </c>
      <c r="C15" s="159">
        <v>349646.6</v>
      </c>
      <c r="D15" s="154"/>
      <c r="E15" s="34"/>
      <c r="F15" s="34"/>
      <c r="G15" s="34"/>
      <c r="H15" s="34"/>
    </row>
    <row r="16" spans="1:8" ht="12.75">
      <c r="A16" s="63" t="s">
        <v>13</v>
      </c>
      <c r="B16" s="155" t="s">
        <v>12</v>
      </c>
      <c r="C16" s="156">
        <v>0</v>
      </c>
      <c r="D16" s="154"/>
      <c r="E16" s="34"/>
      <c r="F16" s="34"/>
      <c r="G16" s="34"/>
      <c r="H16" s="34"/>
    </row>
    <row r="17" spans="1:8" ht="12.75">
      <c r="A17" s="63" t="s">
        <v>14</v>
      </c>
      <c r="B17" s="155" t="s">
        <v>12</v>
      </c>
      <c r="C17" s="157">
        <v>407139.4</v>
      </c>
      <c r="D17" s="158"/>
      <c r="E17" s="34"/>
      <c r="F17" s="34"/>
      <c r="G17" s="34"/>
      <c r="H17" s="34"/>
    </row>
    <row r="18" spans="1:10" ht="31.5" customHeight="1">
      <c r="A18" s="63" t="s">
        <v>15</v>
      </c>
      <c r="B18" s="155" t="s">
        <v>12</v>
      </c>
      <c r="C18" s="159">
        <f>1738008.78+11696.92+6945.58+185692.51</f>
        <v>1942343.79</v>
      </c>
      <c r="D18" s="158"/>
      <c r="E18" s="467">
        <f>C18-C20-204335.01</f>
        <v>1523655.84</v>
      </c>
      <c r="F18" s="294"/>
      <c r="G18" s="294"/>
      <c r="H18" s="294"/>
      <c r="I18" s="460"/>
      <c r="J18" s="460"/>
    </row>
    <row r="19" spans="1:10" ht="12.75">
      <c r="A19" s="63" t="s">
        <v>16</v>
      </c>
      <c r="B19" s="155" t="s">
        <v>12</v>
      </c>
      <c r="C19" s="159">
        <f>C18-C20-C21</f>
        <v>1421458.83</v>
      </c>
      <c r="D19" s="158"/>
      <c r="E19" s="467">
        <f>E18-E57</f>
        <v>-3563.7999999998137</v>
      </c>
      <c r="F19" s="294"/>
      <c r="G19" s="294"/>
      <c r="H19" s="294"/>
      <c r="I19" s="460"/>
      <c r="J19" s="460"/>
    </row>
    <row r="20" spans="1:8" ht="12.75">
      <c r="A20" s="63" t="s">
        <v>17</v>
      </c>
      <c r="B20" s="155" t="s">
        <v>12</v>
      </c>
      <c r="C20" s="159">
        <f>6096.5*12*2.93</f>
        <v>214352.94</v>
      </c>
      <c r="D20" s="158"/>
      <c r="E20" s="41" t="s">
        <v>369</v>
      </c>
      <c r="F20" s="50"/>
      <c r="G20" s="50"/>
      <c r="H20" s="50"/>
    </row>
    <row r="21" spans="1:8" ht="12.75">
      <c r="A21" s="63" t="s">
        <v>18</v>
      </c>
      <c r="B21" s="155" t="s">
        <v>12</v>
      </c>
      <c r="C21" s="159">
        <f>6096.5*12*4.19</f>
        <v>306532.02</v>
      </c>
      <c r="D21" s="158"/>
      <c r="E21" s="34" t="s">
        <v>370</v>
      </c>
      <c r="F21" s="50"/>
      <c r="G21" s="50"/>
      <c r="H21" s="50"/>
    </row>
    <row r="22" spans="1:8" ht="12.75">
      <c r="A22" s="63" t="s">
        <v>19</v>
      </c>
      <c r="B22" s="155" t="s">
        <v>12</v>
      </c>
      <c r="C22" s="159">
        <f>C23+C24+C25+C26</f>
        <v>1917631.052241</v>
      </c>
      <c r="D22" s="158" t="s">
        <v>20</v>
      </c>
      <c r="E22" s="41"/>
      <c r="F22" s="50"/>
      <c r="G22" s="50"/>
      <c r="H22" s="50"/>
    </row>
    <row r="23" spans="1:8" ht="12.75">
      <c r="A23" s="63" t="s">
        <v>21</v>
      </c>
      <c r="B23" s="155" t="s">
        <v>12</v>
      </c>
      <c r="C23" s="160">
        <f>C18*0.9779</f>
        <v>1899417.992241</v>
      </c>
      <c r="D23" s="158"/>
      <c r="E23" s="34"/>
      <c r="F23" s="50"/>
      <c r="G23" s="50"/>
      <c r="H23" s="50"/>
    </row>
    <row r="24" spans="1:8" ht="12.75">
      <c r="A24" s="63" t="s">
        <v>22</v>
      </c>
      <c r="B24" s="155" t="s">
        <v>12</v>
      </c>
      <c r="C24" s="161">
        <v>0</v>
      </c>
      <c r="D24" s="162">
        <v>65.21</v>
      </c>
      <c r="E24" s="42"/>
      <c r="F24" s="34"/>
      <c r="G24" s="34"/>
      <c r="H24" s="34"/>
    </row>
    <row r="25" spans="1:8" ht="12.75">
      <c r="A25" s="63" t="s">
        <v>24</v>
      </c>
      <c r="B25" s="155" t="s">
        <v>12</v>
      </c>
      <c r="C25" s="163">
        <v>0</v>
      </c>
      <c r="D25" s="162">
        <v>119.63</v>
      </c>
      <c r="E25" s="42"/>
      <c r="F25" s="34"/>
      <c r="G25" s="34"/>
      <c r="H25" s="34"/>
    </row>
    <row r="26" spans="1:8" ht="25.5">
      <c r="A26" s="153" t="s">
        <v>25</v>
      </c>
      <c r="B26" s="155" t="s">
        <v>12</v>
      </c>
      <c r="C26" s="159">
        <f>977.45+6693.37+6203.52+4338.72</f>
        <v>18213.06</v>
      </c>
      <c r="D26" s="162"/>
      <c r="E26" s="42"/>
      <c r="F26" s="34"/>
      <c r="G26" s="34"/>
      <c r="H26" s="34"/>
    </row>
    <row r="27" spans="1:10" ht="25.5">
      <c r="A27" s="63" t="s">
        <v>26</v>
      </c>
      <c r="B27" s="155" t="s">
        <v>12</v>
      </c>
      <c r="C27" s="159">
        <f>C15+C22</f>
        <v>2267277.652241</v>
      </c>
      <c r="D27" s="158" t="s">
        <v>27</v>
      </c>
      <c r="E27" s="35">
        <f>C18-C20</f>
        <v>1727990.85</v>
      </c>
      <c r="F27" s="34"/>
      <c r="G27" s="34"/>
      <c r="H27" s="34"/>
      <c r="J27" s="51"/>
    </row>
    <row r="28" spans="1:10" ht="35.25" customHeight="1">
      <c r="A28" s="494" t="s">
        <v>28</v>
      </c>
      <c r="B28" s="494"/>
      <c r="C28" s="494"/>
      <c r="D28" s="494"/>
      <c r="E28" s="35">
        <f>E27-E57</f>
        <v>200771.2100000002</v>
      </c>
      <c r="F28" s="34"/>
      <c r="G28" s="34"/>
      <c r="H28" s="34"/>
      <c r="J28" s="51"/>
    </row>
    <row r="29" spans="1:10" ht="51">
      <c r="A29" s="100" t="s">
        <v>29</v>
      </c>
      <c r="B29" s="101" t="s">
        <v>30</v>
      </c>
      <c r="C29" s="164" t="s">
        <v>31</v>
      </c>
      <c r="D29" s="103" t="s">
        <v>32</v>
      </c>
      <c r="E29" s="34"/>
      <c r="F29" s="34"/>
      <c r="G29" s="34"/>
      <c r="H29" s="34"/>
      <c r="J29" s="50"/>
    </row>
    <row r="30" spans="1:8" ht="12.75">
      <c r="A30" s="165" t="s">
        <v>33</v>
      </c>
      <c r="B30" s="166" t="s">
        <v>34</v>
      </c>
      <c r="C30" s="359" t="s">
        <v>190</v>
      </c>
      <c r="D30" s="167">
        <f>0.5*12*6096.5</f>
        <v>36579</v>
      </c>
      <c r="E30" s="34"/>
      <c r="F30" s="34"/>
      <c r="G30" s="34"/>
      <c r="H30" s="34"/>
    </row>
    <row r="31" spans="1:8" ht="12.75">
      <c r="A31" s="165" t="s">
        <v>189</v>
      </c>
      <c r="B31" s="166" t="s">
        <v>42</v>
      </c>
      <c r="C31" s="106" t="s">
        <v>367</v>
      </c>
      <c r="D31" s="167">
        <f>0.15*12*6096.5+1515</f>
        <v>12488.699999999999</v>
      </c>
      <c r="E31" s="465">
        <v>1515</v>
      </c>
      <c r="F31" s="34"/>
      <c r="G31" s="34"/>
      <c r="H31" s="34"/>
    </row>
    <row r="32" spans="1:8" ht="12.75">
      <c r="A32" s="168" t="s">
        <v>87</v>
      </c>
      <c r="B32" s="169" t="s">
        <v>36</v>
      </c>
      <c r="C32" s="110" t="s">
        <v>43</v>
      </c>
      <c r="D32" s="170">
        <f>2.4*12*6096.5</f>
        <v>175579.19999999998</v>
      </c>
      <c r="E32" s="34"/>
      <c r="F32" s="34"/>
      <c r="G32" s="34"/>
      <c r="H32" s="34"/>
    </row>
    <row r="33" spans="1:14" s="1" customFormat="1" ht="12.75">
      <c r="A33" s="168" t="s">
        <v>39</v>
      </c>
      <c r="B33" s="169" t="s">
        <v>34</v>
      </c>
      <c r="C33" s="127" t="s">
        <v>40</v>
      </c>
      <c r="D33" s="170">
        <f>0.24*12*6096.5</f>
        <v>17557.92</v>
      </c>
      <c r="E33" s="34"/>
      <c r="F33" s="34"/>
      <c r="G33" s="34"/>
      <c r="H33" s="34"/>
      <c r="K33"/>
      <c r="L33"/>
      <c r="M33"/>
      <c r="N33"/>
    </row>
    <row r="34" spans="1:14" s="1" customFormat="1" ht="12.75">
      <c r="A34" s="168" t="s">
        <v>41</v>
      </c>
      <c r="B34" s="220" t="s">
        <v>34</v>
      </c>
      <c r="C34" s="127" t="s">
        <v>43</v>
      </c>
      <c r="D34" s="258">
        <f>0.73*12*6096.5</f>
        <v>53405.34</v>
      </c>
      <c r="E34" s="34"/>
      <c r="F34" s="34"/>
      <c r="G34" s="34"/>
      <c r="H34" s="34"/>
      <c r="K34"/>
      <c r="L34"/>
      <c r="M34"/>
      <c r="N34"/>
    </row>
    <row r="35" spans="1:14" s="1" customFormat="1" ht="25.5">
      <c r="A35" s="168" t="s">
        <v>88</v>
      </c>
      <c r="B35" s="169" t="s">
        <v>34</v>
      </c>
      <c r="C35" s="127" t="s">
        <v>43</v>
      </c>
      <c r="D35" s="170">
        <f>2.06*12*6096.5</f>
        <v>150705.47999999998</v>
      </c>
      <c r="E35" s="34"/>
      <c r="F35" s="34"/>
      <c r="G35" s="34"/>
      <c r="H35" s="34"/>
      <c r="K35"/>
      <c r="L35"/>
      <c r="M35"/>
      <c r="N35"/>
    </row>
    <row r="36" spans="1:14" s="1" customFormat="1" ht="12.75">
      <c r="A36" s="168" t="s">
        <v>45</v>
      </c>
      <c r="B36" s="169" t="s">
        <v>46</v>
      </c>
      <c r="C36" s="127" t="s">
        <v>43</v>
      </c>
      <c r="D36" s="170">
        <f>1.33*12*6096.5</f>
        <v>97300.14</v>
      </c>
      <c r="E36" s="34"/>
      <c r="F36" s="34"/>
      <c r="G36" s="34"/>
      <c r="H36" s="34"/>
      <c r="K36"/>
      <c r="L36"/>
      <c r="M36"/>
      <c r="N36"/>
    </row>
    <row r="37" spans="1:14" s="1" customFormat="1" ht="12.75">
      <c r="A37" s="168" t="s">
        <v>47</v>
      </c>
      <c r="B37" s="169" t="s">
        <v>38</v>
      </c>
      <c r="C37" s="110" t="s">
        <v>159</v>
      </c>
      <c r="D37" s="170">
        <f>12*6096.5*4.19</f>
        <v>306532.02</v>
      </c>
      <c r="E37" s="34"/>
      <c r="F37" s="34"/>
      <c r="G37" s="34"/>
      <c r="H37" s="34"/>
      <c r="K37"/>
      <c r="L37"/>
      <c r="M37"/>
      <c r="N37"/>
    </row>
    <row r="38" spans="1:14" s="1" customFormat="1" ht="31.5" customHeight="1">
      <c r="A38" s="168" t="s">
        <v>89</v>
      </c>
      <c r="B38" s="171" t="s">
        <v>36</v>
      </c>
      <c r="C38" s="110" t="s">
        <v>162</v>
      </c>
      <c r="D38" s="170">
        <f>2.5*12*6096.5</f>
        <v>182895</v>
      </c>
      <c r="E38" s="34"/>
      <c r="F38" s="34"/>
      <c r="G38" s="34"/>
      <c r="H38" s="34"/>
      <c r="K38"/>
      <c r="L38"/>
      <c r="M38"/>
      <c r="N38"/>
    </row>
    <row r="39" spans="1:14" s="1" customFormat="1" ht="12.75">
      <c r="A39" s="168" t="s">
        <v>90</v>
      </c>
      <c r="B39" s="169" t="s">
        <v>38</v>
      </c>
      <c r="C39" s="127" t="s">
        <v>50</v>
      </c>
      <c r="D39" s="170">
        <f>6096.5*4.99*12-70602.92</f>
        <v>294455.5</v>
      </c>
      <c r="E39" s="34"/>
      <c r="F39" s="34"/>
      <c r="G39" s="34"/>
      <c r="H39" s="34"/>
      <c r="K39"/>
      <c r="L39"/>
      <c r="M39"/>
      <c r="N39"/>
    </row>
    <row r="40" spans="1:14" s="1" customFormat="1" ht="12.75">
      <c r="A40" s="259" t="s">
        <v>51</v>
      </c>
      <c r="B40" s="171" t="s">
        <v>36</v>
      </c>
      <c r="C40" s="110" t="s">
        <v>171</v>
      </c>
      <c r="D40" s="170">
        <f>2.56*12*6096.5</f>
        <v>187284.47999999998</v>
      </c>
      <c r="E40" s="34"/>
      <c r="F40" s="34"/>
      <c r="G40" s="34"/>
      <c r="H40" s="34"/>
      <c r="K40"/>
      <c r="L40"/>
      <c r="M40"/>
      <c r="N40"/>
    </row>
    <row r="41" spans="1:14" s="1" customFormat="1" ht="12.75">
      <c r="A41" s="260" t="s">
        <v>105</v>
      </c>
      <c r="B41" s="264" t="s">
        <v>200</v>
      </c>
      <c r="C41" s="261" t="s">
        <v>40</v>
      </c>
      <c r="D41" s="262">
        <f>0.17*12*6096.5</f>
        <v>12436.86</v>
      </c>
      <c r="E41" s="34"/>
      <c r="F41" s="34"/>
      <c r="G41" s="34"/>
      <c r="H41" s="34"/>
      <c r="K41"/>
      <c r="L41"/>
      <c r="M41"/>
      <c r="N41"/>
    </row>
    <row r="42" spans="1:14" s="1" customFormat="1" ht="27.75" customHeight="1">
      <c r="A42" s="114" t="s">
        <v>142</v>
      </c>
      <c r="B42" s="172"/>
      <c r="C42" s="115"/>
      <c r="D42" s="457"/>
      <c r="E42" s="34"/>
      <c r="F42" s="34"/>
      <c r="G42" s="34"/>
      <c r="H42" s="34"/>
      <c r="K42"/>
      <c r="L42"/>
      <c r="M42"/>
      <c r="N42"/>
    </row>
    <row r="43" spans="1:14" s="1" customFormat="1" ht="20.25" customHeight="1">
      <c r="A43" s="116" t="s">
        <v>140</v>
      </c>
      <c r="B43" s="119" t="s">
        <v>38</v>
      </c>
      <c r="C43" s="117" t="s">
        <v>143</v>
      </c>
      <c r="D43" s="173">
        <f>18642.5-83.4</f>
        <v>18559.1</v>
      </c>
      <c r="E43" s="34"/>
      <c r="F43" s="34"/>
      <c r="G43" s="34"/>
      <c r="H43" s="34"/>
      <c r="K43"/>
      <c r="L43"/>
      <c r="M43"/>
      <c r="N43"/>
    </row>
    <row r="44" spans="1:14" s="1" customFormat="1" ht="20.25" customHeight="1">
      <c r="A44" s="116" t="s">
        <v>141</v>
      </c>
      <c r="B44" s="119" t="s">
        <v>38</v>
      </c>
      <c r="C44" s="117" t="s">
        <v>144</v>
      </c>
      <c r="D44" s="173">
        <f>185692.51-834</f>
        <v>184858.51</v>
      </c>
      <c r="E44" s="34"/>
      <c r="F44" s="34"/>
      <c r="G44" s="34"/>
      <c r="H44" s="34"/>
      <c r="K44"/>
      <c r="L44"/>
      <c r="M44"/>
      <c r="N44"/>
    </row>
    <row r="45" spans="1:14" s="1" customFormat="1" ht="40.5" customHeight="1">
      <c r="A45" s="118" t="s">
        <v>130</v>
      </c>
      <c r="B45" s="119" t="s">
        <v>52</v>
      </c>
      <c r="C45" s="117"/>
      <c r="D45" s="342">
        <f>D46+D47+D48+D49+D50+D51+D52+D53+D54+D55+D56</f>
        <v>231808.72</v>
      </c>
      <c r="E45" s="34"/>
      <c r="F45" s="34"/>
      <c r="G45" s="34"/>
      <c r="H45" s="34"/>
      <c r="K45"/>
      <c r="L45"/>
      <c r="M45"/>
      <c r="N45"/>
    </row>
    <row r="46" spans="1:14" s="1" customFormat="1" ht="18.75" customHeight="1">
      <c r="A46" s="120" t="s">
        <v>178</v>
      </c>
      <c r="B46" s="121" t="s">
        <v>121</v>
      </c>
      <c r="C46" s="110" t="s">
        <v>162</v>
      </c>
      <c r="D46" s="174">
        <v>352</v>
      </c>
      <c r="E46" s="34"/>
      <c r="F46" s="34"/>
      <c r="G46" s="34"/>
      <c r="H46" s="34"/>
      <c r="K46"/>
      <c r="L46"/>
      <c r="M46"/>
      <c r="N46"/>
    </row>
    <row r="47" spans="1:14" s="1" customFormat="1" ht="24.75" customHeight="1">
      <c r="A47" s="118" t="s">
        <v>207</v>
      </c>
      <c r="B47" s="119" t="s">
        <v>121</v>
      </c>
      <c r="C47" s="200" t="s">
        <v>162</v>
      </c>
      <c r="D47" s="175">
        <v>3823.54</v>
      </c>
      <c r="E47" s="34"/>
      <c r="F47" s="34"/>
      <c r="G47" s="34"/>
      <c r="H47" s="34"/>
      <c r="K47"/>
      <c r="L47"/>
      <c r="M47"/>
      <c r="N47"/>
    </row>
    <row r="48" spans="1:14" s="1" customFormat="1" ht="24.75" customHeight="1">
      <c r="A48" s="118" t="s">
        <v>218</v>
      </c>
      <c r="B48" s="119" t="s">
        <v>117</v>
      </c>
      <c r="C48" s="256" t="s">
        <v>159</v>
      </c>
      <c r="D48" s="175">
        <v>44475.69</v>
      </c>
      <c r="E48" s="34"/>
      <c r="F48" s="34"/>
      <c r="G48" s="34"/>
      <c r="H48" s="34"/>
      <c r="K48"/>
      <c r="L48"/>
      <c r="M48"/>
      <c r="N48"/>
    </row>
    <row r="49" spans="1:14" s="1" customFormat="1" ht="28.5" customHeight="1">
      <c r="A49" s="200" t="s">
        <v>231</v>
      </c>
      <c r="B49" s="123" t="s">
        <v>232</v>
      </c>
      <c r="C49" s="122" t="s">
        <v>162</v>
      </c>
      <c r="D49" s="175">
        <v>47025</v>
      </c>
      <c r="E49" s="34"/>
      <c r="F49" s="34"/>
      <c r="G49" s="34"/>
      <c r="H49" s="34"/>
      <c r="K49"/>
      <c r="L49"/>
      <c r="M49"/>
      <c r="N49"/>
    </row>
    <row r="50" spans="1:14" s="1" customFormat="1" ht="13.5" customHeight="1">
      <c r="A50" s="118" t="s">
        <v>158</v>
      </c>
      <c r="B50" s="123" t="s">
        <v>118</v>
      </c>
      <c r="C50" s="341" t="s">
        <v>176</v>
      </c>
      <c r="D50" s="175">
        <v>115462</v>
      </c>
      <c r="E50" s="34"/>
      <c r="F50" s="34"/>
      <c r="G50" s="34"/>
      <c r="H50" s="34"/>
      <c r="K50"/>
      <c r="L50"/>
      <c r="M50"/>
      <c r="N50"/>
    </row>
    <row r="51" spans="1:14" s="1" customFormat="1" ht="18.75" customHeight="1">
      <c r="A51" s="118" t="s">
        <v>233</v>
      </c>
      <c r="B51" s="119" t="s">
        <v>118</v>
      </c>
      <c r="C51" s="127" t="s">
        <v>50</v>
      </c>
      <c r="D51" s="175">
        <v>5046</v>
      </c>
      <c r="E51" s="34"/>
      <c r="F51" s="34"/>
      <c r="G51" s="34"/>
      <c r="H51" s="34"/>
      <c r="K51"/>
      <c r="L51"/>
      <c r="M51"/>
      <c r="N51"/>
    </row>
    <row r="52" spans="1:14" s="1" customFormat="1" ht="18" customHeight="1">
      <c r="A52" s="118" t="s">
        <v>234</v>
      </c>
      <c r="B52" s="123" t="s">
        <v>119</v>
      </c>
      <c r="C52" s="176" t="s">
        <v>174</v>
      </c>
      <c r="D52" s="175">
        <v>9368</v>
      </c>
      <c r="E52" s="34"/>
      <c r="F52" s="34"/>
      <c r="G52" s="34"/>
      <c r="H52" s="34"/>
      <c r="K52"/>
      <c r="L52"/>
      <c r="M52"/>
      <c r="N52"/>
    </row>
    <row r="53" spans="1:14" s="1" customFormat="1" ht="20.25" customHeight="1">
      <c r="A53" s="118" t="s">
        <v>235</v>
      </c>
      <c r="B53" s="119" t="s">
        <v>120</v>
      </c>
      <c r="C53" s="122" t="s">
        <v>162</v>
      </c>
      <c r="D53" s="177">
        <v>2656</v>
      </c>
      <c r="E53" s="34"/>
      <c r="F53" s="34"/>
      <c r="G53" s="34"/>
      <c r="H53" s="34"/>
      <c r="K53"/>
      <c r="L53"/>
      <c r="M53"/>
      <c r="N53"/>
    </row>
    <row r="54" spans="1:14" s="1" customFormat="1" ht="18" customHeight="1">
      <c r="A54" s="118" t="s">
        <v>236</v>
      </c>
      <c r="B54" s="119" t="s">
        <v>120</v>
      </c>
      <c r="C54" s="176"/>
      <c r="D54" s="175">
        <v>774</v>
      </c>
      <c r="E54" s="34"/>
      <c r="F54" s="34"/>
      <c r="G54" s="34"/>
      <c r="H54" s="34"/>
      <c r="K54"/>
      <c r="L54"/>
      <c r="M54"/>
      <c r="N54"/>
    </row>
    <row r="55" spans="1:14" s="1" customFormat="1" ht="18" customHeight="1">
      <c r="A55" s="118" t="s">
        <v>259</v>
      </c>
      <c r="B55" s="119" t="s">
        <v>120</v>
      </c>
      <c r="C55" s="176" t="s">
        <v>162</v>
      </c>
      <c r="D55" s="175">
        <v>1775</v>
      </c>
      <c r="E55" s="34"/>
      <c r="F55" s="34"/>
      <c r="G55" s="34"/>
      <c r="H55" s="34"/>
      <c r="K55"/>
      <c r="L55"/>
      <c r="M55"/>
      <c r="N55"/>
    </row>
    <row r="56" spans="1:14" s="1" customFormat="1" ht="27.75" customHeight="1">
      <c r="A56" s="118" t="s">
        <v>237</v>
      </c>
      <c r="B56" s="119" t="s">
        <v>123</v>
      </c>
      <c r="C56" s="176" t="s">
        <v>37</v>
      </c>
      <c r="D56" s="175">
        <v>1051.49</v>
      </c>
      <c r="E56" s="34"/>
      <c r="F56" s="34"/>
      <c r="G56" s="34"/>
      <c r="H56" s="34"/>
      <c r="K56"/>
      <c r="L56"/>
      <c r="M56"/>
      <c r="N56"/>
    </row>
    <row r="57" spans="1:14" s="1" customFormat="1" ht="12.75">
      <c r="A57" s="100" t="s">
        <v>91</v>
      </c>
      <c r="B57" s="101"/>
      <c r="C57" s="117"/>
      <c r="D57" s="263">
        <f>D30+D31+D32+D33+D34+D35+D36+D37+D38+D39+D40+D41+D43+D44+D45</f>
        <v>1962445.97</v>
      </c>
      <c r="E57" s="465">
        <f>D57-D45-D43-D44</f>
        <v>1527219.64</v>
      </c>
      <c r="F57" s="34"/>
      <c r="G57" s="34"/>
      <c r="H57" s="34"/>
      <c r="K57"/>
      <c r="L57"/>
      <c r="M57"/>
      <c r="N57"/>
    </row>
    <row r="58" spans="1:14" s="1" customFormat="1" ht="25.5">
      <c r="A58" s="67" t="s">
        <v>54</v>
      </c>
      <c r="B58" s="166" t="s">
        <v>12</v>
      </c>
      <c r="C58" s="178"/>
      <c r="D58" s="179">
        <f>C27-D57</f>
        <v>304831.682241</v>
      </c>
      <c r="E58" s="35"/>
      <c r="F58" s="34"/>
      <c r="G58" s="34"/>
      <c r="H58" s="34"/>
      <c r="K58"/>
      <c r="L58"/>
      <c r="M58"/>
      <c r="N58"/>
    </row>
    <row r="59" spans="1:8" ht="12.75">
      <c r="A59" s="127" t="s">
        <v>13</v>
      </c>
      <c r="B59" s="169" t="s">
        <v>12</v>
      </c>
      <c r="C59" s="127"/>
      <c r="D59" s="154"/>
      <c r="E59" s="34"/>
      <c r="F59" s="34"/>
      <c r="G59" s="34"/>
      <c r="H59" s="34"/>
    </row>
    <row r="60" spans="1:8" ht="12.75">
      <c r="A60" s="127" t="s">
        <v>14</v>
      </c>
      <c r="B60" s="169" t="s">
        <v>12</v>
      </c>
      <c r="C60" s="127"/>
      <c r="D60" s="158">
        <f>C17+C18-C23</f>
        <v>450065.1977589999</v>
      </c>
      <c r="E60" s="35"/>
      <c r="F60" s="34"/>
      <c r="G60" s="34"/>
      <c r="H60" s="34"/>
    </row>
    <row r="61" spans="1:8" ht="24" customHeight="1">
      <c r="A61" s="495" t="s">
        <v>55</v>
      </c>
      <c r="B61" s="495"/>
      <c r="C61" s="495"/>
      <c r="D61" s="495"/>
      <c r="E61" s="34"/>
      <c r="F61" s="34"/>
      <c r="G61" s="34"/>
      <c r="H61" s="34"/>
    </row>
    <row r="62" spans="1:8" ht="12.75">
      <c r="A62" s="127" t="s">
        <v>56</v>
      </c>
      <c r="B62" s="169" t="s">
        <v>57</v>
      </c>
      <c r="C62" s="127">
        <v>0</v>
      </c>
      <c r="D62" s="154">
        <v>0</v>
      </c>
      <c r="E62" s="34"/>
      <c r="F62" s="34"/>
      <c r="G62" s="34"/>
      <c r="H62" s="34"/>
    </row>
    <row r="63" spans="1:8" ht="12.75">
      <c r="A63" s="127" t="s">
        <v>58</v>
      </c>
      <c r="B63" s="169" t="s">
        <v>57</v>
      </c>
      <c r="C63" s="127">
        <v>0</v>
      </c>
      <c r="D63" s="154">
        <v>0</v>
      </c>
      <c r="E63" s="34"/>
      <c r="F63" s="34"/>
      <c r="G63" s="34"/>
      <c r="H63" s="34"/>
    </row>
    <row r="64" spans="1:8" ht="25.5">
      <c r="A64" s="127" t="s">
        <v>59</v>
      </c>
      <c r="B64" s="169" t="s">
        <v>57</v>
      </c>
      <c r="C64" s="127">
        <v>0</v>
      </c>
      <c r="D64" s="154">
        <v>0</v>
      </c>
      <c r="E64" s="34"/>
      <c r="F64" s="34"/>
      <c r="G64" s="34"/>
      <c r="H64" s="34"/>
    </row>
    <row r="65" spans="1:8" ht="12.75">
      <c r="A65" s="127" t="s">
        <v>60</v>
      </c>
      <c r="B65" s="169" t="s">
        <v>12</v>
      </c>
      <c r="C65" s="127">
        <v>0</v>
      </c>
      <c r="D65" s="154">
        <v>0</v>
      </c>
      <c r="E65" s="34"/>
      <c r="F65" s="34"/>
      <c r="G65" s="34"/>
      <c r="H65" s="34"/>
    </row>
    <row r="66" spans="1:8" ht="20.25" customHeight="1">
      <c r="A66" s="496" t="s">
        <v>61</v>
      </c>
      <c r="B66" s="496"/>
      <c r="C66" s="496"/>
      <c r="D66" s="496"/>
      <c r="E66" s="34"/>
      <c r="F66" s="34"/>
      <c r="G66" s="34"/>
      <c r="H66" s="34"/>
    </row>
    <row r="67" spans="1:8" ht="25.5">
      <c r="A67" s="110" t="s">
        <v>193</v>
      </c>
      <c r="B67" s="169" t="s">
        <v>12</v>
      </c>
      <c r="C67" s="127"/>
      <c r="D67" s="154">
        <v>0</v>
      </c>
      <c r="E67" s="34"/>
      <c r="F67" s="34"/>
      <c r="G67" s="34"/>
      <c r="H67" s="34"/>
    </row>
    <row r="68" spans="1:8" ht="12.75">
      <c r="A68" s="127" t="s">
        <v>13</v>
      </c>
      <c r="B68" s="169" t="s">
        <v>12</v>
      </c>
      <c r="C68" s="127"/>
      <c r="D68" s="154">
        <v>0</v>
      </c>
      <c r="E68" s="34"/>
      <c r="F68" s="34"/>
      <c r="G68" s="34"/>
      <c r="H68" s="34"/>
    </row>
    <row r="69" spans="1:8" ht="12.75">
      <c r="A69" s="127" t="s">
        <v>14</v>
      </c>
      <c r="B69" s="169" t="s">
        <v>12</v>
      </c>
      <c r="C69" s="127"/>
      <c r="D69" s="180">
        <f>D72-D75-D76-D77-D78-D79</f>
        <v>399692.71754899994</v>
      </c>
      <c r="E69" s="34"/>
      <c r="F69" s="34"/>
      <c r="G69" s="34"/>
      <c r="H69" s="36"/>
    </row>
    <row r="70" spans="1:8" ht="25.5">
      <c r="A70" s="261" t="s">
        <v>111</v>
      </c>
      <c r="B70" s="169" t="s">
        <v>12</v>
      </c>
      <c r="C70" s="182"/>
      <c r="D70" s="183">
        <v>0</v>
      </c>
      <c r="E70" s="34"/>
      <c r="F70" s="34"/>
      <c r="G70" s="34"/>
      <c r="H70" s="34"/>
    </row>
    <row r="71" spans="1:10" ht="17.25" customHeight="1">
      <c r="A71" s="184" t="s">
        <v>13</v>
      </c>
      <c r="B71" s="169" t="s">
        <v>12</v>
      </c>
      <c r="C71" s="127"/>
      <c r="D71" s="154">
        <v>0</v>
      </c>
      <c r="E71" s="34"/>
      <c r="F71" s="34"/>
      <c r="G71" s="34"/>
      <c r="H71" s="34"/>
      <c r="I71" s="3"/>
      <c r="J71" s="3"/>
    </row>
    <row r="72" spans="1:14" ht="12.75">
      <c r="A72" s="133" t="s">
        <v>14</v>
      </c>
      <c r="B72" s="169" t="s">
        <v>12</v>
      </c>
      <c r="C72" s="134"/>
      <c r="D72" s="134">
        <v>423384.72</v>
      </c>
      <c r="E72" s="34"/>
      <c r="F72" s="34"/>
      <c r="G72" s="34"/>
      <c r="H72" s="34" t="s">
        <v>27</v>
      </c>
      <c r="I72" s="4"/>
      <c r="J72" s="4"/>
      <c r="K72" s="5"/>
      <c r="L72" s="5"/>
      <c r="M72" s="5"/>
      <c r="N72" s="5"/>
    </row>
    <row r="73" spans="1:14" ht="18" customHeight="1">
      <c r="A73" s="497" t="s">
        <v>64</v>
      </c>
      <c r="B73" s="497"/>
      <c r="C73" s="497"/>
      <c r="D73" s="497"/>
      <c r="E73" s="39"/>
      <c r="F73" s="43"/>
      <c r="G73" s="44"/>
      <c r="H73" s="34"/>
      <c r="I73" s="8"/>
      <c r="J73" s="8"/>
      <c r="K73" s="9"/>
      <c r="L73" s="9"/>
      <c r="M73" s="9"/>
      <c r="N73" s="9"/>
    </row>
    <row r="74" spans="1:14" ht="44.25" customHeight="1">
      <c r="A74" s="25" t="s">
        <v>65</v>
      </c>
      <c r="B74" s="26" t="s">
        <v>66</v>
      </c>
      <c r="C74" s="57" t="s">
        <v>67</v>
      </c>
      <c r="D74" s="58" t="s">
        <v>68</v>
      </c>
      <c r="E74" s="39"/>
      <c r="F74" s="43"/>
      <c r="G74" s="44"/>
      <c r="H74" s="34"/>
      <c r="I74" s="8"/>
      <c r="J74" s="8"/>
      <c r="K74" s="9"/>
      <c r="L74" s="9"/>
      <c r="M74" s="9"/>
      <c r="N74" s="9"/>
    </row>
    <row r="75" spans="1:14" ht="16.5" customHeight="1">
      <c r="A75" s="360" t="s">
        <v>192</v>
      </c>
      <c r="B75" s="24">
        <v>334939.99</v>
      </c>
      <c r="C75" s="59">
        <f>B75*0.9779</f>
        <v>327537.816221</v>
      </c>
      <c r="D75" s="361">
        <f>B75-C75</f>
        <v>7402.173779000004</v>
      </c>
      <c r="E75" s="39"/>
      <c r="F75" s="43"/>
      <c r="G75" s="44"/>
      <c r="H75" s="34"/>
      <c r="I75" s="8"/>
      <c r="J75" s="8"/>
      <c r="K75" s="9"/>
      <c r="L75" s="9"/>
      <c r="M75" s="9"/>
      <c r="N75" s="9"/>
    </row>
    <row r="76" spans="1:14" ht="12.75">
      <c r="A76" s="185" t="s">
        <v>69</v>
      </c>
      <c r="B76" s="156">
        <v>43469.73</v>
      </c>
      <c r="C76" s="59">
        <f>B76*0.9779</f>
        <v>42509.048967</v>
      </c>
      <c r="D76" s="400">
        <f>B76-C76</f>
        <v>960.6810330000008</v>
      </c>
      <c r="E76" s="39"/>
      <c r="F76" s="43"/>
      <c r="G76" s="44"/>
      <c r="H76" s="34"/>
      <c r="I76" s="8"/>
      <c r="J76" s="8"/>
      <c r="K76" s="9"/>
      <c r="L76" s="9"/>
      <c r="M76" s="9"/>
      <c r="N76" s="9"/>
    </row>
    <row r="77" spans="1:14" ht="12.75">
      <c r="A77" s="185" t="s">
        <v>70</v>
      </c>
      <c r="B77" s="156">
        <v>81883.74</v>
      </c>
      <c r="C77" s="59">
        <f>B77*0.9779</f>
        <v>80074.109346</v>
      </c>
      <c r="D77" s="400">
        <f>B77-C77</f>
        <v>1809.6306540000078</v>
      </c>
      <c r="E77" s="39"/>
      <c r="F77" s="43"/>
      <c r="G77" s="44"/>
      <c r="H77" s="34"/>
      <c r="I77" s="8"/>
      <c r="J77" s="8"/>
      <c r="K77" s="9"/>
      <c r="L77" s="9"/>
      <c r="M77" s="9"/>
      <c r="N77" s="9"/>
    </row>
    <row r="78" spans="1:14" ht="12.75">
      <c r="A78" s="185" t="s">
        <v>71</v>
      </c>
      <c r="B78" s="186">
        <v>483914.88</v>
      </c>
      <c r="C78" s="59">
        <f>B78*0.9779</f>
        <v>473220.361152</v>
      </c>
      <c r="D78" s="400">
        <f>B78-C78</f>
        <v>10694.518847999978</v>
      </c>
      <c r="E78" s="39">
        <f>(2.07+1.8)*6*2301.2-0.37*2301.2*6</f>
        <v>48325.2</v>
      </c>
      <c r="F78" s="46"/>
      <c r="G78" s="47"/>
      <c r="H78" s="39"/>
      <c r="I78" s="8"/>
      <c r="J78" s="8"/>
      <c r="K78" s="9"/>
      <c r="L78" s="9"/>
      <c r="M78" s="9"/>
      <c r="N78" s="9"/>
    </row>
    <row r="79" spans="1:14" ht="12.75">
      <c r="A79" s="185" t="s">
        <v>72</v>
      </c>
      <c r="B79" s="186">
        <v>127827.97</v>
      </c>
      <c r="C79" s="59">
        <f>B79*0.9779</f>
        <v>125002.971863</v>
      </c>
      <c r="D79" s="400">
        <f>B79-C79</f>
        <v>2824.9981370000023</v>
      </c>
      <c r="E79" s="39"/>
      <c r="F79" s="46"/>
      <c r="G79" s="47"/>
      <c r="H79" s="34"/>
      <c r="I79" s="8"/>
      <c r="J79" s="8"/>
      <c r="K79" s="9"/>
      <c r="L79" s="9"/>
      <c r="M79" s="9"/>
      <c r="N79" s="9"/>
    </row>
    <row r="80" spans="1:14" ht="63.75">
      <c r="A80" s="187" t="s">
        <v>74</v>
      </c>
      <c r="B80" s="24" t="s">
        <v>75</v>
      </c>
      <c r="C80" s="59" t="s">
        <v>76</v>
      </c>
      <c r="D80" s="60" t="s">
        <v>77</v>
      </c>
      <c r="E80" s="39"/>
      <c r="F80" s="46"/>
      <c r="G80" s="34"/>
      <c r="H80" s="38"/>
      <c r="I80" s="8"/>
      <c r="J80" s="8"/>
      <c r="K80" s="9"/>
      <c r="L80" s="9"/>
      <c r="M80" s="9"/>
      <c r="N80" s="9"/>
    </row>
    <row r="81" spans="1:14" ht="12.75">
      <c r="A81" s="360" t="s">
        <v>192</v>
      </c>
      <c r="B81" s="362">
        <f>B75</f>
        <v>334939.99</v>
      </c>
      <c r="C81" s="59">
        <f>C75</f>
        <v>327537.816221</v>
      </c>
      <c r="D81" s="363">
        <f>B81-C81</f>
        <v>7402.173779000004</v>
      </c>
      <c r="E81" s="39"/>
      <c r="F81" s="46"/>
      <c r="G81" s="34"/>
      <c r="H81" s="38"/>
      <c r="I81" s="8"/>
      <c r="J81" s="8"/>
      <c r="K81" s="9"/>
      <c r="L81" s="9"/>
      <c r="M81" s="9"/>
      <c r="N81" s="9"/>
    </row>
    <row r="82" spans="1:14" ht="12.75">
      <c r="A82" s="188" t="s">
        <v>69</v>
      </c>
      <c r="B82" s="189">
        <v>45795.62</v>
      </c>
      <c r="C82" s="401">
        <v>72190.38</v>
      </c>
      <c r="D82" s="402">
        <f>B82-C82</f>
        <v>-26394.760000000002</v>
      </c>
      <c r="E82" s="39"/>
      <c r="F82" s="46"/>
      <c r="G82" s="34"/>
      <c r="H82" s="38"/>
      <c r="I82" s="8"/>
      <c r="J82" s="8" t="s">
        <v>27</v>
      </c>
      <c r="K82" s="9"/>
      <c r="L82" s="9"/>
      <c r="M82" s="9"/>
      <c r="N82" s="9"/>
    </row>
    <row r="83" spans="1:14" ht="12.75">
      <c r="A83" s="188" t="s">
        <v>70</v>
      </c>
      <c r="B83" s="189">
        <v>105107.67</v>
      </c>
      <c r="C83" s="399">
        <v>165687.53</v>
      </c>
      <c r="D83" s="402">
        <f>B83-C83</f>
        <v>-60579.86</v>
      </c>
      <c r="E83" s="39"/>
      <c r="F83" s="46"/>
      <c r="G83" s="34"/>
      <c r="H83" s="38"/>
      <c r="I83" s="8"/>
      <c r="J83" s="8"/>
      <c r="K83" s="9"/>
      <c r="L83" s="9"/>
      <c r="M83" s="9"/>
      <c r="N83" s="9"/>
    </row>
    <row r="84" spans="1:14" ht="12.75">
      <c r="A84" s="188" t="s">
        <v>71</v>
      </c>
      <c r="B84" s="189">
        <v>396604.17</v>
      </c>
      <c r="C84" s="399">
        <f>C78</f>
        <v>473220.361152</v>
      </c>
      <c r="D84" s="402">
        <f>B84-C84</f>
        <v>-76616.19115200004</v>
      </c>
      <c r="E84" s="39"/>
      <c r="F84" s="46"/>
      <c r="G84" s="34"/>
      <c r="H84" s="38"/>
      <c r="I84" s="8"/>
      <c r="J84" s="8"/>
      <c r="K84" s="9"/>
      <c r="L84" s="9"/>
      <c r="M84" s="9"/>
      <c r="N84" s="9"/>
    </row>
    <row r="85" spans="1:14" ht="12.75">
      <c r="A85" s="188" t="s">
        <v>72</v>
      </c>
      <c r="B85" s="189">
        <v>166956.23</v>
      </c>
      <c r="C85" s="401">
        <v>403733.56</v>
      </c>
      <c r="D85" s="402">
        <f>B85-C85</f>
        <v>-236777.33</v>
      </c>
      <c r="E85" s="39"/>
      <c r="F85" s="46"/>
      <c r="G85" s="34"/>
      <c r="H85" s="38"/>
      <c r="I85" s="8"/>
      <c r="J85" s="8"/>
      <c r="K85" s="9"/>
      <c r="L85" s="9"/>
      <c r="M85" s="9"/>
      <c r="N85" s="9"/>
    </row>
    <row r="86" spans="1:14" ht="25.5">
      <c r="A86" s="140" t="s">
        <v>78</v>
      </c>
      <c r="B86" s="190" t="s">
        <v>12</v>
      </c>
      <c r="C86" s="403"/>
      <c r="D86" s="404">
        <v>0</v>
      </c>
      <c r="E86" s="39"/>
      <c r="F86" s="46"/>
      <c r="G86" s="34"/>
      <c r="H86" s="38"/>
      <c r="I86" s="8"/>
      <c r="J86" s="8" t="s">
        <v>27</v>
      </c>
      <c r="K86" s="9"/>
      <c r="L86" s="9"/>
      <c r="M86" s="9"/>
      <c r="N86" s="9"/>
    </row>
    <row r="87" spans="1:14" ht="17.25" customHeight="1">
      <c r="A87" s="504" t="s">
        <v>79</v>
      </c>
      <c r="B87" s="504"/>
      <c r="C87" s="504"/>
      <c r="D87" s="504"/>
      <c r="E87" s="48" t="e">
        <f>D87+B19</f>
        <v>#VALUE!</v>
      </c>
      <c r="F87" s="38"/>
      <c r="G87" s="34"/>
      <c r="H87" s="40" t="e">
        <f>E87-B18</f>
        <v>#VALUE!</v>
      </c>
      <c r="I87" s="8"/>
      <c r="J87" s="8"/>
      <c r="K87" s="9"/>
      <c r="L87" s="9"/>
      <c r="M87" s="9"/>
      <c r="N87" s="9"/>
    </row>
    <row r="88" spans="1:5" ht="21" customHeight="1">
      <c r="A88" s="143" t="s">
        <v>56</v>
      </c>
      <c r="B88" s="143" t="s">
        <v>57</v>
      </c>
      <c r="C88" s="191"/>
      <c r="D88" s="398">
        <v>0</v>
      </c>
      <c r="E88" s="49"/>
    </row>
    <row r="89" spans="1:5" ht="21" customHeight="1">
      <c r="A89" s="143" t="s">
        <v>58</v>
      </c>
      <c r="B89" s="143" t="s">
        <v>57</v>
      </c>
      <c r="C89" s="191"/>
      <c r="D89" s="398">
        <v>0</v>
      </c>
      <c r="E89" s="49"/>
    </row>
    <row r="90" spans="1:14" s="1" customFormat="1" ht="25.5" customHeight="1">
      <c r="A90" s="143" t="s">
        <v>59</v>
      </c>
      <c r="B90" s="143" t="s">
        <v>57</v>
      </c>
      <c r="C90" s="191"/>
      <c r="D90" s="398">
        <v>0</v>
      </c>
      <c r="E90" s="49"/>
      <c r="K90"/>
      <c r="L90"/>
      <c r="M90"/>
      <c r="N90"/>
    </row>
    <row r="91" spans="1:14" s="1" customFormat="1" ht="16.5" customHeight="1">
      <c r="A91" s="143" t="s">
        <v>60</v>
      </c>
      <c r="B91" s="143" t="s">
        <v>12</v>
      </c>
      <c r="C91" s="191"/>
      <c r="D91" s="398">
        <v>0</v>
      </c>
      <c r="E91" s="49"/>
      <c r="K91"/>
      <c r="L91"/>
      <c r="M91"/>
      <c r="N91"/>
    </row>
    <row r="92" spans="1:14" s="1" customFormat="1" ht="15.75" customHeight="1">
      <c r="A92" s="503" t="s">
        <v>80</v>
      </c>
      <c r="B92" s="503"/>
      <c r="C92" s="503"/>
      <c r="D92" s="503"/>
      <c r="E92" s="49"/>
      <c r="K92"/>
      <c r="L92"/>
      <c r="M92"/>
      <c r="N92"/>
    </row>
    <row r="93" spans="1:14" s="1" customFormat="1" ht="15" customHeight="1">
      <c r="A93" s="143" t="s">
        <v>81</v>
      </c>
      <c r="B93" s="143" t="s">
        <v>57</v>
      </c>
      <c r="C93" s="191"/>
      <c r="D93" s="398">
        <v>1</v>
      </c>
      <c r="E93" s="49"/>
      <c r="K93"/>
      <c r="L93"/>
      <c r="M93"/>
      <c r="N93"/>
    </row>
    <row r="94" spans="1:14" s="1" customFormat="1" ht="17.25" customHeight="1">
      <c r="A94" s="143" t="s">
        <v>82</v>
      </c>
      <c r="B94" s="184" t="s">
        <v>57</v>
      </c>
      <c r="C94" s="192"/>
      <c r="D94" s="398">
        <v>9</v>
      </c>
      <c r="E94" s="20"/>
      <c r="K94"/>
      <c r="L94"/>
      <c r="M94"/>
      <c r="N94"/>
    </row>
    <row r="95" spans="1:14" s="1" customFormat="1" ht="26.25" customHeight="1">
      <c r="A95" s="143" t="s">
        <v>83</v>
      </c>
      <c r="B95" s="143" t="s">
        <v>12</v>
      </c>
      <c r="C95" s="191"/>
      <c r="D95" s="398">
        <v>43982.74</v>
      </c>
      <c r="E95" s="20"/>
      <c r="K95"/>
      <c r="L95"/>
      <c r="M95"/>
      <c r="N95"/>
    </row>
    <row r="96" spans="1:14" s="1" customFormat="1" ht="12.75">
      <c r="A96" s="193"/>
      <c r="B96" s="193"/>
      <c r="C96" s="193"/>
      <c r="D96" s="194"/>
      <c r="K96"/>
      <c r="L96"/>
      <c r="M96"/>
      <c r="N96"/>
    </row>
    <row r="97" spans="1:14" s="1" customFormat="1" ht="12.75">
      <c r="A97" s="501" t="s">
        <v>149</v>
      </c>
      <c r="B97" s="502"/>
      <c r="C97" s="149" t="s">
        <v>168</v>
      </c>
      <c r="D97" s="149"/>
      <c r="K97"/>
      <c r="L97"/>
      <c r="M97"/>
      <c r="N97"/>
    </row>
    <row r="98" spans="1:14" s="1" customFormat="1" ht="12.75">
      <c r="A98" s="149"/>
      <c r="B98" s="149"/>
      <c r="C98" s="149"/>
      <c r="D98" s="149"/>
      <c r="H98" s="1" t="s">
        <v>27</v>
      </c>
      <c r="K98"/>
      <c r="L98"/>
      <c r="M98"/>
      <c r="N98"/>
    </row>
    <row r="99" spans="1:14" s="1" customFormat="1" ht="12.75">
      <c r="A99" s="149" t="s">
        <v>84</v>
      </c>
      <c r="B99" s="149"/>
      <c r="C99" s="149"/>
      <c r="D99" s="149"/>
      <c r="K99"/>
      <c r="L99"/>
      <c r="M99"/>
      <c r="N99"/>
    </row>
    <row r="100" spans="1:4" ht="15">
      <c r="A100" s="86"/>
      <c r="B100" s="86"/>
      <c r="C100" s="86"/>
      <c r="D100" s="86"/>
    </row>
    <row r="103" spans="1:14" s="1" customFormat="1" ht="12.75">
      <c r="A103"/>
      <c r="B103"/>
      <c r="C103"/>
      <c r="D103"/>
      <c r="E103" s="1" t="s">
        <v>27</v>
      </c>
      <c r="K103"/>
      <c r="L103"/>
      <c r="M103"/>
      <c r="N103"/>
    </row>
  </sheetData>
  <sheetProtection selectLockedCells="1" selectUnlockedCells="1"/>
  <mergeCells count="14">
    <mergeCell ref="A97:B97"/>
    <mergeCell ref="A92:D92"/>
    <mergeCell ref="A14:D14"/>
    <mergeCell ref="A28:D28"/>
    <mergeCell ref="A61:D61"/>
    <mergeCell ref="A66:D66"/>
    <mergeCell ref="A73:D73"/>
    <mergeCell ref="A87:D87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0"/>
  <sheetViews>
    <sheetView zoomScalePageLayoutView="0" workbookViewId="0" topLeftCell="A49">
      <selection activeCell="D64" sqref="D64"/>
    </sheetView>
  </sheetViews>
  <sheetFormatPr defaultColWidth="11.57421875" defaultRowHeight="12.75"/>
  <cols>
    <col min="1" max="1" width="60.8515625" style="0" customWidth="1"/>
    <col min="2" max="2" width="16.140625" style="0" customWidth="1"/>
    <col min="3" max="3" width="22.140625" style="0" customWidth="1"/>
    <col min="4" max="4" width="12.140625" style="0" customWidth="1"/>
    <col min="5" max="6" width="0" style="1" hidden="1" customWidth="1"/>
    <col min="7" max="7" width="24.421875" style="1" customWidth="1"/>
    <col min="8" max="8" width="5.28125" style="1" customWidth="1"/>
    <col min="9" max="9" width="30.00390625" style="1" customWidth="1"/>
    <col min="10" max="11" width="23.28125" style="0" customWidth="1"/>
    <col min="12" max="12" width="6.57421875" style="0" customWidth="1"/>
    <col min="13" max="13" width="7.00390625" style="0" customWidth="1"/>
  </cols>
  <sheetData>
    <row r="1" spans="1:4" ht="12.75">
      <c r="A1" s="478" t="s">
        <v>0</v>
      </c>
      <c r="B1" s="478"/>
      <c r="C1" s="478"/>
      <c r="D1" s="478"/>
    </row>
    <row r="2" spans="1:4" ht="12.75">
      <c r="A2" s="477" t="s">
        <v>163</v>
      </c>
      <c r="B2" s="478"/>
      <c r="C2" s="478"/>
      <c r="D2" s="478"/>
    </row>
    <row r="3" spans="1:4" ht="12.75">
      <c r="A3" s="478" t="s">
        <v>1</v>
      </c>
      <c r="B3" s="478"/>
      <c r="C3" s="478"/>
      <c r="D3" s="478"/>
    </row>
    <row r="4" spans="1:4" ht="12.75">
      <c r="A4" s="478" t="s">
        <v>92</v>
      </c>
      <c r="B4" s="478"/>
      <c r="C4" s="478"/>
      <c r="D4" s="478"/>
    </row>
    <row r="5" spans="1:4" ht="12.75">
      <c r="A5" s="477" t="s">
        <v>203</v>
      </c>
      <c r="B5" s="478"/>
      <c r="C5" s="478"/>
      <c r="D5" s="478"/>
    </row>
    <row r="6" spans="1:4" ht="3.75" customHeight="1">
      <c r="A6" s="195"/>
      <c r="B6" s="78"/>
      <c r="C6" s="78"/>
      <c r="D6" s="78"/>
    </row>
    <row r="7" spans="1:4" ht="29.25" customHeight="1">
      <c r="A7" s="480" t="s">
        <v>3</v>
      </c>
      <c r="B7" s="505"/>
      <c r="C7" s="505"/>
      <c r="D7" s="505"/>
    </row>
    <row r="8" spans="1:4" ht="14.25" customHeight="1">
      <c r="A8" s="52" t="s">
        <v>138</v>
      </c>
      <c r="B8" s="22"/>
      <c r="C8" s="22"/>
      <c r="D8" s="22"/>
    </row>
    <row r="9" spans="1:7" ht="12.75">
      <c r="A9" s="91"/>
      <c r="B9" s="91">
        <v>2</v>
      </c>
      <c r="C9" s="91">
        <v>3</v>
      </c>
      <c r="D9" s="92">
        <v>4</v>
      </c>
      <c r="G9" s="34"/>
    </row>
    <row r="10" spans="1:7" ht="12.75">
      <c r="A10" s="64" t="s">
        <v>7</v>
      </c>
      <c r="B10" s="93"/>
      <c r="C10" s="94" t="s">
        <v>204</v>
      </c>
      <c r="D10" s="77"/>
      <c r="G10" s="34"/>
    </row>
    <row r="11" spans="1:7" ht="12.75">
      <c r="A11" s="64" t="s">
        <v>8</v>
      </c>
      <c r="B11" s="93"/>
      <c r="C11" s="94" t="s">
        <v>205</v>
      </c>
      <c r="D11" s="77"/>
      <c r="G11" s="34"/>
    </row>
    <row r="12" spans="1:7" ht="12.75">
      <c r="A12" s="64" t="s">
        <v>9</v>
      </c>
      <c r="B12" s="93"/>
      <c r="C12" s="94" t="s">
        <v>206</v>
      </c>
      <c r="D12" s="77"/>
      <c r="G12" s="34"/>
    </row>
    <row r="13" spans="1:7" ht="24.75" customHeight="1">
      <c r="A13" s="493" t="s">
        <v>10</v>
      </c>
      <c r="B13" s="493"/>
      <c r="C13" s="493"/>
      <c r="D13" s="493"/>
      <c r="G13" s="34"/>
    </row>
    <row r="14" spans="1:7" ht="12.75">
      <c r="A14" s="64" t="s">
        <v>93</v>
      </c>
      <c r="B14" s="95" t="s">
        <v>12</v>
      </c>
      <c r="C14" s="71">
        <v>360159.04</v>
      </c>
      <c r="D14" s="77"/>
      <c r="G14" s="34"/>
    </row>
    <row r="15" spans="1:7" ht="12.75">
      <c r="A15" s="64" t="s">
        <v>13</v>
      </c>
      <c r="B15" s="95" t="s">
        <v>12</v>
      </c>
      <c r="C15" s="96">
        <v>0</v>
      </c>
      <c r="D15" s="77"/>
      <c r="G15" s="34"/>
    </row>
    <row r="16" spans="1:7" ht="12.75">
      <c r="A16" s="64" t="s">
        <v>14</v>
      </c>
      <c r="B16" s="95" t="s">
        <v>12</v>
      </c>
      <c r="C16" s="313">
        <v>288592.9</v>
      </c>
      <c r="D16" s="75"/>
      <c r="G16" s="34"/>
    </row>
    <row r="17" spans="1:8" ht="31.5" customHeight="1">
      <c r="A17" s="63" t="s">
        <v>15</v>
      </c>
      <c r="B17" s="95" t="s">
        <v>12</v>
      </c>
      <c r="C17" s="71">
        <f>1750736.9+11782.32+6995.76+185208.48</f>
        <v>1954723.46</v>
      </c>
      <c r="D17" s="75"/>
      <c r="G17" s="468">
        <f>C17-C19-203986.56</f>
        <v>1534967.0119999999</v>
      </c>
      <c r="H17" s="294"/>
    </row>
    <row r="18" spans="1:8" ht="12.75">
      <c r="A18" s="64" t="s">
        <v>16</v>
      </c>
      <c r="B18" s="95" t="s">
        <v>12</v>
      </c>
      <c r="C18" s="313">
        <f>C17-C19-C20</f>
        <v>1430395.268</v>
      </c>
      <c r="D18" s="75"/>
      <c r="G18" s="466">
        <f>G17-G64</f>
        <v>-2255.000000000233</v>
      </c>
      <c r="H18" s="294"/>
    </row>
    <row r="19" spans="1:7" ht="12.75">
      <c r="A19" s="64" t="s">
        <v>17</v>
      </c>
      <c r="B19" s="95" t="s">
        <v>12</v>
      </c>
      <c r="C19" s="313">
        <f>6136.8*2.93*12</f>
        <v>215769.888</v>
      </c>
      <c r="D19" s="75"/>
      <c r="G19" s="34"/>
    </row>
    <row r="20" spans="1:7" ht="12.75">
      <c r="A20" s="64" t="s">
        <v>18</v>
      </c>
      <c r="B20" s="95" t="s">
        <v>12</v>
      </c>
      <c r="C20" s="313">
        <f>6136.8*4.19*12</f>
        <v>308558.304</v>
      </c>
      <c r="D20" s="75"/>
      <c r="G20" s="34"/>
    </row>
    <row r="21" spans="1:7" ht="12.75">
      <c r="A21" s="64" t="s">
        <v>19</v>
      </c>
      <c r="B21" s="95" t="s">
        <v>12</v>
      </c>
      <c r="C21" s="71">
        <f>C22+C23+C24+C25</f>
        <v>2021504.1957659998</v>
      </c>
      <c r="D21" s="75" t="s">
        <v>20</v>
      </c>
      <c r="G21" s="34"/>
    </row>
    <row r="22" spans="1:7" ht="12.75">
      <c r="A22" s="64" t="s">
        <v>21</v>
      </c>
      <c r="B22" s="95" t="s">
        <v>12</v>
      </c>
      <c r="C22" s="71">
        <f>C17*1.0271</f>
        <v>2007696.4657659999</v>
      </c>
      <c r="D22" s="75"/>
      <c r="G22" s="34"/>
    </row>
    <row r="23" spans="1:7" ht="12.75">
      <c r="A23" s="64" t="s">
        <v>22</v>
      </c>
      <c r="B23" s="95" t="s">
        <v>12</v>
      </c>
      <c r="C23" s="314">
        <v>0</v>
      </c>
      <c r="D23" s="98">
        <v>65.21</v>
      </c>
      <c r="G23" s="34"/>
    </row>
    <row r="24" spans="1:7" ht="12.75">
      <c r="A24" s="64" t="s">
        <v>24</v>
      </c>
      <c r="B24" s="95" t="s">
        <v>12</v>
      </c>
      <c r="C24" s="314">
        <v>0</v>
      </c>
      <c r="D24" s="98">
        <v>119.63</v>
      </c>
      <c r="G24" s="34"/>
    </row>
    <row r="25" spans="1:7" ht="12.75">
      <c r="A25" s="93" t="s">
        <v>25</v>
      </c>
      <c r="B25" s="95" t="s">
        <v>12</v>
      </c>
      <c r="C25" s="314">
        <f>3265.49+6203.52+4338.72</f>
        <v>13807.73</v>
      </c>
      <c r="D25" s="98"/>
      <c r="G25" s="34"/>
    </row>
    <row r="26" spans="1:7" ht="12.75">
      <c r="A26" s="64" t="s">
        <v>26</v>
      </c>
      <c r="B26" s="95" t="s">
        <v>12</v>
      </c>
      <c r="C26" s="314">
        <f>C14+C21</f>
        <v>2381663.2357659996</v>
      </c>
      <c r="D26" s="75" t="s">
        <v>27</v>
      </c>
      <c r="G26" s="34"/>
    </row>
    <row r="27" spans="1:7" ht="28.5" customHeight="1">
      <c r="A27" s="496" t="s">
        <v>28</v>
      </c>
      <c r="B27" s="496"/>
      <c r="C27" s="496"/>
      <c r="D27" s="496"/>
      <c r="G27" s="34"/>
    </row>
    <row r="28" spans="1:7" ht="63.75">
      <c r="A28" s="127" t="s">
        <v>29</v>
      </c>
      <c r="B28" s="169" t="s">
        <v>30</v>
      </c>
      <c r="C28" s="323" t="s">
        <v>31</v>
      </c>
      <c r="D28" s="197" t="s">
        <v>32</v>
      </c>
      <c r="G28" s="34"/>
    </row>
    <row r="29" spans="1:7" ht="12.75">
      <c r="A29" s="112" t="s">
        <v>94</v>
      </c>
      <c r="B29" s="109" t="s">
        <v>34</v>
      </c>
      <c r="C29" s="110" t="s">
        <v>190</v>
      </c>
      <c r="D29" s="315">
        <f>6136.8*12*0.5</f>
        <v>36820.8</v>
      </c>
      <c r="G29" s="34"/>
    </row>
    <row r="30" spans="1:7" ht="12.75">
      <c r="A30" s="112" t="s">
        <v>87</v>
      </c>
      <c r="B30" s="109" t="s">
        <v>36</v>
      </c>
      <c r="C30" s="112" t="s">
        <v>43</v>
      </c>
      <c r="D30" s="315">
        <f>2.4*12*6136.8</f>
        <v>176739.84</v>
      </c>
      <c r="G30" s="34"/>
    </row>
    <row r="31" spans="1:13" s="1" customFormat="1" ht="12.75">
      <c r="A31" s="219" t="s">
        <v>189</v>
      </c>
      <c r="B31" s="109" t="s">
        <v>42</v>
      </c>
      <c r="C31" s="112" t="s">
        <v>367</v>
      </c>
      <c r="D31" s="315">
        <f>0.15*12*6136.8+2255</f>
        <v>13301.24</v>
      </c>
      <c r="G31" s="465">
        <v>2255</v>
      </c>
      <c r="J31"/>
      <c r="K31"/>
      <c r="L31"/>
      <c r="M31"/>
    </row>
    <row r="32" spans="1:13" s="1" customFormat="1" ht="12.75">
      <c r="A32" s="112" t="s">
        <v>95</v>
      </c>
      <c r="B32" s="109" t="s">
        <v>34</v>
      </c>
      <c r="C32" s="112" t="s">
        <v>40</v>
      </c>
      <c r="D32" s="315">
        <f>0.24*12*6136.8</f>
        <v>17673.984</v>
      </c>
      <c r="G32" s="34"/>
      <c r="J32"/>
      <c r="K32"/>
      <c r="L32"/>
      <c r="M32"/>
    </row>
    <row r="33" spans="1:13" s="1" customFormat="1" ht="12.75">
      <c r="A33" s="112" t="s">
        <v>41</v>
      </c>
      <c r="B33" s="109" t="s">
        <v>34</v>
      </c>
      <c r="C33" s="112" t="s">
        <v>43</v>
      </c>
      <c r="D33" s="315">
        <f>0.73*12*6136.8</f>
        <v>53758.368</v>
      </c>
      <c r="G33" s="34"/>
      <c r="J33"/>
      <c r="K33"/>
      <c r="L33"/>
      <c r="M33"/>
    </row>
    <row r="34" spans="1:13" s="1" customFormat="1" ht="12.75">
      <c r="A34" s="112" t="s">
        <v>96</v>
      </c>
      <c r="B34" s="109" t="s">
        <v>34</v>
      </c>
      <c r="C34" s="112" t="s">
        <v>43</v>
      </c>
      <c r="D34" s="315">
        <f>2.06*12*6136.8</f>
        <v>151701.696</v>
      </c>
      <c r="G34" s="34"/>
      <c r="J34"/>
      <c r="K34"/>
      <c r="L34"/>
      <c r="M34"/>
    </row>
    <row r="35" spans="1:13" s="1" customFormat="1" ht="12.75">
      <c r="A35" s="112" t="s">
        <v>45</v>
      </c>
      <c r="B35" s="109" t="s">
        <v>46</v>
      </c>
      <c r="C35" s="112" t="s">
        <v>43</v>
      </c>
      <c r="D35" s="315">
        <f>1.33*12*6136.8</f>
        <v>97943.32800000001</v>
      </c>
      <c r="G35" s="34"/>
      <c r="J35"/>
      <c r="K35"/>
      <c r="L35"/>
      <c r="M35"/>
    </row>
    <row r="36" spans="1:13" s="1" customFormat="1" ht="12.75">
      <c r="A36" s="112" t="s">
        <v>97</v>
      </c>
      <c r="B36" s="109" t="s">
        <v>38</v>
      </c>
      <c r="C36" s="219" t="s">
        <v>159</v>
      </c>
      <c r="D36" s="315">
        <f>4.19*12*6136.8</f>
        <v>308558.304</v>
      </c>
      <c r="G36" s="34"/>
      <c r="J36"/>
      <c r="K36"/>
      <c r="L36"/>
      <c r="M36"/>
    </row>
    <row r="37" spans="1:13" s="1" customFormat="1" ht="12.75">
      <c r="A37" s="112" t="s">
        <v>98</v>
      </c>
      <c r="B37" s="113" t="s">
        <v>36</v>
      </c>
      <c r="C37" s="112" t="s">
        <v>43</v>
      </c>
      <c r="D37" s="315">
        <f>2.5*12*6136.8</f>
        <v>184104</v>
      </c>
      <c r="G37" s="34"/>
      <c r="J37"/>
      <c r="K37"/>
      <c r="L37"/>
      <c r="M37"/>
    </row>
    <row r="38" spans="1:13" s="1" customFormat="1" ht="12.75">
      <c r="A38" s="112" t="s">
        <v>90</v>
      </c>
      <c r="B38" s="109" t="s">
        <v>38</v>
      </c>
      <c r="C38" s="112" t="s">
        <v>50</v>
      </c>
      <c r="D38" s="75">
        <f>6136.8*4.99*12-71892.7</f>
        <v>295578.884</v>
      </c>
      <c r="G38" s="34"/>
      <c r="J38"/>
      <c r="K38"/>
      <c r="L38"/>
      <c r="M38"/>
    </row>
    <row r="39" spans="1:13" s="1" customFormat="1" ht="12.75">
      <c r="A39" s="219" t="s">
        <v>51</v>
      </c>
      <c r="B39" s="109" t="s">
        <v>36</v>
      </c>
      <c r="C39" s="110" t="s">
        <v>173</v>
      </c>
      <c r="D39" s="315">
        <f>2.56*12*6136.8</f>
        <v>188522.49599999998</v>
      </c>
      <c r="G39" s="34"/>
      <c r="J39"/>
      <c r="K39"/>
      <c r="L39"/>
      <c r="M39"/>
    </row>
    <row r="40" spans="1:13" s="1" customFormat="1" ht="12.75">
      <c r="A40" s="198" t="s">
        <v>100</v>
      </c>
      <c r="B40" s="316" t="s">
        <v>161</v>
      </c>
      <c r="C40" s="112" t="s">
        <v>40</v>
      </c>
      <c r="D40" s="74">
        <f>6136.8*0.17*12</f>
        <v>12519.072</v>
      </c>
      <c r="G40" s="34"/>
      <c r="J40"/>
      <c r="K40"/>
      <c r="L40"/>
      <c r="M40"/>
    </row>
    <row r="41" spans="1:13" s="1" customFormat="1" ht="25.5">
      <c r="A41" s="199" t="s">
        <v>142</v>
      </c>
      <c r="B41" s="317"/>
      <c r="C41" s="70"/>
      <c r="D41" s="74"/>
      <c r="G41" s="34"/>
      <c r="J41"/>
      <c r="K41"/>
      <c r="L41"/>
      <c r="M41"/>
    </row>
    <row r="42" spans="1:13" s="1" customFormat="1" ht="25.5">
      <c r="A42" s="198" t="s">
        <v>140</v>
      </c>
      <c r="B42" s="317" t="s">
        <v>38</v>
      </c>
      <c r="C42" s="70" t="s">
        <v>143</v>
      </c>
      <c r="D42" s="74">
        <v>18778.06</v>
      </c>
      <c r="G42" s="34"/>
      <c r="J42"/>
      <c r="K42"/>
      <c r="L42"/>
      <c r="M42"/>
    </row>
    <row r="43" spans="1:13" s="1" customFormat="1" ht="12.75">
      <c r="A43" s="198" t="s">
        <v>141</v>
      </c>
      <c r="B43" s="317" t="s">
        <v>38</v>
      </c>
      <c r="C43" s="70" t="s">
        <v>144</v>
      </c>
      <c r="D43" s="74">
        <v>185208.48</v>
      </c>
      <c r="G43" s="34"/>
      <c r="J43"/>
      <c r="K43"/>
      <c r="L43"/>
      <c r="M43"/>
    </row>
    <row r="44" spans="1:13" s="1" customFormat="1" ht="49.5" customHeight="1">
      <c r="A44" s="200" t="s">
        <v>127</v>
      </c>
      <c r="B44" s="201" t="s">
        <v>52</v>
      </c>
      <c r="C44" s="127"/>
      <c r="D44" s="349">
        <f>D45+D46+D47+D48+D49+D50+D51+D52+D53+D54+D55+D56+D57+D58+D59+D60+D61+D62+D63</f>
        <v>308467.66000000003</v>
      </c>
      <c r="G44" s="34"/>
      <c r="J44"/>
      <c r="K44"/>
      <c r="L44"/>
      <c r="M44"/>
    </row>
    <row r="45" spans="1:13" s="1" customFormat="1" ht="27" customHeight="1">
      <c r="A45" s="318" t="s">
        <v>250</v>
      </c>
      <c r="B45" s="319" t="s">
        <v>116</v>
      </c>
      <c r="C45" s="110" t="s">
        <v>173</v>
      </c>
      <c r="D45" s="320">
        <v>740</v>
      </c>
      <c r="G45" s="34"/>
      <c r="J45"/>
      <c r="K45"/>
      <c r="L45"/>
      <c r="M45"/>
    </row>
    <row r="46" spans="1:13" s="1" customFormat="1" ht="20.25" customHeight="1">
      <c r="A46" s="318" t="s">
        <v>178</v>
      </c>
      <c r="B46" s="319" t="s">
        <v>121</v>
      </c>
      <c r="C46" s="110" t="s">
        <v>162</v>
      </c>
      <c r="D46" s="320">
        <v>352</v>
      </c>
      <c r="G46" s="34"/>
      <c r="J46"/>
      <c r="K46"/>
      <c r="L46"/>
      <c r="M46"/>
    </row>
    <row r="47" spans="1:13" s="1" customFormat="1" ht="21" customHeight="1">
      <c r="A47" s="318" t="s">
        <v>207</v>
      </c>
      <c r="B47" s="319" t="s">
        <v>121</v>
      </c>
      <c r="C47" s="110" t="s">
        <v>162</v>
      </c>
      <c r="D47" s="320">
        <v>3823.54</v>
      </c>
      <c r="G47" s="34"/>
      <c r="J47"/>
      <c r="K47"/>
      <c r="L47"/>
      <c r="M47"/>
    </row>
    <row r="48" spans="1:13" s="1" customFormat="1" ht="21" customHeight="1">
      <c r="A48" s="318" t="s">
        <v>251</v>
      </c>
      <c r="B48" s="321" t="s">
        <v>121</v>
      </c>
      <c r="C48" s="110" t="s">
        <v>162</v>
      </c>
      <c r="D48" s="320">
        <v>2586</v>
      </c>
      <c r="G48" s="34"/>
      <c r="J48"/>
      <c r="K48"/>
      <c r="L48"/>
      <c r="M48"/>
    </row>
    <row r="49" spans="1:13" s="1" customFormat="1" ht="21.75" customHeight="1">
      <c r="A49" s="200" t="s">
        <v>160</v>
      </c>
      <c r="B49" s="321" t="s">
        <v>252</v>
      </c>
      <c r="C49" s="110" t="s">
        <v>50</v>
      </c>
      <c r="D49" s="345">
        <v>8187</v>
      </c>
      <c r="G49" s="34"/>
      <c r="J49"/>
      <c r="K49"/>
      <c r="L49"/>
      <c r="M49"/>
    </row>
    <row r="50" spans="1:13" s="1" customFormat="1" ht="23.25" customHeight="1">
      <c r="A50" s="200" t="s">
        <v>253</v>
      </c>
      <c r="B50" s="348" t="s">
        <v>117</v>
      </c>
      <c r="C50" s="110" t="s">
        <v>162</v>
      </c>
      <c r="D50" s="345">
        <v>15063</v>
      </c>
      <c r="G50" s="34"/>
      <c r="J50"/>
      <c r="K50"/>
      <c r="L50"/>
      <c r="M50"/>
    </row>
    <row r="51" spans="1:13" s="1" customFormat="1" ht="22.5" customHeight="1">
      <c r="A51" s="318" t="s">
        <v>218</v>
      </c>
      <c r="B51" s="321" t="s">
        <v>117</v>
      </c>
      <c r="C51" s="322" t="s">
        <v>159</v>
      </c>
      <c r="D51" s="320">
        <v>44475.69</v>
      </c>
      <c r="G51" s="34"/>
      <c r="J51"/>
      <c r="K51"/>
      <c r="L51"/>
      <c r="M51"/>
    </row>
    <row r="52" spans="1:13" s="1" customFormat="1" ht="24.75" customHeight="1">
      <c r="A52" s="318" t="s">
        <v>254</v>
      </c>
      <c r="B52" s="321" t="s">
        <v>124</v>
      </c>
      <c r="C52" s="323" t="s">
        <v>37</v>
      </c>
      <c r="D52" s="320">
        <v>6380</v>
      </c>
      <c r="G52" s="34"/>
      <c r="J52"/>
      <c r="K52"/>
      <c r="L52"/>
      <c r="M52"/>
    </row>
    <row r="53" spans="1:13" s="1" customFormat="1" ht="19.5" customHeight="1">
      <c r="A53" s="200" t="s">
        <v>255</v>
      </c>
      <c r="B53" s="346" t="s">
        <v>126</v>
      </c>
      <c r="C53" s="110" t="s">
        <v>162</v>
      </c>
      <c r="D53" s="345">
        <v>1038</v>
      </c>
      <c r="G53" s="34"/>
      <c r="J53"/>
      <c r="K53"/>
      <c r="L53"/>
      <c r="M53"/>
    </row>
    <row r="54" spans="1:13" s="1" customFormat="1" ht="19.5" customHeight="1">
      <c r="A54" s="200" t="s">
        <v>158</v>
      </c>
      <c r="B54" s="346" t="s">
        <v>119</v>
      </c>
      <c r="C54" s="347" t="s">
        <v>176</v>
      </c>
      <c r="D54" s="345">
        <v>90763</v>
      </c>
      <c r="G54" s="34"/>
      <c r="J54"/>
      <c r="K54"/>
      <c r="L54"/>
      <c r="M54"/>
    </row>
    <row r="55" spans="1:13" s="1" customFormat="1" ht="29.25" customHeight="1">
      <c r="A55" s="200" t="s">
        <v>256</v>
      </c>
      <c r="B55" s="346" t="s">
        <v>119</v>
      </c>
      <c r="C55" s="110" t="s">
        <v>162</v>
      </c>
      <c r="D55" s="345">
        <v>1748</v>
      </c>
      <c r="G55" s="34"/>
      <c r="J55"/>
      <c r="K55"/>
      <c r="L55"/>
      <c r="M55"/>
    </row>
    <row r="56" spans="1:13" s="1" customFormat="1" ht="18" customHeight="1">
      <c r="A56" s="200" t="s">
        <v>257</v>
      </c>
      <c r="B56" s="348" t="s">
        <v>122</v>
      </c>
      <c r="C56" s="347" t="s">
        <v>176</v>
      </c>
      <c r="D56" s="345">
        <v>30485.24</v>
      </c>
      <c r="G56" s="34"/>
      <c r="J56"/>
      <c r="K56"/>
      <c r="L56"/>
      <c r="M56"/>
    </row>
    <row r="57" spans="1:13" s="1" customFormat="1" ht="30.75" customHeight="1">
      <c r="A57" s="200" t="s">
        <v>258</v>
      </c>
      <c r="B57" s="348" t="s">
        <v>122</v>
      </c>
      <c r="C57" s="110" t="s">
        <v>162</v>
      </c>
      <c r="D57" s="345">
        <v>1072</v>
      </c>
      <c r="G57" s="34"/>
      <c r="J57"/>
      <c r="K57"/>
      <c r="L57"/>
      <c r="M57"/>
    </row>
    <row r="58" spans="1:13" s="1" customFormat="1" ht="19.5" customHeight="1">
      <c r="A58" s="200" t="s">
        <v>259</v>
      </c>
      <c r="B58" s="348" t="s">
        <v>120</v>
      </c>
      <c r="C58" s="110" t="s">
        <v>162</v>
      </c>
      <c r="D58" s="345">
        <v>1775</v>
      </c>
      <c r="G58" s="34"/>
      <c r="J58"/>
      <c r="K58"/>
      <c r="L58"/>
      <c r="M58"/>
    </row>
    <row r="59" spans="1:13" s="1" customFormat="1" ht="24" customHeight="1">
      <c r="A59" s="200" t="s">
        <v>260</v>
      </c>
      <c r="B59" s="348" t="s">
        <v>120</v>
      </c>
      <c r="C59" s="110" t="s">
        <v>162</v>
      </c>
      <c r="D59" s="345">
        <v>10880</v>
      </c>
      <c r="G59" s="34"/>
      <c r="J59"/>
      <c r="K59"/>
      <c r="L59"/>
      <c r="M59"/>
    </row>
    <row r="60" spans="1:13" s="1" customFormat="1" ht="24.75" customHeight="1">
      <c r="A60" s="200" t="s">
        <v>177</v>
      </c>
      <c r="B60" s="348" t="s">
        <v>123</v>
      </c>
      <c r="C60" s="110" t="s">
        <v>261</v>
      </c>
      <c r="D60" s="345">
        <v>30291</v>
      </c>
      <c r="G60" s="34"/>
      <c r="J60"/>
      <c r="K60"/>
      <c r="L60"/>
      <c r="M60"/>
    </row>
    <row r="61" spans="1:13" s="1" customFormat="1" ht="26.25" customHeight="1">
      <c r="A61" s="200" t="s">
        <v>262</v>
      </c>
      <c r="B61" s="348" t="s">
        <v>123</v>
      </c>
      <c r="C61" s="323" t="s">
        <v>37</v>
      </c>
      <c r="D61" s="345">
        <v>6478.19</v>
      </c>
      <c r="G61" s="34"/>
      <c r="J61"/>
      <c r="K61"/>
      <c r="L61"/>
      <c r="M61"/>
    </row>
    <row r="62" spans="1:13" s="1" customFormat="1" ht="17.25" customHeight="1">
      <c r="A62" s="318" t="s">
        <v>263</v>
      </c>
      <c r="B62" s="321" t="s">
        <v>123</v>
      </c>
      <c r="C62" s="110" t="s">
        <v>162</v>
      </c>
      <c r="D62" s="320">
        <v>469</v>
      </c>
      <c r="G62" s="34"/>
      <c r="J62"/>
      <c r="K62"/>
      <c r="L62"/>
      <c r="M62"/>
    </row>
    <row r="63" spans="1:13" s="1" customFormat="1" ht="25.5" customHeight="1">
      <c r="A63" s="318" t="s">
        <v>264</v>
      </c>
      <c r="B63" s="321" t="s">
        <v>125</v>
      </c>
      <c r="C63" s="323" t="s">
        <v>174</v>
      </c>
      <c r="D63" s="320">
        <v>51861</v>
      </c>
      <c r="G63" s="34"/>
      <c r="J63"/>
      <c r="K63"/>
      <c r="L63"/>
      <c r="M63"/>
    </row>
    <row r="64" spans="1:13" s="1" customFormat="1" ht="12.75">
      <c r="A64" s="23" t="s">
        <v>53</v>
      </c>
      <c r="B64" s="109"/>
      <c r="C64" s="112"/>
      <c r="D64" s="334">
        <f>D29+D30+D31+D32+D33+D34+D35+D36+D37+D38+D39+D40+D42+D43+D44</f>
        <v>2049676.2120000003</v>
      </c>
      <c r="G64" s="466">
        <f>D64-D42-D43-D44</f>
        <v>1537222.012</v>
      </c>
      <c r="J64"/>
      <c r="K64"/>
      <c r="L64"/>
      <c r="M64"/>
    </row>
    <row r="65" spans="1:13" s="1" customFormat="1" ht="12.75">
      <c r="A65" s="23" t="s">
        <v>54</v>
      </c>
      <c r="B65" s="109" t="s">
        <v>12</v>
      </c>
      <c r="C65" s="112"/>
      <c r="D65" s="75">
        <f>C26-D64</f>
        <v>331987.02376599936</v>
      </c>
      <c r="G65" s="466"/>
      <c r="J65"/>
      <c r="K65"/>
      <c r="L65"/>
      <c r="M65"/>
    </row>
    <row r="66" spans="1:7" ht="12.75">
      <c r="A66" s="112" t="s">
        <v>13</v>
      </c>
      <c r="B66" s="109" t="s">
        <v>12</v>
      </c>
      <c r="C66" s="112"/>
      <c r="D66" s="77">
        <v>0</v>
      </c>
      <c r="G66" s="34"/>
    </row>
    <row r="67" spans="1:7" ht="12.75">
      <c r="A67" s="112" t="s">
        <v>14</v>
      </c>
      <c r="B67" s="109" t="s">
        <v>12</v>
      </c>
      <c r="C67" s="112"/>
      <c r="D67" s="75">
        <f>C16+C17-C22</f>
        <v>235619.894234</v>
      </c>
      <c r="G67" s="34"/>
    </row>
    <row r="68" spans="1:7" ht="24" customHeight="1">
      <c r="A68" s="495" t="s">
        <v>55</v>
      </c>
      <c r="B68" s="495"/>
      <c r="C68" s="495"/>
      <c r="D68" s="495"/>
      <c r="G68" s="34"/>
    </row>
    <row r="69" spans="1:7" ht="12.75">
      <c r="A69" s="112" t="s">
        <v>56</v>
      </c>
      <c r="B69" s="109" t="s">
        <v>57</v>
      </c>
      <c r="C69" s="112"/>
      <c r="D69" s="77">
        <v>0</v>
      </c>
      <c r="G69" s="34"/>
    </row>
    <row r="70" spans="1:7" ht="12.75">
      <c r="A70" s="112" t="s">
        <v>58</v>
      </c>
      <c r="B70" s="109" t="s">
        <v>57</v>
      </c>
      <c r="C70" s="112"/>
      <c r="D70" s="77">
        <v>0</v>
      </c>
      <c r="G70" s="34"/>
    </row>
    <row r="71" spans="1:7" ht="12.75">
      <c r="A71" s="127" t="s">
        <v>59</v>
      </c>
      <c r="B71" s="109" t="s">
        <v>57</v>
      </c>
      <c r="C71" s="112"/>
      <c r="D71" s="77">
        <v>0</v>
      </c>
      <c r="G71" s="34"/>
    </row>
    <row r="72" spans="1:7" ht="12.75">
      <c r="A72" s="112" t="s">
        <v>60</v>
      </c>
      <c r="B72" s="109" t="s">
        <v>12</v>
      </c>
      <c r="C72" s="112"/>
      <c r="D72" s="77">
        <v>0</v>
      </c>
      <c r="G72" s="34"/>
    </row>
    <row r="73" spans="1:7" ht="20.25" customHeight="1">
      <c r="A73" s="496" t="s">
        <v>61</v>
      </c>
      <c r="B73" s="496"/>
      <c r="C73" s="496"/>
      <c r="D73" s="496"/>
      <c r="G73" s="34"/>
    </row>
    <row r="74" spans="1:7" ht="25.5">
      <c r="A74" s="127" t="s">
        <v>62</v>
      </c>
      <c r="B74" s="109" t="s">
        <v>12</v>
      </c>
      <c r="C74" s="112"/>
      <c r="D74" s="77">
        <v>0</v>
      </c>
      <c r="G74" s="34"/>
    </row>
    <row r="75" spans="1:7" ht="12.75">
      <c r="A75" s="112" t="s">
        <v>13</v>
      </c>
      <c r="B75" s="109" t="s">
        <v>12</v>
      </c>
      <c r="C75" s="112"/>
      <c r="D75" s="77">
        <v>0</v>
      </c>
      <c r="G75" s="34"/>
    </row>
    <row r="76" spans="1:7" ht="12.75">
      <c r="A76" s="112" t="s">
        <v>14</v>
      </c>
      <c r="B76" s="109" t="s">
        <v>12</v>
      </c>
      <c r="C76" s="112"/>
      <c r="D76" s="335">
        <f>D79-D82-D83-D84-D85-D86</f>
        <v>227363.39349499985</v>
      </c>
      <c r="G76" s="36"/>
    </row>
    <row r="77" spans="1:7" ht="12.75">
      <c r="A77" s="129" t="s">
        <v>101</v>
      </c>
      <c r="B77" s="109" t="s">
        <v>12</v>
      </c>
      <c r="C77" s="324"/>
      <c r="D77" s="131">
        <v>0</v>
      </c>
      <c r="G77" s="34"/>
    </row>
    <row r="78" spans="1:9" ht="17.25" customHeight="1">
      <c r="A78" s="132" t="s">
        <v>13</v>
      </c>
      <c r="B78" s="109" t="s">
        <v>12</v>
      </c>
      <c r="C78" s="112"/>
      <c r="D78" s="77">
        <v>0</v>
      </c>
      <c r="G78" s="34"/>
      <c r="H78" s="3"/>
      <c r="I78" s="3"/>
    </row>
    <row r="79" spans="1:13" ht="12.75">
      <c r="A79" s="133" t="s">
        <v>14</v>
      </c>
      <c r="B79" s="109" t="s">
        <v>12</v>
      </c>
      <c r="C79" s="202"/>
      <c r="D79" s="336">
        <v>195672.56</v>
      </c>
      <c r="G79" s="34" t="s">
        <v>27</v>
      </c>
      <c r="H79" s="4"/>
      <c r="I79" s="4"/>
      <c r="J79" s="5"/>
      <c r="K79" s="5"/>
      <c r="L79" s="5"/>
      <c r="M79" s="5"/>
    </row>
    <row r="80" spans="1:13" ht="18" customHeight="1" thickBot="1">
      <c r="A80" s="497" t="s">
        <v>64</v>
      </c>
      <c r="B80" s="497"/>
      <c r="C80" s="497"/>
      <c r="D80" s="497"/>
      <c r="E80" s="6"/>
      <c r="F80" s="7"/>
      <c r="G80" s="34"/>
      <c r="H80" s="8"/>
      <c r="I80" s="8"/>
      <c r="J80" s="9"/>
      <c r="K80" s="9"/>
      <c r="L80" s="9"/>
      <c r="M80" s="9"/>
    </row>
    <row r="81" spans="1:13" ht="63.75">
      <c r="A81" s="249" t="s">
        <v>65</v>
      </c>
      <c r="B81" s="11" t="s">
        <v>66</v>
      </c>
      <c r="C81" s="53" t="s">
        <v>67</v>
      </c>
      <c r="D81" s="337" t="s">
        <v>68</v>
      </c>
      <c r="E81" s="6"/>
      <c r="F81" s="7"/>
      <c r="G81" s="34"/>
      <c r="H81" s="8"/>
      <c r="I81" s="8"/>
      <c r="J81" s="9"/>
      <c r="K81" s="9"/>
      <c r="L81" s="9"/>
      <c r="M81" s="9"/>
    </row>
    <row r="82" spans="1:13" ht="12.75">
      <c r="A82" s="364" t="s">
        <v>194</v>
      </c>
      <c r="B82" s="24">
        <v>335181.34</v>
      </c>
      <c r="C82" s="405">
        <f>B82*1.0271</f>
        <v>344264.754314</v>
      </c>
      <c r="D82" s="406">
        <f>B82-C82</f>
        <v>-9083.414313999994</v>
      </c>
      <c r="E82" s="6"/>
      <c r="F82" s="7"/>
      <c r="G82" s="34"/>
      <c r="H82" s="8"/>
      <c r="I82" s="8"/>
      <c r="J82" s="9"/>
      <c r="K82" s="9"/>
      <c r="L82" s="9"/>
      <c r="M82" s="9"/>
    </row>
    <row r="83" spans="1:13" ht="12.75">
      <c r="A83" s="137" t="s">
        <v>69</v>
      </c>
      <c r="B83" s="96">
        <v>44623.29</v>
      </c>
      <c r="C83" s="405">
        <f>B83*1.0271</f>
        <v>45832.581158999994</v>
      </c>
      <c r="D83" s="406">
        <f>B83-C83</f>
        <v>-1209.291158999993</v>
      </c>
      <c r="E83" s="6"/>
      <c r="F83" s="7"/>
      <c r="G83" s="34"/>
      <c r="H83" s="8"/>
      <c r="I83" s="8"/>
      <c r="J83" s="9"/>
      <c r="K83" s="9"/>
      <c r="L83" s="9"/>
      <c r="M83" s="9"/>
    </row>
    <row r="84" spans="1:13" ht="12.75">
      <c r="A84" s="137" t="s">
        <v>70</v>
      </c>
      <c r="B84" s="96">
        <v>78324.39</v>
      </c>
      <c r="C84" s="405">
        <f>B84*1.0271</f>
        <v>80446.980969</v>
      </c>
      <c r="D84" s="406">
        <f>B84-C84</f>
        <v>-2122.590968999997</v>
      </c>
      <c r="E84" s="6"/>
      <c r="F84" s="7"/>
      <c r="G84" s="34"/>
      <c r="H84" s="8"/>
      <c r="I84" s="8"/>
      <c r="J84" s="9"/>
      <c r="K84" s="9"/>
      <c r="L84" s="9"/>
      <c r="M84" s="9"/>
    </row>
    <row r="85" spans="1:13" ht="12.75">
      <c r="A85" s="137" t="s">
        <v>71</v>
      </c>
      <c r="B85" s="136">
        <v>600485.22</v>
      </c>
      <c r="C85" s="405">
        <f>B85*1.0271</f>
        <v>616758.3694619999</v>
      </c>
      <c r="D85" s="406">
        <f>B85-C85</f>
        <v>-16273.149461999885</v>
      </c>
      <c r="E85" s="15"/>
      <c r="F85" s="16"/>
      <c r="G85" s="39"/>
      <c r="H85" s="8"/>
      <c r="I85" s="8"/>
      <c r="J85" s="9"/>
      <c r="K85" s="9"/>
      <c r="L85" s="9"/>
      <c r="M85" s="9"/>
    </row>
    <row r="86" spans="1:13" ht="13.5" thickBot="1">
      <c r="A86" s="137" t="s">
        <v>72</v>
      </c>
      <c r="B86" s="136">
        <v>110789.21</v>
      </c>
      <c r="C86" s="405">
        <f>B86*1.0271</f>
        <v>113791.597591</v>
      </c>
      <c r="D86" s="406">
        <f>B86-C86</f>
        <v>-3002.3875909999915</v>
      </c>
      <c r="E86" s="15"/>
      <c r="F86" s="16"/>
      <c r="G86" s="34"/>
      <c r="H86" s="8"/>
      <c r="I86" s="8"/>
      <c r="J86" s="9"/>
      <c r="K86" s="9"/>
      <c r="L86" s="9"/>
      <c r="M86" s="9"/>
    </row>
    <row r="87" spans="1:13" ht="96" customHeight="1">
      <c r="A87" s="29" t="s">
        <v>74</v>
      </c>
      <c r="B87" s="30" t="s">
        <v>75</v>
      </c>
      <c r="C87" s="55" t="s">
        <v>76</v>
      </c>
      <c r="D87" s="56" t="s">
        <v>77</v>
      </c>
      <c r="E87" s="28"/>
      <c r="G87" s="38"/>
      <c r="H87" s="8"/>
      <c r="I87" s="8"/>
      <c r="J87" s="9"/>
      <c r="K87" s="9"/>
      <c r="L87" s="9"/>
      <c r="M87" s="9"/>
    </row>
    <row r="88" spans="1:13" ht="16.5" customHeight="1">
      <c r="A88" s="368" t="s">
        <v>194</v>
      </c>
      <c r="B88" s="362">
        <f aca="true" t="shared" si="0" ref="B88:C90">B82</f>
        <v>335181.34</v>
      </c>
      <c r="C88" s="59">
        <f t="shared" si="0"/>
        <v>344264.754314</v>
      </c>
      <c r="D88" s="365">
        <f>B88-C88</f>
        <v>-9083.414313999994</v>
      </c>
      <c r="E88" s="28"/>
      <c r="G88" s="38"/>
      <c r="H88" s="8"/>
      <c r="I88" s="8"/>
      <c r="J88" s="9"/>
      <c r="K88" s="9"/>
      <c r="L88" s="9"/>
      <c r="M88" s="9"/>
    </row>
    <row r="89" spans="1:13" ht="12.75">
      <c r="A89" s="205" t="s">
        <v>69</v>
      </c>
      <c r="B89" s="206">
        <f t="shared" si="0"/>
        <v>44623.29</v>
      </c>
      <c r="C89" s="59">
        <f t="shared" si="0"/>
        <v>45832.581158999994</v>
      </c>
      <c r="D89" s="407">
        <f>B89-C89</f>
        <v>-1209.291158999993</v>
      </c>
      <c r="E89" s="28"/>
      <c r="G89" s="38"/>
      <c r="H89" s="8"/>
      <c r="I89" s="8" t="s">
        <v>27</v>
      </c>
      <c r="J89" s="9"/>
      <c r="K89" s="9"/>
      <c r="L89" s="9"/>
      <c r="M89" s="9"/>
    </row>
    <row r="90" spans="1:13" ht="12.75">
      <c r="A90" s="205" t="s">
        <v>70</v>
      </c>
      <c r="B90" s="206">
        <f t="shared" si="0"/>
        <v>78324.39</v>
      </c>
      <c r="C90" s="59">
        <f t="shared" si="0"/>
        <v>80446.980969</v>
      </c>
      <c r="D90" s="407">
        <f>B90-C90</f>
        <v>-2122.590968999997</v>
      </c>
      <c r="E90" s="28"/>
      <c r="G90" s="38"/>
      <c r="H90" s="8"/>
      <c r="I90" s="8"/>
      <c r="J90" s="9"/>
      <c r="K90" s="9"/>
      <c r="L90" s="9"/>
      <c r="M90" s="9"/>
    </row>
    <row r="91" spans="1:13" ht="12.75">
      <c r="A91" s="205" t="s">
        <v>71</v>
      </c>
      <c r="B91" s="206">
        <v>407244.92</v>
      </c>
      <c r="C91" s="405">
        <f>C85</f>
        <v>616758.3694619999</v>
      </c>
      <c r="D91" s="407">
        <f>B91-C91</f>
        <v>-209513.44946199987</v>
      </c>
      <c r="E91" s="28"/>
      <c r="G91" s="38"/>
      <c r="H91" s="8"/>
      <c r="I91" s="8"/>
      <c r="J91" s="9"/>
      <c r="K91" s="9"/>
      <c r="L91" s="9"/>
      <c r="M91" s="9"/>
    </row>
    <row r="92" spans="1:13" ht="12.75">
      <c r="A92" s="205" t="s">
        <v>72</v>
      </c>
      <c r="B92" s="206">
        <f>B86</f>
        <v>110789.21</v>
      </c>
      <c r="C92" s="59">
        <f>B92*1.0271</f>
        <v>113791.597591</v>
      </c>
      <c r="D92" s="407">
        <f>B92-C92</f>
        <v>-3002.3875909999915</v>
      </c>
      <c r="E92" s="28"/>
      <c r="G92" s="38"/>
      <c r="H92" s="8"/>
      <c r="I92" s="8"/>
      <c r="J92" s="9"/>
      <c r="K92" s="9"/>
      <c r="L92" s="9"/>
      <c r="M92" s="9"/>
    </row>
    <row r="93" spans="1:13" ht="12.75">
      <c r="A93" s="212"/>
      <c r="B93" s="141"/>
      <c r="C93" s="59"/>
      <c r="D93" s="409"/>
      <c r="E93" s="15"/>
      <c r="G93" s="38"/>
      <c r="H93" s="8"/>
      <c r="I93" s="8"/>
      <c r="J93" s="9"/>
      <c r="K93" s="9"/>
      <c r="L93" s="9"/>
      <c r="M93" s="9"/>
    </row>
    <row r="94" spans="1:13" ht="24" customHeight="1">
      <c r="A94" s="215" t="s">
        <v>78</v>
      </c>
      <c r="B94" s="141" t="s">
        <v>12</v>
      </c>
      <c r="C94" s="410"/>
      <c r="D94" s="411">
        <v>0</v>
      </c>
      <c r="E94" s="15"/>
      <c r="G94" s="38"/>
      <c r="H94" s="8"/>
      <c r="I94" s="8" t="s">
        <v>27</v>
      </c>
      <c r="J94" s="9"/>
      <c r="K94" s="9"/>
      <c r="L94" s="9"/>
      <c r="M94" s="9"/>
    </row>
    <row r="95" spans="1:13" ht="17.25" customHeight="1" thickBot="1">
      <c r="A95" s="498" t="s">
        <v>79</v>
      </c>
      <c r="B95" s="498"/>
      <c r="C95" s="498"/>
      <c r="D95" s="498"/>
      <c r="E95" s="8"/>
      <c r="G95" s="40" t="e">
        <f>#REF!-B17</f>
        <v>#REF!</v>
      </c>
      <c r="H95" s="8"/>
      <c r="I95" s="8"/>
      <c r="J95" s="9"/>
      <c r="K95" s="9"/>
      <c r="L95" s="9"/>
      <c r="M95" s="9"/>
    </row>
    <row r="96" spans="1:7" ht="21" customHeight="1">
      <c r="A96" s="325" t="s">
        <v>56</v>
      </c>
      <c r="B96" s="326" t="s">
        <v>57</v>
      </c>
      <c r="C96" s="327">
        <v>0</v>
      </c>
      <c r="D96" s="412">
        <v>0</v>
      </c>
      <c r="G96" s="34"/>
    </row>
    <row r="97" spans="1:7" ht="21" customHeight="1">
      <c r="A97" s="328" t="s">
        <v>58</v>
      </c>
      <c r="B97" s="19" t="s">
        <v>57</v>
      </c>
      <c r="C97" s="27">
        <v>0</v>
      </c>
      <c r="D97" s="413">
        <v>0</v>
      </c>
      <c r="G97" s="34"/>
    </row>
    <row r="98" spans="1:13" s="1" customFormat="1" ht="18" customHeight="1">
      <c r="A98" s="328" t="s">
        <v>59</v>
      </c>
      <c r="B98" s="19" t="s">
        <v>57</v>
      </c>
      <c r="C98" s="27">
        <v>0</v>
      </c>
      <c r="D98" s="413">
        <v>0</v>
      </c>
      <c r="G98" s="34"/>
      <c r="J98"/>
      <c r="K98"/>
      <c r="L98"/>
      <c r="M98"/>
    </row>
    <row r="99" spans="1:13" s="1" customFormat="1" ht="16.5" customHeight="1" thickBot="1">
      <c r="A99" s="329" t="s">
        <v>60</v>
      </c>
      <c r="B99" s="330" t="s">
        <v>12</v>
      </c>
      <c r="C99" s="331">
        <v>0</v>
      </c>
      <c r="D99" s="332">
        <v>0</v>
      </c>
      <c r="G99" s="34"/>
      <c r="J99"/>
      <c r="K99"/>
      <c r="L99"/>
      <c r="M99"/>
    </row>
    <row r="100" spans="1:13" s="1" customFormat="1" ht="15.75" customHeight="1" thickBot="1">
      <c r="A100" s="491" t="s">
        <v>80</v>
      </c>
      <c r="B100" s="491"/>
      <c r="C100" s="491"/>
      <c r="D100" s="491"/>
      <c r="G100" s="34"/>
      <c r="J100"/>
      <c r="K100"/>
      <c r="L100"/>
      <c r="M100"/>
    </row>
    <row r="101" spans="1:13" s="1" customFormat="1" ht="18.75" customHeight="1">
      <c r="A101" s="325" t="s">
        <v>81</v>
      </c>
      <c r="B101" s="326" t="s">
        <v>57</v>
      </c>
      <c r="C101" s="327"/>
      <c r="D101" s="459" t="s">
        <v>27</v>
      </c>
      <c r="G101" s="34"/>
      <c r="J101"/>
      <c r="K101"/>
      <c r="L101"/>
      <c r="M101"/>
    </row>
    <row r="102" spans="1:13" s="1" customFormat="1" ht="21.75" customHeight="1">
      <c r="A102" s="328" t="s">
        <v>82</v>
      </c>
      <c r="B102" s="132" t="s">
        <v>57</v>
      </c>
      <c r="C102" s="142"/>
      <c r="D102" s="414">
        <v>11</v>
      </c>
      <c r="G102" s="34"/>
      <c r="J102"/>
      <c r="K102"/>
      <c r="L102"/>
      <c r="M102"/>
    </row>
    <row r="103" spans="1:13" s="1" customFormat="1" ht="28.5" customHeight="1" thickBot="1">
      <c r="A103" s="333" t="s">
        <v>83</v>
      </c>
      <c r="B103" s="330" t="s">
        <v>12</v>
      </c>
      <c r="C103" s="331"/>
      <c r="D103" s="338">
        <v>112927.68</v>
      </c>
      <c r="G103" s="34"/>
      <c r="J103"/>
      <c r="K103"/>
      <c r="L103"/>
      <c r="M103"/>
    </row>
    <row r="104" spans="1:13" s="1" customFormat="1" ht="12.75">
      <c r="A104" s="78"/>
      <c r="B104" s="78"/>
      <c r="C104" s="78"/>
      <c r="D104" s="78"/>
      <c r="G104" s="34" t="s">
        <v>27</v>
      </c>
      <c r="J104"/>
      <c r="K104"/>
      <c r="L104"/>
      <c r="M104"/>
    </row>
    <row r="105" spans="1:13" s="1" customFormat="1" ht="12.75">
      <c r="A105" s="87" t="s">
        <v>150</v>
      </c>
      <c r="B105" s="78"/>
      <c r="C105" s="78"/>
      <c r="D105" s="78"/>
      <c r="G105" s="34"/>
      <c r="J105"/>
      <c r="K105"/>
      <c r="L105"/>
      <c r="M105"/>
    </row>
    <row r="106" spans="1:13" s="1" customFormat="1" ht="12.75">
      <c r="A106" s="78" t="s">
        <v>84</v>
      </c>
      <c r="B106" s="78"/>
      <c r="C106" s="78"/>
      <c r="D106" s="78"/>
      <c r="G106" s="34"/>
      <c r="J106"/>
      <c r="K106"/>
      <c r="L106"/>
      <c r="M106"/>
    </row>
    <row r="107" spans="1:4" ht="12.75">
      <c r="A107" s="78"/>
      <c r="B107" s="78"/>
      <c r="C107" s="78"/>
      <c r="D107" s="78"/>
    </row>
    <row r="110" spans="1:13" s="1" customFormat="1" ht="12.75">
      <c r="A110"/>
      <c r="B110"/>
      <c r="C110"/>
      <c r="D110"/>
      <c r="J110"/>
      <c r="K110"/>
      <c r="L110"/>
      <c r="M110"/>
    </row>
  </sheetData>
  <sheetProtection selectLockedCells="1" selectUnlockedCells="1"/>
  <mergeCells count="13">
    <mergeCell ref="A27:D27"/>
    <mergeCell ref="A68:D68"/>
    <mergeCell ref="A73:D73"/>
    <mergeCell ref="A80:D80"/>
    <mergeCell ref="A95:D95"/>
    <mergeCell ref="A100:D100"/>
    <mergeCell ref="A1:D1"/>
    <mergeCell ref="A2:D2"/>
    <mergeCell ref="A3:D3"/>
    <mergeCell ref="A4:D4"/>
    <mergeCell ref="A5:D5"/>
    <mergeCell ref="A13:D13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"/>
  <sheetViews>
    <sheetView zoomScalePageLayoutView="0" workbookViewId="0" topLeftCell="A46">
      <selection activeCell="D62" sqref="D62"/>
    </sheetView>
  </sheetViews>
  <sheetFormatPr defaultColWidth="11.57421875" defaultRowHeight="12.75"/>
  <cols>
    <col min="1" max="1" width="59.28125" style="0" customWidth="1"/>
    <col min="2" max="2" width="15.8515625" style="0" customWidth="1"/>
    <col min="3" max="3" width="22.8515625" style="0" customWidth="1"/>
    <col min="4" max="4" width="15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74" t="s">
        <v>0</v>
      </c>
      <c r="B1" s="474"/>
      <c r="C1" s="474"/>
      <c r="D1" s="474"/>
    </row>
    <row r="2" spans="1:4" ht="15.75">
      <c r="A2" s="475" t="s">
        <v>163</v>
      </c>
      <c r="B2" s="476"/>
      <c r="C2" s="476"/>
      <c r="D2" s="476"/>
    </row>
    <row r="3" spans="1:4" ht="15.75">
      <c r="A3" s="476" t="s">
        <v>1</v>
      </c>
      <c r="B3" s="476"/>
      <c r="C3" s="476"/>
      <c r="D3" s="476"/>
    </row>
    <row r="4" spans="1:4" ht="12.75">
      <c r="A4" s="478" t="s">
        <v>103</v>
      </c>
      <c r="B4" s="478"/>
      <c r="C4" s="478"/>
      <c r="D4" s="478"/>
    </row>
    <row r="5" spans="1:4" ht="12.75">
      <c r="A5" s="477" t="s">
        <v>203</v>
      </c>
      <c r="B5" s="478"/>
      <c r="C5" s="478"/>
      <c r="D5" s="478"/>
    </row>
    <row r="6" ht="3" customHeight="1">
      <c r="A6" s="2"/>
    </row>
    <row r="7" spans="1:4" ht="18" customHeight="1">
      <c r="A7" s="480" t="s">
        <v>3</v>
      </c>
      <c r="B7" s="506"/>
      <c r="C7" s="506"/>
      <c r="D7" s="506"/>
    </row>
    <row r="8" spans="1:4" ht="12" customHeight="1" hidden="1">
      <c r="A8" s="52" t="s">
        <v>139</v>
      </c>
      <c r="B8" s="22"/>
      <c r="C8" s="22"/>
      <c r="D8" s="22"/>
    </row>
    <row r="9" spans="1:4" ht="12" customHeight="1">
      <c r="A9" s="52" t="s">
        <v>183</v>
      </c>
      <c r="B9" s="22"/>
      <c r="C9" s="22"/>
      <c r="D9" s="22"/>
    </row>
    <row r="10" spans="1:4" ht="12.75">
      <c r="A10" s="91">
        <v>1</v>
      </c>
      <c r="B10" s="91">
        <v>2</v>
      </c>
      <c r="C10" s="91">
        <v>3</v>
      </c>
      <c r="D10" s="92">
        <v>4</v>
      </c>
    </row>
    <row r="11" spans="1:8" ht="12.75">
      <c r="A11" s="64" t="s">
        <v>7</v>
      </c>
      <c r="B11" s="93"/>
      <c r="C11" s="94" t="s">
        <v>204</v>
      </c>
      <c r="D11" s="77"/>
      <c r="E11" s="34"/>
      <c r="F11" s="34"/>
      <c r="G11" s="34"/>
      <c r="H11" s="34"/>
    </row>
    <row r="12" spans="1:8" ht="12.75">
      <c r="A12" s="64" t="s">
        <v>8</v>
      </c>
      <c r="B12" s="93"/>
      <c r="C12" s="94" t="s">
        <v>205</v>
      </c>
      <c r="D12" s="77"/>
      <c r="E12" s="34"/>
      <c r="F12" s="34"/>
      <c r="G12" s="34"/>
      <c r="H12" s="34"/>
    </row>
    <row r="13" spans="1:8" ht="12.75">
      <c r="A13" s="64" t="s">
        <v>9</v>
      </c>
      <c r="B13" s="93"/>
      <c r="C13" s="94" t="s">
        <v>206</v>
      </c>
      <c r="D13" s="77"/>
      <c r="E13" s="34"/>
      <c r="F13" s="34"/>
      <c r="G13" s="34"/>
      <c r="H13" s="34"/>
    </row>
    <row r="14" spans="1:8" ht="31.5" customHeight="1">
      <c r="A14" s="493" t="s">
        <v>10</v>
      </c>
      <c r="B14" s="493"/>
      <c r="C14" s="493"/>
      <c r="D14" s="493"/>
      <c r="E14" s="34"/>
      <c r="F14" s="34"/>
      <c r="G14" s="34"/>
      <c r="H14" s="34"/>
    </row>
    <row r="15" spans="1:8" ht="12.75">
      <c r="A15" s="64" t="s">
        <v>93</v>
      </c>
      <c r="B15" s="95" t="s">
        <v>12</v>
      </c>
      <c r="C15" s="71">
        <v>60497.13</v>
      </c>
      <c r="D15" s="77"/>
      <c r="E15" s="34"/>
      <c r="F15" s="34"/>
      <c r="G15" s="34"/>
      <c r="H15" s="34"/>
    </row>
    <row r="16" spans="1:8" ht="12.75">
      <c r="A16" s="64" t="s">
        <v>13</v>
      </c>
      <c r="B16" s="95" t="s">
        <v>12</v>
      </c>
      <c r="C16" s="96">
        <v>0</v>
      </c>
      <c r="D16" s="77"/>
      <c r="E16" s="34"/>
      <c r="F16" s="34"/>
      <c r="G16" s="34"/>
      <c r="H16" s="34"/>
    </row>
    <row r="17" spans="1:8" ht="12.75">
      <c r="A17" s="64" t="s">
        <v>14</v>
      </c>
      <c r="B17" s="95" t="s">
        <v>12</v>
      </c>
      <c r="C17" s="71">
        <v>320485.6</v>
      </c>
      <c r="D17" s="75"/>
      <c r="E17" s="34"/>
      <c r="F17" s="34"/>
      <c r="G17" s="34"/>
      <c r="H17" s="34"/>
    </row>
    <row r="18" spans="1:8" ht="24.75" customHeight="1">
      <c r="A18" s="63" t="s">
        <v>15</v>
      </c>
      <c r="B18" s="95" t="s">
        <v>12</v>
      </c>
      <c r="C18" s="71">
        <f>1176377.02+8630.34+4931.64+126000.36</f>
        <v>1315939.36</v>
      </c>
      <c r="D18" s="75"/>
      <c r="E18" s="41">
        <f>C18-C20-139562.34</f>
        <v>1031883.484</v>
      </c>
      <c r="F18" s="34"/>
      <c r="G18" s="34"/>
      <c r="H18" s="34"/>
    </row>
    <row r="19" spans="1:8" ht="12.75">
      <c r="A19" s="64" t="s">
        <v>16</v>
      </c>
      <c r="B19" s="95" t="s">
        <v>12</v>
      </c>
      <c r="C19" s="71">
        <f>C18-C20-C21</f>
        <v>964815.1359999999</v>
      </c>
      <c r="D19" s="75"/>
      <c r="E19" s="41">
        <f>E18-E62</f>
        <v>0</v>
      </c>
      <c r="F19" s="34"/>
      <c r="G19" s="34"/>
      <c r="H19" s="61"/>
    </row>
    <row r="20" spans="1:8" ht="12.75">
      <c r="A20" s="64" t="s">
        <v>17</v>
      </c>
      <c r="B20" s="95" t="s">
        <v>12</v>
      </c>
      <c r="C20" s="71">
        <f>2.93*12*4109.6</f>
        <v>144493.53600000002</v>
      </c>
      <c r="D20" s="75"/>
      <c r="E20" s="42"/>
      <c r="F20" s="34"/>
      <c r="G20" s="34"/>
      <c r="H20" s="34"/>
    </row>
    <row r="21" spans="1:8" ht="12.75">
      <c r="A21" s="64" t="s">
        <v>18</v>
      </c>
      <c r="B21" s="95" t="s">
        <v>12</v>
      </c>
      <c r="C21" s="71">
        <f>4109.6*4.19*12</f>
        <v>206630.68800000002</v>
      </c>
      <c r="D21" s="75"/>
      <c r="E21" s="34"/>
      <c r="F21" s="34"/>
      <c r="G21" s="34"/>
      <c r="H21" s="34"/>
    </row>
    <row r="22" spans="1:8" ht="12.75">
      <c r="A22" s="64" t="s">
        <v>19</v>
      </c>
      <c r="B22" s="95" t="s">
        <v>12</v>
      </c>
      <c r="C22" s="71">
        <f>C23+C24+C25+C26</f>
        <v>1298955.969504</v>
      </c>
      <c r="D22" s="75"/>
      <c r="E22" s="41" t="e">
        <f>B24+B25+B26+#REF!+B27</f>
        <v>#VALUE!</v>
      </c>
      <c r="F22" s="34"/>
      <c r="G22" s="34"/>
      <c r="H22" s="34"/>
    </row>
    <row r="23" spans="1:8" ht="12.75">
      <c r="A23" s="64" t="s">
        <v>21</v>
      </c>
      <c r="B23" s="95" t="s">
        <v>12</v>
      </c>
      <c r="C23" s="71">
        <f>C18*0.9789</f>
        <v>1288173.039504</v>
      </c>
      <c r="D23" s="75"/>
      <c r="E23" s="34"/>
      <c r="F23" s="34"/>
      <c r="G23" s="34"/>
      <c r="H23" s="34"/>
    </row>
    <row r="24" spans="1:8" ht="12.75">
      <c r="A24" s="64" t="s">
        <v>22</v>
      </c>
      <c r="B24" s="95" t="s">
        <v>12</v>
      </c>
      <c r="C24" s="71">
        <v>0</v>
      </c>
      <c r="D24" s="75"/>
      <c r="E24" s="42" t="e">
        <f>B24/#REF!*1</f>
        <v>#VALUE!</v>
      </c>
      <c r="F24" s="34"/>
      <c r="G24" s="34"/>
      <c r="H24" s="34"/>
    </row>
    <row r="25" spans="1:8" ht="12.75">
      <c r="A25" s="64" t="s">
        <v>24</v>
      </c>
      <c r="B25" s="95" t="s">
        <v>12</v>
      </c>
      <c r="C25" s="71">
        <v>0</v>
      </c>
      <c r="D25" s="75"/>
      <c r="E25" s="42" t="e">
        <f>B25/#REF!*1</f>
        <v>#VALUE!</v>
      </c>
      <c r="F25" s="34"/>
      <c r="G25" s="34"/>
      <c r="H25" s="34"/>
    </row>
    <row r="26" spans="1:8" ht="12.75">
      <c r="A26" s="93" t="s">
        <v>25</v>
      </c>
      <c r="B26" s="95" t="s">
        <v>12</v>
      </c>
      <c r="C26" s="71">
        <f>3364.17+4526.28+2892.48</f>
        <v>10782.93</v>
      </c>
      <c r="D26" s="75"/>
      <c r="E26" s="42" t="e">
        <f>B26/#REF!*1</f>
        <v>#VALUE!</v>
      </c>
      <c r="F26" s="34"/>
      <c r="G26" s="34"/>
      <c r="H26" s="34"/>
    </row>
    <row r="27" spans="1:8" ht="12.75">
      <c r="A27" s="64" t="s">
        <v>26</v>
      </c>
      <c r="B27" s="95" t="s">
        <v>12</v>
      </c>
      <c r="C27" s="71">
        <f>C15+C22</f>
        <v>1359453.0995039998</v>
      </c>
      <c r="D27" s="75" t="s">
        <v>27</v>
      </c>
      <c r="E27" s="42" t="e">
        <f>B27/#REF!*1</f>
        <v>#VALUE!</v>
      </c>
      <c r="F27" s="34"/>
      <c r="G27" s="34"/>
      <c r="H27" s="34"/>
    </row>
    <row r="28" spans="1:8" ht="35.25" customHeight="1">
      <c r="A28" s="496" t="s">
        <v>28</v>
      </c>
      <c r="B28" s="496"/>
      <c r="C28" s="496"/>
      <c r="D28" s="496"/>
      <c r="E28" s="34"/>
      <c r="F28" s="34"/>
      <c r="G28" s="34"/>
      <c r="H28" s="34"/>
    </row>
    <row r="29" spans="1:8" ht="51">
      <c r="A29" s="127" t="s">
        <v>29</v>
      </c>
      <c r="B29" s="169" t="s">
        <v>30</v>
      </c>
      <c r="C29" s="196" t="s">
        <v>31</v>
      </c>
      <c r="D29" s="197" t="s">
        <v>32</v>
      </c>
      <c r="E29" s="34"/>
      <c r="F29" s="34"/>
      <c r="G29" s="34"/>
      <c r="H29" s="34"/>
    </row>
    <row r="30" spans="1:8" ht="12.75">
      <c r="A30" s="112" t="s">
        <v>94</v>
      </c>
      <c r="B30" s="109" t="s">
        <v>34</v>
      </c>
      <c r="C30" s="110" t="s">
        <v>190</v>
      </c>
      <c r="D30" s="75">
        <f>0.5*12*4109.6</f>
        <v>24657.600000000002</v>
      </c>
      <c r="E30" s="34"/>
      <c r="F30" s="34"/>
      <c r="G30" s="34"/>
      <c r="H30" s="34"/>
    </row>
    <row r="31" spans="1:8" ht="18" customHeight="1">
      <c r="A31" s="112" t="s">
        <v>87</v>
      </c>
      <c r="B31" s="109" t="s">
        <v>36</v>
      </c>
      <c r="C31" s="112" t="s">
        <v>43</v>
      </c>
      <c r="D31" s="75">
        <f>2.4*12*4109.6</f>
        <v>118356.48</v>
      </c>
      <c r="E31" s="34"/>
      <c r="F31" s="34"/>
      <c r="G31" s="34"/>
      <c r="H31" s="34"/>
    </row>
    <row r="32" spans="1:8" ht="15" customHeight="1">
      <c r="A32" s="112" t="s">
        <v>189</v>
      </c>
      <c r="B32" s="109" t="s">
        <v>42</v>
      </c>
      <c r="C32" s="112" t="s">
        <v>367</v>
      </c>
      <c r="D32" s="366">
        <f>0.15*12*4109.6</f>
        <v>7397.28</v>
      </c>
      <c r="E32" s="34"/>
      <c r="F32" s="34"/>
      <c r="G32" s="34"/>
      <c r="H32" s="34"/>
    </row>
    <row r="33" spans="1:14" s="1" customFormat="1" ht="12.75">
      <c r="A33" s="112" t="s">
        <v>95</v>
      </c>
      <c r="B33" s="109" t="s">
        <v>34</v>
      </c>
      <c r="C33" s="112" t="s">
        <v>40</v>
      </c>
      <c r="D33" s="75">
        <f>0.24*12*4109.6</f>
        <v>11835.648000000001</v>
      </c>
      <c r="E33" s="34"/>
      <c r="F33" s="34"/>
      <c r="G33" s="34"/>
      <c r="H33" s="34"/>
      <c r="K33"/>
      <c r="L33"/>
      <c r="M33"/>
      <c r="N33"/>
    </row>
    <row r="34" spans="1:14" s="1" customFormat="1" ht="12.75">
      <c r="A34" s="112" t="s">
        <v>104</v>
      </c>
      <c r="B34" s="295" t="s">
        <v>34</v>
      </c>
      <c r="C34" s="112" t="s">
        <v>43</v>
      </c>
      <c r="D34" s="75">
        <f>0.73*12*4109.6</f>
        <v>36000.096000000005</v>
      </c>
      <c r="E34" s="34"/>
      <c r="F34" s="34"/>
      <c r="G34" s="34"/>
      <c r="H34" s="34"/>
      <c r="K34"/>
      <c r="L34"/>
      <c r="M34"/>
      <c r="N34"/>
    </row>
    <row r="35" spans="1:14" s="1" customFormat="1" ht="12.75">
      <c r="A35" s="112" t="s">
        <v>88</v>
      </c>
      <c r="B35" s="109" t="s">
        <v>34</v>
      </c>
      <c r="C35" s="112" t="s">
        <v>43</v>
      </c>
      <c r="D35" s="75">
        <f>2.06*12*4109.6</f>
        <v>101589.312</v>
      </c>
      <c r="E35" s="34"/>
      <c r="F35" s="34"/>
      <c r="G35" s="34"/>
      <c r="H35" s="34"/>
      <c r="K35"/>
      <c r="L35"/>
      <c r="M35"/>
      <c r="N35"/>
    </row>
    <row r="36" spans="1:14" s="1" customFormat="1" ht="12.75">
      <c r="A36" s="112" t="s">
        <v>45</v>
      </c>
      <c r="B36" s="109" t="s">
        <v>46</v>
      </c>
      <c r="C36" s="112" t="s">
        <v>43</v>
      </c>
      <c r="D36" s="75">
        <f>1.33*12*4109.6</f>
        <v>65589.21600000001</v>
      </c>
      <c r="E36" s="34"/>
      <c r="F36" s="34"/>
      <c r="G36" s="34"/>
      <c r="H36" s="34"/>
      <c r="K36"/>
      <c r="L36"/>
      <c r="M36"/>
      <c r="N36"/>
    </row>
    <row r="37" spans="1:14" s="1" customFormat="1" ht="12.75">
      <c r="A37" s="112" t="s">
        <v>97</v>
      </c>
      <c r="B37" s="109" t="s">
        <v>38</v>
      </c>
      <c r="C37" s="219" t="s">
        <v>159</v>
      </c>
      <c r="D37" s="75">
        <f>4.19*12*4109.6</f>
        <v>206630.68800000002</v>
      </c>
      <c r="E37" s="34"/>
      <c r="F37" s="34"/>
      <c r="G37" s="34"/>
      <c r="H37" s="34"/>
      <c r="K37"/>
      <c r="L37"/>
      <c r="M37"/>
      <c r="N37"/>
    </row>
    <row r="38" spans="1:14" s="1" customFormat="1" ht="12.75">
      <c r="A38" s="112" t="s">
        <v>98</v>
      </c>
      <c r="B38" s="113" t="s">
        <v>36</v>
      </c>
      <c r="C38" s="112" t="s">
        <v>43</v>
      </c>
      <c r="D38" s="75">
        <f>2.5*12*4109.6</f>
        <v>123288.00000000001</v>
      </c>
      <c r="E38" s="34"/>
      <c r="F38" s="34"/>
      <c r="G38" s="34"/>
      <c r="H38" s="34"/>
      <c r="K38"/>
      <c r="L38"/>
      <c r="M38"/>
      <c r="N38"/>
    </row>
    <row r="39" spans="1:14" s="1" customFormat="1" ht="12.75">
      <c r="A39" s="112" t="s">
        <v>90</v>
      </c>
      <c r="B39" s="109" t="s">
        <v>36</v>
      </c>
      <c r="C39" s="112" t="s">
        <v>50</v>
      </c>
      <c r="D39" s="366">
        <f>4109.6*12*4.99-44174.18</f>
        <v>201908.66800000003</v>
      </c>
      <c r="E39" s="34"/>
      <c r="F39" s="34"/>
      <c r="G39" s="34"/>
      <c r="H39" s="34"/>
      <c r="K39"/>
      <c r="L39"/>
      <c r="M39"/>
      <c r="N39"/>
    </row>
    <row r="40" spans="1:14" s="1" customFormat="1" ht="24.75" customHeight="1">
      <c r="A40" s="219" t="s">
        <v>99</v>
      </c>
      <c r="B40" s="113" t="s">
        <v>36</v>
      </c>
      <c r="C40" s="110" t="s">
        <v>171</v>
      </c>
      <c r="D40" s="75">
        <f>2.56*12*4109.6</f>
        <v>126246.91200000001</v>
      </c>
      <c r="E40" s="34"/>
      <c r="F40" s="34"/>
      <c r="G40" s="34"/>
      <c r="H40" s="34"/>
      <c r="K40"/>
      <c r="L40"/>
      <c r="M40"/>
      <c r="N40"/>
    </row>
    <row r="41" spans="1:14" s="1" customFormat="1" ht="16.5" customHeight="1">
      <c r="A41" s="219" t="s">
        <v>100</v>
      </c>
      <c r="B41" s="113" t="s">
        <v>161</v>
      </c>
      <c r="C41" s="110" t="s">
        <v>40</v>
      </c>
      <c r="D41" s="75">
        <f>4109.6*0.17*12</f>
        <v>8383.584</v>
      </c>
      <c r="E41" s="34"/>
      <c r="F41" s="34"/>
      <c r="G41" s="34"/>
      <c r="H41" s="34"/>
      <c r="K41"/>
      <c r="L41"/>
      <c r="M41"/>
      <c r="N41"/>
    </row>
    <row r="42" spans="1:14" s="1" customFormat="1" ht="26.25" customHeight="1">
      <c r="A42" s="127" t="s">
        <v>142</v>
      </c>
      <c r="B42" s="109"/>
      <c r="C42" s="70"/>
      <c r="D42" s="77"/>
      <c r="E42" s="34"/>
      <c r="F42" s="34"/>
      <c r="G42" s="34"/>
      <c r="H42" s="34"/>
      <c r="K42"/>
      <c r="L42"/>
      <c r="M42"/>
      <c r="N42"/>
    </row>
    <row r="43" spans="1:14" s="1" customFormat="1" ht="19.5" customHeight="1">
      <c r="A43" s="112" t="s">
        <v>140</v>
      </c>
      <c r="B43" s="109" t="s">
        <v>38</v>
      </c>
      <c r="C43" s="70" t="s">
        <v>143</v>
      </c>
      <c r="D43" s="77">
        <f>4987.35+8630.34</f>
        <v>13617.69</v>
      </c>
      <c r="E43" s="34"/>
      <c r="F43" s="34"/>
      <c r="G43" s="34"/>
      <c r="H43" s="34"/>
      <c r="K43"/>
      <c r="L43"/>
      <c r="M43"/>
      <c r="N43"/>
    </row>
    <row r="44" spans="1:14" s="1" customFormat="1" ht="19.5" customHeight="1">
      <c r="A44" s="112" t="s">
        <v>141</v>
      </c>
      <c r="B44" s="109" t="s">
        <v>38</v>
      </c>
      <c r="C44" s="70" t="s">
        <v>144</v>
      </c>
      <c r="D44" s="77">
        <v>126000.36</v>
      </c>
      <c r="E44" s="34"/>
      <c r="F44" s="34"/>
      <c r="G44" s="34"/>
      <c r="H44" s="34"/>
      <c r="K44"/>
      <c r="L44"/>
      <c r="M44"/>
      <c r="N44"/>
    </row>
    <row r="45" spans="1:14" s="1" customFormat="1" ht="27" customHeight="1">
      <c r="A45" s="200" t="s">
        <v>136</v>
      </c>
      <c r="B45" s="201" t="s">
        <v>52</v>
      </c>
      <c r="C45" s="127"/>
      <c r="D45" s="350">
        <f>D46+D47+D48+D49+D50+D51+D52+D53+D54+D55+D56+D57+D58+D59+D60+D61</f>
        <v>222621.46</v>
      </c>
      <c r="E45" s="34"/>
      <c r="F45" s="34"/>
      <c r="G45" s="34"/>
      <c r="H45" s="34"/>
      <c r="K45"/>
      <c r="L45"/>
      <c r="M45"/>
      <c r="N45"/>
    </row>
    <row r="46" spans="1:14" s="1" customFormat="1" ht="30" customHeight="1">
      <c r="A46" s="218" t="s">
        <v>265</v>
      </c>
      <c r="B46" s="222" t="s">
        <v>266</v>
      </c>
      <c r="C46" s="112" t="s">
        <v>43</v>
      </c>
      <c r="D46" s="74">
        <v>23102</v>
      </c>
      <c r="E46" s="34"/>
      <c r="F46" s="34"/>
      <c r="G46" s="34"/>
      <c r="H46" s="34"/>
      <c r="K46"/>
      <c r="L46"/>
      <c r="M46"/>
      <c r="N46"/>
    </row>
    <row r="47" spans="1:14" s="1" customFormat="1" ht="18.75" customHeight="1">
      <c r="A47" s="200" t="s">
        <v>178</v>
      </c>
      <c r="B47" s="201" t="s">
        <v>121</v>
      </c>
      <c r="C47" s="112" t="s">
        <v>162</v>
      </c>
      <c r="D47" s="74">
        <v>352</v>
      </c>
      <c r="E47" s="34"/>
      <c r="F47" s="34"/>
      <c r="G47" s="34"/>
      <c r="H47" s="34"/>
      <c r="K47"/>
      <c r="L47"/>
      <c r="M47"/>
      <c r="N47"/>
    </row>
    <row r="48" spans="1:14" s="1" customFormat="1" ht="19.5" customHeight="1">
      <c r="A48" s="218" t="s">
        <v>207</v>
      </c>
      <c r="B48" s="222" t="s">
        <v>121</v>
      </c>
      <c r="C48" s="112" t="s">
        <v>162</v>
      </c>
      <c r="D48" s="74">
        <v>2549</v>
      </c>
      <c r="E48" s="34"/>
      <c r="F48" s="34"/>
      <c r="G48" s="34"/>
      <c r="H48" s="34"/>
      <c r="K48"/>
      <c r="L48"/>
      <c r="M48"/>
      <c r="N48"/>
    </row>
    <row r="49" spans="1:14" s="1" customFormat="1" ht="27.75" customHeight="1">
      <c r="A49" s="218" t="s">
        <v>218</v>
      </c>
      <c r="B49" s="201" t="s">
        <v>117</v>
      </c>
      <c r="C49" s="112" t="s">
        <v>159</v>
      </c>
      <c r="D49" s="74">
        <v>29650.46</v>
      </c>
      <c r="E49" s="34"/>
      <c r="F49" s="34"/>
      <c r="G49" s="34"/>
      <c r="H49" s="34"/>
      <c r="K49"/>
      <c r="L49"/>
      <c r="M49"/>
      <c r="N49"/>
    </row>
    <row r="50" spans="1:14" s="1" customFormat="1" ht="17.25" customHeight="1">
      <c r="A50" s="218" t="s">
        <v>180</v>
      </c>
      <c r="B50" s="201" t="s">
        <v>126</v>
      </c>
      <c r="C50" s="112" t="s">
        <v>162</v>
      </c>
      <c r="D50" s="74">
        <v>62037</v>
      </c>
      <c r="E50" s="34"/>
      <c r="F50" s="34"/>
      <c r="G50" s="34"/>
      <c r="H50" s="34"/>
      <c r="K50"/>
      <c r="L50"/>
      <c r="M50"/>
      <c r="N50"/>
    </row>
    <row r="51" spans="1:14" s="1" customFormat="1" ht="17.25" customHeight="1">
      <c r="A51" s="218" t="s">
        <v>160</v>
      </c>
      <c r="B51" s="201" t="s">
        <v>126</v>
      </c>
      <c r="C51" s="112" t="s">
        <v>50</v>
      </c>
      <c r="D51" s="74">
        <v>13480</v>
      </c>
      <c r="E51" s="34"/>
      <c r="F51" s="34"/>
      <c r="G51" s="34"/>
      <c r="H51" s="34"/>
      <c r="K51"/>
      <c r="L51"/>
      <c r="M51"/>
      <c r="N51"/>
    </row>
    <row r="52" spans="1:14" s="1" customFormat="1" ht="21" customHeight="1">
      <c r="A52" s="219" t="s">
        <v>267</v>
      </c>
      <c r="B52" s="220" t="s">
        <v>126</v>
      </c>
      <c r="C52" s="112" t="s">
        <v>162</v>
      </c>
      <c r="D52" s="74">
        <v>562</v>
      </c>
      <c r="E52" s="34"/>
      <c r="F52" s="34"/>
      <c r="G52" s="34"/>
      <c r="H52" s="34"/>
      <c r="K52"/>
      <c r="L52"/>
      <c r="M52"/>
      <c r="N52"/>
    </row>
    <row r="53" spans="1:14" s="1" customFormat="1" ht="18" customHeight="1">
      <c r="A53" s="221" t="s">
        <v>268</v>
      </c>
      <c r="B53" s="201" t="s">
        <v>118</v>
      </c>
      <c r="C53" s="112" t="s">
        <v>162</v>
      </c>
      <c r="D53" s="74">
        <v>6297</v>
      </c>
      <c r="E53" s="34"/>
      <c r="F53" s="34"/>
      <c r="G53" s="34"/>
      <c r="H53" s="34"/>
      <c r="K53"/>
      <c r="L53"/>
      <c r="M53"/>
      <c r="N53"/>
    </row>
    <row r="54" spans="1:14" s="1" customFormat="1" ht="15" customHeight="1">
      <c r="A54" s="218" t="s">
        <v>269</v>
      </c>
      <c r="B54" s="201" t="s">
        <v>119</v>
      </c>
      <c r="C54" s="112" t="s">
        <v>176</v>
      </c>
      <c r="D54" s="74">
        <v>36391</v>
      </c>
      <c r="E54" s="34"/>
      <c r="F54" s="34"/>
      <c r="G54" s="34"/>
      <c r="H54" s="34"/>
      <c r="K54"/>
      <c r="L54"/>
      <c r="M54"/>
      <c r="N54"/>
    </row>
    <row r="55" spans="1:14" s="1" customFormat="1" ht="15.75" customHeight="1">
      <c r="A55" s="218" t="s">
        <v>158</v>
      </c>
      <c r="B55" s="201" t="s">
        <v>119</v>
      </c>
      <c r="C55" s="112" t="s">
        <v>176</v>
      </c>
      <c r="D55" s="74">
        <v>29046</v>
      </c>
      <c r="E55" s="34"/>
      <c r="F55" s="34"/>
      <c r="G55" s="34"/>
      <c r="H55" s="34"/>
      <c r="K55"/>
      <c r="L55"/>
      <c r="M55"/>
      <c r="N55"/>
    </row>
    <row r="56" spans="1:14" s="1" customFormat="1" ht="32.25" customHeight="1">
      <c r="A56" s="218" t="s">
        <v>270</v>
      </c>
      <c r="B56" s="201" t="s">
        <v>271</v>
      </c>
      <c r="C56" s="112" t="s">
        <v>162</v>
      </c>
      <c r="D56" s="74">
        <v>5220</v>
      </c>
      <c r="E56" s="34"/>
      <c r="F56" s="34"/>
      <c r="G56" s="34"/>
      <c r="H56" s="34"/>
      <c r="K56"/>
      <c r="L56"/>
      <c r="M56"/>
      <c r="N56"/>
    </row>
    <row r="57" spans="1:14" s="1" customFormat="1" ht="14.25" customHeight="1">
      <c r="A57" s="218" t="s">
        <v>272</v>
      </c>
      <c r="B57" s="222" t="s">
        <v>122</v>
      </c>
      <c r="C57" s="219" t="s">
        <v>174</v>
      </c>
      <c r="D57" s="74">
        <v>10336</v>
      </c>
      <c r="E57" s="34"/>
      <c r="F57" s="34"/>
      <c r="G57" s="34"/>
      <c r="H57" s="34"/>
      <c r="K57"/>
      <c r="L57"/>
      <c r="M57"/>
      <c r="N57"/>
    </row>
    <row r="58" spans="1:14" s="1" customFormat="1" ht="14.25" customHeight="1">
      <c r="A58" s="218" t="s">
        <v>273</v>
      </c>
      <c r="B58" s="222" t="s">
        <v>122</v>
      </c>
      <c r="C58" s="112" t="s">
        <v>162</v>
      </c>
      <c r="D58" s="74">
        <v>1142</v>
      </c>
      <c r="E58" s="34"/>
      <c r="F58" s="34"/>
      <c r="G58" s="34"/>
      <c r="H58" s="34"/>
      <c r="K58"/>
      <c r="L58"/>
      <c r="M58"/>
      <c r="N58"/>
    </row>
    <row r="59" spans="1:14" s="1" customFormat="1" ht="25.5" customHeight="1">
      <c r="A59" s="200" t="s">
        <v>274</v>
      </c>
      <c r="B59" s="222" t="s">
        <v>120</v>
      </c>
      <c r="C59" s="112" t="s">
        <v>162</v>
      </c>
      <c r="D59" s="74">
        <v>1097</v>
      </c>
      <c r="E59" s="34"/>
      <c r="F59" s="34"/>
      <c r="G59" s="34"/>
      <c r="H59" s="34"/>
      <c r="K59"/>
      <c r="L59"/>
      <c r="M59"/>
      <c r="N59"/>
    </row>
    <row r="60" spans="1:14" s="1" customFormat="1" ht="25.5" customHeight="1">
      <c r="A60" s="200" t="s">
        <v>275</v>
      </c>
      <c r="B60" s="222" t="s">
        <v>123</v>
      </c>
      <c r="C60" s="112" t="s">
        <v>162</v>
      </c>
      <c r="D60" s="74">
        <v>1184</v>
      </c>
      <c r="E60" s="34"/>
      <c r="F60" s="34"/>
      <c r="G60" s="34"/>
      <c r="H60" s="34"/>
      <c r="K60"/>
      <c r="L60"/>
      <c r="M60"/>
      <c r="N60"/>
    </row>
    <row r="61" spans="1:14" s="1" customFormat="1" ht="15" customHeight="1">
      <c r="A61" s="218" t="s">
        <v>276</v>
      </c>
      <c r="B61" s="201" t="s">
        <v>125</v>
      </c>
      <c r="C61" s="112" t="s">
        <v>162</v>
      </c>
      <c r="D61" s="74">
        <v>176</v>
      </c>
      <c r="E61" s="34"/>
      <c r="F61" s="34"/>
      <c r="G61" s="34"/>
      <c r="H61" s="34"/>
      <c r="K61"/>
      <c r="L61"/>
      <c r="M61"/>
      <c r="N61"/>
    </row>
    <row r="62" spans="1:14" s="1" customFormat="1" ht="12.75">
      <c r="A62" s="23" t="s">
        <v>53</v>
      </c>
      <c r="B62" s="109"/>
      <c r="C62" s="112"/>
      <c r="D62" s="75">
        <f>D30+D31+D32+D33+D34+D35+D36+D37+D38+D39+D40+D41+D43+D44+D45</f>
        <v>1394122.9940000002</v>
      </c>
      <c r="E62" s="469">
        <f>D62-D45-D43-D44</f>
        <v>1031883.4840000003</v>
      </c>
      <c r="F62" s="34"/>
      <c r="G62" s="34"/>
      <c r="H62" s="34"/>
      <c r="K62"/>
      <c r="L62"/>
      <c r="M62"/>
      <c r="N62"/>
    </row>
    <row r="63" spans="1:14" s="1" customFormat="1" ht="12.75">
      <c r="A63" s="23" t="s">
        <v>54</v>
      </c>
      <c r="B63" s="109" t="s">
        <v>12</v>
      </c>
      <c r="C63" s="112"/>
      <c r="D63" s="75">
        <f>C27-D62</f>
        <v>-34669.89449600037</v>
      </c>
      <c r="E63" s="35"/>
      <c r="F63" s="34"/>
      <c r="G63" s="34"/>
      <c r="H63" s="34"/>
      <c r="K63"/>
      <c r="L63"/>
      <c r="M63"/>
      <c r="N63"/>
    </row>
    <row r="64" spans="1:8" ht="12.75">
      <c r="A64" s="112" t="s">
        <v>13</v>
      </c>
      <c r="B64" s="109" t="s">
        <v>12</v>
      </c>
      <c r="C64" s="112"/>
      <c r="D64" s="77">
        <v>0</v>
      </c>
      <c r="E64" s="34"/>
      <c r="F64" s="34"/>
      <c r="G64" s="34"/>
      <c r="H64" s="34"/>
    </row>
    <row r="65" spans="1:8" ht="12.75">
      <c r="A65" s="112" t="s">
        <v>14</v>
      </c>
      <c r="B65" s="109" t="s">
        <v>12</v>
      </c>
      <c r="C65" s="112"/>
      <c r="D65" s="75">
        <f>C17+C18-C23</f>
        <v>348251.920496</v>
      </c>
      <c r="E65" s="34"/>
      <c r="F65" s="34"/>
      <c r="G65" s="34"/>
      <c r="H65" s="34"/>
    </row>
    <row r="66" spans="1:8" ht="24" customHeight="1">
      <c r="A66" s="495" t="s">
        <v>55</v>
      </c>
      <c r="B66" s="495"/>
      <c r="C66" s="495"/>
      <c r="D66" s="495"/>
      <c r="E66" s="34"/>
      <c r="F66" s="34"/>
      <c r="G66" s="34"/>
      <c r="H66" s="34"/>
    </row>
    <row r="67" spans="1:8" ht="12.75">
      <c r="A67" s="112" t="s">
        <v>56</v>
      </c>
      <c r="B67" s="109" t="s">
        <v>57</v>
      </c>
      <c r="C67" s="112"/>
      <c r="D67" s="77">
        <v>0</v>
      </c>
      <c r="E67" s="34"/>
      <c r="F67" s="34"/>
      <c r="G67" s="34"/>
      <c r="H67" s="34"/>
    </row>
    <row r="68" spans="1:8" ht="12.75">
      <c r="A68" s="112" t="s">
        <v>58</v>
      </c>
      <c r="B68" s="109" t="s">
        <v>57</v>
      </c>
      <c r="C68" s="112"/>
      <c r="D68" s="77">
        <v>0</v>
      </c>
      <c r="E68" s="34"/>
      <c r="F68" s="34"/>
      <c r="G68" s="34"/>
      <c r="H68" s="34"/>
    </row>
    <row r="69" spans="1:8" ht="25.5">
      <c r="A69" s="127" t="s">
        <v>59</v>
      </c>
      <c r="B69" s="109" t="s">
        <v>57</v>
      </c>
      <c r="C69" s="112"/>
      <c r="D69" s="77">
        <v>0</v>
      </c>
      <c r="E69" s="34"/>
      <c r="F69" s="34"/>
      <c r="G69" s="34"/>
      <c r="H69" s="34"/>
    </row>
    <row r="70" spans="1:8" ht="12.75">
      <c r="A70" s="112" t="s">
        <v>60</v>
      </c>
      <c r="B70" s="109" t="s">
        <v>12</v>
      </c>
      <c r="C70" s="112"/>
      <c r="D70" s="77">
        <v>0</v>
      </c>
      <c r="E70" s="34"/>
      <c r="F70" s="34"/>
      <c r="G70" s="34"/>
      <c r="H70" s="34"/>
    </row>
    <row r="71" spans="1:8" ht="20.25" customHeight="1">
      <c r="A71" s="496" t="s">
        <v>61</v>
      </c>
      <c r="B71" s="496"/>
      <c r="C71" s="496"/>
      <c r="D71" s="496"/>
      <c r="E71" s="34"/>
      <c r="F71" s="34"/>
      <c r="G71" s="34"/>
      <c r="H71" s="34"/>
    </row>
    <row r="72" spans="1:8" ht="25.5">
      <c r="A72" s="127" t="s">
        <v>62</v>
      </c>
      <c r="B72" s="109" t="s">
        <v>12</v>
      </c>
      <c r="C72" s="112"/>
      <c r="D72" s="112">
        <v>0</v>
      </c>
      <c r="E72" s="34"/>
      <c r="F72" s="34"/>
      <c r="G72" s="34"/>
      <c r="H72" s="34"/>
    </row>
    <row r="73" spans="1:8" ht="12.75">
      <c r="A73" s="112" t="s">
        <v>13</v>
      </c>
      <c r="B73" s="109" t="s">
        <v>12</v>
      </c>
      <c r="C73" s="112"/>
      <c r="D73" s="112">
        <v>0</v>
      </c>
      <c r="E73" s="34"/>
      <c r="F73" s="34"/>
      <c r="G73" s="34"/>
      <c r="H73" s="34"/>
    </row>
    <row r="74" spans="1:8" ht="12.75">
      <c r="A74" s="112" t="s">
        <v>14</v>
      </c>
      <c r="B74" s="109" t="s">
        <v>12</v>
      </c>
      <c r="C74" s="112"/>
      <c r="D74" s="223">
        <f>D77-D80-D81-D82-D83-D84</f>
        <v>370225.645866</v>
      </c>
      <c r="E74" s="34"/>
      <c r="F74" s="34"/>
      <c r="G74" s="34"/>
      <c r="H74" s="36"/>
    </row>
    <row r="75" spans="1:8" ht="12.75">
      <c r="A75" s="129" t="s">
        <v>101</v>
      </c>
      <c r="B75" s="109" t="s">
        <v>12</v>
      </c>
      <c r="C75" s="224"/>
      <c r="D75" s="224">
        <v>0</v>
      </c>
      <c r="E75" s="34"/>
      <c r="F75" s="34"/>
      <c r="G75" s="34"/>
      <c r="H75" s="34"/>
    </row>
    <row r="76" spans="1:10" ht="17.25" customHeight="1">
      <c r="A76" s="132" t="s">
        <v>13</v>
      </c>
      <c r="B76" s="109" t="s">
        <v>12</v>
      </c>
      <c r="C76" s="112"/>
      <c r="D76" s="112">
        <v>0</v>
      </c>
      <c r="E76" s="34"/>
      <c r="F76" s="34"/>
      <c r="G76" s="34"/>
      <c r="H76" s="34"/>
      <c r="I76" s="3"/>
      <c r="J76" s="3"/>
    </row>
    <row r="77" spans="1:14" ht="12.75">
      <c r="A77" s="133" t="s">
        <v>14</v>
      </c>
      <c r="B77" s="109" t="s">
        <v>12</v>
      </c>
      <c r="C77" s="202"/>
      <c r="D77" s="202">
        <v>384065.43</v>
      </c>
      <c r="E77" s="34"/>
      <c r="F77" s="34"/>
      <c r="G77" s="34"/>
      <c r="H77" s="34" t="s">
        <v>27</v>
      </c>
      <c r="I77" s="4"/>
      <c r="J77" s="4"/>
      <c r="K77" s="5"/>
      <c r="L77" s="5"/>
      <c r="M77" s="5"/>
      <c r="N77" s="5"/>
    </row>
    <row r="78" spans="1:14" ht="18" customHeight="1">
      <c r="A78" s="497" t="s">
        <v>64</v>
      </c>
      <c r="B78" s="497"/>
      <c r="C78" s="497"/>
      <c r="D78" s="497"/>
      <c r="E78" s="39"/>
      <c r="F78" s="43"/>
      <c r="G78" s="44"/>
      <c r="H78" s="34"/>
      <c r="I78" s="8"/>
      <c r="J78" s="8"/>
      <c r="K78" s="9"/>
      <c r="L78" s="9"/>
      <c r="M78" s="9"/>
      <c r="N78" s="9"/>
    </row>
    <row r="79" spans="1:14" ht="38.25">
      <c r="A79" s="10" t="s">
        <v>65</v>
      </c>
      <c r="B79" s="11" t="s">
        <v>66</v>
      </c>
      <c r="C79" s="53" t="s">
        <v>67</v>
      </c>
      <c r="D79" s="54" t="s">
        <v>102</v>
      </c>
      <c r="E79" s="39"/>
      <c r="F79" s="43"/>
      <c r="G79" s="44"/>
      <c r="H79" s="34"/>
      <c r="I79" s="8"/>
      <c r="J79" s="8"/>
      <c r="K79" s="9"/>
      <c r="L79" s="9"/>
      <c r="M79" s="9"/>
      <c r="N79" s="9"/>
    </row>
    <row r="80" spans="1:14" ht="12.75">
      <c r="A80" s="367" t="s">
        <v>194</v>
      </c>
      <c r="B80" s="24">
        <v>226800.26</v>
      </c>
      <c r="C80" s="405">
        <f>B80*0.9789</f>
        <v>222014.77451400002</v>
      </c>
      <c r="D80" s="406">
        <f>B80-C80</f>
        <v>4785.4854859999905</v>
      </c>
      <c r="E80" s="39"/>
      <c r="F80" s="43"/>
      <c r="G80" s="44"/>
      <c r="H80" s="34"/>
      <c r="I80" s="8"/>
      <c r="J80" s="8"/>
      <c r="K80" s="9"/>
      <c r="L80" s="9"/>
      <c r="M80" s="9"/>
      <c r="N80" s="9"/>
    </row>
    <row r="81" spans="1:14" ht="12.75">
      <c r="A81" s="137" t="s">
        <v>69</v>
      </c>
      <c r="B81" s="96">
        <v>31426.3</v>
      </c>
      <c r="C81" s="405">
        <f>B81*0.9789</f>
        <v>30763.20507</v>
      </c>
      <c r="D81" s="406">
        <f>B81-C81</f>
        <v>663.0949299999993</v>
      </c>
      <c r="E81" s="39"/>
      <c r="F81" s="43"/>
      <c r="G81" s="44"/>
      <c r="H81" s="34"/>
      <c r="I81" s="8"/>
      <c r="J81" s="8"/>
      <c r="K81" s="9"/>
      <c r="L81" s="9"/>
      <c r="M81" s="9"/>
      <c r="N81" s="9"/>
    </row>
    <row r="82" spans="1:14" ht="12.75">
      <c r="A82" s="137" t="s">
        <v>70</v>
      </c>
      <c r="B82" s="96">
        <v>52498.3</v>
      </c>
      <c r="C82" s="405">
        <f>B82*0.9789</f>
        <v>51390.58587</v>
      </c>
      <c r="D82" s="406">
        <f>B82-C82</f>
        <v>1107.7141300000003</v>
      </c>
      <c r="E82" s="39"/>
      <c r="F82" s="43"/>
      <c r="G82" s="44"/>
      <c r="H82" s="34"/>
      <c r="I82" s="8"/>
      <c r="J82" s="8"/>
      <c r="K82" s="9"/>
      <c r="L82" s="9"/>
      <c r="M82" s="9"/>
      <c r="N82" s="9"/>
    </row>
    <row r="83" spans="1:14" ht="12.75">
      <c r="A83" s="137" t="s">
        <v>71</v>
      </c>
      <c r="B83" s="136">
        <v>266320.88</v>
      </c>
      <c r="C83" s="405">
        <f>B83*0.9789</f>
        <v>260701.509432</v>
      </c>
      <c r="D83" s="406">
        <f>B83-C83</f>
        <v>5619.370568000013</v>
      </c>
      <c r="E83" s="39">
        <f>(2.07+1.8)*6*2301.2-0.37*2301.2*6</f>
        <v>48325.2</v>
      </c>
      <c r="F83" s="46"/>
      <c r="G83" s="47"/>
      <c r="H83" s="39"/>
      <c r="I83" s="8"/>
      <c r="J83" s="8"/>
      <c r="K83" s="9"/>
      <c r="L83" s="9"/>
      <c r="M83" s="9"/>
      <c r="N83" s="9"/>
    </row>
    <row r="84" spans="1:14" ht="13.5" thickBot="1">
      <c r="A84" s="137" t="s">
        <v>72</v>
      </c>
      <c r="B84" s="136">
        <v>78868.2</v>
      </c>
      <c r="C84" s="405">
        <f>B84*0.9789</f>
        <v>77204.08098</v>
      </c>
      <c r="D84" s="406">
        <f>B84-C84</f>
        <v>1664.1190199999983</v>
      </c>
      <c r="E84" s="39"/>
      <c r="F84" s="46"/>
      <c r="G84" s="47"/>
      <c r="H84" s="34"/>
      <c r="I84" s="8"/>
      <c r="J84" s="8"/>
      <c r="K84" s="9"/>
      <c r="L84" s="9"/>
      <c r="M84" s="9"/>
      <c r="N84" s="9"/>
    </row>
    <row r="85" spans="1:14" ht="63.75">
      <c r="A85" s="29" t="s">
        <v>74</v>
      </c>
      <c r="B85" s="30" t="s">
        <v>75</v>
      </c>
      <c r="C85" s="55" t="s">
        <v>76</v>
      </c>
      <c r="D85" s="56" t="s">
        <v>77</v>
      </c>
      <c r="E85" s="39"/>
      <c r="F85" s="46"/>
      <c r="G85" s="34"/>
      <c r="H85" s="38"/>
      <c r="I85" s="8"/>
      <c r="J85" s="8"/>
      <c r="K85" s="9"/>
      <c r="L85" s="9"/>
      <c r="M85" s="9"/>
      <c r="N85" s="9"/>
    </row>
    <row r="86" spans="1:14" ht="12.75">
      <c r="A86" s="368" t="s">
        <v>194</v>
      </c>
      <c r="B86" s="24">
        <v>226800.26</v>
      </c>
      <c r="C86" s="405">
        <f>C80</f>
        <v>222014.77451400002</v>
      </c>
      <c r="D86" s="365">
        <f>B86-C86</f>
        <v>4785.4854859999905</v>
      </c>
      <c r="E86" s="39"/>
      <c r="F86" s="46"/>
      <c r="G86" s="34"/>
      <c r="H86" s="38"/>
      <c r="I86" s="8"/>
      <c r="J86" s="8"/>
      <c r="K86" s="9"/>
      <c r="L86" s="9"/>
      <c r="M86" s="9"/>
      <c r="N86" s="9"/>
    </row>
    <row r="87" spans="1:14" ht="12.75">
      <c r="A87" s="205" t="s">
        <v>69</v>
      </c>
      <c r="B87" s="96">
        <v>31426.3</v>
      </c>
      <c r="C87" s="405">
        <f>B87*0.9789</f>
        <v>30763.20507</v>
      </c>
      <c r="D87" s="407">
        <f>B87-C87</f>
        <v>663.0949299999993</v>
      </c>
      <c r="E87" s="39"/>
      <c r="F87" s="46"/>
      <c r="G87" s="34"/>
      <c r="H87" s="38"/>
      <c r="I87" s="8"/>
      <c r="J87" s="8" t="s">
        <v>27</v>
      </c>
      <c r="K87" s="9"/>
      <c r="L87" s="9"/>
      <c r="M87" s="9"/>
      <c r="N87" s="9"/>
    </row>
    <row r="88" spans="1:14" ht="12.75">
      <c r="A88" s="205" t="s">
        <v>70</v>
      </c>
      <c r="B88" s="96">
        <v>52498.3</v>
      </c>
      <c r="C88" s="405">
        <f>B88*0.9789</f>
        <v>51390.58587</v>
      </c>
      <c r="D88" s="407">
        <f>B88-C88</f>
        <v>1107.7141300000003</v>
      </c>
      <c r="E88" s="39"/>
      <c r="F88" s="46"/>
      <c r="G88" s="34"/>
      <c r="H88" s="38"/>
      <c r="I88" s="8"/>
      <c r="J88" s="8"/>
      <c r="K88" s="9"/>
      <c r="L88" s="9"/>
      <c r="M88" s="9"/>
      <c r="N88" s="9"/>
    </row>
    <row r="89" spans="1:14" ht="12.75">
      <c r="A89" s="205" t="s">
        <v>71</v>
      </c>
      <c r="B89" s="136">
        <v>248536.48</v>
      </c>
      <c r="C89" s="405">
        <f>C83</f>
        <v>260701.509432</v>
      </c>
      <c r="D89" s="407">
        <f>B89-C89</f>
        <v>-12165.029431999981</v>
      </c>
      <c r="E89" s="39"/>
      <c r="F89" s="46"/>
      <c r="G89" s="34"/>
      <c r="H89" s="38"/>
      <c r="I89" s="8"/>
      <c r="J89" s="8"/>
      <c r="K89" s="9"/>
      <c r="L89" s="9"/>
      <c r="M89" s="9"/>
      <c r="N89" s="9"/>
    </row>
    <row r="90" spans="1:14" ht="12.75">
      <c r="A90" s="205" t="s">
        <v>72</v>
      </c>
      <c r="B90" s="136">
        <v>78868.2</v>
      </c>
      <c r="C90" s="405">
        <f>B90*0.9789</f>
        <v>77204.08098</v>
      </c>
      <c r="D90" s="407">
        <f>B90-C90</f>
        <v>1664.1190199999983</v>
      </c>
      <c r="E90" s="39"/>
      <c r="F90" s="46"/>
      <c r="G90" s="34"/>
      <c r="H90" s="38"/>
      <c r="I90" s="8"/>
      <c r="J90" s="8"/>
      <c r="K90" s="9"/>
      <c r="L90" s="9"/>
      <c r="M90" s="9"/>
      <c r="N90" s="9"/>
    </row>
    <row r="91" spans="1:14" ht="2.25" customHeight="1">
      <c r="A91" s="212"/>
      <c r="B91" s="141"/>
      <c r="C91" s="408"/>
      <c r="D91" s="409"/>
      <c r="E91" s="39"/>
      <c r="F91" s="15"/>
      <c r="H91" s="8"/>
      <c r="I91" s="8"/>
      <c r="J91" s="8"/>
      <c r="K91" s="9"/>
      <c r="L91" s="9"/>
      <c r="M91" s="9"/>
      <c r="N91" s="9"/>
    </row>
    <row r="92" spans="1:14" ht="25.5">
      <c r="A92" s="215" t="s">
        <v>78</v>
      </c>
      <c r="B92" s="141" t="s">
        <v>12</v>
      </c>
      <c r="C92" s="410"/>
      <c r="D92" s="411">
        <v>0</v>
      </c>
      <c r="E92" s="39"/>
      <c r="F92" s="15"/>
      <c r="H92" s="8"/>
      <c r="I92" s="8"/>
      <c r="J92" s="8" t="s">
        <v>27</v>
      </c>
      <c r="K92" s="9"/>
      <c r="L92" s="9"/>
      <c r="M92" s="9"/>
      <c r="N92" s="9"/>
    </row>
    <row r="93" spans="1:14" ht="17.25" customHeight="1">
      <c r="A93" s="498" t="s">
        <v>79</v>
      </c>
      <c r="B93" s="498"/>
      <c r="C93" s="498"/>
      <c r="D93" s="498"/>
      <c r="E93" s="48" t="e">
        <f>D93+B19</f>
        <v>#VALUE!</v>
      </c>
      <c r="F93" s="8"/>
      <c r="H93" s="18" t="e">
        <f>E93-B18</f>
        <v>#VALUE!</v>
      </c>
      <c r="I93" s="8"/>
      <c r="J93" s="8"/>
      <c r="K93" s="9"/>
      <c r="L93" s="9"/>
      <c r="M93" s="9"/>
      <c r="N93" s="9"/>
    </row>
    <row r="94" spans="1:5" ht="21" customHeight="1">
      <c r="A94" s="19" t="s">
        <v>56</v>
      </c>
      <c r="B94" s="19" t="s">
        <v>57</v>
      </c>
      <c r="C94" s="27"/>
      <c r="D94" s="415">
        <v>0</v>
      </c>
      <c r="E94" s="49"/>
    </row>
    <row r="95" spans="1:5" ht="21" customHeight="1">
      <c r="A95" s="19" t="s">
        <v>58</v>
      </c>
      <c r="B95" s="19" t="s">
        <v>57</v>
      </c>
      <c r="C95" s="27"/>
      <c r="D95" s="415">
        <v>3</v>
      </c>
      <c r="E95" s="49"/>
    </row>
    <row r="96" spans="1:14" s="1" customFormat="1" ht="18" customHeight="1">
      <c r="A96" s="19" t="s">
        <v>59</v>
      </c>
      <c r="B96" s="19" t="s">
        <v>57</v>
      </c>
      <c r="C96" s="27"/>
      <c r="D96" s="415">
        <v>0</v>
      </c>
      <c r="E96" s="49"/>
      <c r="K96"/>
      <c r="L96"/>
      <c r="M96"/>
      <c r="N96"/>
    </row>
    <row r="97" spans="1:14" s="1" customFormat="1" ht="16.5" customHeight="1">
      <c r="A97" s="19" t="s">
        <v>60</v>
      </c>
      <c r="B97" s="19" t="s">
        <v>12</v>
      </c>
      <c r="C97" s="27"/>
      <c r="D97" s="85">
        <v>1161.26</v>
      </c>
      <c r="E97" s="49"/>
      <c r="K97"/>
      <c r="L97"/>
      <c r="M97"/>
      <c r="N97"/>
    </row>
    <row r="98" spans="1:14" s="1" customFormat="1" ht="15.75" customHeight="1">
      <c r="A98" s="491" t="s">
        <v>80</v>
      </c>
      <c r="B98" s="491"/>
      <c r="C98" s="491"/>
      <c r="D98" s="491"/>
      <c r="E98" s="49"/>
      <c r="K98"/>
      <c r="L98"/>
      <c r="M98"/>
      <c r="N98"/>
    </row>
    <row r="99" spans="1:14" s="1" customFormat="1" ht="18.75" customHeight="1">
      <c r="A99" s="19" t="s">
        <v>81</v>
      </c>
      <c r="B99" s="19" t="s">
        <v>57</v>
      </c>
      <c r="C99" s="27"/>
      <c r="D99" s="417">
        <v>1</v>
      </c>
      <c r="E99" s="49"/>
      <c r="K99"/>
      <c r="L99"/>
      <c r="M99"/>
      <c r="N99"/>
    </row>
    <row r="100" spans="1:14" s="1" customFormat="1" ht="21.75" customHeight="1">
      <c r="A100" s="19" t="s">
        <v>82</v>
      </c>
      <c r="B100" s="132" t="s">
        <v>57</v>
      </c>
      <c r="C100" s="142"/>
      <c r="D100" s="417">
        <v>2</v>
      </c>
      <c r="E100" s="49"/>
      <c r="K100"/>
      <c r="L100"/>
      <c r="M100"/>
      <c r="N100"/>
    </row>
    <row r="101" spans="1:14" s="1" customFormat="1" ht="22.5" customHeight="1">
      <c r="A101" s="143" t="s">
        <v>83</v>
      </c>
      <c r="B101" s="19" t="s">
        <v>12</v>
      </c>
      <c r="C101" s="27"/>
      <c r="D101" s="62">
        <v>20245.99</v>
      </c>
      <c r="E101" s="49"/>
      <c r="K101"/>
      <c r="L101"/>
      <c r="M101"/>
      <c r="N101"/>
    </row>
    <row r="102" spans="1:14" s="1" customFormat="1" ht="12.75">
      <c r="A102" s="144"/>
      <c r="B102" s="144"/>
      <c r="C102" s="144"/>
      <c r="D102" s="145"/>
      <c r="E102" s="34"/>
      <c r="K102"/>
      <c r="L102"/>
      <c r="M102"/>
      <c r="N102"/>
    </row>
    <row r="103" spans="1:14" s="1" customFormat="1" ht="12.75">
      <c r="A103" s="78"/>
      <c r="B103" s="78"/>
      <c r="C103" s="78"/>
      <c r="D103" s="78"/>
      <c r="E103" s="34"/>
      <c r="H103" s="1" t="s">
        <v>27</v>
      </c>
      <c r="K103"/>
      <c r="L103"/>
      <c r="M103"/>
      <c r="N103"/>
    </row>
    <row r="104" spans="1:14" s="1" customFormat="1" ht="12.75">
      <c r="A104" s="87" t="s">
        <v>151</v>
      </c>
      <c r="B104" s="78"/>
      <c r="C104" s="78"/>
      <c r="D104" s="78"/>
      <c r="E104" s="34"/>
      <c r="K104"/>
      <c r="L104"/>
      <c r="M104"/>
      <c r="N104"/>
    </row>
    <row r="105" spans="1:14" s="1" customFormat="1" ht="12.75">
      <c r="A105" s="78"/>
      <c r="B105" s="78"/>
      <c r="C105" s="78"/>
      <c r="D105" s="78"/>
      <c r="H105" s="1" t="s">
        <v>27</v>
      </c>
      <c r="K105"/>
      <c r="L105"/>
      <c r="M105"/>
      <c r="N105"/>
    </row>
    <row r="106" spans="1:14" s="1" customFormat="1" ht="12.75">
      <c r="A106" s="78" t="s">
        <v>84</v>
      </c>
      <c r="B106" s="78"/>
      <c r="C106" s="78"/>
      <c r="D106" s="78"/>
      <c r="K106"/>
      <c r="L106"/>
      <c r="M106"/>
      <c r="N106"/>
    </row>
    <row r="107" spans="1:4" ht="12.75">
      <c r="A107" s="78"/>
      <c r="B107" s="78"/>
      <c r="C107" s="78"/>
      <c r="D107" s="78"/>
    </row>
    <row r="108" spans="1:4" ht="12.75">
      <c r="A108" s="50"/>
      <c r="B108" s="50"/>
      <c r="C108" s="50"/>
      <c r="D108" s="50"/>
    </row>
    <row r="110" spans="1:14" s="1" customFormat="1" ht="12.75">
      <c r="A110"/>
      <c r="B110"/>
      <c r="C110"/>
      <c r="D110"/>
      <c r="E110" s="1" t="s">
        <v>27</v>
      </c>
      <c r="K110"/>
      <c r="L110"/>
      <c r="M110"/>
      <c r="N110"/>
    </row>
  </sheetData>
  <sheetProtection selectLockedCells="1" selectUnlockedCells="1"/>
  <mergeCells count="13">
    <mergeCell ref="A28:D28"/>
    <mergeCell ref="A66:D66"/>
    <mergeCell ref="A71:D71"/>
    <mergeCell ref="A78:D78"/>
    <mergeCell ref="A93:D93"/>
    <mergeCell ref="A98:D98"/>
    <mergeCell ref="A1:D1"/>
    <mergeCell ref="A2:D2"/>
    <mergeCell ref="A3:D3"/>
    <mergeCell ref="A4:D4"/>
    <mergeCell ref="A5:D5"/>
    <mergeCell ref="A14:D14"/>
    <mergeCell ref="A7:D7"/>
  </mergeCells>
  <printOptions/>
  <pageMargins left="0.5597222222222222" right="0.7875" top="0.34097222222222223" bottom="0.7875" header="0.5118055555555555" footer="0.5118055555555555"/>
  <pageSetup fitToHeight="2" fitToWidth="2" horizontalDpi="600" verticalDpi="600" orientation="portrait" paperSize="1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zoomScalePageLayoutView="0" workbookViewId="0" topLeftCell="A46">
      <selection activeCell="D52" sqref="D52"/>
    </sheetView>
  </sheetViews>
  <sheetFormatPr defaultColWidth="11.57421875" defaultRowHeight="12.75"/>
  <cols>
    <col min="1" max="1" width="57.421875" style="0" customWidth="1"/>
    <col min="2" max="2" width="15.57421875" style="0" customWidth="1"/>
    <col min="3" max="3" width="22.28125" style="0" customWidth="1"/>
    <col min="4" max="4" width="16.14062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74" t="s">
        <v>0</v>
      </c>
      <c r="B1" s="474"/>
      <c r="C1" s="474"/>
      <c r="D1" s="474"/>
    </row>
    <row r="2" spans="1:4" ht="15.75">
      <c r="A2" s="475" t="s">
        <v>163</v>
      </c>
      <c r="B2" s="476"/>
      <c r="C2" s="476"/>
      <c r="D2" s="476"/>
    </row>
    <row r="3" spans="1:4" ht="15.75">
      <c r="A3" s="476" t="s">
        <v>1</v>
      </c>
      <c r="B3" s="476"/>
      <c r="C3" s="476"/>
      <c r="D3" s="476"/>
    </row>
    <row r="4" spans="1:4" ht="12.75">
      <c r="A4" s="478" t="s">
        <v>106</v>
      </c>
      <c r="B4" s="478"/>
      <c r="C4" s="478"/>
      <c r="D4" s="478"/>
    </row>
    <row r="5" spans="1:4" ht="12.75">
      <c r="A5" s="477" t="s">
        <v>277</v>
      </c>
      <c r="B5" s="478"/>
      <c r="C5" s="478"/>
      <c r="D5" s="478"/>
    </row>
    <row r="6" spans="1:5" ht="31.5" customHeight="1">
      <c r="A6" s="480" t="s">
        <v>3</v>
      </c>
      <c r="B6" s="507"/>
      <c r="C6" s="507"/>
      <c r="D6" s="507"/>
      <c r="E6" s="68"/>
    </row>
    <row r="7" spans="1:5" ht="16.5" customHeight="1">
      <c r="A7" s="356" t="s">
        <v>363</v>
      </c>
      <c r="B7" s="149"/>
      <c r="C7" s="149"/>
      <c r="D7" s="149"/>
      <c r="E7" s="68"/>
    </row>
    <row r="8" spans="1:4" ht="12.75">
      <c r="A8" s="91">
        <v>1</v>
      </c>
      <c r="B8" s="91">
        <v>2</v>
      </c>
      <c r="C8" s="91">
        <v>3</v>
      </c>
      <c r="D8" s="92">
        <v>4</v>
      </c>
    </row>
    <row r="9" spans="1:8" ht="12.75">
      <c r="A9" s="64" t="s">
        <v>7</v>
      </c>
      <c r="B9" s="93"/>
      <c r="C9" s="94" t="s">
        <v>204</v>
      </c>
      <c r="D9" s="77"/>
      <c r="E9" s="34"/>
      <c r="F9" s="34"/>
      <c r="G9" s="34"/>
      <c r="H9" s="34"/>
    </row>
    <row r="10" spans="1:8" ht="12.75">
      <c r="A10" s="64" t="s">
        <v>8</v>
      </c>
      <c r="B10" s="93"/>
      <c r="C10" s="94" t="s">
        <v>205</v>
      </c>
      <c r="D10" s="77"/>
      <c r="E10" s="34"/>
      <c r="F10" s="34"/>
      <c r="G10" s="34"/>
      <c r="H10" s="34"/>
    </row>
    <row r="11" spans="1:8" ht="12.75">
      <c r="A11" s="64" t="s">
        <v>9</v>
      </c>
      <c r="B11" s="93"/>
      <c r="C11" s="94" t="s">
        <v>206</v>
      </c>
      <c r="D11" s="77"/>
      <c r="E11" s="34"/>
      <c r="F11" s="34"/>
      <c r="G11" s="34"/>
      <c r="H11" s="34"/>
    </row>
    <row r="12" spans="1:8" ht="31.5" customHeight="1">
      <c r="A12" s="493" t="s">
        <v>10</v>
      </c>
      <c r="B12" s="493"/>
      <c r="C12" s="493"/>
      <c r="D12" s="493"/>
      <c r="E12" s="34"/>
      <c r="F12" s="34"/>
      <c r="G12" s="34"/>
      <c r="H12" s="34"/>
    </row>
    <row r="13" spans="1:8" ht="12.75">
      <c r="A13" s="64" t="s">
        <v>93</v>
      </c>
      <c r="B13" s="95" t="s">
        <v>12</v>
      </c>
      <c r="C13" s="71">
        <v>242670.66</v>
      </c>
      <c r="D13" s="77"/>
      <c r="E13" s="34"/>
      <c r="F13" s="34"/>
      <c r="G13" s="34"/>
      <c r="H13" s="34"/>
    </row>
    <row r="14" spans="1:8" ht="12.75">
      <c r="A14" s="64" t="s">
        <v>13</v>
      </c>
      <c r="B14" s="95" t="s">
        <v>12</v>
      </c>
      <c r="C14" s="96">
        <v>0</v>
      </c>
      <c r="D14" s="77"/>
      <c r="E14" s="34"/>
      <c r="F14" s="34"/>
      <c r="G14" s="34"/>
      <c r="H14" s="34"/>
    </row>
    <row r="15" spans="1:8" ht="12.75">
      <c r="A15" s="64" t="s">
        <v>14</v>
      </c>
      <c r="B15" s="95" t="s">
        <v>12</v>
      </c>
      <c r="C15" s="71">
        <v>160088.2</v>
      </c>
      <c r="D15" s="75"/>
      <c r="E15" s="34" t="e">
        <f>B15/12/1022.6</f>
        <v>#VALUE!</v>
      </c>
      <c r="F15" s="34"/>
      <c r="G15" s="34"/>
      <c r="H15" s="34"/>
    </row>
    <row r="16" spans="1:8" ht="31.5" customHeight="1">
      <c r="A16" s="63" t="s">
        <v>15</v>
      </c>
      <c r="B16" s="95" t="s">
        <v>12</v>
      </c>
      <c r="C16" s="71">
        <f>926689.08+10979.7+6528.6+35609</f>
        <v>979806.3799999999</v>
      </c>
      <c r="D16" s="75"/>
      <c r="E16" s="470">
        <f>C16-C18-53117.3</f>
        <v>714816.5771999998</v>
      </c>
      <c r="F16" s="34"/>
      <c r="G16" s="34"/>
      <c r="H16" s="34"/>
    </row>
    <row r="17" spans="1:8" ht="12.75">
      <c r="A17" s="64" t="s">
        <v>16</v>
      </c>
      <c r="B17" s="95" t="s">
        <v>12</v>
      </c>
      <c r="C17" s="71">
        <f>C16-C18-C19</f>
        <v>519265.58959999983</v>
      </c>
      <c r="D17" s="75"/>
      <c r="E17" s="470">
        <f>E16-E52</f>
        <v>-4479.966600000276</v>
      </c>
      <c r="F17" s="34"/>
      <c r="G17" s="34"/>
      <c r="H17" s="61" t="s">
        <v>364</v>
      </c>
    </row>
    <row r="18" spans="1:8" ht="12.75">
      <c r="A18" s="64" t="s">
        <v>17</v>
      </c>
      <c r="B18" s="95" t="s">
        <v>12</v>
      </c>
      <c r="C18" s="71">
        <f>4945.67*6*(3.54+3.6)</f>
        <v>211872.50280000002</v>
      </c>
      <c r="D18" s="75"/>
      <c r="E18" s="42"/>
      <c r="F18" s="34"/>
      <c r="G18" s="34"/>
      <c r="H18" s="34"/>
    </row>
    <row r="19" spans="1:8" ht="12.75">
      <c r="A19" s="64" t="s">
        <v>18</v>
      </c>
      <c r="B19" s="95" t="s">
        <v>12</v>
      </c>
      <c r="C19" s="71">
        <f>4945.67*12*4.19</f>
        <v>248668.28760000004</v>
      </c>
      <c r="D19" s="75"/>
      <c r="E19" s="34"/>
      <c r="F19" s="34"/>
      <c r="G19" s="34"/>
      <c r="H19" s="34"/>
    </row>
    <row r="20" spans="1:8" ht="12.75">
      <c r="A20" s="64" t="s">
        <v>19</v>
      </c>
      <c r="B20" s="95" t="s">
        <v>12</v>
      </c>
      <c r="C20" s="71">
        <f>C21+C22+C23+C24</f>
        <v>989062.9612899999</v>
      </c>
      <c r="D20" s="75" t="s">
        <v>20</v>
      </c>
      <c r="E20" s="41"/>
      <c r="F20" s="34"/>
      <c r="G20" s="34"/>
      <c r="H20" s="34"/>
    </row>
    <row r="21" spans="1:8" ht="12.75">
      <c r="A21" s="64" t="s">
        <v>21</v>
      </c>
      <c r="B21" s="95" t="s">
        <v>12</v>
      </c>
      <c r="C21" s="71">
        <f>C16*0.9955</f>
        <v>975397.2512899999</v>
      </c>
      <c r="D21" s="75"/>
      <c r="E21" s="34"/>
      <c r="F21" s="34"/>
      <c r="G21" s="34"/>
      <c r="H21" s="34"/>
    </row>
    <row r="22" spans="1:8" ht="12.75">
      <c r="A22" s="64" t="s">
        <v>22</v>
      </c>
      <c r="B22" s="95" t="s">
        <v>12</v>
      </c>
      <c r="C22" s="71">
        <v>0</v>
      </c>
      <c r="D22" s="75"/>
      <c r="E22" s="42"/>
      <c r="F22" s="34"/>
      <c r="G22" s="34"/>
      <c r="H22" s="34"/>
    </row>
    <row r="23" spans="1:8" ht="12.75">
      <c r="A23" s="64" t="s">
        <v>24</v>
      </c>
      <c r="B23" s="95" t="s">
        <v>12</v>
      </c>
      <c r="C23" s="71">
        <v>0</v>
      </c>
      <c r="D23" s="75"/>
      <c r="E23" s="42" t="e">
        <f>B23/#REF!*1</f>
        <v>#VALUE!</v>
      </c>
      <c r="F23" s="34"/>
      <c r="G23" s="34"/>
      <c r="H23" s="34"/>
    </row>
    <row r="24" spans="1:8" ht="12.75">
      <c r="A24" s="93" t="s">
        <v>25</v>
      </c>
      <c r="B24" s="95" t="s">
        <v>12</v>
      </c>
      <c r="C24" s="71">
        <f>7880.75+5784.96</f>
        <v>13665.71</v>
      </c>
      <c r="D24" s="75"/>
      <c r="E24" s="42" t="e">
        <f>B24/#REF!*1</f>
        <v>#VALUE!</v>
      </c>
      <c r="F24" s="34"/>
      <c r="G24" s="34"/>
      <c r="H24" s="34"/>
    </row>
    <row r="25" spans="1:8" ht="12.75">
      <c r="A25" s="64" t="s">
        <v>26</v>
      </c>
      <c r="B25" s="95" t="s">
        <v>12</v>
      </c>
      <c r="C25" s="71">
        <f>C13+C20</f>
        <v>1231733.62129</v>
      </c>
      <c r="D25" s="75" t="s">
        <v>27</v>
      </c>
      <c r="E25" s="42" t="e">
        <f>B25/#REF!*1</f>
        <v>#VALUE!</v>
      </c>
      <c r="F25" s="34"/>
      <c r="G25" s="34"/>
      <c r="H25" s="34"/>
    </row>
    <row r="26" spans="1:8" ht="35.25" customHeight="1">
      <c r="A26" s="496" t="s">
        <v>28</v>
      </c>
      <c r="B26" s="496"/>
      <c r="C26" s="496"/>
      <c r="D26" s="496"/>
      <c r="E26" s="34"/>
      <c r="F26" s="34"/>
      <c r="G26" s="34"/>
      <c r="H26" s="34"/>
    </row>
    <row r="27" spans="1:8" ht="51">
      <c r="A27" s="127" t="s">
        <v>29</v>
      </c>
      <c r="B27" s="169" t="s">
        <v>30</v>
      </c>
      <c r="C27" s="196" t="s">
        <v>31</v>
      </c>
      <c r="D27" s="197" t="s">
        <v>32</v>
      </c>
      <c r="E27" s="34"/>
      <c r="F27" s="34"/>
      <c r="G27" s="34"/>
      <c r="H27" s="34"/>
    </row>
    <row r="28" spans="1:8" ht="12.75">
      <c r="A28" s="112" t="s">
        <v>94</v>
      </c>
      <c r="B28" s="109" t="s">
        <v>34</v>
      </c>
      <c r="C28" s="110" t="s">
        <v>190</v>
      </c>
      <c r="D28" s="75">
        <f>4945.67*12*0.7</f>
        <v>41543.628</v>
      </c>
      <c r="E28" s="34"/>
      <c r="F28" s="34"/>
      <c r="G28" s="34"/>
      <c r="H28" s="34"/>
    </row>
    <row r="29" spans="1:8" ht="12.75">
      <c r="A29" s="112" t="s">
        <v>87</v>
      </c>
      <c r="B29" s="109" t="s">
        <v>36</v>
      </c>
      <c r="C29" s="112" t="s">
        <v>43</v>
      </c>
      <c r="D29" s="75">
        <f>4945.67*12*2.4</f>
        <v>142435.296</v>
      </c>
      <c r="E29" s="34"/>
      <c r="F29" s="34"/>
      <c r="G29" s="34"/>
      <c r="H29" s="34"/>
    </row>
    <row r="30" spans="1:14" s="1" customFormat="1" ht="12.75">
      <c r="A30" s="112" t="s">
        <v>189</v>
      </c>
      <c r="B30" s="109" t="s">
        <v>42</v>
      </c>
      <c r="C30" s="112" t="s">
        <v>367</v>
      </c>
      <c r="D30" s="75">
        <f>4945.67*12*0.15+1480</f>
        <v>10382.206</v>
      </c>
      <c r="E30" s="465" t="s">
        <v>281</v>
      </c>
      <c r="F30" s="34"/>
      <c r="G30" s="34"/>
      <c r="H30" s="34"/>
      <c r="K30"/>
      <c r="L30"/>
      <c r="M30"/>
      <c r="N30"/>
    </row>
    <row r="31" spans="1:14" s="1" customFormat="1" ht="12.75">
      <c r="A31" s="112" t="s">
        <v>95</v>
      </c>
      <c r="B31" s="109" t="s">
        <v>34</v>
      </c>
      <c r="C31" s="112" t="s">
        <v>40</v>
      </c>
      <c r="D31" s="75">
        <f>4945.67*12*0.2</f>
        <v>11869.608</v>
      </c>
      <c r="E31" s="34"/>
      <c r="F31" s="34"/>
      <c r="G31" s="34"/>
      <c r="H31" s="34"/>
      <c r="K31"/>
      <c r="L31"/>
      <c r="M31"/>
      <c r="N31"/>
    </row>
    <row r="32" spans="1:14" s="1" customFormat="1" ht="12.75">
      <c r="A32" s="112" t="s">
        <v>104</v>
      </c>
      <c r="B32" s="295" t="s">
        <v>34</v>
      </c>
      <c r="C32" s="112" t="s">
        <v>43</v>
      </c>
      <c r="D32" s="75">
        <f>4945.67*6*(0.9+1.09)</f>
        <v>59051.29980000001</v>
      </c>
      <c r="E32" s="34"/>
      <c r="F32" s="34"/>
      <c r="G32" s="34"/>
      <c r="H32" s="34"/>
      <c r="K32"/>
      <c r="L32"/>
      <c r="M32"/>
      <c r="N32"/>
    </row>
    <row r="33" spans="1:14" s="1" customFormat="1" ht="25.5">
      <c r="A33" s="110" t="s">
        <v>88</v>
      </c>
      <c r="B33" s="109" t="s">
        <v>34</v>
      </c>
      <c r="C33" s="112" t="s">
        <v>43</v>
      </c>
      <c r="D33" s="75">
        <f>4945.67*12*2.13+2</f>
        <v>126413.32519999999</v>
      </c>
      <c r="E33" s="34"/>
      <c r="F33" s="34"/>
      <c r="G33" s="34"/>
      <c r="H33" s="34"/>
      <c r="K33"/>
      <c r="L33"/>
      <c r="M33"/>
      <c r="N33"/>
    </row>
    <row r="34" spans="1:14" s="1" customFormat="1" ht="12.75">
      <c r="A34" s="112" t="s">
        <v>45</v>
      </c>
      <c r="B34" s="109" t="s">
        <v>46</v>
      </c>
      <c r="C34" s="112" t="s">
        <v>43</v>
      </c>
      <c r="D34" s="75">
        <f>4945.67*12*1.33</f>
        <v>78932.8932</v>
      </c>
      <c r="E34" s="34"/>
      <c r="F34" s="34"/>
      <c r="G34" s="34"/>
      <c r="H34" s="34"/>
      <c r="K34"/>
      <c r="L34"/>
      <c r="M34"/>
      <c r="N34"/>
    </row>
    <row r="35" spans="1:14" s="1" customFormat="1" ht="12.75">
      <c r="A35" s="112" t="s">
        <v>97</v>
      </c>
      <c r="B35" s="109" t="s">
        <v>38</v>
      </c>
      <c r="C35" s="219" t="s">
        <v>159</v>
      </c>
      <c r="D35" s="75">
        <f>4945.67*4.19*12</f>
        <v>248668.28760000004</v>
      </c>
      <c r="E35" s="34"/>
      <c r="F35" s="34"/>
      <c r="G35" s="34"/>
      <c r="H35" s="34"/>
      <c r="K35"/>
      <c r="L35"/>
      <c r="M35"/>
      <c r="N35"/>
    </row>
    <row r="36" spans="1:14" s="1" customFormat="1" ht="12.75">
      <c r="A36" s="112" t="s">
        <v>142</v>
      </c>
      <c r="B36" s="109"/>
      <c r="C36" s="112"/>
      <c r="D36" s="75"/>
      <c r="E36" s="34"/>
      <c r="F36" s="34"/>
      <c r="G36" s="34"/>
      <c r="H36" s="34"/>
      <c r="K36"/>
      <c r="L36"/>
      <c r="M36"/>
      <c r="N36"/>
    </row>
    <row r="37" spans="1:14" s="1" customFormat="1" ht="12.75">
      <c r="A37" s="112" t="s">
        <v>140</v>
      </c>
      <c r="B37" s="109" t="s">
        <v>38</v>
      </c>
      <c r="C37" s="112" t="s">
        <v>143</v>
      </c>
      <c r="D37" s="75">
        <f>6528.6+10979.7</f>
        <v>17508.300000000003</v>
      </c>
      <c r="E37" s="34"/>
      <c r="F37" s="34"/>
      <c r="G37" s="34"/>
      <c r="H37" s="34"/>
      <c r="K37"/>
      <c r="L37"/>
      <c r="M37"/>
      <c r="N37"/>
    </row>
    <row r="38" spans="1:14" s="1" customFormat="1" ht="12.75">
      <c r="A38" s="112" t="s">
        <v>141</v>
      </c>
      <c r="B38" s="109" t="s">
        <v>38</v>
      </c>
      <c r="C38" s="112" t="s">
        <v>144</v>
      </c>
      <c r="D38" s="75">
        <f>95336.77</f>
        <v>95336.77</v>
      </c>
      <c r="E38" s="34"/>
      <c r="F38" s="34"/>
      <c r="G38" s="34"/>
      <c r="H38" s="34"/>
      <c r="K38"/>
      <c r="L38"/>
      <c r="M38"/>
      <c r="N38"/>
    </row>
    <row r="39" spans="1:14" s="1" customFormat="1" ht="41.25" customHeight="1">
      <c r="A39" s="200" t="s">
        <v>135</v>
      </c>
      <c r="B39" s="201" t="s">
        <v>52</v>
      </c>
      <c r="C39" s="199"/>
      <c r="D39" s="349">
        <f>D40+D41+D42+D43+D44+D45+D46+D47+D48+D49+D50+D51</f>
        <v>117982</v>
      </c>
      <c r="E39" s="34"/>
      <c r="F39" s="34"/>
      <c r="G39" s="34"/>
      <c r="H39" s="34"/>
      <c r="K39"/>
      <c r="L39"/>
      <c r="M39"/>
      <c r="N39"/>
    </row>
    <row r="40" spans="1:14" s="1" customFormat="1" ht="20.25" customHeight="1">
      <c r="A40" s="221" t="s">
        <v>179</v>
      </c>
      <c r="B40" s="225" t="s">
        <v>116</v>
      </c>
      <c r="C40" s="112" t="s">
        <v>43</v>
      </c>
      <c r="D40" s="226">
        <v>711</v>
      </c>
      <c r="E40" s="34"/>
      <c r="F40" s="34"/>
      <c r="G40" s="34"/>
      <c r="H40" s="34"/>
      <c r="K40"/>
      <c r="L40"/>
      <c r="M40"/>
      <c r="N40"/>
    </row>
    <row r="41" spans="1:14" s="1" customFormat="1" ht="31.5" customHeight="1">
      <c r="A41" s="200" t="s">
        <v>278</v>
      </c>
      <c r="B41" s="201" t="s">
        <v>279</v>
      </c>
      <c r="C41" s="112" t="s">
        <v>43</v>
      </c>
      <c r="D41" s="74">
        <v>4731</v>
      </c>
      <c r="E41" s="34"/>
      <c r="F41" s="34"/>
      <c r="G41" s="34"/>
      <c r="H41" s="34"/>
      <c r="K41"/>
      <c r="L41"/>
      <c r="M41"/>
      <c r="N41"/>
    </row>
    <row r="42" spans="1:14" s="1" customFormat="1" ht="21.75" customHeight="1">
      <c r="A42" s="200" t="s">
        <v>178</v>
      </c>
      <c r="B42" s="201" t="s">
        <v>121</v>
      </c>
      <c r="C42" s="112" t="s">
        <v>43</v>
      </c>
      <c r="D42" s="74">
        <v>352</v>
      </c>
      <c r="E42" s="34"/>
      <c r="F42" s="34"/>
      <c r="G42" s="34"/>
      <c r="H42" s="34"/>
      <c r="K42"/>
      <c r="L42"/>
      <c r="M42"/>
      <c r="N42"/>
    </row>
    <row r="43" spans="1:14" s="1" customFormat="1" ht="18" customHeight="1">
      <c r="A43" s="200" t="s">
        <v>207</v>
      </c>
      <c r="B43" s="222" t="s">
        <v>121</v>
      </c>
      <c r="C43" s="112" t="s">
        <v>162</v>
      </c>
      <c r="D43" s="74">
        <v>5098</v>
      </c>
      <c r="E43" s="34"/>
      <c r="F43" s="34"/>
      <c r="G43" s="34"/>
      <c r="H43" s="34"/>
      <c r="K43"/>
      <c r="L43"/>
      <c r="M43"/>
      <c r="N43"/>
    </row>
    <row r="44" spans="1:14" s="1" customFormat="1" ht="24" customHeight="1">
      <c r="A44" s="219" t="s">
        <v>280</v>
      </c>
      <c r="B44" s="201" t="s">
        <v>121</v>
      </c>
      <c r="C44" s="112" t="s">
        <v>162</v>
      </c>
      <c r="D44" s="74">
        <v>452</v>
      </c>
      <c r="E44" s="34"/>
      <c r="F44" s="34"/>
      <c r="G44" s="34"/>
      <c r="H44" s="34"/>
      <c r="K44"/>
      <c r="L44"/>
      <c r="M44"/>
      <c r="N44"/>
    </row>
    <row r="45" spans="1:14" s="1" customFormat="1" ht="17.25" customHeight="1">
      <c r="A45" s="74" t="s">
        <v>286</v>
      </c>
      <c r="B45" s="201" t="s">
        <v>118</v>
      </c>
      <c r="C45" s="112" t="s">
        <v>162</v>
      </c>
      <c r="D45" s="74">
        <f>562+110</f>
        <v>672</v>
      </c>
      <c r="E45" s="34"/>
      <c r="F45" s="34"/>
      <c r="G45" s="34"/>
      <c r="H45" s="34"/>
      <c r="K45"/>
      <c r="L45"/>
      <c r="M45"/>
      <c r="N45"/>
    </row>
    <row r="46" spans="1:14" s="1" customFormat="1" ht="17.25" customHeight="1">
      <c r="A46" s="218" t="s">
        <v>282</v>
      </c>
      <c r="B46" s="201" t="s">
        <v>285</v>
      </c>
      <c r="C46" s="112" t="s">
        <v>162</v>
      </c>
      <c r="D46" s="74">
        <f>20195+4454</f>
        <v>24649</v>
      </c>
      <c r="E46" s="34"/>
      <c r="F46" s="34"/>
      <c r="G46" s="34"/>
      <c r="H46" s="34"/>
      <c r="K46"/>
      <c r="L46"/>
      <c r="M46"/>
      <c r="N46"/>
    </row>
    <row r="47" spans="1:14" s="1" customFormat="1" ht="17.25" customHeight="1">
      <c r="A47" s="218" t="s">
        <v>283</v>
      </c>
      <c r="B47" s="201" t="s">
        <v>118</v>
      </c>
      <c r="C47" s="112" t="s">
        <v>162</v>
      </c>
      <c r="D47" s="74">
        <v>3414</v>
      </c>
      <c r="E47" s="34"/>
      <c r="F47" s="34"/>
      <c r="G47" s="34"/>
      <c r="H47" s="34"/>
      <c r="K47"/>
      <c r="L47"/>
      <c r="M47"/>
      <c r="N47"/>
    </row>
    <row r="48" spans="1:14" s="1" customFormat="1" ht="17.25" customHeight="1">
      <c r="A48" s="218" t="s">
        <v>158</v>
      </c>
      <c r="B48" s="201" t="s">
        <v>119</v>
      </c>
      <c r="C48" s="112" t="s">
        <v>284</v>
      </c>
      <c r="D48" s="74">
        <v>47748</v>
      </c>
      <c r="E48" s="34"/>
      <c r="F48" s="34"/>
      <c r="G48" s="34"/>
      <c r="H48" s="34"/>
      <c r="K48"/>
      <c r="L48"/>
      <c r="M48"/>
      <c r="N48"/>
    </row>
    <row r="49" spans="1:14" s="1" customFormat="1" ht="26.25" customHeight="1">
      <c r="A49" s="218" t="s">
        <v>287</v>
      </c>
      <c r="B49" s="201" t="s">
        <v>120</v>
      </c>
      <c r="C49" s="127" t="s">
        <v>288</v>
      </c>
      <c r="D49" s="74">
        <v>1400</v>
      </c>
      <c r="E49" s="34"/>
      <c r="F49" s="34"/>
      <c r="G49" s="34"/>
      <c r="H49" s="34"/>
      <c r="K49"/>
      <c r="L49"/>
      <c r="M49"/>
      <c r="N49"/>
    </row>
    <row r="50" spans="1:14" s="1" customFormat="1" ht="17.25" customHeight="1">
      <c r="A50" s="218" t="s">
        <v>289</v>
      </c>
      <c r="B50" s="201" t="s">
        <v>123</v>
      </c>
      <c r="C50" s="112" t="s">
        <v>162</v>
      </c>
      <c r="D50" s="74">
        <v>14907</v>
      </c>
      <c r="E50" s="34"/>
      <c r="F50" s="34"/>
      <c r="G50" s="34"/>
      <c r="H50" s="34"/>
      <c r="K50"/>
      <c r="L50"/>
      <c r="M50"/>
      <c r="N50"/>
    </row>
    <row r="51" spans="1:14" s="1" customFormat="1" ht="17.25" customHeight="1">
      <c r="A51" s="218" t="s">
        <v>290</v>
      </c>
      <c r="B51" s="201" t="s">
        <v>125</v>
      </c>
      <c r="C51" s="112" t="s">
        <v>174</v>
      </c>
      <c r="D51" s="74">
        <v>13848</v>
      </c>
      <c r="E51" s="34"/>
      <c r="F51" s="34"/>
      <c r="G51" s="34"/>
      <c r="H51" s="34"/>
      <c r="K51"/>
      <c r="L51"/>
      <c r="M51"/>
      <c r="N51"/>
    </row>
    <row r="52" spans="1:14" s="1" customFormat="1" ht="12.75">
      <c r="A52" s="23" t="s">
        <v>53</v>
      </c>
      <c r="B52" s="109"/>
      <c r="C52" s="112"/>
      <c r="D52" s="75">
        <f>D28+D29+D30+D31+D32+D33+D34+D35+D37+D38+D39</f>
        <v>950123.6138000002</v>
      </c>
      <c r="E52" s="471">
        <f>D52-D39-D37-D38</f>
        <v>719296.5438000001</v>
      </c>
      <c r="F52" s="34"/>
      <c r="G52" s="34"/>
      <c r="H52" s="34"/>
      <c r="K52"/>
      <c r="L52"/>
      <c r="M52"/>
      <c r="N52"/>
    </row>
    <row r="53" spans="1:14" s="1" customFormat="1" ht="12.75">
      <c r="A53" s="23" t="s">
        <v>54</v>
      </c>
      <c r="B53" s="109"/>
      <c r="C53" s="112"/>
      <c r="D53" s="75">
        <f>C25-D52</f>
        <v>281610.00748999976</v>
      </c>
      <c r="E53" s="35"/>
      <c r="F53" s="34"/>
      <c r="G53" s="34"/>
      <c r="H53" s="34"/>
      <c r="K53"/>
      <c r="L53"/>
      <c r="M53"/>
      <c r="N53"/>
    </row>
    <row r="54" spans="1:8" ht="12.75">
      <c r="A54" s="112" t="s">
        <v>13</v>
      </c>
      <c r="B54" s="109" t="s">
        <v>12</v>
      </c>
      <c r="C54" s="112"/>
      <c r="D54" s="77">
        <v>0</v>
      </c>
      <c r="E54" s="34"/>
      <c r="F54" s="34"/>
      <c r="G54" s="34"/>
      <c r="H54" s="34"/>
    </row>
    <row r="55" spans="1:8" ht="12.75">
      <c r="A55" s="112" t="s">
        <v>14</v>
      </c>
      <c r="B55" s="109" t="s">
        <v>12</v>
      </c>
      <c r="C55" s="112"/>
      <c r="D55" s="75">
        <f>C15+C16-C21</f>
        <v>164497.3287099999</v>
      </c>
      <c r="E55" s="34"/>
      <c r="F55" s="34"/>
      <c r="G55" s="34"/>
      <c r="H55" s="34"/>
    </row>
    <row r="56" spans="1:8" ht="24" customHeight="1">
      <c r="A56" s="495" t="s">
        <v>55</v>
      </c>
      <c r="B56" s="495"/>
      <c r="C56" s="495"/>
      <c r="D56" s="495"/>
      <c r="E56" s="34"/>
      <c r="F56" s="34"/>
      <c r="G56" s="34"/>
      <c r="H56" s="34"/>
    </row>
    <row r="57" spans="1:8" ht="12.75">
      <c r="A57" s="112" t="s">
        <v>56</v>
      </c>
      <c r="B57" s="109" t="s">
        <v>57</v>
      </c>
      <c r="C57" s="112"/>
      <c r="D57" s="77">
        <v>0</v>
      </c>
      <c r="E57" s="34"/>
      <c r="F57" s="34"/>
      <c r="G57" s="34"/>
      <c r="H57" s="34"/>
    </row>
    <row r="58" spans="1:8" ht="12.75">
      <c r="A58" s="112" t="s">
        <v>58</v>
      </c>
      <c r="B58" s="109" t="s">
        <v>57</v>
      </c>
      <c r="C58" s="112"/>
      <c r="D58" s="77">
        <v>0</v>
      </c>
      <c r="E58" s="34"/>
      <c r="F58" s="34"/>
      <c r="G58" s="34"/>
      <c r="H58" s="34"/>
    </row>
    <row r="59" spans="1:8" ht="25.5">
      <c r="A59" s="127" t="s">
        <v>59</v>
      </c>
      <c r="B59" s="109" t="s">
        <v>57</v>
      </c>
      <c r="C59" s="112"/>
      <c r="D59" s="77">
        <v>0</v>
      </c>
      <c r="E59" s="34"/>
      <c r="F59" s="34"/>
      <c r="G59" s="34"/>
      <c r="H59" s="34"/>
    </row>
    <row r="60" spans="1:8" ht="12.75">
      <c r="A60" s="112" t="s">
        <v>60</v>
      </c>
      <c r="B60" s="109" t="s">
        <v>12</v>
      </c>
      <c r="C60" s="112"/>
      <c r="D60" s="77">
        <v>0</v>
      </c>
      <c r="E60" s="34"/>
      <c r="F60" s="34"/>
      <c r="G60" s="34"/>
      <c r="H60" s="34"/>
    </row>
    <row r="61" spans="1:8" ht="20.25" customHeight="1">
      <c r="A61" s="496" t="s">
        <v>61</v>
      </c>
      <c r="B61" s="496"/>
      <c r="C61" s="496"/>
      <c r="D61" s="496"/>
      <c r="E61" s="34"/>
      <c r="F61" s="34"/>
      <c r="G61" s="34"/>
      <c r="H61" s="34"/>
    </row>
    <row r="62" spans="1:8" ht="25.5">
      <c r="A62" s="127" t="s">
        <v>62</v>
      </c>
      <c r="B62" s="109" t="s">
        <v>12</v>
      </c>
      <c r="C62" s="112"/>
      <c r="D62" s="112">
        <v>0</v>
      </c>
      <c r="E62" s="34"/>
      <c r="F62" s="34"/>
      <c r="G62" s="34"/>
      <c r="H62" s="34"/>
    </row>
    <row r="63" spans="1:8" ht="12.75">
      <c r="A63" s="112" t="s">
        <v>13</v>
      </c>
      <c r="B63" s="109" t="s">
        <v>12</v>
      </c>
      <c r="C63" s="112"/>
      <c r="D63" s="112">
        <v>0</v>
      </c>
      <c r="E63" s="34"/>
      <c r="F63" s="34"/>
      <c r="G63" s="34"/>
      <c r="H63" s="34"/>
    </row>
    <row r="64" spans="1:8" ht="27" customHeight="1">
      <c r="A64" s="219" t="s">
        <v>201</v>
      </c>
      <c r="B64" s="109" t="s">
        <v>12</v>
      </c>
      <c r="C64" s="112"/>
      <c r="D64" s="223">
        <f>D66-D69-D70-D71-D72-D73</f>
        <v>274061.0035900001</v>
      </c>
      <c r="E64" s="34"/>
      <c r="F64" s="34"/>
      <c r="G64" s="34"/>
      <c r="H64" s="36"/>
    </row>
    <row r="65" spans="1:10" ht="17.25" customHeight="1">
      <c r="A65" s="132" t="s">
        <v>13</v>
      </c>
      <c r="B65" s="109" t="s">
        <v>12</v>
      </c>
      <c r="C65" s="112"/>
      <c r="D65" s="112">
        <v>0</v>
      </c>
      <c r="E65" s="34"/>
      <c r="F65" s="34"/>
      <c r="G65" s="34"/>
      <c r="H65" s="34"/>
      <c r="I65" s="3"/>
      <c r="J65" s="3"/>
    </row>
    <row r="66" spans="1:14" ht="12.75">
      <c r="A66" s="418" t="s">
        <v>202</v>
      </c>
      <c r="B66" s="109" t="s">
        <v>12</v>
      </c>
      <c r="C66" s="202"/>
      <c r="D66" s="202">
        <v>277681.15</v>
      </c>
      <c r="E66" s="34"/>
      <c r="F66" s="34"/>
      <c r="G66" s="34"/>
      <c r="H66" s="34" t="s">
        <v>27</v>
      </c>
      <c r="I66" s="4"/>
      <c r="J66" s="4"/>
      <c r="K66" s="5"/>
      <c r="L66" s="5"/>
      <c r="M66" s="5"/>
      <c r="N66" s="5"/>
    </row>
    <row r="67" spans="1:14" ht="18" customHeight="1" thickBot="1">
      <c r="A67" s="497" t="s">
        <v>64</v>
      </c>
      <c r="B67" s="497"/>
      <c r="C67" s="497"/>
      <c r="D67" s="497"/>
      <c r="E67" s="39"/>
      <c r="F67" s="43"/>
      <c r="G67" s="44"/>
      <c r="H67" s="34"/>
      <c r="I67" s="8"/>
      <c r="J67" s="8"/>
      <c r="K67" s="9"/>
      <c r="L67" s="9"/>
      <c r="M67" s="9"/>
      <c r="N67" s="9"/>
    </row>
    <row r="68" spans="1:14" ht="38.25">
      <c r="A68" s="33" t="s">
        <v>65</v>
      </c>
      <c r="B68" s="30" t="s">
        <v>66</v>
      </c>
      <c r="C68" s="55" t="s">
        <v>67</v>
      </c>
      <c r="D68" s="56" t="s">
        <v>102</v>
      </c>
      <c r="E68" s="39"/>
      <c r="F68" s="43"/>
      <c r="G68" s="44"/>
      <c r="H68" s="34"/>
      <c r="I68" s="8"/>
      <c r="J68" s="8"/>
      <c r="K68" s="9"/>
      <c r="L68" s="9"/>
      <c r="M68" s="9"/>
      <c r="N68" s="9"/>
    </row>
    <row r="69" spans="1:14" ht="12.75">
      <c r="A69" s="369" t="s">
        <v>194</v>
      </c>
      <c r="B69" s="24">
        <v>273989.09</v>
      </c>
      <c r="C69" s="59">
        <f>B69*0.9955</f>
        <v>272756.13909500005</v>
      </c>
      <c r="D69" s="365">
        <f>B69-C69</f>
        <v>1232.950904999976</v>
      </c>
      <c r="E69" s="39"/>
      <c r="F69" s="43"/>
      <c r="G69" s="44"/>
      <c r="H69" s="34"/>
      <c r="I69" s="8"/>
      <c r="J69" s="8"/>
      <c r="K69" s="9"/>
      <c r="L69" s="9"/>
      <c r="M69" s="9"/>
      <c r="N69" s="9"/>
    </row>
    <row r="70" spans="1:14" ht="12.75">
      <c r="A70" s="205" t="s">
        <v>69</v>
      </c>
      <c r="B70" s="96">
        <v>29576.09</v>
      </c>
      <c r="C70" s="59">
        <f>B70*0.9955</f>
        <v>29442.997595</v>
      </c>
      <c r="D70" s="407">
        <f>B70-C70</f>
        <v>133.09240499999942</v>
      </c>
      <c r="E70" s="48"/>
      <c r="F70" s="43"/>
      <c r="G70" s="44"/>
      <c r="H70" s="34"/>
      <c r="I70" s="8"/>
      <c r="J70" s="8"/>
      <c r="K70" s="9"/>
      <c r="L70" s="9"/>
      <c r="M70" s="9"/>
      <c r="N70" s="9"/>
    </row>
    <row r="71" spans="1:14" ht="12.75">
      <c r="A71" s="205" t="s">
        <v>70</v>
      </c>
      <c r="B71" s="96">
        <v>56008.49</v>
      </c>
      <c r="C71" s="59">
        <f>B71*0.9955</f>
        <v>55756.451795</v>
      </c>
      <c r="D71" s="407">
        <f>B71-C71</f>
        <v>252.0382049999971</v>
      </c>
      <c r="E71" s="39"/>
      <c r="F71" s="43"/>
      <c r="G71" s="44"/>
      <c r="H71" s="34"/>
      <c r="I71" s="8"/>
      <c r="J71" s="8"/>
      <c r="K71" s="9"/>
      <c r="L71" s="9"/>
      <c r="M71" s="9"/>
      <c r="N71" s="9"/>
    </row>
    <row r="72" spans="1:14" ht="12.75">
      <c r="A72" s="205" t="s">
        <v>71</v>
      </c>
      <c r="B72" s="136">
        <v>351843.7</v>
      </c>
      <c r="C72" s="59">
        <f>B72*0.9955</f>
        <v>350260.40335000004</v>
      </c>
      <c r="D72" s="407">
        <f>B72-C72</f>
        <v>1583.2966499999748</v>
      </c>
      <c r="E72" s="39">
        <f>(2.07+1.8)*6*2301.2-0.37*2301.2*6</f>
        <v>48325.2</v>
      </c>
      <c r="F72" s="46"/>
      <c r="G72" s="47"/>
      <c r="H72" s="39"/>
      <c r="I72" s="8"/>
      <c r="J72" s="8"/>
      <c r="K72" s="9"/>
      <c r="L72" s="9"/>
      <c r="M72" s="9"/>
      <c r="N72" s="9"/>
    </row>
    <row r="73" spans="1:14" ht="13.5" thickBot="1">
      <c r="A73" s="205" t="s">
        <v>72</v>
      </c>
      <c r="B73" s="136">
        <v>93059.61</v>
      </c>
      <c r="C73" s="59">
        <f>B73*0.9955</f>
        <v>92640.841755</v>
      </c>
      <c r="D73" s="407">
        <f>B73-C73</f>
        <v>418.7682449999993</v>
      </c>
      <c r="E73" s="39"/>
      <c r="F73" s="46"/>
      <c r="G73" s="47"/>
      <c r="H73" s="34"/>
      <c r="I73" s="8"/>
      <c r="J73" s="8"/>
      <c r="K73" s="9"/>
      <c r="L73" s="9"/>
      <c r="M73" s="9"/>
      <c r="N73" s="9"/>
    </row>
    <row r="74" spans="1:14" ht="63.75">
      <c r="A74" s="29" t="s">
        <v>74</v>
      </c>
      <c r="B74" s="30" t="s">
        <v>75</v>
      </c>
      <c r="C74" s="55" t="s">
        <v>76</v>
      </c>
      <c r="D74" s="56" t="s">
        <v>77</v>
      </c>
      <c r="E74" s="39"/>
      <c r="F74" s="46"/>
      <c r="G74" s="34"/>
      <c r="H74" s="38"/>
      <c r="I74" s="8"/>
      <c r="J74" s="8"/>
      <c r="K74" s="9"/>
      <c r="L74" s="9"/>
      <c r="M74" s="9"/>
      <c r="N74" s="9"/>
    </row>
    <row r="75" spans="1:14" ht="12.75">
      <c r="A75" s="369" t="s">
        <v>194</v>
      </c>
      <c r="B75" s="24">
        <v>273989.09</v>
      </c>
      <c r="C75" s="59">
        <f>C69</f>
        <v>272756.13909500005</v>
      </c>
      <c r="D75" s="365">
        <f>B75-C75</f>
        <v>1232.950904999976</v>
      </c>
      <c r="E75" s="39"/>
      <c r="F75" s="46"/>
      <c r="G75" s="34"/>
      <c r="H75" s="38"/>
      <c r="I75" s="8"/>
      <c r="J75" s="8"/>
      <c r="K75" s="9"/>
      <c r="L75" s="9"/>
      <c r="M75" s="9"/>
      <c r="N75" s="9"/>
    </row>
    <row r="76" spans="1:14" ht="12.75">
      <c r="A76" s="205" t="s">
        <v>69</v>
      </c>
      <c r="B76" s="96">
        <v>29576.09</v>
      </c>
      <c r="C76" s="59">
        <f>B76*0.9955</f>
        <v>29442.997595</v>
      </c>
      <c r="D76" s="407">
        <f>B76-C76</f>
        <v>133.09240499999942</v>
      </c>
      <c r="E76" s="39"/>
      <c r="F76" s="46"/>
      <c r="G76" s="34"/>
      <c r="H76" s="38"/>
      <c r="I76" s="8"/>
      <c r="J76" s="8" t="s">
        <v>27</v>
      </c>
      <c r="K76" s="9"/>
      <c r="L76" s="9"/>
      <c r="M76" s="9"/>
      <c r="N76" s="9"/>
    </row>
    <row r="77" spans="1:14" ht="12.75">
      <c r="A77" s="205" t="s">
        <v>70</v>
      </c>
      <c r="B77" s="96">
        <v>56008.49</v>
      </c>
      <c r="C77" s="59">
        <f>B77*0.9955</f>
        <v>55756.451795</v>
      </c>
      <c r="D77" s="407">
        <f>B77-C77</f>
        <v>252.0382049999971</v>
      </c>
      <c r="E77" s="39"/>
      <c r="F77" s="46"/>
      <c r="G77" s="34"/>
      <c r="H77" s="38"/>
      <c r="I77" s="8"/>
      <c r="J77" s="8"/>
      <c r="K77" s="9"/>
      <c r="L77" s="9"/>
      <c r="M77" s="9"/>
      <c r="N77" s="9"/>
    </row>
    <row r="78" spans="1:14" ht="12.75">
      <c r="A78" s="205" t="s">
        <v>71</v>
      </c>
      <c r="B78" s="136">
        <v>352120.83</v>
      </c>
      <c r="C78" s="59">
        <f>B78*0.9955</f>
        <v>350536.28626500006</v>
      </c>
      <c r="D78" s="407">
        <f>B78-C78</f>
        <v>1584.5437349999556</v>
      </c>
      <c r="E78" s="39"/>
      <c r="F78" s="46"/>
      <c r="G78" s="34"/>
      <c r="H78" s="38"/>
      <c r="I78" s="8"/>
      <c r="J78" s="8"/>
      <c r="K78" s="9"/>
      <c r="L78" s="9"/>
      <c r="M78" s="9"/>
      <c r="N78" s="9"/>
    </row>
    <row r="79" spans="1:14" ht="12.75">
      <c r="A79" s="205" t="s">
        <v>72</v>
      </c>
      <c r="B79" s="136">
        <v>93059.61</v>
      </c>
      <c r="C79" s="59">
        <f>B79*0.9955</f>
        <v>92640.841755</v>
      </c>
      <c r="D79" s="407">
        <f>B79-C79</f>
        <v>418.7682449999993</v>
      </c>
      <c r="E79" s="39"/>
      <c r="F79" s="46"/>
      <c r="G79" s="34"/>
      <c r="H79" s="38"/>
      <c r="I79" s="8"/>
      <c r="J79" s="8"/>
      <c r="K79" s="9"/>
      <c r="L79" s="9"/>
      <c r="M79" s="9"/>
      <c r="N79" s="9"/>
    </row>
    <row r="80" spans="1:14" ht="12.75">
      <c r="A80" s="212"/>
      <c r="B80" s="141"/>
      <c r="C80" s="408"/>
      <c r="D80" s="409"/>
      <c r="E80" s="39"/>
      <c r="F80" s="46"/>
      <c r="G80" s="34"/>
      <c r="H80" s="38"/>
      <c r="I80" s="8"/>
      <c r="J80" s="8"/>
      <c r="K80" s="9"/>
      <c r="L80" s="9"/>
      <c r="M80" s="9"/>
      <c r="N80" s="9"/>
    </row>
    <row r="81" spans="1:14" ht="25.5">
      <c r="A81" s="215" t="s">
        <v>78</v>
      </c>
      <c r="B81" s="141" t="s">
        <v>12</v>
      </c>
      <c r="C81" s="410"/>
      <c r="D81" s="411">
        <v>0</v>
      </c>
      <c r="E81" s="39"/>
      <c r="F81" s="46"/>
      <c r="G81" s="34"/>
      <c r="H81" s="38"/>
      <c r="I81" s="8"/>
      <c r="J81" s="8" t="s">
        <v>27</v>
      </c>
      <c r="K81" s="9"/>
      <c r="L81" s="9"/>
      <c r="M81" s="9"/>
      <c r="N81" s="9"/>
    </row>
    <row r="82" spans="1:14" ht="17.25" customHeight="1">
      <c r="A82" s="498" t="s">
        <v>79</v>
      </c>
      <c r="B82" s="498"/>
      <c r="C82" s="498"/>
      <c r="D82" s="498"/>
      <c r="E82" s="48" t="e">
        <f>D82+B17</f>
        <v>#VALUE!</v>
      </c>
      <c r="F82" s="38"/>
      <c r="G82" s="34"/>
      <c r="H82" s="40" t="e">
        <f>E82-B16</f>
        <v>#VALUE!</v>
      </c>
      <c r="I82" s="8"/>
      <c r="J82" s="8"/>
      <c r="K82" s="9"/>
      <c r="L82" s="9"/>
      <c r="M82" s="9"/>
      <c r="N82" s="9"/>
    </row>
    <row r="83" spans="1:8" ht="21" customHeight="1">
      <c r="A83" s="19" t="s">
        <v>56</v>
      </c>
      <c r="B83" s="19" t="s">
        <v>57</v>
      </c>
      <c r="C83" s="27"/>
      <c r="D83" s="416">
        <v>0</v>
      </c>
      <c r="E83" s="49"/>
      <c r="F83" s="34"/>
      <c r="G83" s="34"/>
      <c r="H83" s="34"/>
    </row>
    <row r="84" spans="1:8" ht="21" customHeight="1">
      <c r="A84" s="19" t="s">
        <v>58</v>
      </c>
      <c r="B84" s="19" t="s">
        <v>57</v>
      </c>
      <c r="C84" s="27"/>
      <c r="D84" s="416">
        <v>0</v>
      </c>
      <c r="E84" s="49"/>
      <c r="F84" s="34"/>
      <c r="G84" s="34"/>
      <c r="H84" s="34"/>
    </row>
    <row r="85" spans="1:14" s="1" customFormat="1" ht="18" customHeight="1">
      <c r="A85" s="19" t="s">
        <v>59</v>
      </c>
      <c r="B85" s="19" t="s">
        <v>57</v>
      </c>
      <c r="C85" s="27"/>
      <c r="D85" s="416">
        <v>0</v>
      </c>
      <c r="E85" s="49"/>
      <c r="F85" s="34"/>
      <c r="G85" s="34"/>
      <c r="H85" s="34"/>
      <c r="K85"/>
      <c r="L85"/>
      <c r="M85"/>
      <c r="N85"/>
    </row>
    <row r="86" spans="1:14" s="1" customFormat="1" ht="16.5" customHeight="1">
      <c r="A86" s="19" t="s">
        <v>60</v>
      </c>
      <c r="B86" s="19" t="s">
        <v>12</v>
      </c>
      <c r="C86" s="27"/>
      <c r="D86" s="62">
        <v>0</v>
      </c>
      <c r="E86" s="49"/>
      <c r="F86" s="34"/>
      <c r="G86" s="34"/>
      <c r="H86" s="34"/>
      <c r="K86"/>
      <c r="L86"/>
      <c r="M86"/>
      <c r="N86"/>
    </row>
    <row r="87" spans="1:14" s="1" customFormat="1" ht="15.75" customHeight="1">
      <c r="A87" s="491" t="s">
        <v>80</v>
      </c>
      <c r="B87" s="491"/>
      <c r="C87" s="491"/>
      <c r="D87" s="491"/>
      <c r="E87" s="49"/>
      <c r="F87" s="34"/>
      <c r="G87" s="34"/>
      <c r="H87" s="34"/>
      <c r="K87"/>
      <c r="L87"/>
      <c r="M87"/>
      <c r="N87"/>
    </row>
    <row r="88" spans="1:14" s="1" customFormat="1" ht="18.75" customHeight="1">
      <c r="A88" s="19" t="s">
        <v>81</v>
      </c>
      <c r="B88" s="19" t="s">
        <v>57</v>
      </c>
      <c r="C88" s="27"/>
      <c r="D88" s="417">
        <v>1</v>
      </c>
      <c r="E88" s="49"/>
      <c r="F88" s="34"/>
      <c r="G88" s="34"/>
      <c r="H88" s="34"/>
      <c r="K88"/>
      <c r="L88"/>
      <c r="M88"/>
      <c r="N88"/>
    </row>
    <row r="89" spans="1:14" s="1" customFormat="1" ht="21.75" customHeight="1">
      <c r="A89" s="19" t="s">
        <v>82</v>
      </c>
      <c r="B89" s="132" t="s">
        <v>57</v>
      </c>
      <c r="C89" s="142"/>
      <c r="D89" s="417">
        <v>1</v>
      </c>
      <c r="E89" s="49"/>
      <c r="F89" s="34"/>
      <c r="G89" s="34"/>
      <c r="H89" s="34"/>
      <c r="K89"/>
      <c r="L89"/>
      <c r="M89"/>
      <c r="N89"/>
    </row>
    <row r="90" spans="1:14" s="1" customFormat="1" ht="36" customHeight="1">
      <c r="A90" s="143" t="s">
        <v>83</v>
      </c>
      <c r="B90" s="19" t="s">
        <v>12</v>
      </c>
      <c r="C90" s="27"/>
      <c r="D90" s="62">
        <v>127780.02</v>
      </c>
      <c r="E90" s="49"/>
      <c r="F90" s="34"/>
      <c r="G90" s="34"/>
      <c r="H90" s="34"/>
      <c r="K90"/>
      <c r="L90"/>
      <c r="M90"/>
      <c r="N90"/>
    </row>
    <row r="91" spans="1:14" s="1" customFormat="1" ht="12.75">
      <c r="A91" s="144"/>
      <c r="B91" s="144"/>
      <c r="C91" s="144"/>
      <c r="D91" s="145"/>
      <c r="E91" s="34"/>
      <c r="F91" s="34"/>
      <c r="G91" s="34"/>
      <c r="H91" s="34"/>
      <c r="K91"/>
      <c r="L91"/>
      <c r="M91"/>
      <c r="N91"/>
    </row>
    <row r="92" spans="1:14" s="1" customFormat="1" ht="12.75">
      <c r="A92" s="78"/>
      <c r="B92" s="78"/>
      <c r="C92" s="78"/>
      <c r="D92" s="78"/>
      <c r="E92" s="34"/>
      <c r="F92" s="34"/>
      <c r="G92" s="34"/>
      <c r="H92" s="34" t="s">
        <v>27</v>
      </c>
      <c r="K92"/>
      <c r="L92"/>
      <c r="M92"/>
      <c r="N92"/>
    </row>
    <row r="93" spans="1:14" s="1" customFormat="1" ht="12.75">
      <c r="A93" s="87" t="s">
        <v>152</v>
      </c>
      <c r="B93" s="78"/>
      <c r="C93" s="78"/>
      <c r="D93" s="78"/>
      <c r="E93" s="34"/>
      <c r="F93" s="34"/>
      <c r="G93" s="34"/>
      <c r="H93" s="34"/>
      <c r="K93"/>
      <c r="L93"/>
      <c r="M93"/>
      <c r="N93"/>
    </row>
    <row r="94" spans="1:14" s="1" customFormat="1" ht="12.75">
      <c r="A94" s="78"/>
      <c r="B94" s="78"/>
      <c r="C94" s="78"/>
      <c r="D94" s="78"/>
      <c r="H94" s="1" t="s">
        <v>27</v>
      </c>
      <c r="K94"/>
      <c r="L94"/>
      <c r="M94"/>
      <c r="N94"/>
    </row>
    <row r="95" spans="1:14" s="1" customFormat="1" ht="12.75">
      <c r="A95" s="78" t="s">
        <v>84</v>
      </c>
      <c r="B95" s="78"/>
      <c r="C95" s="78"/>
      <c r="D95" s="78"/>
      <c r="K95"/>
      <c r="L95"/>
      <c r="M95"/>
      <c r="N95"/>
    </row>
    <row r="96" spans="1:4" ht="12.75">
      <c r="A96" s="78"/>
      <c r="B96" s="78"/>
      <c r="C96" s="78"/>
      <c r="D96" s="78"/>
    </row>
    <row r="97" spans="1:4" ht="12.75">
      <c r="A97" s="78"/>
      <c r="B97" s="78"/>
      <c r="C97" s="78"/>
      <c r="D97" s="78"/>
    </row>
    <row r="98" spans="1:4" ht="12.75">
      <c r="A98" s="50"/>
      <c r="B98" s="50"/>
      <c r="C98" s="50"/>
      <c r="D98" s="50"/>
    </row>
    <row r="99" spans="1:14" s="1" customFormat="1" ht="12.75">
      <c r="A99"/>
      <c r="B99"/>
      <c r="C99"/>
      <c r="D99"/>
      <c r="E99" s="1" t="s">
        <v>27</v>
      </c>
      <c r="K99"/>
      <c r="L99"/>
      <c r="M99"/>
      <c r="N99"/>
    </row>
  </sheetData>
  <sheetProtection selectLockedCells="1" selectUnlockedCells="1"/>
  <mergeCells count="13">
    <mergeCell ref="A26:D26"/>
    <mergeCell ref="A56:D56"/>
    <mergeCell ref="A61:D61"/>
    <mergeCell ref="A67:D67"/>
    <mergeCell ref="A82:D82"/>
    <mergeCell ref="A87:D87"/>
    <mergeCell ref="A1:D1"/>
    <mergeCell ref="A2:D2"/>
    <mergeCell ref="A3:D3"/>
    <mergeCell ref="A4:D4"/>
    <mergeCell ref="A5:D5"/>
    <mergeCell ref="A12:D12"/>
    <mergeCell ref="A6:D6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6"/>
  <sheetViews>
    <sheetView zoomScale="96" zoomScaleNormal="96" zoomScalePageLayoutView="0" workbookViewId="0" topLeftCell="A1">
      <selection activeCell="G7" sqref="G7:G102"/>
    </sheetView>
  </sheetViews>
  <sheetFormatPr defaultColWidth="11.57421875" defaultRowHeight="12.75"/>
  <cols>
    <col min="1" max="1" width="54.00390625" style="0" customWidth="1"/>
    <col min="2" max="2" width="16.57421875" style="0" customWidth="1"/>
    <col min="3" max="3" width="28.421875" style="0" customWidth="1"/>
    <col min="4" max="4" width="13.421875" style="0" customWidth="1"/>
    <col min="5" max="6" width="0" style="1" hidden="1" customWidth="1"/>
    <col min="7" max="7" width="17.00390625" style="1" customWidth="1"/>
    <col min="8" max="8" width="8.8515625" style="1" customWidth="1"/>
    <col min="9" max="9" width="30.00390625" style="1" customWidth="1"/>
    <col min="10" max="11" width="23.28125" style="0" customWidth="1"/>
    <col min="12" max="12" width="6.57421875" style="0" customWidth="1"/>
    <col min="13" max="13" width="7.00390625" style="0" customWidth="1"/>
  </cols>
  <sheetData>
    <row r="1" spans="1:4" ht="15">
      <c r="A1" s="508" t="s">
        <v>163</v>
      </c>
      <c r="B1" s="509"/>
      <c r="C1" s="509"/>
      <c r="D1" s="509"/>
    </row>
    <row r="2" spans="1:4" ht="15">
      <c r="A2" s="509" t="s">
        <v>1</v>
      </c>
      <c r="B2" s="509"/>
      <c r="C2" s="509"/>
      <c r="D2" s="509"/>
    </row>
    <row r="3" spans="1:4" ht="15">
      <c r="A3" s="509" t="s">
        <v>107</v>
      </c>
      <c r="B3" s="509"/>
      <c r="C3" s="509"/>
      <c r="D3" s="509"/>
    </row>
    <row r="4" spans="1:4" ht="15">
      <c r="A4" s="508" t="s">
        <v>203</v>
      </c>
      <c r="B4" s="509"/>
      <c r="C4" s="509"/>
      <c r="D4" s="509"/>
    </row>
    <row r="5" spans="1:7" ht="34.5" customHeight="1">
      <c r="A5" s="511" t="s">
        <v>3</v>
      </c>
      <c r="B5" s="512"/>
      <c r="C5" s="512"/>
      <c r="D5" s="512"/>
      <c r="E5" s="82"/>
      <c r="F5" s="82"/>
      <c r="G5" s="82"/>
    </row>
    <row r="6" spans="1:9" ht="15">
      <c r="A6" s="423" t="s">
        <v>365</v>
      </c>
      <c r="B6" s="424">
        <v>2</v>
      </c>
      <c r="C6" s="424">
        <v>3</v>
      </c>
      <c r="D6" s="425">
        <v>4</v>
      </c>
      <c r="G6" s="34"/>
      <c r="H6" s="34"/>
      <c r="I6" s="34"/>
    </row>
    <row r="7" spans="1:9" ht="15">
      <c r="A7" s="423" t="s">
        <v>7</v>
      </c>
      <c r="B7" s="426"/>
      <c r="C7" s="427" t="s">
        <v>204</v>
      </c>
      <c r="D7" s="428"/>
      <c r="G7" s="34"/>
      <c r="H7" s="34"/>
      <c r="I7" s="34"/>
    </row>
    <row r="8" spans="1:9" ht="15">
      <c r="A8" s="423" t="s">
        <v>8</v>
      </c>
      <c r="B8" s="426"/>
      <c r="C8" s="427" t="s">
        <v>205</v>
      </c>
      <c r="D8" s="428"/>
      <c r="G8" s="34"/>
      <c r="H8" s="34"/>
      <c r="I8" s="34"/>
    </row>
    <row r="9" spans="1:9" ht="15">
      <c r="A9" s="423" t="s">
        <v>9</v>
      </c>
      <c r="B9" s="426"/>
      <c r="C9" s="427" t="s">
        <v>206</v>
      </c>
      <c r="D9" s="428"/>
      <c r="G9" s="34"/>
      <c r="H9" s="34"/>
      <c r="I9" s="34"/>
    </row>
    <row r="10" spans="1:9" ht="31.5" customHeight="1">
      <c r="A10" s="510" t="s">
        <v>10</v>
      </c>
      <c r="B10" s="510"/>
      <c r="C10" s="510"/>
      <c r="D10" s="510"/>
      <c r="G10" s="34"/>
      <c r="H10" s="34"/>
      <c r="I10" s="34"/>
    </row>
    <row r="11" spans="1:13" s="1" customFormat="1" ht="29.25" customHeight="1">
      <c r="A11" s="429" t="s">
        <v>131</v>
      </c>
      <c r="B11" s="430" t="s">
        <v>12</v>
      </c>
      <c r="C11" s="431"/>
      <c r="D11" s="428"/>
      <c r="G11" s="34"/>
      <c r="H11" s="34"/>
      <c r="I11" s="34"/>
      <c r="J11"/>
      <c r="K11"/>
      <c r="L11"/>
      <c r="M11"/>
    </row>
    <row r="12" spans="1:13" s="1" customFormat="1" ht="30">
      <c r="A12" s="429" t="s">
        <v>156</v>
      </c>
      <c r="B12" s="430" t="s">
        <v>12</v>
      </c>
      <c r="C12" s="432">
        <v>187703.09</v>
      </c>
      <c r="D12" s="428"/>
      <c r="G12" s="34"/>
      <c r="H12" s="34"/>
      <c r="I12" s="34"/>
      <c r="J12"/>
      <c r="K12"/>
      <c r="L12"/>
      <c r="M12"/>
    </row>
    <row r="13" spans="1:13" s="1" customFormat="1" ht="15">
      <c r="A13" s="423" t="s">
        <v>13</v>
      </c>
      <c r="B13" s="430" t="s">
        <v>12</v>
      </c>
      <c r="C13" s="431">
        <v>0</v>
      </c>
      <c r="D13" s="428"/>
      <c r="G13" s="34"/>
      <c r="H13" s="34"/>
      <c r="I13" s="34"/>
      <c r="J13"/>
      <c r="K13"/>
      <c r="L13"/>
      <c r="M13"/>
    </row>
    <row r="14" spans="1:13" s="1" customFormat="1" ht="15">
      <c r="A14" s="423" t="s">
        <v>14</v>
      </c>
      <c r="B14" s="430" t="s">
        <v>12</v>
      </c>
      <c r="C14" s="432">
        <v>229381.8</v>
      </c>
      <c r="D14" s="433"/>
      <c r="G14" s="34"/>
      <c r="H14" s="34"/>
      <c r="I14" s="34"/>
      <c r="J14"/>
      <c r="K14"/>
      <c r="L14"/>
      <c r="M14"/>
    </row>
    <row r="15" spans="1:13" s="1" customFormat="1" ht="31.5" customHeight="1">
      <c r="A15" s="434" t="s">
        <v>15</v>
      </c>
      <c r="B15" s="430" t="s">
        <v>12</v>
      </c>
      <c r="C15" s="432">
        <f>988650.31+13333.08+7718.76+44908.68</f>
        <v>1054610.83</v>
      </c>
      <c r="D15" s="433"/>
      <c r="G15" s="468">
        <f>C15-C17-65960.52</f>
        <v>683410.81</v>
      </c>
      <c r="H15" s="34"/>
      <c r="I15" s="34"/>
      <c r="J15"/>
      <c r="K15"/>
      <c r="L15"/>
      <c r="M15"/>
    </row>
    <row r="16" spans="1:9" ht="15">
      <c r="A16" s="423" t="s">
        <v>16</v>
      </c>
      <c r="B16" s="430" t="s">
        <v>12</v>
      </c>
      <c r="C16" s="432">
        <f>C15-C17-C18</f>
        <v>455359.0300000001</v>
      </c>
      <c r="D16" s="433"/>
      <c r="G16" s="466">
        <f>G15-G58</f>
        <v>-10570.489999999874</v>
      </c>
      <c r="H16" s="50"/>
      <c r="I16" s="34"/>
    </row>
    <row r="17" spans="1:9" ht="15">
      <c r="A17" s="423" t="s">
        <v>17</v>
      </c>
      <c r="B17" s="430" t="s">
        <v>12</v>
      </c>
      <c r="C17" s="432">
        <f>4.35*12*5847.5</f>
        <v>305239.5</v>
      </c>
      <c r="D17" s="433"/>
      <c r="G17" s="465"/>
      <c r="H17" s="50"/>
      <c r="I17" s="34"/>
    </row>
    <row r="18" spans="1:9" ht="15">
      <c r="A18" s="423" t="s">
        <v>18</v>
      </c>
      <c r="B18" s="430" t="s">
        <v>12</v>
      </c>
      <c r="C18" s="432">
        <f>4.19*12*5847.5</f>
        <v>294012.3</v>
      </c>
      <c r="D18" s="433"/>
      <c r="G18" s="34"/>
      <c r="H18" s="50"/>
      <c r="I18" s="34"/>
    </row>
    <row r="19" spans="1:9" ht="15">
      <c r="A19" s="423" t="s">
        <v>19</v>
      </c>
      <c r="B19" s="430" t="s">
        <v>12</v>
      </c>
      <c r="C19" s="432">
        <f>C20+C21+C22+C23</f>
        <v>1125959.894101</v>
      </c>
      <c r="D19" s="433" t="s">
        <v>20</v>
      </c>
      <c r="G19" s="34"/>
      <c r="H19" s="34"/>
      <c r="I19" s="34"/>
    </row>
    <row r="20" spans="1:9" ht="15">
      <c r="A20" s="423" t="s">
        <v>21</v>
      </c>
      <c r="B20" s="430" t="s">
        <v>12</v>
      </c>
      <c r="C20" s="432">
        <f>C15*1.0447</f>
        <v>1101751.934101</v>
      </c>
      <c r="D20" s="433"/>
      <c r="G20" s="34"/>
      <c r="H20" s="34"/>
      <c r="I20" s="34"/>
    </row>
    <row r="21" spans="1:9" ht="15">
      <c r="A21" s="423" t="s">
        <v>22</v>
      </c>
      <c r="B21" s="430" t="s">
        <v>12</v>
      </c>
      <c r="C21" s="432"/>
      <c r="D21" s="433"/>
      <c r="G21" s="34"/>
      <c r="H21" s="34"/>
      <c r="I21" s="34"/>
    </row>
    <row r="22" spans="1:9" ht="15">
      <c r="A22" s="423" t="s">
        <v>24</v>
      </c>
      <c r="B22" s="430" t="s">
        <v>12</v>
      </c>
      <c r="C22" s="432">
        <v>0</v>
      </c>
      <c r="D22" s="433"/>
      <c r="G22" s="34"/>
      <c r="H22" s="34"/>
      <c r="I22" s="34"/>
    </row>
    <row r="23" spans="1:9" ht="15">
      <c r="A23" s="426" t="s">
        <v>25</v>
      </c>
      <c r="B23" s="430" t="s">
        <v>12</v>
      </c>
      <c r="C23" s="432">
        <f>14084.28+10123.68</f>
        <v>24207.96</v>
      </c>
      <c r="D23" s="433"/>
      <c r="G23" s="34"/>
      <c r="H23" s="34"/>
      <c r="I23" s="34"/>
    </row>
    <row r="24" spans="1:9" ht="15">
      <c r="A24" s="423" t="s">
        <v>26</v>
      </c>
      <c r="B24" s="430" t="s">
        <v>12</v>
      </c>
      <c r="C24" s="432">
        <f>C12+C19</f>
        <v>1313662.984101</v>
      </c>
      <c r="D24" s="433" t="s">
        <v>27</v>
      </c>
      <c r="G24" s="34"/>
      <c r="H24" s="34"/>
      <c r="I24" s="34"/>
    </row>
    <row r="25" spans="1:9" ht="31.5" customHeight="1">
      <c r="A25" s="513" t="s">
        <v>28</v>
      </c>
      <c r="B25" s="513"/>
      <c r="C25" s="513"/>
      <c r="D25" s="513"/>
      <c r="G25" s="38"/>
      <c r="H25" s="34"/>
      <c r="I25" s="34"/>
    </row>
    <row r="26" spans="1:9" ht="75">
      <c r="A26" s="435" t="s">
        <v>29</v>
      </c>
      <c r="B26" s="436" t="s">
        <v>30</v>
      </c>
      <c r="C26" s="437" t="s">
        <v>31</v>
      </c>
      <c r="D26" s="438" t="s">
        <v>32</v>
      </c>
      <c r="G26" s="69" t="s">
        <v>114</v>
      </c>
      <c r="H26" s="34"/>
      <c r="I26" s="34"/>
    </row>
    <row r="27" spans="1:9" ht="20.25" customHeight="1">
      <c r="A27" s="439" t="s">
        <v>94</v>
      </c>
      <c r="B27" s="440" t="s">
        <v>34</v>
      </c>
      <c r="C27" s="441" t="s">
        <v>190</v>
      </c>
      <c r="D27" s="433">
        <f>0.22*12*5847.5</f>
        <v>15437.400000000001</v>
      </c>
      <c r="G27" s="252">
        <v>0.4</v>
      </c>
      <c r="H27" s="34"/>
      <c r="I27" s="34"/>
    </row>
    <row r="28" spans="1:9" ht="15.75">
      <c r="A28" s="439" t="s">
        <v>87</v>
      </c>
      <c r="B28" s="440" t="s">
        <v>36</v>
      </c>
      <c r="C28" s="439" t="s">
        <v>43</v>
      </c>
      <c r="D28" s="433">
        <f>2.06*12*5847.5</f>
        <v>144550.19999999998</v>
      </c>
      <c r="G28" s="253"/>
      <c r="H28" s="34"/>
      <c r="I28" s="34"/>
    </row>
    <row r="29" spans="1:13" s="1" customFormat="1" ht="15.75">
      <c r="A29" s="439" t="s">
        <v>189</v>
      </c>
      <c r="B29" s="440" t="s">
        <v>42</v>
      </c>
      <c r="C29" s="439" t="s">
        <v>367</v>
      </c>
      <c r="D29" s="433">
        <f>0.15*12*5847.5</f>
        <v>10525.499999999998</v>
      </c>
      <c r="G29" s="253"/>
      <c r="H29" s="34"/>
      <c r="I29" s="34"/>
      <c r="J29"/>
      <c r="K29"/>
      <c r="L29"/>
      <c r="M29"/>
    </row>
    <row r="30" spans="1:13" s="1" customFormat="1" ht="15.75">
      <c r="A30" s="439" t="s">
        <v>95</v>
      </c>
      <c r="B30" s="440" t="s">
        <v>34</v>
      </c>
      <c r="C30" s="439" t="s">
        <v>40</v>
      </c>
      <c r="D30" s="433">
        <f>0.24*12*5847.5</f>
        <v>16840.8</v>
      </c>
      <c r="G30" s="252"/>
      <c r="H30" s="34"/>
      <c r="I30" s="34"/>
      <c r="J30"/>
      <c r="K30"/>
      <c r="L30"/>
      <c r="M30"/>
    </row>
    <row r="31" spans="1:13" s="1" customFormat="1" ht="15.75">
      <c r="A31" s="439" t="s">
        <v>104</v>
      </c>
      <c r="B31" s="440" t="s">
        <v>34</v>
      </c>
      <c r="C31" s="439" t="s">
        <v>43</v>
      </c>
      <c r="D31" s="433">
        <f>0.42*12*5847.5</f>
        <v>29471.4</v>
      </c>
      <c r="G31" s="253"/>
      <c r="H31" s="34"/>
      <c r="I31" s="34"/>
      <c r="J31"/>
      <c r="K31"/>
      <c r="L31"/>
      <c r="M31"/>
    </row>
    <row r="32" spans="1:13" s="1" customFormat="1" ht="15.75">
      <c r="A32" s="439" t="s">
        <v>88</v>
      </c>
      <c r="B32" s="440" t="s">
        <v>34</v>
      </c>
      <c r="C32" s="439" t="s">
        <v>43</v>
      </c>
      <c r="D32" s="433">
        <f>1.23*12*5847.5</f>
        <v>86309.1</v>
      </c>
      <c r="G32" s="253" t="s">
        <v>145</v>
      </c>
      <c r="H32" s="34"/>
      <c r="I32" s="34"/>
      <c r="J32"/>
      <c r="K32"/>
      <c r="L32"/>
      <c r="M32"/>
    </row>
    <row r="33" spans="1:13" s="1" customFormat="1" ht="15.75">
      <c r="A33" s="439" t="s">
        <v>45</v>
      </c>
      <c r="B33" s="440" t="s">
        <v>46</v>
      </c>
      <c r="C33" s="439" t="s">
        <v>43</v>
      </c>
      <c r="D33" s="433">
        <f>1*12*5847.5</f>
        <v>70170</v>
      </c>
      <c r="G33" s="253" t="s">
        <v>146</v>
      </c>
      <c r="H33" s="34"/>
      <c r="I33" s="34"/>
      <c r="J33"/>
      <c r="K33"/>
      <c r="L33"/>
      <c r="M33"/>
    </row>
    <row r="34" spans="1:13" s="1" customFormat="1" ht="15">
      <c r="A34" s="439" t="s">
        <v>97</v>
      </c>
      <c r="B34" s="440" t="s">
        <v>38</v>
      </c>
      <c r="C34" s="442" t="s">
        <v>159</v>
      </c>
      <c r="D34" s="433">
        <f>4.19*5847.5*12</f>
        <v>294012.30000000005</v>
      </c>
      <c r="G34" s="254" t="s">
        <v>147</v>
      </c>
      <c r="H34" s="34"/>
      <c r="I34" s="34"/>
      <c r="J34"/>
      <c r="K34"/>
      <c r="L34"/>
      <c r="M34"/>
    </row>
    <row r="35" spans="1:13" s="1" customFormat="1" ht="15">
      <c r="A35" s="439" t="s">
        <v>100</v>
      </c>
      <c r="B35" s="440" t="s">
        <v>161</v>
      </c>
      <c r="C35" s="442" t="s">
        <v>40</v>
      </c>
      <c r="D35" s="433">
        <f>0.38*12*5847.5</f>
        <v>26664.600000000002</v>
      </c>
      <c r="G35" s="254"/>
      <c r="H35" s="34"/>
      <c r="I35" s="34"/>
      <c r="J35"/>
      <c r="K35"/>
      <c r="L35"/>
      <c r="M35"/>
    </row>
    <row r="36" spans="1:13" s="1" customFormat="1" ht="30">
      <c r="A36" s="435" t="s">
        <v>142</v>
      </c>
      <c r="B36" s="440"/>
      <c r="C36" s="443"/>
      <c r="D36" s="433"/>
      <c r="G36" s="254"/>
      <c r="H36" s="34"/>
      <c r="I36" s="34"/>
      <c r="J36"/>
      <c r="K36"/>
      <c r="L36"/>
      <c r="M36"/>
    </row>
    <row r="37" spans="1:13" s="1" customFormat="1" ht="15">
      <c r="A37" s="439" t="s">
        <v>140</v>
      </c>
      <c r="B37" s="440" t="s">
        <v>38</v>
      </c>
      <c r="C37" s="443" t="s">
        <v>143</v>
      </c>
      <c r="D37" s="433">
        <v>21143.86</v>
      </c>
      <c r="G37" s="254"/>
      <c r="H37" s="34"/>
      <c r="I37" s="34"/>
      <c r="J37"/>
      <c r="K37"/>
      <c r="L37"/>
      <c r="M37"/>
    </row>
    <row r="38" spans="1:13" s="1" customFormat="1" ht="15">
      <c r="A38" s="439" t="s">
        <v>141</v>
      </c>
      <c r="B38" s="440" t="s">
        <v>38</v>
      </c>
      <c r="C38" s="443" t="s">
        <v>144</v>
      </c>
      <c r="D38" s="433">
        <v>50241.35</v>
      </c>
      <c r="G38" s="254"/>
      <c r="H38" s="34"/>
      <c r="I38" s="34"/>
      <c r="J38"/>
      <c r="K38"/>
      <c r="L38"/>
      <c r="M38"/>
    </row>
    <row r="39" spans="1:13" s="1" customFormat="1" ht="31.5" customHeight="1">
      <c r="A39" s="444" t="s">
        <v>137</v>
      </c>
      <c r="B39" s="445" t="s">
        <v>52</v>
      </c>
      <c r="C39" s="446"/>
      <c r="D39" s="447">
        <f>D40+D41+D42+D43+D44+D46+D47+D48+D49+D50+D51+D52+D53+D54+D55+D56+D45+D57</f>
        <v>338154.6</v>
      </c>
      <c r="G39" s="38"/>
      <c r="H39" s="34"/>
      <c r="I39" s="34"/>
      <c r="J39"/>
      <c r="K39"/>
      <c r="L39"/>
      <c r="M39"/>
    </row>
    <row r="40" spans="1:13" s="1" customFormat="1" ht="15.75" customHeight="1">
      <c r="A40" s="444" t="s">
        <v>291</v>
      </c>
      <c r="B40" s="445" t="s">
        <v>116</v>
      </c>
      <c r="C40" s="439" t="s">
        <v>43</v>
      </c>
      <c r="D40" s="448">
        <v>2017</v>
      </c>
      <c r="G40" s="34"/>
      <c r="H40" s="34"/>
      <c r="I40" s="34"/>
      <c r="J40"/>
      <c r="K40"/>
      <c r="L40"/>
      <c r="M40"/>
    </row>
    <row r="41" spans="1:13" s="1" customFormat="1" ht="46.5" customHeight="1">
      <c r="A41" s="444" t="s">
        <v>292</v>
      </c>
      <c r="B41" s="445" t="s">
        <v>175</v>
      </c>
      <c r="C41" s="450" t="s">
        <v>43</v>
      </c>
      <c r="D41" s="448">
        <v>2460</v>
      </c>
      <c r="G41" s="34"/>
      <c r="H41" s="34"/>
      <c r="I41" s="34"/>
      <c r="J41"/>
      <c r="K41"/>
      <c r="L41"/>
      <c r="M41"/>
    </row>
    <row r="42" spans="1:13" s="1" customFormat="1" ht="16.5" customHeight="1">
      <c r="A42" s="444" t="s">
        <v>207</v>
      </c>
      <c r="B42" s="445" t="s">
        <v>121</v>
      </c>
      <c r="C42" s="450" t="s">
        <v>43</v>
      </c>
      <c r="D42" s="448">
        <v>8921.6</v>
      </c>
      <c r="G42" s="34"/>
      <c r="H42" s="34"/>
      <c r="I42" s="34"/>
      <c r="J42"/>
      <c r="K42"/>
      <c r="L42"/>
      <c r="M42"/>
    </row>
    <row r="43" spans="1:13" s="1" customFormat="1" ht="21" customHeight="1">
      <c r="A43" s="444" t="s">
        <v>293</v>
      </c>
      <c r="B43" s="445" t="s">
        <v>121</v>
      </c>
      <c r="C43" s="450" t="s">
        <v>43</v>
      </c>
      <c r="D43" s="448">
        <v>740</v>
      </c>
      <c r="G43" s="34"/>
      <c r="H43" s="34"/>
      <c r="I43" s="34"/>
      <c r="J43"/>
      <c r="K43"/>
      <c r="L43"/>
      <c r="M43"/>
    </row>
    <row r="44" spans="1:13" s="1" customFormat="1" ht="16.5" customHeight="1">
      <c r="A44" s="449" t="s">
        <v>294</v>
      </c>
      <c r="B44" s="445" t="s">
        <v>124</v>
      </c>
      <c r="C44" s="450" t="s">
        <v>43</v>
      </c>
      <c r="D44" s="448">
        <v>1145</v>
      </c>
      <c r="G44" s="34"/>
      <c r="H44" s="34"/>
      <c r="I44" s="34"/>
      <c r="J44"/>
      <c r="K44"/>
      <c r="L44"/>
      <c r="M44"/>
    </row>
    <row r="45" spans="1:13" s="1" customFormat="1" ht="16.5" customHeight="1">
      <c r="A45" s="449" t="s">
        <v>308</v>
      </c>
      <c r="B45" s="445" t="s">
        <v>124</v>
      </c>
      <c r="C45" s="450" t="s">
        <v>43</v>
      </c>
      <c r="D45" s="448">
        <v>17074</v>
      </c>
      <c r="G45" s="34"/>
      <c r="H45" s="34"/>
      <c r="I45" s="34"/>
      <c r="J45"/>
      <c r="K45"/>
      <c r="L45"/>
      <c r="M45"/>
    </row>
    <row r="46" spans="1:13" s="1" customFormat="1" ht="30.75" customHeight="1">
      <c r="A46" s="444" t="s">
        <v>295</v>
      </c>
      <c r="B46" s="445" t="s">
        <v>119</v>
      </c>
      <c r="C46" s="450" t="s">
        <v>43</v>
      </c>
      <c r="D46" s="448">
        <v>1491</v>
      </c>
      <c r="G46" s="34"/>
      <c r="H46" s="34"/>
      <c r="I46" s="34"/>
      <c r="J46"/>
      <c r="K46"/>
      <c r="L46"/>
      <c r="M46"/>
    </row>
    <row r="47" spans="1:13" s="1" customFormat="1" ht="15" customHeight="1">
      <c r="A47" s="449" t="s">
        <v>296</v>
      </c>
      <c r="B47" s="445" t="s">
        <v>119</v>
      </c>
      <c r="C47" s="450" t="s">
        <v>43</v>
      </c>
      <c r="D47" s="448">
        <v>989</v>
      </c>
      <c r="G47" s="34"/>
      <c r="H47" s="34"/>
      <c r="I47" s="34"/>
      <c r="J47"/>
      <c r="K47"/>
      <c r="L47"/>
      <c r="M47"/>
    </row>
    <row r="48" spans="1:13" s="1" customFormat="1" ht="15" customHeight="1">
      <c r="A48" s="444" t="s">
        <v>297</v>
      </c>
      <c r="B48" s="445" t="s">
        <v>122</v>
      </c>
      <c r="C48" s="441" t="s">
        <v>174</v>
      </c>
      <c r="D48" s="448">
        <v>3288</v>
      </c>
      <c r="G48" s="34"/>
      <c r="H48" s="34"/>
      <c r="I48" s="34"/>
      <c r="J48"/>
      <c r="K48"/>
      <c r="L48"/>
      <c r="M48"/>
    </row>
    <row r="49" spans="1:13" s="1" customFormat="1" ht="17.25" customHeight="1">
      <c r="A49" s="444" t="s">
        <v>298</v>
      </c>
      <c r="B49" s="445" t="s">
        <v>122</v>
      </c>
      <c r="C49" s="439"/>
      <c r="D49" s="448">
        <v>4641</v>
      </c>
      <c r="G49" s="34"/>
      <c r="H49" s="34"/>
      <c r="I49" s="34"/>
      <c r="J49"/>
      <c r="K49"/>
      <c r="L49"/>
      <c r="M49"/>
    </row>
    <row r="50" spans="1:13" s="1" customFormat="1" ht="18" customHeight="1">
      <c r="A50" s="444" t="s">
        <v>299</v>
      </c>
      <c r="B50" s="445" t="s">
        <v>120</v>
      </c>
      <c r="C50" s="439" t="s">
        <v>300</v>
      </c>
      <c r="D50" s="448">
        <v>252602</v>
      </c>
      <c r="G50" s="34"/>
      <c r="H50" s="34"/>
      <c r="I50" s="34"/>
      <c r="J50"/>
      <c r="K50"/>
      <c r="L50"/>
      <c r="M50"/>
    </row>
    <row r="51" spans="1:13" s="1" customFormat="1" ht="25.5" customHeight="1">
      <c r="A51" s="200" t="s">
        <v>301</v>
      </c>
      <c r="B51" s="237" t="s">
        <v>120</v>
      </c>
      <c r="C51" s="450" t="s">
        <v>43</v>
      </c>
      <c r="D51" s="73">
        <v>2285</v>
      </c>
      <c r="G51" s="34"/>
      <c r="H51" s="34"/>
      <c r="I51" s="34"/>
      <c r="J51"/>
      <c r="K51"/>
      <c r="L51"/>
      <c r="M51"/>
    </row>
    <row r="52" spans="1:13" s="1" customFormat="1" ht="18.75" customHeight="1">
      <c r="A52" s="200" t="s">
        <v>302</v>
      </c>
      <c r="B52" s="237" t="s">
        <v>120</v>
      </c>
      <c r="C52" s="450" t="s">
        <v>43</v>
      </c>
      <c r="D52" s="73">
        <v>32</v>
      </c>
      <c r="G52" s="34"/>
      <c r="H52" s="34"/>
      <c r="I52" s="34"/>
      <c r="J52"/>
      <c r="K52"/>
      <c r="L52"/>
      <c r="M52"/>
    </row>
    <row r="53" spans="1:13" s="1" customFormat="1" ht="17.25" customHeight="1">
      <c r="A53" s="218" t="s">
        <v>303</v>
      </c>
      <c r="B53" s="237" t="s">
        <v>123</v>
      </c>
      <c r="C53" s="234" t="s">
        <v>304</v>
      </c>
      <c r="D53" s="73">
        <v>14163</v>
      </c>
      <c r="G53" s="34"/>
      <c r="H53" s="34"/>
      <c r="I53" s="34"/>
      <c r="J53"/>
      <c r="K53"/>
      <c r="L53"/>
      <c r="M53"/>
    </row>
    <row r="54" spans="1:13" s="1" customFormat="1" ht="33.75" customHeight="1">
      <c r="A54" s="200" t="s">
        <v>305</v>
      </c>
      <c r="B54" s="237" t="s">
        <v>123</v>
      </c>
      <c r="C54" s="265" t="s">
        <v>288</v>
      </c>
      <c r="D54" s="73">
        <v>15600</v>
      </c>
      <c r="G54" s="34"/>
      <c r="H54" s="34"/>
      <c r="I54" s="34"/>
      <c r="J54"/>
      <c r="K54"/>
      <c r="L54"/>
      <c r="M54"/>
    </row>
    <row r="55" spans="1:13" s="1" customFormat="1" ht="30.75" customHeight="1">
      <c r="A55" s="200" t="s">
        <v>306</v>
      </c>
      <c r="B55" s="237" t="s">
        <v>123</v>
      </c>
      <c r="C55" s="265" t="s">
        <v>288</v>
      </c>
      <c r="D55" s="73">
        <v>6300</v>
      </c>
      <c r="G55" s="34"/>
      <c r="H55" s="34"/>
      <c r="I55" s="34"/>
      <c r="J55"/>
      <c r="K55"/>
      <c r="L55"/>
      <c r="M55"/>
    </row>
    <row r="56" spans="1:13" s="1" customFormat="1" ht="17.25" customHeight="1">
      <c r="A56" s="200" t="s">
        <v>307</v>
      </c>
      <c r="B56" s="237" t="s">
        <v>125</v>
      </c>
      <c r="C56" s="265"/>
      <c r="D56" s="73">
        <v>2921</v>
      </c>
      <c r="G56" s="34"/>
      <c r="H56" s="34"/>
      <c r="I56" s="34"/>
      <c r="J56"/>
      <c r="K56"/>
      <c r="L56"/>
      <c r="M56"/>
    </row>
    <row r="57" spans="1:13" s="1" customFormat="1" ht="17.25" customHeight="1">
      <c r="A57" s="200" t="s">
        <v>366</v>
      </c>
      <c r="B57" s="237" t="s">
        <v>232</v>
      </c>
      <c r="C57" s="265" t="s">
        <v>367</v>
      </c>
      <c r="D57" s="73">
        <v>1485</v>
      </c>
      <c r="G57" s="34"/>
      <c r="H57" s="34"/>
      <c r="I57" s="34"/>
      <c r="J57"/>
      <c r="K57"/>
      <c r="L57"/>
      <c r="M57"/>
    </row>
    <row r="58" spans="1:13" s="1" customFormat="1" ht="18" customHeight="1">
      <c r="A58" s="23" t="s">
        <v>53</v>
      </c>
      <c r="B58" s="232"/>
      <c r="C58" s="234"/>
      <c r="D58" s="79">
        <f>D27+D28+D29+D30+D31+D32+D33+D34+D35+D37+D38+D39</f>
        <v>1103521.1099999999</v>
      </c>
      <c r="G58" s="468">
        <f>D58-D39-D37-D38</f>
        <v>693981.2999999999</v>
      </c>
      <c r="H58" s="34"/>
      <c r="I58" s="34"/>
      <c r="J58"/>
      <c r="K58"/>
      <c r="L58"/>
      <c r="M58"/>
    </row>
    <row r="59" spans="1:13" s="1" customFormat="1" ht="26.25">
      <c r="A59" s="70" t="s">
        <v>54</v>
      </c>
      <c r="B59" s="109" t="s">
        <v>12</v>
      </c>
      <c r="C59" s="234"/>
      <c r="D59" s="79">
        <f>C12+C17*1.0447+C23-D39</f>
        <v>192640.15564999997</v>
      </c>
      <c r="G59" s="466"/>
      <c r="H59" s="34"/>
      <c r="I59" s="34"/>
      <c r="J59"/>
      <c r="K59"/>
      <c r="L59"/>
      <c r="M59"/>
    </row>
    <row r="60" spans="1:9" ht="15.75">
      <c r="A60" s="112" t="s">
        <v>13</v>
      </c>
      <c r="B60" s="109" t="s">
        <v>12</v>
      </c>
      <c r="C60" s="234"/>
      <c r="D60" s="227">
        <v>0</v>
      </c>
      <c r="G60" s="34"/>
      <c r="H60" s="34"/>
      <c r="I60" s="34"/>
    </row>
    <row r="61" spans="1:9" ht="15.75">
      <c r="A61" s="112" t="s">
        <v>14</v>
      </c>
      <c r="B61" s="109" t="s">
        <v>12</v>
      </c>
      <c r="C61" s="234"/>
      <c r="D61" s="79">
        <f>C14+C15-C20</f>
        <v>182240.69589900016</v>
      </c>
      <c r="G61" s="34"/>
      <c r="H61" s="34"/>
      <c r="I61" s="34"/>
    </row>
    <row r="62" spans="1:9" ht="24" customHeight="1">
      <c r="A62" s="489" t="s">
        <v>55</v>
      </c>
      <c r="B62" s="489"/>
      <c r="C62" s="489"/>
      <c r="D62" s="489"/>
      <c r="G62" s="34"/>
      <c r="H62" s="34"/>
      <c r="I62" s="34"/>
    </row>
    <row r="63" spans="1:9" ht="15.75">
      <c r="A63" s="112" t="s">
        <v>56</v>
      </c>
      <c r="B63" s="232" t="s">
        <v>57</v>
      </c>
      <c r="C63" s="234"/>
      <c r="D63" s="227">
        <v>0</v>
      </c>
      <c r="G63" s="34"/>
      <c r="H63" s="34"/>
      <c r="I63" s="34"/>
    </row>
    <row r="64" spans="1:9" ht="15.75">
      <c r="A64" s="112" t="s">
        <v>58</v>
      </c>
      <c r="B64" s="232" t="s">
        <v>57</v>
      </c>
      <c r="C64" s="234"/>
      <c r="D64" s="227">
        <v>0</v>
      </c>
      <c r="G64" s="34"/>
      <c r="H64" s="34"/>
      <c r="I64" s="34"/>
    </row>
    <row r="65" spans="1:9" ht="26.25">
      <c r="A65" s="127" t="s">
        <v>59</v>
      </c>
      <c r="B65" s="232" t="s">
        <v>57</v>
      </c>
      <c r="C65" s="234"/>
      <c r="D65" s="227">
        <v>0</v>
      </c>
      <c r="G65" s="34"/>
      <c r="H65" s="34"/>
      <c r="I65" s="34"/>
    </row>
    <row r="66" spans="1:9" ht="15.75">
      <c r="A66" s="112" t="s">
        <v>60</v>
      </c>
      <c r="B66" s="232" t="s">
        <v>12</v>
      </c>
      <c r="C66" s="234"/>
      <c r="D66" s="227">
        <v>0</v>
      </c>
      <c r="G66" s="34"/>
      <c r="H66" s="34"/>
      <c r="I66" s="34"/>
    </row>
    <row r="67" spans="1:9" ht="20.25" customHeight="1">
      <c r="A67" s="488" t="s">
        <v>61</v>
      </c>
      <c r="B67" s="488"/>
      <c r="C67" s="488"/>
      <c r="D67" s="488"/>
      <c r="G67" s="34"/>
      <c r="H67" s="34"/>
      <c r="I67" s="34"/>
    </row>
    <row r="68" spans="1:9" ht="26.25">
      <c r="A68" s="127" t="s">
        <v>62</v>
      </c>
      <c r="B68" s="232" t="s">
        <v>12</v>
      </c>
      <c r="C68" s="234"/>
      <c r="D68" s="234">
        <v>0</v>
      </c>
      <c r="G68" s="34"/>
      <c r="H68" s="34"/>
      <c r="I68" s="34"/>
    </row>
    <row r="69" spans="1:9" ht="15.75">
      <c r="A69" s="112" t="s">
        <v>13</v>
      </c>
      <c r="B69" s="232" t="s">
        <v>12</v>
      </c>
      <c r="C69" s="234"/>
      <c r="D69" s="234">
        <v>0</v>
      </c>
      <c r="G69" s="34"/>
      <c r="H69" s="34"/>
      <c r="I69" s="34"/>
    </row>
    <row r="70" spans="1:9" ht="15.75">
      <c r="A70" s="112" t="s">
        <v>14</v>
      </c>
      <c r="B70" s="232" t="s">
        <v>12</v>
      </c>
      <c r="C70" s="234"/>
      <c r="D70" s="239">
        <f>D73-D76-D77-D78-D79-D80</f>
        <v>461088.671096</v>
      </c>
      <c r="G70" s="36"/>
      <c r="H70" s="34"/>
      <c r="I70" s="34"/>
    </row>
    <row r="71" spans="1:9" ht="15.75">
      <c r="A71" s="129" t="s">
        <v>101</v>
      </c>
      <c r="B71" s="232" t="s">
        <v>12</v>
      </c>
      <c r="C71" s="240"/>
      <c r="D71" s="419">
        <v>0</v>
      </c>
      <c r="G71" s="34"/>
      <c r="H71" s="34"/>
      <c r="I71" s="34"/>
    </row>
    <row r="72" spans="1:9" ht="17.25" customHeight="1">
      <c r="A72" s="132" t="s">
        <v>13</v>
      </c>
      <c r="B72" s="232" t="s">
        <v>12</v>
      </c>
      <c r="C72" s="234"/>
      <c r="D72" s="234">
        <v>0</v>
      </c>
      <c r="G72" s="34"/>
      <c r="H72" s="36"/>
      <c r="I72" s="36"/>
    </row>
    <row r="73" spans="1:13" ht="15.75">
      <c r="A73" s="133" t="s">
        <v>14</v>
      </c>
      <c r="B73" s="232" t="s">
        <v>12</v>
      </c>
      <c r="C73" s="241"/>
      <c r="D73" s="241">
        <v>424962.95</v>
      </c>
      <c r="G73" s="34" t="s">
        <v>27</v>
      </c>
      <c r="H73" s="37"/>
      <c r="I73" s="37"/>
      <c r="J73" s="5"/>
      <c r="K73" s="5"/>
      <c r="L73" s="5"/>
      <c r="M73" s="5"/>
    </row>
    <row r="74" spans="1:13" ht="18" customHeight="1" thickBot="1">
      <c r="A74" s="514" t="s">
        <v>64</v>
      </c>
      <c r="B74" s="514"/>
      <c r="C74" s="514"/>
      <c r="D74" s="514"/>
      <c r="E74" s="6"/>
      <c r="F74" s="7"/>
      <c r="G74" s="34"/>
      <c r="H74" s="38"/>
      <c r="I74" s="38"/>
      <c r="J74" s="9"/>
      <c r="K74" s="9"/>
      <c r="L74" s="9"/>
      <c r="M74" s="9"/>
    </row>
    <row r="75" spans="1:13" ht="63.75">
      <c r="A75" s="249" t="s">
        <v>65</v>
      </c>
      <c r="B75" s="11" t="s">
        <v>66</v>
      </c>
      <c r="C75" s="53" t="s">
        <v>67</v>
      </c>
      <c r="D75" s="54" t="s">
        <v>102</v>
      </c>
      <c r="E75" s="6"/>
      <c r="F75" s="7"/>
      <c r="G75" s="34"/>
      <c r="H75" s="38"/>
      <c r="I75" s="38"/>
      <c r="J75" s="9"/>
      <c r="K75" s="9"/>
      <c r="L75" s="9"/>
      <c r="M75" s="9"/>
    </row>
    <row r="76" spans="1:13" ht="15.75">
      <c r="A76" s="364" t="s">
        <v>194</v>
      </c>
      <c r="B76" s="228">
        <v>323688.62</v>
      </c>
      <c r="C76" s="59">
        <f>B76*1.0447</f>
        <v>338157.501314</v>
      </c>
      <c r="D76" s="363">
        <f>B76-C76</f>
        <v>-14468.881313999998</v>
      </c>
      <c r="E76" s="6"/>
      <c r="F76" s="7"/>
      <c r="G76" s="34"/>
      <c r="H76" s="38"/>
      <c r="I76" s="38"/>
      <c r="J76" s="9"/>
      <c r="K76" s="9"/>
      <c r="L76" s="9"/>
      <c r="M76" s="9"/>
    </row>
    <row r="77" spans="1:13" ht="15.75">
      <c r="A77" s="137" t="s">
        <v>69</v>
      </c>
      <c r="B77" s="228">
        <v>45387.68</v>
      </c>
      <c r="C77" s="59">
        <f>B77*1.0447</f>
        <v>47416.509296</v>
      </c>
      <c r="D77" s="286">
        <f>B77-C77</f>
        <v>-2028.8292959999962</v>
      </c>
      <c r="E77" s="6"/>
      <c r="F77" s="7"/>
      <c r="G77" s="34"/>
      <c r="H77" s="38"/>
      <c r="I77" s="38"/>
      <c r="J77" s="9"/>
      <c r="K77" s="9"/>
      <c r="L77" s="9"/>
      <c r="M77" s="9"/>
    </row>
    <row r="78" spans="1:13" ht="15.75">
      <c r="A78" s="137" t="s">
        <v>70</v>
      </c>
      <c r="B78" s="228">
        <v>81747.31</v>
      </c>
      <c r="C78" s="59">
        <f>B78*1.0447</f>
        <v>85401.41475699999</v>
      </c>
      <c r="D78" s="286">
        <f>B78-C78</f>
        <v>-3654.1047569999937</v>
      </c>
      <c r="E78" s="6"/>
      <c r="F78" s="7"/>
      <c r="G78" s="34"/>
      <c r="H78" s="38"/>
      <c r="I78" s="38"/>
      <c r="J78" s="9"/>
      <c r="K78" s="9"/>
      <c r="L78" s="9"/>
      <c r="M78" s="9"/>
    </row>
    <row r="79" spans="1:13" ht="15.75">
      <c r="A79" s="137" t="s">
        <v>71</v>
      </c>
      <c r="B79" s="242">
        <v>232020.17</v>
      </c>
      <c r="C79" s="59">
        <f>B79*1.0447</f>
        <v>242391.471599</v>
      </c>
      <c r="D79" s="286">
        <f>B79-C79</f>
        <v>-10371.301598999999</v>
      </c>
      <c r="E79" s="15"/>
      <c r="F79" s="16"/>
      <c r="G79" s="39"/>
      <c r="H79" s="38"/>
      <c r="I79" s="38"/>
      <c r="J79" s="9"/>
      <c r="K79" s="9"/>
      <c r="L79" s="9"/>
      <c r="M79" s="9"/>
    </row>
    <row r="80" spans="1:13" ht="16.5" thickBot="1">
      <c r="A80" s="137" t="s">
        <v>72</v>
      </c>
      <c r="B80" s="242">
        <v>125337.9</v>
      </c>
      <c r="C80" s="59">
        <f>B80*1.0447</f>
        <v>130940.50412999999</v>
      </c>
      <c r="D80" s="286">
        <f>B80-C80</f>
        <v>-5602.604129999992</v>
      </c>
      <c r="E80" s="15"/>
      <c r="F80" s="16"/>
      <c r="G80" s="34"/>
      <c r="H80" s="38"/>
      <c r="I80" s="38"/>
      <c r="J80" s="9"/>
      <c r="K80" s="9"/>
      <c r="L80" s="9"/>
      <c r="M80" s="9"/>
    </row>
    <row r="81" spans="1:13" ht="89.25">
      <c r="A81" s="29" t="s">
        <v>74</v>
      </c>
      <c r="B81" s="30" t="s">
        <v>75</v>
      </c>
      <c r="C81" s="55" t="s">
        <v>76</v>
      </c>
      <c r="D81" s="56" t="s">
        <v>77</v>
      </c>
      <c r="E81" s="28"/>
      <c r="G81" s="38"/>
      <c r="H81" s="38"/>
      <c r="I81" s="38"/>
      <c r="J81" s="9"/>
      <c r="K81" s="9"/>
      <c r="L81" s="9"/>
      <c r="M81" s="9"/>
    </row>
    <row r="82" spans="1:13" ht="15.75">
      <c r="A82" s="368" t="s">
        <v>194</v>
      </c>
      <c r="B82" s="228">
        <v>323688.62</v>
      </c>
      <c r="C82" s="59">
        <f>C76</f>
        <v>338157.501314</v>
      </c>
      <c r="D82" s="365">
        <f>B82-C82</f>
        <v>-14468.881313999998</v>
      </c>
      <c r="E82" s="28"/>
      <c r="G82" s="38"/>
      <c r="H82" s="38"/>
      <c r="I82" s="38"/>
      <c r="J82" s="9"/>
      <c r="K82" s="9"/>
      <c r="L82" s="9"/>
      <c r="M82" s="9"/>
    </row>
    <row r="83" spans="1:13" ht="15.75">
      <c r="A83" s="205" t="s">
        <v>69</v>
      </c>
      <c r="B83" s="228">
        <v>45387.68</v>
      </c>
      <c r="C83" s="287">
        <v>47416.509296</v>
      </c>
      <c r="D83" s="288">
        <f>B83-C83</f>
        <v>-2028.8292959999962</v>
      </c>
      <c r="E83" s="28"/>
      <c r="G83" s="38"/>
      <c r="H83" s="38"/>
      <c r="I83" s="38" t="s">
        <v>27</v>
      </c>
      <c r="J83" s="9"/>
      <c r="K83" s="9"/>
      <c r="L83" s="9"/>
      <c r="M83" s="9"/>
    </row>
    <row r="84" spans="1:13" ht="15.75">
      <c r="A84" s="205" t="s">
        <v>70</v>
      </c>
      <c r="B84" s="228">
        <v>81747.31</v>
      </c>
      <c r="C84" s="287">
        <v>85401.41475699999</v>
      </c>
      <c r="D84" s="288">
        <f>B84-C84</f>
        <v>-3654.1047569999937</v>
      </c>
      <c r="E84" s="28"/>
      <c r="G84" s="38"/>
      <c r="H84" s="38"/>
      <c r="I84" s="38"/>
      <c r="J84" s="9"/>
      <c r="K84" s="9"/>
      <c r="L84" s="9"/>
      <c r="M84" s="9"/>
    </row>
    <row r="85" spans="1:13" ht="15.75">
      <c r="A85" s="205" t="s">
        <v>71</v>
      </c>
      <c r="B85" s="242">
        <v>235295.16</v>
      </c>
      <c r="C85" s="287">
        <f>C79</f>
        <v>242391.471599</v>
      </c>
      <c r="D85" s="288">
        <f>B85-C85</f>
        <v>-7096.311599000008</v>
      </c>
      <c r="E85" s="28"/>
      <c r="G85" s="38"/>
      <c r="H85" s="38"/>
      <c r="I85" s="38"/>
      <c r="J85" s="9"/>
      <c r="K85" s="9"/>
      <c r="L85" s="9"/>
      <c r="M85" s="9"/>
    </row>
    <row r="86" spans="1:13" ht="15.75">
      <c r="A86" s="205" t="s">
        <v>72</v>
      </c>
      <c r="B86" s="242">
        <v>125337.9</v>
      </c>
      <c r="C86" s="287">
        <v>130940.50412999999</v>
      </c>
      <c r="D86" s="288">
        <f>B86-C86</f>
        <v>-5602.604129999992</v>
      </c>
      <c r="E86" s="28"/>
      <c r="G86" s="38"/>
      <c r="H86" s="38"/>
      <c r="I86" s="38"/>
      <c r="J86" s="9"/>
      <c r="K86" s="9"/>
      <c r="L86" s="9"/>
      <c r="M86" s="9"/>
    </row>
    <row r="87" spans="1:13" ht="15.75">
      <c r="A87" s="212"/>
      <c r="B87" s="141"/>
      <c r="C87" s="289"/>
      <c r="D87" s="290"/>
      <c r="E87" s="15"/>
      <c r="G87" s="38"/>
      <c r="H87" s="38"/>
      <c r="I87" s="38"/>
      <c r="J87" s="9"/>
      <c r="K87" s="9"/>
      <c r="L87" s="9"/>
      <c r="M87" s="9"/>
    </row>
    <row r="88" spans="1:13" ht="26.25">
      <c r="A88" s="215" t="s">
        <v>78</v>
      </c>
      <c r="B88" s="141" t="s">
        <v>12</v>
      </c>
      <c r="C88" s="291"/>
      <c r="D88" s="292">
        <v>0</v>
      </c>
      <c r="E88" s="15"/>
      <c r="G88" s="38"/>
      <c r="H88" s="38"/>
      <c r="I88" s="38" t="s">
        <v>27</v>
      </c>
      <c r="J88" s="9"/>
      <c r="K88" s="9"/>
      <c r="L88" s="9"/>
      <c r="M88" s="9"/>
    </row>
    <row r="89" spans="1:13" ht="17.25" customHeight="1">
      <c r="A89" s="492" t="s">
        <v>79</v>
      </c>
      <c r="B89" s="492"/>
      <c r="C89" s="492"/>
      <c r="D89" s="492"/>
      <c r="E89" s="8"/>
      <c r="G89" s="40" t="e">
        <f>#REF!-B15</f>
        <v>#REF!</v>
      </c>
      <c r="H89" s="38"/>
      <c r="I89" s="38"/>
      <c r="J89" s="9"/>
      <c r="K89" s="9"/>
      <c r="L89" s="9"/>
      <c r="M89" s="9"/>
    </row>
    <row r="90" spans="1:9" ht="21" customHeight="1">
      <c r="A90" s="19" t="s">
        <v>56</v>
      </c>
      <c r="B90" s="19" t="s">
        <v>57</v>
      </c>
      <c r="C90" s="19"/>
      <c r="D90" s="250">
        <v>0</v>
      </c>
      <c r="G90" s="34"/>
      <c r="H90" s="34"/>
      <c r="I90" s="34"/>
    </row>
    <row r="91" spans="1:9" ht="21" customHeight="1">
      <c r="A91" s="19" t="s">
        <v>58</v>
      </c>
      <c r="B91" s="19" t="s">
        <v>57</v>
      </c>
      <c r="C91" s="19"/>
      <c r="D91" s="250">
        <v>0</v>
      </c>
      <c r="G91" s="34"/>
      <c r="H91" s="34"/>
      <c r="I91" s="34"/>
    </row>
    <row r="92" spans="1:13" s="1" customFormat="1" ht="18" customHeight="1">
      <c r="A92" s="19" t="s">
        <v>59</v>
      </c>
      <c r="B92" s="19" t="s">
        <v>57</v>
      </c>
      <c r="C92" s="19"/>
      <c r="D92" s="250">
        <v>0</v>
      </c>
      <c r="G92" s="34"/>
      <c r="H92" s="34"/>
      <c r="I92" s="34"/>
      <c r="J92"/>
      <c r="K92"/>
      <c r="L92"/>
      <c r="M92"/>
    </row>
    <row r="93" spans="1:13" s="1" customFormat="1" ht="16.5" customHeight="1">
      <c r="A93" s="19" t="s">
        <v>60</v>
      </c>
      <c r="B93" s="19" t="s">
        <v>12</v>
      </c>
      <c r="C93" s="19"/>
      <c r="D93" s="250">
        <v>13095.59</v>
      </c>
      <c r="G93" s="34"/>
      <c r="H93" s="34"/>
      <c r="I93" s="34"/>
      <c r="J93"/>
      <c r="K93"/>
      <c r="L93"/>
      <c r="M93"/>
    </row>
    <row r="94" spans="1:13" s="1" customFormat="1" ht="15.75" customHeight="1">
      <c r="A94" s="491" t="s">
        <v>80</v>
      </c>
      <c r="B94" s="491"/>
      <c r="C94" s="491"/>
      <c r="D94" s="491"/>
      <c r="G94" s="34"/>
      <c r="H94" s="34"/>
      <c r="I94" s="34"/>
      <c r="J94"/>
      <c r="K94"/>
      <c r="L94"/>
      <c r="M94"/>
    </row>
    <row r="95" spans="1:13" s="1" customFormat="1" ht="18.75" customHeight="1">
      <c r="A95" s="19" t="s">
        <v>81</v>
      </c>
      <c r="B95" s="19" t="s">
        <v>57</v>
      </c>
      <c r="C95" s="19"/>
      <c r="D95" s="251">
        <v>5</v>
      </c>
      <c r="G95" s="34"/>
      <c r="H95" s="34"/>
      <c r="I95" s="34"/>
      <c r="J95"/>
      <c r="K95"/>
      <c r="L95"/>
      <c r="M95"/>
    </row>
    <row r="96" spans="1:13" s="1" customFormat="1" ht="21.75" customHeight="1">
      <c r="A96" s="19" t="s">
        <v>82</v>
      </c>
      <c r="B96" s="132" t="s">
        <v>57</v>
      </c>
      <c r="C96" s="132"/>
      <c r="D96" s="251">
        <v>0</v>
      </c>
      <c r="G96" s="34"/>
      <c r="H96" s="34"/>
      <c r="I96" s="34"/>
      <c r="J96"/>
      <c r="K96"/>
      <c r="L96"/>
      <c r="M96"/>
    </row>
    <row r="97" spans="1:13" s="1" customFormat="1" ht="36" customHeight="1">
      <c r="A97" s="143" t="s">
        <v>83</v>
      </c>
      <c r="B97" s="19" t="s">
        <v>12</v>
      </c>
      <c r="C97" s="19"/>
      <c r="D97" s="251">
        <v>155238.57</v>
      </c>
      <c r="G97" s="34"/>
      <c r="H97" s="34"/>
      <c r="I97" s="34"/>
      <c r="J97"/>
      <c r="K97"/>
      <c r="L97"/>
      <c r="M97"/>
    </row>
    <row r="98" spans="1:13" s="1" customFormat="1" ht="15.75">
      <c r="A98" s="144"/>
      <c r="B98" s="144"/>
      <c r="C98" s="144"/>
      <c r="D98" s="293"/>
      <c r="G98" s="34"/>
      <c r="H98" s="34"/>
      <c r="I98" s="34"/>
      <c r="J98"/>
      <c r="K98"/>
      <c r="L98"/>
      <c r="M98"/>
    </row>
    <row r="99" spans="1:13" s="1" customFormat="1" ht="12.75">
      <c r="A99" s="78"/>
      <c r="B99" s="78"/>
      <c r="C99" s="78"/>
      <c r="D99" s="78"/>
      <c r="G99" s="34" t="s">
        <v>27</v>
      </c>
      <c r="H99" s="34"/>
      <c r="I99" s="34"/>
      <c r="J99"/>
      <c r="K99"/>
      <c r="L99"/>
      <c r="M99"/>
    </row>
    <row r="100" spans="1:13" s="1" customFormat="1" ht="12.75">
      <c r="A100" s="78" t="s">
        <v>113</v>
      </c>
      <c r="B100" s="78"/>
      <c r="C100" s="78"/>
      <c r="D100" s="78"/>
      <c r="G100" s="34"/>
      <c r="H100" s="34"/>
      <c r="I100" s="34"/>
      <c r="J100"/>
      <c r="K100"/>
      <c r="L100"/>
      <c r="M100"/>
    </row>
    <row r="101" spans="1:13" s="1" customFormat="1" ht="12.75">
      <c r="A101" s="78"/>
      <c r="B101" s="78"/>
      <c r="C101" s="78"/>
      <c r="D101" s="78"/>
      <c r="G101" s="34" t="s">
        <v>27</v>
      </c>
      <c r="H101" s="34"/>
      <c r="I101" s="34"/>
      <c r="J101"/>
      <c r="K101"/>
      <c r="L101"/>
      <c r="M101"/>
    </row>
    <row r="102" spans="1:13" s="1" customFormat="1" ht="12.75">
      <c r="A102" s="78" t="s">
        <v>84</v>
      </c>
      <c r="B102" s="78"/>
      <c r="C102" s="78"/>
      <c r="D102" s="78"/>
      <c r="G102" s="34"/>
      <c r="H102" s="34"/>
      <c r="I102" s="34"/>
      <c r="J102"/>
      <c r="K102"/>
      <c r="L102"/>
      <c r="M102"/>
    </row>
    <row r="103" spans="1:9" ht="12.75">
      <c r="A103" s="78"/>
      <c r="B103" s="78"/>
      <c r="C103" s="78"/>
      <c r="D103" s="78"/>
      <c r="G103" s="34"/>
      <c r="H103" s="34"/>
      <c r="I103" s="34"/>
    </row>
    <row r="104" spans="1:9" ht="12.75">
      <c r="A104" s="78"/>
      <c r="B104" s="78"/>
      <c r="C104" s="78"/>
      <c r="D104" s="78"/>
      <c r="G104" s="34"/>
      <c r="H104" s="34"/>
      <c r="I104" s="34"/>
    </row>
    <row r="105" spans="1:9" ht="12.75">
      <c r="A105" s="78"/>
      <c r="B105" s="78"/>
      <c r="C105" s="78"/>
      <c r="D105" s="78"/>
      <c r="G105" s="34"/>
      <c r="H105" s="34"/>
      <c r="I105" s="34"/>
    </row>
    <row r="106" spans="1:13" s="1" customFormat="1" ht="12.75">
      <c r="A106" s="78"/>
      <c r="B106" s="78"/>
      <c r="C106" s="78"/>
      <c r="D106" s="78"/>
      <c r="J106"/>
      <c r="K106"/>
      <c r="L106"/>
      <c r="M106"/>
    </row>
  </sheetData>
  <sheetProtection selectLockedCells="1" selectUnlockedCells="1"/>
  <mergeCells count="12">
    <mergeCell ref="A25:D25"/>
    <mergeCell ref="A62:D62"/>
    <mergeCell ref="A67:D67"/>
    <mergeCell ref="A74:D74"/>
    <mergeCell ref="A89:D89"/>
    <mergeCell ref="A94:D94"/>
    <mergeCell ref="A1:D1"/>
    <mergeCell ref="A2:D2"/>
    <mergeCell ref="A3:D3"/>
    <mergeCell ref="A4:D4"/>
    <mergeCell ref="A10:D10"/>
    <mergeCell ref="A5:D5"/>
  </mergeCells>
  <printOptions/>
  <pageMargins left="0.5597222222222222" right="0.7875" top="0.34097222222222223" bottom="0.7875" header="0.5118055555555555" footer="0.5118055555555555"/>
  <pageSetup fitToHeight="2" fitToWidth="2" horizontalDpi="600" verticalDpi="600" orientation="portrait" paperSize="12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ChiefEngineer</dc:creator>
  <cp:keywords/>
  <dc:description/>
  <cp:lastModifiedBy>ChiefEngineer</cp:lastModifiedBy>
  <cp:lastPrinted>2021-03-22T07:16:51Z</cp:lastPrinted>
  <dcterms:created xsi:type="dcterms:W3CDTF">2016-03-09T13:37:33Z</dcterms:created>
  <dcterms:modified xsi:type="dcterms:W3CDTF">2021-03-29T07:47:24Z</dcterms:modified>
  <cp:category/>
  <cp:version/>
  <cp:contentType/>
  <cp:contentStatus/>
</cp:coreProperties>
</file>