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2" firstSheet="81" activeTab="84"/>
  </bookViews>
  <sheets>
    <sheet name="Волжская 2" sheetId="1" r:id="rId1"/>
    <sheet name="Волжская 4" sheetId="2" r:id="rId2"/>
    <sheet name="Волжская 9" sheetId="3" r:id="rId3"/>
    <sheet name="Волжская 10" sheetId="4" r:id="rId4"/>
    <sheet name="Гидростроительная 8" sheetId="5" r:id="rId5"/>
    <sheet name="Гидростроительная 10а" sheetId="6" r:id="rId6"/>
    <sheet name="Гидростроительная 11" sheetId="7" r:id="rId7"/>
    <sheet name="Гидростроительная 12" sheetId="8" r:id="rId8"/>
    <sheet name="Гидростроительная 13" sheetId="9" r:id="rId9"/>
    <sheet name="Гидростроительная 14" sheetId="10" r:id="rId10"/>
    <sheet name="Гидростроительная 16" sheetId="11" r:id="rId11"/>
    <sheet name="Гидростроительная 17" sheetId="12" r:id="rId12"/>
    <sheet name="Гидростроительная 18" sheetId="13" r:id="rId13"/>
    <sheet name="Гидростроительная 24" sheetId="14" r:id="rId14"/>
    <sheet name="Гидростроительная 26" sheetId="15" r:id="rId15"/>
    <sheet name="Дамбовая 1" sheetId="16" r:id="rId16"/>
    <sheet name="Дамбовая 2" sheetId="17" r:id="rId17"/>
    <sheet name="Дамбовая 3" sheetId="18" r:id="rId18"/>
    <sheet name="Дамбовая 4" sheetId="19" r:id="rId19"/>
    <sheet name="Комсомольская 5" sheetId="20" r:id="rId20"/>
    <sheet name="Комсомольская 6" sheetId="21" r:id="rId21"/>
    <sheet name="Комсомольская 12" sheetId="22" r:id="rId22"/>
    <sheet name="Семашко 3" sheetId="23" r:id="rId23"/>
    <sheet name="Семашко 5" sheetId="24" r:id="rId24"/>
    <sheet name="Семашко 9" sheetId="25" r:id="rId25"/>
    <sheet name="Семашко 11" sheetId="26" r:id="rId26"/>
    <sheet name="Семашко 12" sheetId="27" r:id="rId27"/>
    <sheet name="Семашко 18" sheetId="28" r:id="rId28"/>
    <sheet name="Семашко 20" sheetId="29" r:id="rId29"/>
    <sheet name="Семашко 23" sheetId="30" r:id="rId30"/>
    <sheet name="Семашко 24" sheetId="31" r:id="rId31"/>
    <sheet name="Школьная 1" sheetId="32" r:id="rId32"/>
    <sheet name="Пл.1 Мая 2" sheetId="33" r:id="rId33"/>
    <sheet name="Пл.1 Мая 1" sheetId="34" r:id="rId34"/>
    <sheet name="Гостиная 2" sheetId="35" r:id="rId35"/>
    <sheet name="Гостиная 9" sheetId="36" r:id="rId36"/>
    <sheet name="Гостиная 11" sheetId="37" r:id="rId37"/>
    <sheet name="Гостиная 13" sheetId="38" r:id="rId38"/>
    <sheet name="Гостиная 15" sheetId="39" r:id="rId39"/>
    <sheet name="Гостиная 16" sheetId="40" r:id="rId40"/>
    <sheet name="Гостиная 18" sheetId="41" r:id="rId41"/>
    <sheet name="пер.Энеогетиков 1" sheetId="42" r:id="rId42"/>
    <sheet name="пер.Энергетиков 2" sheetId="43" r:id="rId43"/>
    <sheet name="пер.Энергетиков 3" sheetId="44" r:id="rId44"/>
    <sheet name="пер.Энергетиков 5" sheetId="45" r:id="rId45"/>
    <sheet name="Кржижановского 2" sheetId="46" r:id="rId46"/>
    <sheet name="Кржижановского 3" sheetId="47" r:id="rId47"/>
    <sheet name="Кржижановского 4" sheetId="48" r:id="rId48"/>
    <sheet name="Ковалевской 3" sheetId="49" r:id="rId49"/>
    <sheet name="Ковалевской 6" sheetId="50" r:id="rId50"/>
    <sheet name="Овражная 2" sheetId="51" r:id="rId51"/>
    <sheet name="Овражная 3" sheetId="52" r:id="rId52"/>
    <sheet name="Овражная4" sheetId="53" r:id="rId53"/>
    <sheet name="Овражная 5" sheetId="54" r:id="rId54"/>
    <sheet name="Овражная 9" sheetId="55" r:id="rId55"/>
    <sheet name="Плотничная 3" sheetId="56" r:id="rId56"/>
    <sheet name="Плотничная 4" sheetId="57" r:id="rId57"/>
    <sheet name="Северная 2" sheetId="58" r:id="rId58"/>
    <sheet name="Северная 3" sheetId="59" r:id="rId59"/>
    <sheet name="Северная 5" sheetId="60" r:id="rId60"/>
    <sheet name="Северная 6" sheetId="61" r:id="rId61"/>
    <sheet name="Северная 7" sheetId="62" r:id="rId62"/>
    <sheet name="Северная 8" sheetId="63" r:id="rId63"/>
    <sheet name="Северная 9" sheetId="64" r:id="rId64"/>
    <sheet name="Рабочая 2" sheetId="65" r:id="rId65"/>
    <sheet name="Рабочая 10" sheetId="66" r:id="rId66"/>
    <sheet name="Рабочая 12" sheetId="67" r:id="rId67"/>
    <sheet name="Рабочая 14" sheetId="68" r:id="rId68"/>
    <sheet name="Рабочая 16" sheetId="69" r:id="rId69"/>
    <sheet name="Рабочая 20" sheetId="70" r:id="rId70"/>
    <sheet name="Учительская 25" sheetId="71" r:id="rId71"/>
    <sheet name="Учительская 28" sheetId="72" r:id="rId72"/>
    <sheet name="Клубная 1" sheetId="73" r:id="rId73"/>
    <sheet name="Клубная 1а" sheetId="74" r:id="rId74"/>
    <sheet name="Первомайская 4" sheetId="75" r:id="rId75"/>
    <sheet name="Первомайская 18" sheetId="76" r:id="rId76"/>
    <sheet name="Первомайская 6" sheetId="77" r:id="rId77"/>
    <sheet name="Первомайская 7" sheetId="78" r:id="rId78"/>
    <sheet name="Первомайская 10" sheetId="79" r:id="rId79"/>
    <sheet name="Первомайская 11" sheetId="80" r:id="rId80"/>
    <sheet name="Первомайская 14" sheetId="81" r:id="rId81"/>
    <sheet name="Первомайская 16" sheetId="82" r:id="rId82"/>
    <sheet name="Сеченова 3" sheetId="83" r:id="rId83"/>
    <sheet name="Сеченова 6" sheetId="84" r:id="rId84"/>
    <sheet name="Лист3" sheetId="85" r:id="rId85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<sst xmlns="http://schemas.openxmlformats.org/spreadsheetml/2006/main" count="11635" uniqueCount="723">
  <si>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</si>
  <si>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</si>
  <si>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</si>
  <si>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Волжская д.2</t>
  </si>
  <si>
    <t>ЗА 2013 ГОД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</si>
  <si>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347,32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77,01</t>
    </r>
    <r>
      <rPr>
        <sz val="10"/>
        <rFont val="Arial"/>
        <family val="2"/>
      </rPr>
      <t xml:space="preserve"> кв. м</t>
    </r>
  </si>
  <si>
    <t xml:space="preserve"> </t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</si>
  <si>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</si>
  <si>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</si>
  <si>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</si>
  <si>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>до июля / с июля</t>
  </si>
  <si>
    <t xml:space="preserve">Вид показателя         </t>
  </si>
  <si>
    <t>Сумма в   год     (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</si>
  <si>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</si>
  <si>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</si>
  <si>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1.'ОСТАТОК ДЕНЕЖНЫХ СРЕДСТВ НА НАЧАЛО ГОДА ПО ТЕКУЩЕМУ КАПИТАЛЬНОМУ РЕМОНТУ в том числе:</t>
  </si>
  <si>
    <t>по текущему ремонту</t>
  </si>
  <si>
    <t>по капитальному ремонту</t>
  </si>
  <si>
    <t xml:space="preserve">2.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</si>
  <si>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</si>
  <si>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</si>
  <si>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</t>
  </si>
  <si>
    <t>в т.ч текущий ремонт</t>
  </si>
  <si>
    <t>0,80 / 1,43</t>
  </si>
  <si>
    <t>содержание и ремонт жилья      кв. 1-4, 6-8</t>
  </si>
  <si>
    <t>12,05 / 13,50</t>
  </si>
  <si>
    <t>содержание и ремонт жилья      кв. 5</t>
  </si>
  <si>
    <t>12,05 / 13,45</t>
  </si>
  <si>
    <t xml:space="preserve">капитальный ремонт             </t>
  </si>
  <si>
    <t xml:space="preserve">коммунальные услуги - всего    </t>
  </si>
  <si>
    <t>х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</si>
  <si>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</si>
  <si>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</si>
  <si>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</si>
  <si>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</si>
  <si>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</si>
  <si>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3.Фактические платежи населения за жилищные и коммунальные услуги - всего  </t>
  </si>
  <si>
    <t>Антенна</t>
  </si>
  <si>
    <t>Найм</t>
  </si>
  <si>
    <t xml:space="preserve">содержание и ремонт жилья    </t>
  </si>
  <si>
    <t>4.Фактические платежи управляющей компании за коммунальные услуги ресурсоснабжающим организациям</t>
  </si>
  <si>
    <t>5.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</si>
  <si>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</si>
  <si>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</si>
  <si>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</si>
  <si>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</si>
  <si>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 xml:space="preserve">Обслуживание общестроит.конструкций </t>
  </si>
  <si>
    <t>2 раза в год</t>
  </si>
  <si>
    <t>0,14 / 0,15</t>
  </si>
  <si>
    <t>Содержание придомовой территории</t>
  </si>
  <si>
    <t>250 раз в год</t>
  </si>
  <si>
    <t>2,10 / 2,23</t>
  </si>
  <si>
    <t>Вывоз и утилизация ТБО</t>
  </si>
  <si>
    <t>1,20 / 2,00</t>
  </si>
  <si>
    <t>Проверка дымоходов и вентканалов</t>
  </si>
  <si>
    <t>0,20 / 0,21</t>
  </si>
  <si>
    <t>Обслуживание по эл/снабжению</t>
  </si>
  <si>
    <t>4 раза в год</t>
  </si>
  <si>
    <t xml:space="preserve"> 0,90 / 0,66</t>
  </si>
  <si>
    <t>Обслуживание внутридомовых систем  кв. 1-4, 6-8</t>
  </si>
  <si>
    <t>0,69 / 0,73</t>
  </si>
  <si>
    <t>Обслуживание внутридомовых систем  кв. 5</t>
  </si>
  <si>
    <t>0,69 / 0,68</t>
  </si>
  <si>
    <t xml:space="preserve">Аварийное обслуживание </t>
  </si>
  <si>
    <t>По мере поступления заявки</t>
  </si>
  <si>
    <t>1,14 / 1,21</t>
  </si>
  <si>
    <t>Управление многоквартирным домом</t>
  </si>
  <si>
    <t>ежедневно</t>
  </si>
  <si>
    <t>Итого расходы по содержанию (без текущего ремонта)</t>
  </si>
  <si>
    <t>ТЕКУЩИЙ РЕМОНТ,итого:</t>
  </si>
  <si>
    <t>кв.2 Ремонт перекрытия пола в туалете</t>
  </si>
  <si>
    <t>Расходы по содержанию и ремонту общего имущества, всего:</t>
  </si>
  <si>
    <t>КАПИТАЛЬНЫЙ РЕМОНТ ,итого:</t>
  </si>
  <si>
    <t>6.ОСТАТОК ДЕНЕЖНЫХ СРЕДСТВ НА КОНЕЦ ОТЧЕТНОГО ПЕРИОДА ПО ТЕКУЩЕМУ КАПИТАЛЬНОМУ РЕМОНТУ</t>
  </si>
  <si>
    <t>в том числе : по текущему ремонту:</t>
  </si>
  <si>
    <t>по капитальному ремонту:</t>
  </si>
  <si>
    <t>7.СПРАВОЧНО: ЗАДОЛЖЕННОСТЬ ЖИТЕЛЕЙ ЗА ЖИЛИЩНЫЕ И КОМУНАЛЬНЫЕ УСЛУГИ-ВСЕГО</t>
  </si>
  <si>
    <t xml:space="preserve">содержание и ремонт жилья      </t>
  </si>
  <si>
    <t xml:space="preserve">горячее водоснабжение          </t>
  </si>
  <si>
    <t>8.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</si>
  <si>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</si>
  <si>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</si>
  <si>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r>
      <t xml:space="preserve">Размер платы                             </t>
    </r>
    <r>
      <rPr>
        <sz val="10"/>
        <color indexed="60"/>
        <rFont val="Arial"/>
        <family val="2"/>
      </rPr>
      <t>до июля / с июля</t>
    </r>
  </si>
  <si>
    <t>Единица измерения</t>
  </si>
  <si>
    <t>Решение думы города Заволжье № 200 от 30.11.2010г.                         №22 от 16.05.2013</t>
  </si>
  <si>
    <t>руб/кв .м в месяц</t>
  </si>
  <si>
    <t>Решение РСТ Нижегородской области №57/117 от 30.11.2011 №67/11 от 27.11.2012</t>
  </si>
  <si>
    <t>26,64 / 28,45</t>
  </si>
  <si>
    <t>руб/куб.м в месяц</t>
  </si>
  <si>
    <t>30,69 / 32,77</t>
  </si>
  <si>
    <t>Решение РСТ Нижегородской области №57/127 от 30.11.2011 №67/9 от27.11.2012</t>
  </si>
  <si>
    <t>1370,11 / 1507,12</t>
  </si>
  <si>
    <t>руб/Гкал</t>
  </si>
  <si>
    <t>Руководитель управляющей организации /____________________________________/_____________________________________________</t>
  </si>
  <si>
    <t>Е.М.Кузьмичев</t>
  </si>
  <si>
    <t>М.П.</t>
  </si>
  <si>
    <t>ПО АДРЕСУ г. Заволжье, ул. Волжская д.4</t>
  </si>
  <si>
    <r>
      <t xml:space="preserve">Общая площадь помещений в многоквартирном доме </t>
    </r>
    <r>
      <rPr>
        <b/>
        <sz val="9"/>
        <rFont val="Arial"/>
        <family val="2"/>
      </rPr>
      <t>446,74</t>
    </r>
    <r>
      <rPr>
        <sz val="8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9"/>
        <rFont val="Arial"/>
        <family val="2"/>
      </rPr>
      <t>276,52</t>
    </r>
    <r>
      <rPr>
        <sz val="8"/>
        <rFont val="Arial"/>
        <family val="2"/>
      </rPr>
      <t xml:space="preserve"> кв. м</t>
    </r>
  </si>
  <si>
    <t>11,82 / 13,24</t>
  </si>
  <si>
    <t>0,10 / 0,54</t>
  </si>
  <si>
    <t>0,75 / 0,63</t>
  </si>
  <si>
    <t xml:space="preserve">Обслуживание внутридомовых систем   </t>
  </si>
  <si>
    <t>Обслуживание газового оборудования</t>
  </si>
  <si>
    <t>0,62 / 0,66</t>
  </si>
  <si>
    <r>
      <t xml:space="preserve">Размер платы                             </t>
    </r>
    <r>
      <rPr>
        <sz val="8"/>
        <color indexed="60"/>
        <rFont val="Arial"/>
        <family val="2"/>
      </rPr>
      <t>до июля / с июля</t>
    </r>
  </si>
  <si>
    <t xml:space="preserve">содержание и ремонт жилья       </t>
  </si>
  <si>
    <t>Решение думы города Заволжье № 200 от 30.11.2010г.№22 от 16.05.2013</t>
  </si>
  <si>
    <t>ПО АДРЕСУ г. Заволжье, ул. Волжская д.9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</si>
  <si>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308,5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201,5</t>
    </r>
    <r>
      <rPr>
        <sz val="10"/>
        <rFont val="Arial"/>
        <family val="2"/>
      </rPr>
      <t xml:space="preserve"> кв. м</t>
    </r>
  </si>
  <si>
    <t>13,66 / 15,30</t>
  </si>
  <si>
    <t>В том числе текущий ремонт</t>
  </si>
  <si>
    <t>1,28 / 1,97</t>
  </si>
  <si>
    <t>Обслуживание общестроит.конструкций</t>
  </si>
  <si>
    <t>0,10 / 0,11</t>
  </si>
  <si>
    <t>2,13 / 2,02</t>
  </si>
  <si>
    <t xml:space="preserve">Обслуживание внутридомовых систем  </t>
  </si>
  <si>
    <t>Ремонт септика</t>
  </si>
  <si>
    <t>ПО АДРЕСУ г. Заволжье, ул. Волжская д.10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</si>
  <si>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382,9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238,3 </t>
    </r>
    <r>
      <rPr>
        <sz val="10"/>
        <rFont val="Arial"/>
        <family val="2"/>
      </rPr>
      <t>кв. м</t>
    </r>
  </si>
  <si>
    <t>12,36 / 13,84</t>
  </si>
  <si>
    <t xml:space="preserve">В том числе текущий ремонт </t>
  </si>
  <si>
    <t>0,46 * 1,02</t>
  </si>
  <si>
    <t>0,83 / 0,65</t>
  </si>
  <si>
    <t>0,72 / 0,76</t>
  </si>
  <si>
    <t>ремонт кровли</t>
  </si>
  <si>
    <t>ПО АДРЕСУ г. Заволжье, ул. Гидростроительная,8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</si>
  <si>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52,2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52,2 </t>
    </r>
    <r>
      <rPr>
        <sz val="10"/>
        <rFont val="Arial"/>
        <family val="2"/>
      </rPr>
      <t>кв. м</t>
    </r>
  </si>
  <si>
    <t>9,72 / 10,89</t>
  </si>
  <si>
    <t xml:space="preserve"> В т.ч текущий ремонт</t>
  </si>
  <si>
    <t>3,39 / 3,74</t>
  </si>
  <si>
    <t>0,11 / 0,12</t>
  </si>
  <si>
    <t>ПО АДРЕСУ г. Заволжье, ул. Гидростроительная,10а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</si>
  <si>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613,5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176,2 </t>
    </r>
    <r>
      <rPr>
        <sz val="10"/>
        <rFont val="Arial"/>
        <family val="2"/>
      </rPr>
      <t>кв. м</t>
    </r>
  </si>
  <si>
    <t>12,81 / 14,50</t>
  </si>
  <si>
    <t>0,13 / 0,50</t>
  </si>
  <si>
    <t>0,14 / 0,28</t>
  </si>
  <si>
    <t>0,41 / 0,43</t>
  </si>
  <si>
    <t>0,55 / 0,58</t>
  </si>
  <si>
    <t>1,57 / 1,66</t>
  </si>
  <si>
    <t>Убыток 558,96</t>
  </si>
  <si>
    <t>Переключение освещение под-да на другую фазу</t>
  </si>
  <si>
    <t>Смена участка ХВС в кв.9,13</t>
  </si>
  <si>
    <t>Смена кранов ХВС</t>
  </si>
  <si>
    <t>Ремонт отмостки</t>
  </si>
  <si>
    <t>ПО АДРЕСУ г. Заволжье, ул. Гидростроительная,11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</si>
  <si>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446,92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365,07 </t>
    </r>
    <r>
      <rPr>
        <sz val="10"/>
        <rFont val="Arial"/>
        <family val="2"/>
      </rPr>
      <t>кв. м</t>
    </r>
  </si>
  <si>
    <t>11,86 / 13,28</t>
  </si>
  <si>
    <t>в т.ч. текущий ремонт</t>
  </si>
  <si>
    <t>0,12 / 0,67</t>
  </si>
  <si>
    <t>найм</t>
  </si>
  <si>
    <t>антенна</t>
  </si>
  <si>
    <t>0,86 / 0,63</t>
  </si>
  <si>
    <t>258,99 перерасчет</t>
  </si>
  <si>
    <t>Убыток</t>
  </si>
  <si>
    <t>Ремонт кровли</t>
  </si>
  <si>
    <t>Смена крана ХВС в кв.8</t>
  </si>
  <si>
    <t>Сменакрана на отоплении в кв.3</t>
  </si>
  <si>
    <t>ПО АДРЕСУ г. Заволжье, ул. Гидростроительная,12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</si>
  <si>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442,09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249,05 </t>
    </r>
    <r>
      <rPr>
        <sz val="10"/>
        <rFont val="Arial"/>
        <family val="2"/>
      </rPr>
      <t>кв. м</t>
    </r>
  </si>
  <si>
    <t>12,11 / 13,56</t>
  </si>
  <si>
    <t>0,39 / 0,86</t>
  </si>
  <si>
    <t>Убыток  обслуж газ оборуд</t>
  </si>
  <si>
    <t>Ремонт электрики</t>
  </si>
  <si>
    <t>ПО АДРЕСУ г. Заволжье, ул. Гидростроительная,13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</si>
  <si>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376,7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329,9 </t>
    </r>
    <r>
      <rPr>
        <sz val="10"/>
        <rFont val="Arial"/>
        <family val="2"/>
      </rPr>
      <t>кв. м</t>
    </r>
  </si>
  <si>
    <t>12,71 / 14,24</t>
  </si>
  <si>
    <t>0,79 / 1,41</t>
  </si>
  <si>
    <t>антена</t>
  </si>
  <si>
    <t>0,84 / 0,65</t>
  </si>
  <si>
    <t>0,73 / 0,77</t>
  </si>
  <si>
    <t>Ремонт отопит.батареи в подъезде</t>
  </si>
  <si>
    <t>ПО АДРЕСУ г. Заволжье, ул. Гидростроительная,14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</si>
  <si>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387,05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145,4 </t>
    </r>
    <r>
      <rPr>
        <sz val="10"/>
        <rFont val="Arial"/>
        <family val="2"/>
      </rPr>
      <t>кв. м</t>
    </r>
  </si>
  <si>
    <t>12,13 / 13,59</t>
  </si>
  <si>
    <t>0,11 / 0,79</t>
  </si>
  <si>
    <t>0,96 / 0,64</t>
  </si>
  <si>
    <t>0,71 / 0,75</t>
  </si>
  <si>
    <t>смена участка ХВС</t>
  </si>
  <si>
    <t>Ремонт кровли,утепление труб</t>
  </si>
  <si>
    <t>ПО АДРЕСУ г. Заволжье, ул. Гидростроительная,16</t>
  </si>
  <si>
    <t>12,52 / 14,02</t>
  </si>
  <si>
    <t>0,55 / 1,15</t>
  </si>
  <si>
    <t>0,86 / ,65</t>
  </si>
  <si>
    <t>0,76 / 0,81</t>
  </si>
  <si>
    <t>Ремонт кровли,карниза,фасада,пола в подъезде,утепление труб</t>
  </si>
  <si>
    <t>Ремонт системы отопления</t>
  </si>
  <si>
    <t>Смена вводного кабеля</t>
  </si>
  <si>
    <t>12,52/ 14,02</t>
  </si>
  <si>
    <t>ПО АДРЕСУ г. Заволжье, ул. Гидростроительная,17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</si>
  <si>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489,5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66,8 </t>
    </r>
    <r>
      <rPr>
        <sz val="10"/>
        <rFont val="Arial"/>
        <family val="2"/>
      </rPr>
      <t>кв. м</t>
    </r>
  </si>
  <si>
    <t>12,17 / 13,56</t>
  </si>
  <si>
    <t>0,35 / 0,96</t>
  </si>
  <si>
    <t>0,91 / 0,60</t>
  </si>
  <si>
    <t>0,56 / 0,59</t>
  </si>
  <si>
    <t>Ремонт крышки септика</t>
  </si>
  <si>
    <t>Ремонт уч-ка ХВС в кв.№7</t>
  </si>
  <si>
    <t>ПО АДРЕСУ г. Заволжье, ул. Гидростроительная,18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</si>
  <si>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1335,3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155,6 </t>
    </r>
    <r>
      <rPr>
        <sz val="10"/>
        <rFont val="Arial"/>
        <family val="2"/>
      </rPr>
      <t>кв. м</t>
    </r>
  </si>
  <si>
    <t>содержание и ремонт жилья:</t>
  </si>
  <si>
    <t xml:space="preserve">              квартиры №№  21,24,27</t>
  </si>
  <si>
    <t>12,72 / 13,60</t>
  </si>
  <si>
    <t xml:space="preserve">              все другие квартиры</t>
  </si>
  <si>
    <t>13,34 / 15,09</t>
  </si>
  <si>
    <t>2,08 / 1,89</t>
  </si>
  <si>
    <t>0,21 / 0,39</t>
  </si>
  <si>
    <t>Обслуживание по эл/снабжению   кв.№  21,24,27(котлы)</t>
  </si>
  <si>
    <t>0,66 / 0,53</t>
  </si>
  <si>
    <t>Обслуживание по эл/снабжению  все другие квартиры</t>
  </si>
  <si>
    <t>0,84 / 0,53</t>
  </si>
  <si>
    <t>Обслуживание внутридомовых систем кв.№  21,24,27</t>
  </si>
  <si>
    <t>0,25 / 0,26</t>
  </si>
  <si>
    <t xml:space="preserve">Обслуживание внутридомовых систем все другие кв. </t>
  </si>
  <si>
    <t>0,69 / 1,75</t>
  </si>
  <si>
    <t>Убыток - перерасчет</t>
  </si>
  <si>
    <t>Смена шаровых кранов в кв. 7,23,в подвале</t>
  </si>
  <si>
    <t>Ремонт уч-ка отопления во 2м подъезде</t>
  </si>
  <si>
    <t xml:space="preserve">содержание и ремонт жилья    кв.№  21,24,27(котлы)  </t>
  </si>
  <si>
    <t>содержание и ремонт жилья  все другие квартиры</t>
  </si>
  <si>
    <t>ПО АДРЕСУ г. Заволжье, ул. Гидростроительная,24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</si>
  <si>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1670,7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1278,5 </t>
    </r>
    <r>
      <rPr>
        <sz val="10"/>
        <rFont val="Arial"/>
        <family val="2"/>
      </rPr>
      <t>кв. м</t>
    </r>
  </si>
  <si>
    <t>содержание и ремонт жилья</t>
  </si>
  <si>
    <t>9,80 / 10,98</t>
  </si>
  <si>
    <t>0,00 / 0,18</t>
  </si>
  <si>
    <t>0,92 / 1,12</t>
  </si>
  <si>
    <t>0,00 / 0,00</t>
  </si>
  <si>
    <t>0,40 / 0,25</t>
  </si>
  <si>
    <t>Смена розетки на отопл. В подъезде</t>
  </si>
  <si>
    <t>ПО АДРЕСУ г. Заволжье, ул. Гидростроительная,26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</si>
  <si>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1935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1418,8 </t>
    </r>
    <r>
      <rPr>
        <sz val="10"/>
        <rFont val="Arial"/>
        <family val="2"/>
      </rPr>
      <t>кв. м</t>
    </r>
  </si>
  <si>
    <t>11,81 / 13,23</t>
  </si>
  <si>
    <t>0,36 / 0,90</t>
  </si>
  <si>
    <t>0,21 / 0,42</t>
  </si>
  <si>
    <t>1,47 / 1,12</t>
  </si>
  <si>
    <t>смена калориферов отопления в подъездах,смена авиомат.выключателя</t>
  </si>
  <si>
    <t>ПО АДРЕСУ г. Заволжье, ул. Дамбовая,1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</si>
  <si>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403,1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202,3</t>
    </r>
    <r>
      <rPr>
        <sz val="10"/>
        <rFont val="Arial"/>
        <family val="2"/>
      </rPr>
      <t>кв. м</t>
    </r>
  </si>
  <si>
    <t xml:space="preserve">содержание и ремонт жилья    кв. 1  </t>
  </si>
  <si>
    <t>11,98 / 13,42</t>
  </si>
  <si>
    <t xml:space="preserve">содержание и ремонт жилья    кв. 2  </t>
  </si>
  <si>
    <t>11,98 / 12,51</t>
  </si>
  <si>
    <t xml:space="preserve">содержание и ремонт жилья    кв. 3-8 </t>
  </si>
  <si>
    <t>11,98 / 12,56</t>
  </si>
  <si>
    <t>0,01 * 0,29</t>
  </si>
  <si>
    <t>0,60 / 0,64</t>
  </si>
  <si>
    <t>Обслуживание внутридомовых систем  кв. 2</t>
  </si>
  <si>
    <t>0,64 / 0,68</t>
  </si>
  <si>
    <t>Обслуживание внутридомовых систем  кв. 1, 3-8</t>
  </si>
  <si>
    <t>Обслуживание газового оборудования кв. 1</t>
  </si>
  <si>
    <t>0,81 / 0,86</t>
  </si>
  <si>
    <t>Ремонт крышек септика</t>
  </si>
  <si>
    <t>ПО АДРЕСУ г. Заволжье, ул. Дамбовая,2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</si>
  <si>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386,8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289 </t>
    </r>
    <r>
      <rPr>
        <sz val="10"/>
        <rFont val="Arial"/>
        <family val="2"/>
      </rPr>
      <t>кв. м</t>
    </r>
  </si>
  <si>
    <t xml:space="preserve"> / 13,76</t>
  </si>
  <si>
    <t>12,29 / 13,73</t>
  </si>
  <si>
    <t>0,96 / 1,49</t>
  </si>
  <si>
    <t>0,77 / 0,64</t>
  </si>
  <si>
    <t>Ремонт штукатурки фасада</t>
  </si>
  <si>
    <t>Смена тройника</t>
  </si>
  <si>
    <t>ПО АДРЕСУ г. Заволжье, ул. Дамбовая,3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</si>
  <si>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357,4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308,6</t>
    </r>
    <r>
      <rPr>
        <sz val="10"/>
        <rFont val="Arial"/>
        <family val="2"/>
      </rPr>
      <t>в. м</t>
    </r>
  </si>
  <si>
    <t>содержание и ремонт жилья      кв. 2, 4-8</t>
  </si>
  <si>
    <t>12,00 / 13,44</t>
  </si>
  <si>
    <t>содержание и ремонт жилья      кв. 1</t>
  </si>
  <si>
    <t>12,00 / 12,78</t>
  </si>
  <si>
    <t>содержание и ремонт жилья      кв. 3</t>
  </si>
  <si>
    <t>12,00 / 12,52</t>
  </si>
  <si>
    <t xml:space="preserve">0,31 / 0,96 </t>
  </si>
  <si>
    <t>0,95 / 0,66</t>
  </si>
  <si>
    <t>Обслуживание внутридомовых систем  кв. 1,2, 4-8</t>
  </si>
  <si>
    <t>Обслуживание внутридомовых систем  кв. 3</t>
  </si>
  <si>
    <t>Обслуживание газового оборудования кв. кв. 2, 4-8</t>
  </si>
  <si>
    <t>ПО АДРЕСУ г. Заволжье, ул. Дамбовая,4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</si>
  <si>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377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93,5</t>
    </r>
    <r>
      <rPr>
        <sz val="10"/>
        <rFont val="Arial"/>
        <family val="2"/>
      </rPr>
      <t>в. м</t>
    </r>
  </si>
  <si>
    <t>11,76 / 13,17</t>
  </si>
  <si>
    <t>0,20 / 0,47</t>
  </si>
  <si>
    <t>0,61 / 0,65</t>
  </si>
  <si>
    <t>0,69 / ,073</t>
  </si>
  <si>
    <t xml:space="preserve">Обслуживание газового оборудования  </t>
  </si>
  <si>
    <t>Перерасчет за свет</t>
  </si>
  <si>
    <t>Утепление труб ХВС</t>
  </si>
  <si>
    <t>Ремонт системы отопления в кв.8</t>
  </si>
  <si>
    <t>ПО АДРЕСУ г. Заволжье, ул. Комсомольская,5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</si>
  <si>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374,94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374,94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</si>
  <si>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12,57 / 14,08</t>
  </si>
  <si>
    <t>0,69* 1,50</t>
  </si>
  <si>
    <t>1,03 / 0,65</t>
  </si>
  <si>
    <t>ПО АДРЕСУ г. Заволжье, ул. Комсомольская,6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</si>
  <si>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351,08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305,21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</si>
  <si>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12,70 / 14,22</t>
  </si>
  <si>
    <t>0,88 / 1,57</t>
  </si>
  <si>
    <t>0,92 / 0,66</t>
  </si>
  <si>
    <t>0,78 / 0,83</t>
  </si>
  <si>
    <t xml:space="preserve">СПРАВОЧНО: Субсидии, полученные от Администрации г. Заволжья </t>
  </si>
  <si>
    <t>ПО АДРЕСУ г. Заволжье, ул. Комсомольская,12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</si>
  <si>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55,1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55,1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</si>
  <si>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9,23 / 10,34</t>
  </si>
  <si>
    <t>0,41 / 0,56</t>
  </si>
  <si>
    <t>0,70 / 0,74</t>
  </si>
  <si>
    <t>1,50 / 1,59</t>
  </si>
  <si>
    <t>ПО АДРЕСУ г. Заволжье, ул. Семашко,3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</si>
  <si>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86,94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</si>
  <si>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10,78 / 12,07</t>
  </si>
  <si>
    <t>1,37 / 1,66</t>
  </si>
  <si>
    <t>1,65 / 1,75</t>
  </si>
  <si>
    <t>ПО АДРЕСУ г. Заволжье, ул. Семашко,5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</si>
  <si>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79,8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40,2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</si>
  <si>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10,21 / 11,44</t>
  </si>
  <si>
    <t>0,60 / 0,87</t>
  </si>
  <si>
    <t>0,25 / 0,21</t>
  </si>
  <si>
    <t>1,80 / 1,91</t>
  </si>
  <si>
    <t>ПО АДРЕСУ г. Заволжье, ул. Семашко,9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</si>
  <si>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91,87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40,2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</si>
  <si>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10,83 / 12,13</t>
  </si>
  <si>
    <t>3,07 / 3,47</t>
  </si>
  <si>
    <t xml:space="preserve">доходы     от     собственников помещений                      </t>
  </si>
  <si>
    <t>ПО АДРЕСУ г. Заволжье, ул. Семашко,11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</si>
  <si>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72,14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72,14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</si>
  <si>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9,12 / 10,21</t>
  </si>
  <si>
    <t>0,44 / 0,58</t>
  </si>
  <si>
    <t>0,91 / 0,96</t>
  </si>
  <si>
    <t>1,15 / 1,22</t>
  </si>
  <si>
    <t>ПО АДРЕСУ г. Заволжье, ул. Семашко,12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</si>
  <si>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93,4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45,9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</si>
  <si>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9,20 / 10,30</t>
  </si>
  <si>
    <t>1,54 / 1,63</t>
  </si>
  <si>
    <t>ПО АДРЕСУ г. Заволжье, ул. Семашко,18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</si>
  <si>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101,7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</si>
  <si>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10,38 / 11,63</t>
  </si>
  <si>
    <t>1,21 / 1,48</t>
  </si>
  <si>
    <t>1,41 / 1,49</t>
  </si>
  <si>
    <t>КВ. 1 Перерасчет с 01.02.14.</t>
  </si>
  <si>
    <t>ПО АДРЕСУ г. Заволжье, ул. Семашко,20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</si>
  <si>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1264,20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196,8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</si>
  <si>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 xml:space="preserve">содержание и ремонт жилья:     </t>
  </si>
  <si>
    <t xml:space="preserve">              квартиры №№ 3,15,16,20</t>
  </si>
  <si>
    <t>11,89 / 12,85</t>
  </si>
  <si>
    <t>12,80 / 14,48</t>
  </si>
  <si>
    <t>0,65 / 0,62</t>
  </si>
  <si>
    <t>Обслуживание по эл/снабжению кв. №№ 3,15,16,20</t>
  </si>
  <si>
    <t>0,78 / 0,54</t>
  </si>
  <si>
    <t>1,25 / 0,54</t>
  </si>
  <si>
    <t xml:space="preserve">Обслуживание внутридом систем кв. №№ 3,15,16,20 </t>
  </si>
  <si>
    <t xml:space="preserve">Обслуживание внутридом систем все другие квартиры  </t>
  </si>
  <si>
    <t>0,69 / 1,89</t>
  </si>
  <si>
    <t>0,48 / 0,51</t>
  </si>
  <si>
    <t>Смена участка нализации в кв.4,участка отопления в подвале по кв.1</t>
  </si>
  <si>
    <t>Смена кранов отопления в кв.5</t>
  </si>
  <si>
    <t xml:space="preserve">содержание и ремонт жилья    кв. №№ 3,15,16,20  </t>
  </si>
  <si>
    <t xml:space="preserve">содержание и ремонт жилья    все другие квартиры  </t>
  </si>
  <si>
    <t>ПО АДРЕСУ г. Заволжье, ул. Семашко,23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</si>
  <si>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90,7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45,5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</si>
  <si>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10,57 / 11,84</t>
  </si>
  <si>
    <t>1,23 / 1,51</t>
  </si>
  <si>
    <t>1,58 / 1,67</t>
  </si>
  <si>
    <t>ПО АДРЕСУ г. Заволжье, ул. Семашко,24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</si>
  <si>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44,9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44,9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</si>
  <si>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8,97 / 10,05</t>
  </si>
  <si>
    <t>0,51 / 0,65</t>
  </si>
  <si>
    <t>1,84 / 1,95</t>
  </si>
  <si>
    <t>ПО АДРЕСУ г. Заволжье, ул. Школьная,1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</si>
  <si>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1119,76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238,9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</si>
  <si>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12,88 / 14,58</t>
  </si>
  <si>
    <t>0,70 / 1,32</t>
  </si>
  <si>
    <t>0,40 / 0,70</t>
  </si>
  <si>
    <t>0,82 / 0,54</t>
  </si>
  <si>
    <t>1,23 / 1,27</t>
  </si>
  <si>
    <t>Ремонт системы канализации в кв.19,20,23</t>
  </si>
  <si>
    <t>Смена фильтра на системе ХВС в подвале</t>
  </si>
  <si>
    <t>ПО АДРЕСУ г. Заволжье, ул. Пл.1 МАЯ,2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</si>
  <si>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467,4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52,3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</si>
  <si>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 xml:space="preserve">содержание и ремонт жилья:   </t>
  </si>
  <si>
    <t xml:space="preserve">кв1-3, 5-7  </t>
  </si>
  <si>
    <t>12,44 / 13,93</t>
  </si>
  <si>
    <t xml:space="preserve">кв 8  </t>
  </si>
  <si>
    <t>12,00 / 13,46</t>
  </si>
  <si>
    <t xml:space="preserve">кв 4  </t>
  </si>
  <si>
    <t>12,44 / 13,20</t>
  </si>
  <si>
    <t>0,33 / 1,18</t>
  </si>
  <si>
    <t>1,07 / 0,61</t>
  </si>
  <si>
    <t>Обслуживание внутридомовых систем  кв. 8</t>
  </si>
  <si>
    <t xml:space="preserve">Обслуживание внутридомовых систем  другие кв. </t>
  </si>
  <si>
    <t>Обслуживание газового оборудования  кв. 1-3, 5-8</t>
  </si>
  <si>
    <t>Ремонт подъезда</t>
  </si>
  <si>
    <t>Окраска пола (стоимость краски)</t>
  </si>
  <si>
    <t>Ремонт дымовых труб</t>
  </si>
  <si>
    <t xml:space="preserve">содержание и ремонт жилья      кв1-3, 5-7  </t>
  </si>
  <si>
    <t xml:space="preserve">содержание и ремонт жилья      кв 8  </t>
  </si>
  <si>
    <t xml:space="preserve">содержание и ремонт жилья      кв 4  </t>
  </si>
  <si>
    <t>ПО АДРЕСУ г. Заволжье, ул. Пл.1 МАЯ,1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</si>
  <si>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279,7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51,5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</si>
  <si>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содержание и ремонт жилья       кв1,3,4,5</t>
  </si>
  <si>
    <t>12,25 / 13,72</t>
  </si>
  <si>
    <t>содержание и ремонт жилья      кв 2</t>
  </si>
  <si>
    <t>12,25 / 13,25</t>
  </si>
  <si>
    <t>0,80 / 1,14</t>
  </si>
  <si>
    <t>2,1 / 2,23</t>
  </si>
  <si>
    <t>Обслуживание по эл/снабжению  кв1,3,4,5</t>
  </si>
  <si>
    <t>0,66 / 0,70</t>
  </si>
  <si>
    <t>Обслуживание по эл/снабжению кв 2</t>
  </si>
  <si>
    <t>0,89 / 0,70</t>
  </si>
  <si>
    <t>Обслуживание газового оборудования  кв1,3,4,5</t>
  </si>
  <si>
    <t>ПО АДРЕСУ г. Заволжье, ул. Гостиная,2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</si>
  <si>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102,25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34,2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</si>
  <si>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8,19 / 9,17</t>
  </si>
  <si>
    <t>0,01 / 0,01</t>
  </si>
  <si>
    <t>0,54 / 0,03</t>
  </si>
  <si>
    <t>4,32 / 4,88</t>
  </si>
  <si>
    <t xml:space="preserve">Обслуживание газового оборудования   </t>
  </si>
  <si>
    <t>КВ. 2,3 перерасчет с 01.02.14</t>
  </si>
  <si>
    <t>Отключение отопления в нежилой квартире</t>
  </si>
  <si>
    <t>ПО АДРЕСУ г. Заволжье, ул. Гостиная,9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</si>
  <si>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142,9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34,2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</si>
  <si>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содержание и ремонт жилья      кв. 1,2</t>
  </si>
  <si>
    <t>11,44 / 12,81</t>
  </si>
  <si>
    <t>содержание и ремонт жилья      кв. 3,4</t>
  </si>
  <si>
    <t>11,44 / 12,60</t>
  </si>
  <si>
    <t>2,32 / 2,76</t>
  </si>
  <si>
    <t>Обслуживание внутридомовых систем  кв. 1,2</t>
  </si>
  <si>
    <t>Обслуживание внутридомовых систем  кв. 3,4</t>
  </si>
  <si>
    <t>0,05 / 0,00</t>
  </si>
  <si>
    <t>1,31 / 1,39</t>
  </si>
  <si>
    <t>Убыток перерасчет в октябре</t>
  </si>
  <si>
    <t>Ремонт отмостки (материалы)</t>
  </si>
  <si>
    <t>содержание и ремонт жилья       кв. 1,2</t>
  </si>
  <si>
    <t>ПО АДРЕСУ г. Заволжье, ул. Гостиная,11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</si>
  <si>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123,2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52,8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</si>
  <si>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11,25 / 12,60</t>
  </si>
  <si>
    <t>2,54 / 2,93</t>
  </si>
  <si>
    <t>0,14 / 0,21</t>
  </si>
  <si>
    <t>0,95 / 1,01</t>
  </si>
  <si>
    <t>Ремонт заваленки</t>
  </si>
  <si>
    <t>ПО АДРЕСУ г. Заволжье, ул. Гостиная,13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</si>
  <si>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103,1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103,1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</si>
  <si>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11,65 / 13,05</t>
  </si>
  <si>
    <t>2,76 / 3,19</t>
  </si>
  <si>
    <t>1,13 / 1,20</t>
  </si>
  <si>
    <t>ПО АДРЕСУ г. Заволжье, ул. Гостиная,15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</si>
  <si>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150,2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40,0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</si>
  <si>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8,46 / 9,48</t>
  </si>
  <si>
    <t>0,30 / 0,40</t>
  </si>
  <si>
    <t>0,88 / 0,93</t>
  </si>
  <si>
    <t>Разные площади для начисления по полугодиям</t>
  </si>
  <si>
    <r>
      <t xml:space="preserve">ВЫБЫЛ </t>
    </r>
    <r>
      <rPr>
        <b/>
        <sz val="10"/>
        <rFont val="Arial"/>
        <family val="2"/>
      </rPr>
      <t xml:space="preserve">   'ПО АДРЕСУ г. Заволжье, ул. Гостиная,16</t>
    </r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</si>
  <si>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124,6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124,6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</si>
  <si>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9,59 / 10,74</t>
  </si>
  <si>
    <t>содержание и ремонт жилья      кв. 2</t>
  </si>
  <si>
    <t>9,59 / 9,32</t>
  </si>
  <si>
    <t>0,84 / 1,08</t>
  </si>
  <si>
    <t>0,14/ 0,15</t>
  </si>
  <si>
    <t>Обслуживание внутридомовых систем  кв. 1</t>
  </si>
  <si>
    <t>Аварийное обслуживание  кв. 1</t>
  </si>
  <si>
    <t>0,94 / 1,00</t>
  </si>
  <si>
    <t>ПО АДРЕСУ г. Заволжье, ул. Гостиная,18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</si>
  <si>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107,3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52,8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</si>
  <si>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содержание и ремонт жилья      кв. 1,3</t>
  </si>
  <si>
    <t>9,06 / 10,15</t>
  </si>
  <si>
    <t>9,06 / 8,99</t>
  </si>
  <si>
    <t>0,21 / 0,33</t>
  </si>
  <si>
    <t xml:space="preserve">0,20 / / 0,21 </t>
  </si>
  <si>
    <t xml:space="preserve">1,14 / 1,21 </t>
  </si>
  <si>
    <t>Обслуживание газового оборудования   кв. 1,3</t>
  </si>
  <si>
    <t>1,09 / 1,16</t>
  </si>
  <si>
    <t>ПО АДРЕСУ г. Заволжье, ул. Энергетиков,1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</si>
  <si>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162,6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</si>
  <si>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9,48 / 10,62</t>
  </si>
  <si>
    <t>1,46 / 1,69</t>
  </si>
  <si>
    <t>Смена кранов отопления в кв.№2</t>
  </si>
  <si>
    <t>Ремонткровли</t>
  </si>
  <si>
    <t>ПО АДРЕСУ г. Заволжье, ул. Энергетиков,2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</si>
  <si>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163,5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</si>
  <si>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Ремонт крыльца</t>
  </si>
  <si>
    <t>Ремонт козырька</t>
  </si>
  <si>
    <t>ПО АДРЕСУ г. Заволжье, ул. Энергетиков,3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</si>
  <si>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87,6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</si>
  <si>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10,58 / 11,85</t>
  </si>
  <si>
    <t>2,56 / 2,97</t>
  </si>
  <si>
    <t>ПО АДРЕСУ г. Заволжье, ул. Энергетиков,5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</si>
  <si>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968,7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63,4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</si>
  <si>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квартира № 11</t>
  </si>
  <si>
    <t>11,70 / 12,34</t>
  </si>
  <si>
    <t>все другие квартиры</t>
  </si>
  <si>
    <t>11,93 / 13,52</t>
  </si>
  <si>
    <t>0,23 / 0,42</t>
  </si>
  <si>
    <t>0,14 / 0,36</t>
  </si>
  <si>
    <t>Обслуживание по эл/снабжению кв. 11</t>
  </si>
  <si>
    <t>0,73 / 0,55</t>
  </si>
  <si>
    <t>Обслуживание по эл/снабжению все другие квартиры</t>
  </si>
  <si>
    <t>0,52 / 0,55</t>
  </si>
  <si>
    <t>Обслуживание внутридомовых систем  кв. 11</t>
  </si>
  <si>
    <t>0,87 / 0,26</t>
  </si>
  <si>
    <t>Обслуживание внутридомовых систем  все другие кв.</t>
  </si>
  <si>
    <t>1,31 / 1,44</t>
  </si>
  <si>
    <t>Ремонт форточки на чердаке</t>
  </si>
  <si>
    <t>Смена стояка ХВС и кранов шар. В кв. № 17,20</t>
  </si>
  <si>
    <t>Установка крана для промывки батарей в кв.16</t>
  </si>
  <si>
    <t>Смена заглушки в 3м подъезде</t>
  </si>
  <si>
    <t>Окраска лавочки (стоимость краски)</t>
  </si>
  <si>
    <t>Установка оптоакустических светильников</t>
  </si>
  <si>
    <t>Смена выключателя в 1м подъезде</t>
  </si>
  <si>
    <t>Ремонт остекления в 3м подъезде</t>
  </si>
  <si>
    <t>Ремонт антенны</t>
  </si>
  <si>
    <t>содержание и ремонт жилья      кв. 11</t>
  </si>
  <si>
    <t>содержание и ремонт жилья      все другие квартиры</t>
  </si>
  <si>
    <t>ПО АДРЕСУ г. Заволжье, ул. Кржижановского,2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</si>
  <si>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134,5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34,5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</si>
  <si>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8,68 / 9,72</t>
  </si>
  <si>
    <t>0,22 / 0,32</t>
  </si>
  <si>
    <t>1,04 / 1,10</t>
  </si>
  <si>
    <t xml:space="preserve">Обслуживание газового оборудования    </t>
  </si>
  <si>
    <t>0,80 / 0,85</t>
  </si>
  <si>
    <t>ПО АДРЕСУ г. Заволжье, ул. Кржижановского,3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</si>
  <si>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146,1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101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</si>
  <si>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9,40 / 10,53</t>
  </si>
  <si>
    <t>0,91 / 1,10</t>
  </si>
  <si>
    <t>Ремонт завлинки</t>
  </si>
  <si>
    <t>Ремонт завалинки</t>
  </si>
  <si>
    <t>ПО АДРЕСУ г. Заволжье, ул. Кржижановского,4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</si>
  <si>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110,3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60,5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</si>
  <si>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9,77 / 10,94</t>
  </si>
  <si>
    <t>0,95 / 1,16</t>
  </si>
  <si>
    <t>1,06 / 1,12</t>
  </si>
  <si>
    <t>ПО АДРЕСУ г. Заволжье, ул. Ковалевской,3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</si>
  <si>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102,3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</si>
  <si>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10,30 / 11,54</t>
  </si>
  <si>
    <t>10,30 / 9,56</t>
  </si>
  <si>
    <t>0,87 / 1,11</t>
  </si>
  <si>
    <t xml:space="preserve">Проверка дымоходов и вент каналов   </t>
  </si>
  <si>
    <t>Обслуживание газового оборудования    кв. 1</t>
  </si>
  <si>
    <t>1,67 / 1,77</t>
  </si>
  <si>
    <t>ПО АДРЕСУ г. Заволжье, ул. Ковалевской,6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</si>
  <si>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94,7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</si>
  <si>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 xml:space="preserve">содержание и ремонт жилья     кв. 1 </t>
  </si>
  <si>
    <t>9,41 / 10,54</t>
  </si>
  <si>
    <t xml:space="preserve">содержание и ремонт жилья     кв. 2 </t>
  </si>
  <si>
    <t>9,41 / 10,07</t>
  </si>
  <si>
    <t>0,22 / 0,36</t>
  </si>
  <si>
    <t xml:space="preserve">Обслуживание газового оборудования     </t>
  </si>
  <si>
    <t>ешение думы города Заволжье № 200 от 30.11.2010г.                         №22 от 16.05.2013</t>
  </si>
  <si>
    <t>ПО АДРЕСУ г. Заволжье, ул. Овражная,2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</si>
  <si>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99,7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52,1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</si>
  <si>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12,74 / 14,27</t>
  </si>
  <si>
    <t>3,54 / 4,08</t>
  </si>
  <si>
    <t>0,20 / ,21</t>
  </si>
  <si>
    <t>1,44 / 1,53</t>
  </si>
  <si>
    <t>=</t>
  </si>
  <si>
    <t>ПО АДРЕСУ г. Заволжье, ул. Овражная,3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</si>
  <si>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51,2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51,2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</si>
  <si>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8,83 / 9,98</t>
  </si>
  <si>
    <t>0,20 / 0,31</t>
  </si>
  <si>
    <t>0,40 / 0,42</t>
  </si>
  <si>
    <t>1,61 / 1,71</t>
  </si>
  <si>
    <t>ПО АДРЕСУ г. Заволжье, ул. Овражная,4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</si>
  <si>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111,1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</si>
  <si>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2,60 / 3,02</t>
  </si>
  <si>
    <t>1,14 */ 1,21</t>
  </si>
  <si>
    <t>1,29 / 1,37</t>
  </si>
  <si>
    <t>ПО АДРЕСУ г. Заволжье, ул. Овражная,5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</si>
  <si>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111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46,6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</si>
  <si>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11,45 / 12,82</t>
  </si>
  <si>
    <t>2,40 / 2,79</t>
  </si>
  <si>
    <t>ПО АДРЕСУ г. Заволжье, ул. Овражная,9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</si>
  <si>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47,1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47,1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</si>
  <si>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10,79 / 12,08</t>
  </si>
  <si>
    <t>1,28 / 1,56</t>
  </si>
  <si>
    <t>1,75 / 1,86</t>
  </si>
  <si>
    <t>ПО АДРЕСУ г. Заволжье, ул. Плотничная ,3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</si>
  <si>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84,8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84,8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</si>
  <si>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10,27 / 11,50</t>
  </si>
  <si>
    <t>1,14 / 1,39</t>
  </si>
  <si>
    <t>1,37 / 1,45</t>
  </si>
  <si>
    <t>ПО АДРЕСУ г. Заволжье, ул. Плотничная ,4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</si>
  <si>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137,6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34,8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</si>
  <si>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9,35 / 10,47</t>
  </si>
  <si>
    <t>0,81 / 0,98</t>
  </si>
  <si>
    <t>ПО АДРЕСУ г. Заволжье, ул. Северная, 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</si>
  <si>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195,9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</si>
  <si>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8,04 / 9,00</t>
  </si>
  <si>
    <t>0,32 / 0,34</t>
  </si>
  <si>
    <t>0,20 /0,21</t>
  </si>
  <si>
    <t>0,60 / 0,36</t>
  </si>
  <si>
    <t>4,53 / 4,88</t>
  </si>
  <si>
    <t>Ремонт пола</t>
  </si>
  <si>
    <t>ПО АДРЕСУ г. Заволжье, ул. Северная, 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</si>
  <si>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167,2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119,7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</si>
  <si>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11,75 / 13,16</t>
  </si>
  <si>
    <t>2,82 / 3,31</t>
  </si>
  <si>
    <t xml:space="preserve">0,14 / 0,15 </t>
  </si>
  <si>
    <t>1,12 / 1,19</t>
  </si>
  <si>
    <t>ПО АДРЕСУ г. Заволжье, ул. Северная, 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</si>
  <si>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171,2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129,5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</si>
  <si>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2,54 / 2,99</t>
  </si>
  <si>
    <t>ПО АДРЕСУ г. Заволжье, ул. Северная, 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</si>
  <si>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170,2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</si>
  <si>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11,52 / 12,90</t>
  </si>
  <si>
    <t>2,66 / 3,07</t>
  </si>
  <si>
    <t>1,10 / 1,17</t>
  </si>
  <si>
    <t>ПО АДРЕСУ г. Заволжье, ул. Северная, 7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</si>
  <si>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57,7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</si>
  <si>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10,00 / 11,20</t>
  </si>
  <si>
    <t>1,95 / 2,23</t>
  </si>
  <si>
    <t>1,43 / 1,52</t>
  </si>
  <si>
    <t>ПО АДРЕСУ г. Заволжье, ул. Северная, 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</si>
  <si>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53,5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53,5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</si>
  <si>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1,61 / 1,86</t>
  </si>
  <si>
    <t>ПО АДРЕСУ г. Заволжье, ул. Северная, 9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</si>
  <si>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53,4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53,4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</si>
  <si>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10,97 / 12,29</t>
  </si>
  <si>
    <t>2,80 3,20</t>
  </si>
  <si>
    <t>1,55 / 1,64</t>
  </si>
  <si>
    <t>ПО АДРЕСУ г. Заволжье, ул. Рабочая,2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</si>
  <si>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114,1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60,4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</si>
  <si>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содержание и ремонт жилья      кв. 1,2,4</t>
  </si>
  <si>
    <t>9,64 / 10,80</t>
  </si>
  <si>
    <t>9,64 / 9,56</t>
  </si>
  <si>
    <t>0,22 / 0,43</t>
  </si>
  <si>
    <t>1,17 / 1,24</t>
  </si>
  <si>
    <r>
      <t xml:space="preserve"> выбыл   </t>
    </r>
    <r>
      <rPr>
        <b/>
        <sz val="12"/>
        <color indexed="10"/>
        <rFont val="Arial"/>
        <family val="2"/>
      </rPr>
      <t xml:space="preserve">                                                                       </t>
    </r>
    <r>
      <rPr>
        <b/>
        <sz val="12"/>
        <rFont val="Arial"/>
        <family val="2"/>
      </rPr>
      <t xml:space="preserve">   ОТЧЕТ    </t>
    </r>
  </si>
  <si>
    <t>ПО АДРЕСУ г. Заволжье, ул. Рабочая,10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</si>
  <si>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51,3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</si>
  <si>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9,49 / 10,63</t>
  </si>
  <si>
    <t>0,35 / 0,50</t>
  </si>
  <si>
    <t>0,14 / 015</t>
  </si>
  <si>
    <t>1,03 / 1,09</t>
  </si>
  <si>
    <r>
      <t xml:space="preserve">Размер платы                            </t>
    </r>
    <r>
      <rPr>
        <sz val="10"/>
        <color indexed="60"/>
        <rFont val="Arial"/>
        <family val="2"/>
      </rPr>
      <t>до июля / с июля</t>
    </r>
  </si>
  <si>
    <t>ПО АДРЕСУ г. Заволжье, ул. Рабочая,12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</si>
  <si>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78,8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39,4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</si>
  <si>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10,26 / 11,49</t>
  </si>
  <si>
    <t>2,06 / 2,36</t>
  </si>
  <si>
    <t>Смена кранов на батарее отопления в кв.2</t>
  </si>
  <si>
    <t>ПО АДРЕСУ г. Заволжье, ул. Рабочая,14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</si>
  <si>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93,2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15,2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</si>
  <si>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10,22 / 11,45</t>
  </si>
  <si>
    <t xml:space="preserve"> 10,22 / 9,67</t>
  </si>
  <si>
    <t>10,22 / 9,20</t>
  </si>
  <si>
    <t>0,34 / 0,54</t>
  </si>
  <si>
    <t>Обслуживание внутридомовых систем  кв. 1,3</t>
  </si>
  <si>
    <t xml:space="preserve">Обслуживание газового оборудования    кв. 3 </t>
  </si>
  <si>
    <t>1,68 / 1,78</t>
  </si>
  <si>
    <t>ПО АДРЕСУ г. Заволжье, ул. Рабочая,16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</si>
  <si>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120,8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63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</si>
  <si>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10,10 / 1,31</t>
  </si>
  <si>
    <t>0,71 / 0,92</t>
  </si>
  <si>
    <t>1,19 / 1,26</t>
  </si>
  <si>
    <t>ПО АДРЕСУ г. Заволжье, ул. Рабочая,20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</si>
  <si>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105,9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40,7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</si>
  <si>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8,95 / 10,02</t>
  </si>
  <si>
    <t>8,95 / 9,81</t>
  </si>
  <si>
    <t>1,19 / 1,36</t>
  </si>
  <si>
    <t>ПО АДРЕСУ г. Заволжье, ул. Учительская 25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</si>
  <si>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130,3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</si>
  <si>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10,45 / 11,70</t>
  </si>
  <si>
    <t>10,45 / 10,15</t>
  </si>
  <si>
    <t>0,79 / 1,02</t>
  </si>
  <si>
    <t xml:space="preserve">Обслуживание газового оборудования    кв. 1,3 </t>
  </si>
  <si>
    <t>1,46 / 1,56</t>
  </si>
  <si>
    <t>ПО АДРЕСУ г. Заволжье, ул. Учительская 28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</si>
  <si>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135,3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67,2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</si>
  <si>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 xml:space="preserve">содержание и ремонт жилья </t>
  </si>
  <si>
    <t>10,28 / 12,38</t>
  </si>
  <si>
    <t>1,46 / 2,13</t>
  </si>
  <si>
    <t xml:space="preserve">теплоснабжение кв. № 2             </t>
  </si>
  <si>
    <t>0,20 / 0,68</t>
  </si>
  <si>
    <t>ПО АДРЕСУ г. Заволжье, ул. Клубная ,1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</si>
  <si>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93,1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46,16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</si>
  <si>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0,70 / 0,87</t>
  </si>
  <si>
    <t xml:space="preserve">0,14  0,15 </t>
  </si>
  <si>
    <t>0,44 / 0,47</t>
  </si>
  <si>
    <t>ПО АДРЕСУ г. Заволжье, ул. Клубная ,1а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</si>
  <si>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81,5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81,5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</si>
  <si>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9,19 / 10,29</t>
  </si>
  <si>
    <t>1,08/ /1,25</t>
  </si>
  <si>
    <t>ПО АДРЕСУ г. Заволжье, ул. Первомайская ,4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</si>
  <si>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46,6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</si>
  <si>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10,25 / 11,48</t>
  </si>
  <si>
    <t>0,68 / 0,90</t>
  </si>
  <si>
    <t>ПО АДРЕСУ г. Заволжье, ул. Первомайская ,18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</si>
  <si>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100,5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100,5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</si>
  <si>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9,70 / 10,86</t>
  </si>
  <si>
    <t>9,70 / 10,65</t>
  </si>
  <si>
    <t>0,51 / 0,68</t>
  </si>
  <si>
    <t>0,14 0,15</t>
  </si>
  <si>
    <t>ПО АДРЕСУ г. Заволжье, ул. Первомайская ,6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</si>
  <si>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87,6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41,9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</si>
  <si>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10,88 / 12,19</t>
  </si>
  <si>
    <t>2,40 / 2,77</t>
  </si>
  <si>
    <t>0,20 /,21</t>
  </si>
  <si>
    <t>ремонт завалинки</t>
  </si>
  <si>
    <t>ПО АДРЕСУ г. Заволжье, ул. Первомайская ,7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</si>
  <si>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57,7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57,7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</si>
  <si>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8,73 / 9,78</t>
  </si>
  <si>
    <t>0,88 / 1,02</t>
  </si>
  <si>
    <t>ПО АДРЕСУ г. Заволжье, ул. Первомайская ,10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</si>
  <si>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96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47,6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</si>
  <si>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1,01 / 1,25</t>
  </si>
  <si>
    <t>ПО АДРЕСУ г. Заволжье, ул. Первомайская ,11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</si>
  <si>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105,4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52,9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</si>
  <si>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8,82 / 9,88</t>
  </si>
  <si>
    <t>0,44 / 0,56</t>
  </si>
  <si>
    <t>ПО АДРЕСУ г. Заволжье, ул. Первомайская ,14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</si>
  <si>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127,1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76,5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</si>
  <si>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9,45 / 10,58</t>
  </si>
  <si>
    <t>1,18 / 1,38</t>
  </si>
  <si>
    <t>0,51 / 0,54</t>
  </si>
  <si>
    <t>ПО АДРЕСУ г. Заволжье, ул. Первомайская ,16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</si>
  <si>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54,9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</si>
  <si>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10,18 / 11,40</t>
  </si>
  <si>
    <t>0,92 / 1,15</t>
  </si>
  <si>
    <t>ПО АДРЕСУ г. Заволжье, ул. Сеченова 3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</si>
  <si>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96,8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46,6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</si>
  <si>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0,58 / 0,77</t>
  </si>
  <si>
    <t>1,46 / 1,55</t>
  </si>
  <si>
    <t>ПО АДРЕСУ г. Заволжье, ул. Сеченова 6</t>
  </si>
  <si>
    <r>
      <t xml:space="preserve">Общая площадь помещений в многоквартирном доме </t>
    </r>
    <r>
      <rPr>
        <b/>
        <sz val="12"/>
        <rFont val="Arial"/>
        <family val="2"/>
      </rPr>
      <t xml:space="preserve">100,5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</t>
    </r>
    <r>
      <rPr>
        <b/>
        <sz val="12"/>
        <rFont val="Arial"/>
        <family val="2"/>
      </rPr>
      <t xml:space="preserve">          0 </t>
    </r>
    <r>
      <rPr>
        <sz val="12"/>
        <rFont val="Arial"/>
        <family val="2"/>
      </rPr>
      <t>к</t>
    </r>
    <r>
      <rPr>
        <sz val="10"/>
        <rFont val="Arial"/>
        <family val="2"/>
      </rPr>
      <t>в. м</t>
    </r>
  </si>
  <si>
    <t>11,12 / 12,45</t>
  </si>
  <si>
    <t>1,93 / 2,27</t>
  </si>
  <si>
    <t xml:space="preserve">Расходы по содержанию жилья за год </t>
  </si>
  <si>
    <t xml:space="preserve">руб/куб.м </t>
  </si>
  <si>
    <t>Корректировка расходов по кап.ремонту. Принято на убытки ООО "ДУК" сумма по монтажу узла учета тепловой энергии</t>
  </si>
  <si>
    <t>руб/куб.м</t>
  </si>
  <si>
    <t>24 раза в год</t>
  </si>
  <si>
    <t xml:space="preserve">Расходы по содержанию жилья за год  </t>
  </si>
  <si>
    <r>
      <t>Общая площадь помещений в многоквартирном доме</t>
    </r>
    <r>
      <rPr>
        <b/>
        <sz val="12"/>
        <rFont val="Arial"/>
        <family val="2"/>
      </rPr>
      <t xml:space="preserve"> 364,26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кв. м,</t>
    </r>
    <r>
      <rPr>
        <sz val="12"/>
        <rFont val="Arial"/>
        <family val="2"/>
      </rPr>
      <t xml:space="preserve"> в том числе площадь помещений, находящихся в муниципальной собственности </t>
    </r>
    <r>
      <rPr>
        <b/>
        <sz val="12"/>
        <rFont val="Arial"/>
        <family val="2"/>
      </rPr>
      <t>145,4 кв. м</t>
    </r>
  </si>
  <si>
    <r>
      <t xml:space="preserve">Размер платы                             </t>
    </r>
    <r>
      <rPr>
        <sz val="12"/>
        <color indexed="60"/>
        <rFont val="Arial"/>
        <family val="2"/>
      </rPr>
      <t>до июля / с июля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</si>
</sst>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#,###.00"/>
  </numFmts>
  <fonts count="62"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sz val="12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7" fillId="33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164" fontId="7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64" fontId="6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11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 horizontal="left"/>
    </xf>
    <xf numFmtId="2" fontId="7" fillId="33" borderId="14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 horizontal="left"/>
    </xf>
    <xf numFmtId="2" fontId="2" fillId="0" borderId="17" xfId="0" applyNumberFormat="1" applyFont="1" applyFill="1" applyBorder="1" applyAlignment="1">
      <alignment horizontal="right"/>
    </xf>
    <xf numFmtId="2" fontId="5" fillId="0" borderId="1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2" fontId="12" fillId="0" borderId="15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5" fontId="2" fillId="0" borderId="1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5" fontId="5" fillId="0" borderId="13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165" fontId="15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wrapText="1"/>
    </xf>
    <xf numFmtId="165" fontId="0" fillId="3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2" fontId="0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0" fillId="33" borderId="18" xfId="0" applyNumberFormat="1" applyFont="1" applyFill="1" applyBorder="1" applyAlignment="1">
      <alignment horizontal="center"/>
    </xf>
    <xf numFmtId="0" fontId="16" fillId="0" borderId="18" xfId="0" applyFont="1" applyBorder="1" applyAlignment="1">
      <alignment/>
    </xf>
    <xf numFmtId="2" fontId="16" fillId="0" borderId="18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wrapText="1"/>
    </xf>
    <xf numFmtId="0" fontId="0" fillId="33" borderId="18" xfId="0" applyFont="1" applyFill="1" applyBorder="1" applyAlignment="1">
      <alignment vertical="center"/>
    </xf>
    <xf numFmtId="2" fontId="15" fillId="33" borderId="18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 vertical="center"/>
    </xf>
    <xf numFmtId="2" fontId="5" fillId="0" borderId="18" xfId="0" applyNumberFormat="1" applyFont="1" applyFill="1" applyBorder="1" applyAlignment="1">
      <alignment horizontal="right" vertical="center"/>
    </xf>
    <xf numFmtId="165" fontId="2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5" fontId="2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13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8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right"/>
    </xf>
    <xf numFmtId="165" fontId="2" fillId="0" borderId="20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4" fontId="8" fillId="33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164" fontId="6" fillId="0" borderId="12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5" fontId="1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 horizontal="right" vertical="center"/>
    </xf>
    <xf numFmtId="164" fontId="6" fillId="33" borderId="11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/>
    </xf>
    <xf numFmtId="2" fontId="6" fillId="33" borderId="11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right"/>
    </xf>
    <xf numFmtId="165" fontId="5" fillId="0" borderId="21" xfId="0" applyNumberFormat="1" applyFont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165" fontId="4" fillId="33" borderId="1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right" vertical="center"/>
    </xf>
    <xf numFmtId="165" fontId="2" fillId="0" borderId="20" xfId="0" applyNumberFormat="1" applyFont="1" applyBorder="1" applyAlignment="1">
      <alignment vertical="center"/>
    </xf>
    <xf numFmtId="165" fontId="4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7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2" fontId="5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9" fillId="33" borderId="1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5" fontId="5" fillId="0" borderId="20" xfId="0" applyNumberFormat="1" applyFont="1" applyBorder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2" fontId="7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 horizontal="left"/>
    </xf>
    <xf numFmtId="164" fontId="7" fillId="33" borderId="2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0" fontId="15" fillId="33" borderId="14" xfId="0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5" fillId="33" borderId="23" xfId="0" applyFont="1" applyFill="1" applyBorder="1" applyAlignment="1">
      <alignment horizontal="center" wrapText="1"/>
    </xf>
    <xf numFmtId="165" fontId="5" fillId="0" borderId="18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164" fontId="7" fillId="33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165" fontId="5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164" fontId="6" fillId="33" borderId="11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2" fontId="2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left" vertical="center"/>
    </xf>
    <xf numFmtId="4" fontId="21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64" fontId="7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  <xf numFmtId="2" fontId="7" fillId="33" borderId="18" xfId="0" applyNumberFormat="1" applyFont="1" applyFill="1" applyBorder="1" applyAlignment="1">
      <alignment horizontal="center"/>
    </xf>
    <xf numFmtId="164" fontId="7" fillId="33" borderId="18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 vertical="center" wrapText="1"/>
    </xf>
    <xf numFmtId="0" fontId="0" fillId="33" borderId="11" xfId="0" applyFont="1" applyFill="1" applyBorder="1" applyAlignment="1" quotePrefix="1">
      <alignment horizontal="center"/>
    </xf>
    <xf numFmtId="0" fontId="3" fillId="0" borderId="14" xfId="0" applyFont="1" applyBorder="1" applyAlignment="1">
      <alignment horizontal="left" wrapText="1"/>
    </xf>
    <xf numFmtId="0" fontId="0" fillId="33" borderId="12" xfId="0" applyFont="1" applyFill="1" applyBorder="1" applyAlignment="1" quotePrefix="1">
      <alignment horizontal="left"/>
    </xf>
    <xf numFmtId="0" fontId="0" fillId="33" borderId="11" xfId="0" applyFont="1" applyFill="1" applyBorder="1" applyAlignment="1" quotePrefix="1">
      <alignment horizontal="left"/>
    </xf>
    <xf numFmtId="0" fontId="0" fillId="33" borderId="12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2" fontId="21" fillId="33" borderId="18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right"/>
    </xf>
    <xf numFmtId="2" fontId="9" fillId="0" borderId="18" xfId="0" applyNumberFormat="1" applyFont="1" applyBorder="1" applyAlignment="1">
      <alignment/>
    </xf>
    <xf numFmtId="2" fontId="2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 quotePrefix="1">
      <alignment horizontal="center" vertical="center" wrapText="1"/>
    </xf>
    <xf numFmtId="2" fontId="21" fillId="33" borderId="18" xfId="0" applyNumberFormat="1" applyFont="1" applyFill="1" applyBorder="1" applyAlignment="1">
      <alignment horizontal="right"/>
    </xf>
    <xf numFmtId="2" fontId="5" fillId="0" borderId="18" xfId="0" applyNumberFormat="1" applyFont="1" applyBorder="1" applyAlignment="1" quotePrefix="1">
      <alignment horizontal="left"/>
    </xf>
    <xf numFmtId="2" fontId="2" fillId="0" borderId="18" xfId="0" applyNumberFormat="1" applyFont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/>
    </xf>
    <xf numFmtId="2" fontId="6" fillId="33" borderId="18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 quotePrefix="1">
      <alignment horizontal="center"/>
    </xf>
    <xf numFmtId="2" fontId="7" fillId="33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2" fontId="4" fillId="33" borderId="18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7" fillId="33" borderId="18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center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64" zoomScaleNormal="64" zoomScalePageLayoutView="0" workbookViewId="0" topLeftCell="A1">
      <selection activeCell="A1" sqref="A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8" ht="36.75" customHeight="1">
      <c r="A7" s="289" t="s">
        <v>5</v>
      </c>
      <c r="B7" s="289"/>
      <c r="C7" s="289"/>
      <c r="D7" s="289"/>
      <c r="H7" s="1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-27648.620000000003</v>
      </c>
      <c r="C15" s="13"/>
      <c r="D15" s="14"/>
    </row>
    <row r="16" spans="1:4" ht="15.75">
      <c r="A16" s="15" t="s">
        <v>16</v>
      </c>
      <c r="B16" s="12">
        <v>-16155.87</v>
      </c>
      <c r="C16" s="13"/>
      <c r="D16" s="14"/>
    </row>
    <row r="17" spans="1:4" ht="15.75">
      <c r="A17" s="15" t="s">
        <v>17</v>
      </c>
      <c r="B17" s="12">
        <v>-11492.75</v>
      </c>
      <c r="C17" s="13"/>
      <c r="D17" s="14"/>
    </row>
    <row r="18" spans="1:5" ht="25.5">
      <c r="A18" s="11" t="s">
        <v>18</v>
      </c>
      <c r="B18" s="16">
        <f>B24+B25+B20</f>
        <v>253921.15</v>
      </c>
      <c r="C18" s="13" t="s">
        <v>19</v>
      </c>
      <c r="D18" s="14" t="s">
        <v>19</v>
      </c>
      <c r="E18" s="17"/>
    </row>
    <row r="19" spans="1:4" ht="15">
      <c r="A19" s="9" t="s">
        <v>20</v>
      </c>
      <c r="B19" s="18"/>
      <c r="C19" s="13"/>
      <c r="D19" s="14"/>
    </row>
    <row r="20" spans="1:4" ht="15">
      <c r="A20" s="9" t="s">
        <v>21</v>
      </c>
      <c r="B20" s="16">
        <v>52632.48</v>
      </c>
      <c r="C20" s="13"/>
      <c r="D20" s="14"/>
    </row>
    <row r="21" spans="1:5" ht="15">
      <c r="A21" s="9" t="s">
        <v>22</v>
      </c>
      <c r="B21" s="16">
        <v>4647.14</v>
      </c>
      <c r="C21" s="19" t="s">
        <v>23</v>
      </c>
      <c r="D21" s="20"/>
      <c r="E21" s="17">
        <f>(0.8+1.43)*6*347.32</f>
        <v>4647.1416</v>
      </c>
    </row>
    <row r="22" spans="1:5" ht="15">
      <c r="A22" s="9" t="s">
        <v>24</v>
      </c>
      <c r="B22" s="16"/>
      <c r="C22" s="21" t="s">
        <v>25</v>
      </c>
      <c r="D22" s="20"/>
      <c r="E22" s="17"/>
    </row>
    <row r="23" spans="1:5" ht="15">
      <c r="A23" s="9" t="s">
        <v>26</v>
      </c>
      <c r="B23" s="16"/>
      <c r="C23" s="21" t="s">
        <v>27</v>
      </c>
      <c r="D23" s="20"/>
      <c r="E23" s="17"/>
    </row>
    <row r="24" spans="1:5" ht="15.75">
      <c r="A24" s="9" t="s">
        <v>28</v>
      </c>
      <c r="B24" s="22">
        <v>8758.08</v>
      </c>
      <c r="C24" s="23">
        <v>2.7</v>
      </c>
      <c r="D24" s="20"/>
      <c r="E24" s="17"/>
    </row>
    <row r="25" spans="1:4" ht="15">
      <c r="A25" s="9" t="s">
        <v>29</v>
      </c>
      <c r="B25" s="16">
        <f>SUM(B27:B30)</f>
        <v>192530.59</v>
      </c>
      <c r="C25" s="24" t="s">
        <v>30</v>
      </c>
      <c r="D25" s="20" t="s">
        <v>30</v>
      </c>
    </row>
    <row r="26" spans="1:4" ht="15">
      <c r="A26" s="9" t="s">
        <v>20</v>
      </c>
      <c r="B26" s="25"/>
      <c r="C26" s="24"/>
      <c r="D26" s="20"/>
    </row>
    <row r="27" spans="1:5" ht="15">
      <c r="A27" s="9" t="s">
        <v>31</v>
      </c>
      <c r="B27" s="16">
        <v>35476.82</v>
      </c>
      <c r="C27" s="26"/>
      <c r="D27" s="27" t="s">
        <v>32</v>
      </c>
      <c r="E27" s="17"/>
    </row>
    <row r="28" spans="1:5" ht="15">
      <c r="A28" s="9" t="s">
        <v>33</v>
      </c>
      <c r="B28" s="16">
        <v>40181.89</v>
      </c>
      <c r="C28" s="26"/>
      <c r="D28" s="27" t="s">
        <v>32</v>
      </c>
      <c r="E28" s="17"/>
    </row>
    <row r="29" spans="1:8" ht="15">
      <c r="A29" s="9" t="s">
        <v>34</v>
      </c>
      <c r="B29" s="16">
        <v>116871.88</v>
      </c>
      <c r="C29" s="26">
        <v>24.74</v>
      </c>
      <c r="D29" s="28"/>
      <c r="E29" s="17"/>
      <c r="H29" s="1" t="s">
        <v>6</v>
      </c>
    </row>
    <row r="30" spans="1:5" ht="15">
      <c r="A30" s="9" t="s">
        <v>35</v>
      </c>
      <c r="B30" s="25"/>
      <c r="C30" s="24"/>
      <c r="D30" s="20" t="s">
        <v>6</v>
      </c>
      <c r="E30" s="17"/>
    </row>
    <row r="31" spans="1:5" ht="25.5">
      <c r="A31" s="11" t="s">
        <v>36</v>
      </c>
      <c r="B31" s="18">
        <v>213274.12</v>
      </c>
      <c r="C31" s="13" t="s">
        <v>19</v>
      </c>
      <c r="D31" s="14" t="s">
        <v>19</v>
      </c>
      <c r="E31" s="1">
        <f>B31/B18</f>
        <v>0.8399226295249529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37</v>
      </c>
      <c r="B33" s="18"/>
      <c r="C33" s="13"/>
      <c r="D33" s="14"/>
    </row>
    <row r="34" spans="1:4" ht="15">
      <c r="A34" s="9" t="s">
        <v>38</v>
      </c>
      <c r="B34" s="18"/>
      <c r="C34" s="13">
        <v>0</v>
      </c>
      <c r="D34" s="14" t="s">
        <v>19</v>
      </c>
    </row>
    <row r="35" spans="1:4" ht="15">
      <c r="A35" s="9" t="s">
        <v>39</v>
      </c>
      <c r="B35" s="18">
        <f>B20*E31</f>
        <v>44207.211000019495</v>
      </c>
      <c r="C35" s="13"/>
      <c r="D35" s="14"/>
    </row>
    <row r="36" spans="1:4" ht="15">
      <c r="A36" s="9" t="s">
        <v>28</v>
      </c>
      <c r="B36" s="18">
        <f>B24*E31</f>
        <v>7356.109583189899</v>
      </c>
      <c r="C36" s="18" t="s">
        <v>6</v>
      </c>
      <c r="D36" s="14" t="s">
        <v>19</v>
      </c>
    </row>
    <row r="37" spans="1:4" ht="15">
      <c r="A37" s="9" t="s">
        <v>29</v>
      </c>
      <c r="B37" s="18">
        <f>SUM(B39:B41)</f>
        <v>161710.7994167906</v>
      </c>
      <c r="C37" s="13" t="s">
        <v>19</v>
      </c>
      <c r="D37" s="14" t="s">
        <v>19</v>
      </c>
    </row>
    <row r="38" spans="1:4" ht="15">
      <c r="A38" s="9" t="s">
        <v>20</v>
      </c>
      <c r="B38" s="18"/>
      <c r="C38" s="13"/>
      <c r="D38" s="14"/>
    </row>
    <row r="39" spans="1:4" ht="15">
      <c r="A39" s="9" t="s">
        <v>31</v>
      </c>
      <c r="B39" s="18">
        <f>B27*E31</f>
        <v>29797.78394158344</v>
      </c>
      <c r="C39" s="13" t="s">
        <v>19</v>
      </c>
      <c r="D39" s="14"/>
    </row>
    <row r="40" spans="1:4" ht="15">
      <c r="A40" s="9" t="s">
        <v>33</v>
      </c>
      <c r="B40" s="18">
        <f>B28*E31</f>
        <v>33749.67870808241</v>
      </c>
      <c r="C40" s="13" t="s">
        <v>19</v>
      </c>
      <c r="D40" s="14"/>
    </row>
    <row r="41" spans="1:9" ht="15">
      <c r="A41" s="9" t="s">
        <v>34</v>
      </c>
      <c r="B41" s="18">
        <f>B29*E31</f>
        <v>98163.33676712475</v>
      </c>
      <c r="C41" s="13"/>
      <c r="D41" s="14"/>
      <c r="I41" s="29"/>
    </row>
    <row r="42" spans="1:4" ht="15">
      <c r="A42" s="9" t="s">
        <v>35</v>
      </c>
      <c r="B42" s="18">
        <f>B30*94.57%</f>
        <v>0</v>
      </c>
      <c r="C42" s="13" t="s">
        <v>19</v>
      </c>
      <c r="D42" s="14"/>
    </row>
    <row r="43" spans="1:4" ht="38.25">
      <c r="A43" s="11" t="s">
        <v>40</v>
      </c>
      <c r="B43" s="18"/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29797.78394158344</v>
      </c>
      <c r="C45" s="13" t="s">
        <v>19</v>
      </c>
      <c r="D45" s="14"/>
    </row>
    <row r="46" spans="1:4" ht="15">
      <c r="A46" s="9" t="s">
        <v>33</v>
      </c>
      <c r="B46" s="18">
        <f>B40</f>
        <v>33749.67870808241</v>
      </c>
      <c r="C46" s="13" t="s">
        <v>19</v>
      </c>
      <c r="D46" s="14"/>
    </row>
    <row r="47" spans="1:4" ht="15">
      <c r="A47" s="9" t="s">
        <v>34</v>
      </c>
      <c r="B47" s="18">
        <f>B41</f>
        <v>98163.33676712475</v>
      </c>
      <c r="C47" s="13"/>
      <c r="D47" s="14"/>
    </row>
    <row r="48" spans="1:4" ht="15">
      <c r="A48" s="9" t="s">
        <v>35</v>
      </c>
      <c r="B48" s="18">
        <f>B42</f>
        <v>0</v>
      </c>
      <c r="C48" s="13" t="s">
        <v>19</v>
      </c>
      <c r="D48" s="14"/>
    </row>
    <row r="49" spans="1:5" ht="12.75">
      <c r="A49" s="4"/>
      <c r="E49" s="1" t="s">
        <v>6</v>
      </c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46</v>
      </c>
      <c r="B54" s="32" t="s">
        <v>47</v>
      </c>
      <c r="C54" s="21" t="s">
        <v>48</v>
      </c>
      <c r="D54" s="33">
        <f>(0.14+0.15)*6*347.32</f>
        <v>604.3368</v>
      </c>
      <c r="E54" s="34">
        <f>(0.14+0.15)*6*347.32</f>
        <v>604.3368</v>
      </c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 t="s">
        <v>51</v>
      </c>
      <c r="D55" s="33">
        <f>(2.1+2.23)*6*347.32</f>
        <v>9023.3736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33">
        <f>(1.2+2)*6*347.32</f>
        <v>6668.544000000001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33">
        <f>(0.2+0.21)*6*347.32</f>
        <v>854.4072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0" t="s">
        <v>58</v>
      </c>
      <c r="D58" s="33">
        <f>(0.9+0.66)*6*347.32-597.06</f>
        <v>2653.8552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59</v>
      </c>
      <c r="B59" s="39" t="s">
        <v>47</v>
      </c>
      <c r="C59" s="44" t="s">
        <v>60</v>
      </c>
      <c r="D59" s="33">
        <f>(0.69+0.73)*6*298.62</f>
        <v>2544.2424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61</v>
      </c>
      <c r="B60" s="39"/>
      <c r="C60" s="44" t="s">
        <v>62</v>
      </c>
      <c r="D60" s="33">
        <f>(0.69+0.68)*6*48.7</f>
        <v>400.3140000000001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63</v>
      </c>
      <c r="B61" s="39" t="s">
        <v>64</v>
      </c>
      <c r="C61" s="40" t="s">
        <v>65</v>
      </c>
      <c r="D61" s="33">
        <f>(1.14+1.21)*6*347.32</f>
        <v>4897.2119999999995</v>
      </c>
      <c r="E61" s="34"/>
      <c r="F61" s="41"/>
      <c r="G61" s="42"/>
      <c r="I61" s="37"/>
      <c r="J61" s="37"/>
      <c r="K61" s="37"/>
      <c r="L61" s="37"/>
      <c r="M61" s="37"/>
      <c r="N61" s="37"/>
    </row>
    <row r="62" spans="1:14" ht="15">
      <c r="A62" s="31" t="s">
        <v>66</v>
      </c>
      <c r="B62" s="39" t="s">
        <v>67</v>
      </c>
      <c r="C62" s="44">
        <v>4.88</v>
      </c>
      <c r="D62" s="33">
        <f>4.88*12*347.32</f>
        <v>20339.0592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 t="s">
        <v>6</v>
      </c>
      <c r="D63" s="49">
        <f>SUM(D54:D62)</f>
        <v>47985.3444</v>
      </c>
      <c r="E63" s="34">
        <f>D63+B21</f>
        <v>52632.4844</v>
      </c>
      <c r="F63" s="41"/>
      <c r="H63" s="50">
        <f>E63-B20</f>
        <v>0.004399999997986015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54">
        <f>D65</f>
        <v>3343.85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">
      <c r="A65" s="51" t="s">
        <v>70</v>
      </c>
      <c r="B65" s="52"/>
      <c r="C65" s="53"/>
      <c r="D65" s="55">
        <v>3343.85</v>
      </c>
      <c r="E65" s="34"/>
      <c r="F65" s="41"/>
      <c r="H65" s="50"/>
      <c r="I65" s="37"/>
      <c r="J65" s="37"/>
      <c r="K65" s="37"/>
      <c r="L65" s="37"/>
      <c r="M65" s="37"/>
      <c r="N65" s="37"/>
    </row>
    <row r="66" spans="1:14" ht="15.75">
      <c r="A66" s="56" t="s">
        <v>71</v>
      </c>
      <c r="B66" s="57"/>
      <c r="C66" s="58"/>
      <c r="D66" s="54">
        <f>D63+D64</f>
        <v>51329.1944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8" ht="13.5" customHeight="1">
      <c r="A67" s="292" t="s">
        <v>72</v>
      </c>
      <c r="B67" s="292"/>
      <c r="C67" s="292"/>
      <c r="D67" s="60">
        <v>0</v>
      </c>
      <c r="E67" s="61"/>
      <c r="H67" s="34"/>
    </row>
    <row r="68" spans="1:5" ht="25.5" customHeight="1">
      <c r="A68" s="293" t="s">
        <v>73</v>
      </c>
      <c r="B68" s="293"/>
      <c r="C68" s="293"/>
      <c r="D68" s="60">
        <f>D69+D70</f>
        <v>-17587.25</v>
      </c>
      <c r="E68" s="61"/>
    </row>
    <row r="69" spans="1:5" ht="15.75">
      <c r="A69" s="62" t="s">
        <v>74</v>
      </c>
      <c r="B69" s="63"/>
      <c r="C69" s="64"/>
      <c r="D69" s="60">
        <f>B16+B21-D64</f>
        <v>-14852.58</v>
      </c>
      <c r="E69" s="61"/>
    </row>
    <row r="70" spans="1:5" ht="15.75">
      <c r="A70" s="63" t="s">
        <v>75</v>
      </c>
      <c r="B70" s="63"/>
      <c r="C70" s="64"/>
      <c r="D70" s="60">
        <f>B17+B24-D67</f>
        <v>-2734.67</v>
      </c>
      <c r="E70" s="61"/>
    </row>
    <row r="71" spans="1:5" ht="13.5" customHeight="1">
      <c r="A71" s="294" t="s">
        <v>76</v>
      </c>
      <c r="B71" s="294"/>
      <c r="C71" s="294"/>
      <c r="D71" s="65">
        <v>220840.24</v>
      </c>
      <c r="E71" s="61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D71*B20/B18</f>
        <v>45775.50753450511</v>
      </c>
    </row>
    <row r="74" spans="1:4" ht="13.5" customHeight="1">
      <c r="A74" s="298" t="s">
        <v>28</v>
      </c>
      <c r="B74" s="298"/>
      <c r="C74" s="298"/>
      <c r="D74" s="66">
        <f>D71*B24/B18</f>
        <v>7617.075179201102</v>
      </c>
    </row>
    <row r="75" spans="1:4" ht="13.5" customHeight="1">
      <c r="A75" s="290" t="s">
        <v>29</v>
      </c>
      <c r="B75" s="290"/>
      <c r="C75" s="290"/>
      <c r="D75" s="66">
        <f>D77+D78+D79+D80+D81</f>
        <v>167447.65728629378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D71*B27/B18</f>
        <v>30854.891147258902</v>
      </c>
    </row>
    <row r="78" spans="1:4" ht="15">
      <c r="A78" s="290" t="s">
        <v>33</v>
      </c>
      <c r="B78" s="290"/>
      <c r="C78" s="290"/>
      <c r="D78" s="66">
        <f>D71*B28/B18</f>
        <v>34946.98346811047</v>
      </c>
    </row>
    <row r="79" spans="1:4" ht="15" customHeight="1">
      <c r="A79" s="290" t="s">
        <v>34</v>
      </c>
      <c r="B79" s="290"/>
      <c r="C79" s="290"/>
      <c r="D79" s="66">
        <f>D71*B29/B18</f>
        <v>101645.78267092441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>
        <f>D71*E30</f>
        <v>0</v>
      </c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12.75" customHeight="1">
      <c r="A84" s="31" t="s">
        <v>24</v>
      </c>
      <c r="B84" s="296" t="s">
        <v>84</v>
      </c>
      <c r="C84" s="70" t="s">
        <v>25</v>
      </c>
      <c r="D84" s="67" t="s">
        <v>85</v>
      </c>
    </row>
    <row r="85" spans="1:4" ht="12.75" customHeight="1">
      <c r="A85" s="31" t="s">
        <v>26</v>
      </c>
      <c r="B85" s="296"/>
      <c r="C85" s="70" t="s">
        <v>27</v>
      </c>
      <c r="D85" s="67"/>
    </row>
    <row r="86" spans="1:4" ht="12.75">
      <c r="A86" s="31" t="s">
        <v>28</v>
      </c>
      <c r="B86" s="296"/>
      <c r="C86" s="70">
        <v>2.7</v>
      </c>
      <c r="D86" s="71" t="s">
        <v>85</v>
      </c>
    </row>
    <row r="87" spans="1:4" ht="19.5" customHeight="1">
      <c r="A87" s="72" t="s">
        <v>31</v>
      </c>
      <c r="B87" s="297" t="s">
        <v>86</v>
      </c>
      <c r="C87" s="70" t="s">
        <v>87</v>
      </c>
      <c r="D87" s="71" t="s">
        <v>88</v>
      </c>
    </row>
    <row r="88" spans="1:4" ht="21" customHeight="1">
      <c r="A88" s="72" t="s">
        <v>33</v>
      </c>
      <c r="B88" s="297"/>
      <c r="C88" s="70" t="s">
        <v>89</v>
      </c>
      <c r="D88" s="71" t="s">
        <v>88</v>
      </c>
    </row>
    <row r="89" spans="1:4" ht="39.75" customHeight="1">
      <c r="A89" s="72" t="s">
        <v>34</v>
      </c>
      <c r="B89" s="73" t="s">
        <v>90</v>
      </c>
      <c r="C89" s="70" t="s">
        <v>91</v>
      </c>
      <c r="D89" s="71" t="s">
        <v>92</v>
      </c>
    </row>
    <row r="91" spans="1:3" ht="12.75">
      <c r="A91" t="s">
        <v>93</v>
      </c>
      <c r="C91" s="74" t="s">
        <v>94</v>
      </c>
    </row>
    <row r="93" ht="12.75">
      <c r="A93" t="s">
        <v>95</v>
      </c>
    </row>
  </sheetData>
  <sheetProtection selectLockedCells="1" selectUnlockedCells="1"/>
  <mergeCells count="23">
    <mergeCell ref="A80:C80"/>
    <mergeCell ref="A81:C81"/>
    <mergeCell ref="A82:D82"/>
    <mergeCell ref="B84:B86"/>
    <mergeCell ref="B87:B88"/>
    <mergeCell ref="A74:C74"/>
    <mergeCell ref="A75:C75"/>
    <mergeCell ref="A76:C76"/>
    <mergeCell ref="A77:C77"/>
    <mergeCell ref="A78:C78"/>
    <mergeCell ref="A79:C79"/>
    <mergeCell ref="A50:D51"/>
    <mergeCell ref="A67:C67"/>
    <mergeCell ref="A68:C68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171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172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10897.810000000001</v>
      </c>
      <c r="C15" s="13"/>
      <c r="D15" s="14"/>
    </row>
    <row r="16" spans="1:4" ht="15.75">
      <c r="A16" s="15" t="s">
        <v>16</v>
      </c>
      <c r="B16" s="12">
        <v>15277.92</v>
      </c>
      <c r="C16" s="13"/>
      <c r="D16" s="14"/>
    </row>
    <row r="17" spans="1:4" ht="15.75">
      <c r="A17" s="15" t="s">
        <v>17</v>
      </c>
      <c r="B17" s="12">
        <v>-4380.11</v>
      </c>
      <c r="C17" s="13"/>
      <c r="D17" s="14"/>
    </row>
    <row r="18" spans="1:5" ht="25.5">
      <c r="A18" s="11" t="s">
        <v>18</v>
      </c>
      <c r="B18" s="16">
        <f>B20+B22+B23</f>
        <v>240777.28</v>
      </c>
      <c r="C18" s="148" t="s">
        <v>19</v>
      </c>
      <c r="D18" s="14" t="s">
        <v>19</v>
      </c>
      <c r="E18" s="17"/>
    </row>
    <row r="19" spans="1:4" ht="15">
      <c r="A19" s="9" t="s">
        <v>20</v>
      </c>
      <c r="B19" s="25"/>
      <c r="C19" s="148"/>
      <c r="D19" s="14"/>
    </row>
    <row r="20" spans="1:4" ht="15">
      <c r="A20" s="9" t="s">
        <v>77</v>
      </c>
      <c r="B20" s="16">
        <v>58893.48</v>
      </c>
      <c r="C20" s="105" t="s">
        <v>173</v>
      </c>
      <c r="D20" s="14"/>
    </row>
    <row r="21" spans="1:5" ht="15">
      <c r="A21" s="9" t="s">
        <v>147</v>
      </c>
      <c r="B21" s="16">
        <v>2090.07</v>
      </c>
      <c r="C21" s="19" t="s">
        <v>174</v>
      </c>
      <c r="D21" s="20"/>
      <c r="E21" s="17">
        <f>(0.11+0.79)*6*387.05</f>
        <v>2090.07</v>
      </c>
    </row>
    <row r="22" spans="1:5" ht="15.75">
      <c r="A22" s="9" t="s">
        <v>28</v>
      </c>
      <c r="B22" s="118">
        <v>7829.52</v>
      </c>
      <c r="C22" s="119">
        <v>2.7</v>
      </c>
      <c r="D22" s="20"/>
      <c r="E22" s="17"/>
    </row>
    <row r="23" spans="1:5" ht="15.75">
      <c r="A23" s="9" t="s">
        <v>29</v>
      </c>
      <c r="B23" s="120">
        <f>B25+B26+B27</f>
        <v>174054.28</v>
      </c>
      <c r="C23" s="21" t="s">
        <v>19</v>
      </c>
      <c r="D23" s="20"/>
      <c r="E23" s="17"/>
    </row>
    <row r="24" spans="1:4" ht="15">
      <c r="A24" s="9" t="s">
        <v>20</v>
      </c>
      <c r="B24" s="25"/>
      <c r="C24" s="152"/>
      <c r="D24" s="20" t="s">
        <v>30</v>
      </c>
    </row>
    <row r="25" spans="1:4" ht="15">
      <c r="A25" s="9" t="s">
        <v>31</v>
      </c>
      <c r="B25" s="16">
        <v>20359.99</v>
      </c>
      <c r="C25" s="152" t="s">
        <v>19</v>
      </c>
      <c r="D25" s="20"/>
    </row>
    <row r="26" spans="1:5" ht="15">
      <c r="A26" s="9" t="s">
        <v>33</v>
      </c>
      <c r="B26" s="16">
        <v>23453.44</v>
      </c>
      <c r="C26" s="152" t="s">
        <v>19</v>
      </c>
      <c r="D26" s="27" t="s">
        <v>32</v>
      </c>
      <c r="E26" s="17"/>
    </row>
    <row r="27" spans="1:5" ht="15">
      <c r="A27" s="9" t="s">
        <v>34</v>
      </c>
      <c r="B27" s="16">
        <v>130240.85</v>
      </c>
      <c r="C27" s="152"/>
      <c r="D27" s="27" t="s">
        <v>32</v>
      </c>
      <c r="E27" s="17"/>
    </row>
    <row r="28" spans="1:5" ht="15">
      <c r="A28" s="9" t="s">
        <v>35</v>
      </c>
      <c r="B28" s="25"/>
      <c r="C28" s="152" t="s">
        <v>19</v>
      </c>
      <c r="D28" s="28"/>
      <c r="E28" s="17"/>
    </row>
    <row r="29" spans="1:5" ht="25.5">
      <c r="A29" s="11" t="s">
        <v>36</v>
      </c>
      <c r="B29" s="18">
        <v>190354.62</v>
      </c>
      <c r="C29" s="13" t="s">
        <v>19</v>
      </c>
      <c r="D29" s="14" t="s">
        <v>19</v>
      </c>
      <c r="E29" s="1">
        <f>B29/B18</f>
        <v>0.7905838125590587</v>
      </c>
    </row>
    <row r="30" spans="1:4" ht="15">
      <c r="A30" s="9" t="s">
        <v>77</v>
      </c>
      <c r="B30" s="18">
        <f>B20*E29</f>
        <v>46560.231953270675</v>
      </c>
      <c r="C30" s="13"/>
      <c r="D30" s="14"/>
    </row>
    <row r="31" spans="1:4" ht="15">
      <c r="A31" s="9" t="s">
        <v>28</v>
      </c>
      <c r="B31" s="18">
        <f>B22*E29</f>
        <v>6189.891772107402</v>
      </c>
      <c r="C31" s="18" t="s">
        <v>6</v>
      </c>
      <c r="D31" s="14" t="s">
        <v>19</v>
      </c>
    </row>
    <row r="32" spans="1:4" ht="15">
      <c r="A32" s="9" t="s">
        <v>29</v>
      </c>
      <c r="B32" s="18">
        <f>B34+B35+B36</f>
        <v>137604.49627462192</v>
      </c>
      <c r="C32" s="13" t="s">
        <v>19</v>
      </c>
      <c r="D32" s="14" t="s">
        <v>19</v>
      </c>
    </row>
    <row r="33" spans="1:4" ht="15">
      <c r="A33" s="9" t="s">
        <v>20</v>
      </c>
      <c r="B33" s="18"/>
      <c r="C33" s="13"/>
      <c r="D33" s="14"/>
    </row>
    <row r="34" spans="1:4" ht="15">
      <c r="A34" s="9" t="s">
        <v>31</v>
      </c>
      <c r="B34" s="18">
        <f>B25*E29</f>
        <v>16096.278517864312</v>
      </c>
      <c r="C34" s="13" t="s">
        <v>19</v>
      </c>
      <c r="D34" s="14"/>
    </row>
    <row r="35" spans="1:4" ht="15">
      <c r="A35" s="9" t="s">
        <v>33</v>
      </c>
      <c r="B35" s="18">
        <f>B26*E29</f>
        <v>18541.91001282513</v>
      </c>
      <c r="C35" s="13" t="s">
        <v>19</v>
      </c>
      <c r="D35" s="14"/>
    </row>
    <row r="36" spans="1:4" ht="15">
      <c r="A36" s="9" t="s">
        <v>34</v>
      </c>
      <c r="B36" s="18">
        <f>B27*E29</f>
        <v>102966.30774393248</v>
      </c>
      <c r="C36" s="13"/>
      <c r="D36" s="14"/>
    </row>
    <row r="37" spans="1:4" ht="15">
      <c r="A37" s="9" t="s">
        <v>35</v>
      </c>
      <c r="B37" s="18">
        <v>0</v>
      </c>
      <c r="C37" s="13"/>
      <c r="D37" s="14"/>
    </row>
    <row r="38" spans="1:4" ht="15">
      <c r="A38" s="9"/>
      <c r="B38" s="18"/>
      <c r="C38" s="13"/>
      <c r="D38" s="14"/>
    </row>
    <row r="39" spans="1:4" ht="38.25">
      <c r="A39" s="11" t="s">
        <v>40</v>
      </c>
      <c r="B39" s="18">
        <f>B41+B42+B43+B44</f>
        <v>137604.49627462192</v>
      </c>
      <c r="C39" s="13" t="s">
        <v>19</v>
      </c>
      <c r="D39" s="14" t="s">
        <v>19</v>
      </c>
    </row>
    <row r="40" spans="1:4" ht="15">
      <c r="A40" s="9" t="s">
        <v>20</v>
      </c>
      <c r="B40" s="18"/>
      <c r="C40" s="13"/>
      <c r="D40" s="14"/>
    </row>
    <row r="41" spans="1:4" ht="15">
      <c r="A41" s="9" t="s">
        <v>31</v>
      </c>
      <c r="B41" s="18">
        <f>B34</f>
        <v>16096.278517864312</v>
      </c>
      <c r="C41" s="13"/>
      <c r="D41" s="14"/>
    </row>
    <row r="42" spans="1:4" ht="15">
      <c r="A42" s="9" t="s">
        <v>33</v>
      </c>
      <c r="B42" s="18">
        <f>B35</f>
        <v>18541.91001282513</v>
      </c>
      <c r="C42" s="13"/>
      <c r="D42" s="14"/>
    </row>
    <row r="43" spans="1:4" ht="15">
      <c r="A43" s="9" t="s">
        <v>34</v>
      </c>
      <c r="B43" s="18">
        <f>B36</f>
        <v>102966.30774393248</v>
      </c>
      <c r="C43" s="13"/>
      <c r="D43" s="14"/>
    </row>
    <row r="44" spans="1:4" ht="15">
      <c r="A44" s="9" t="s">
        <v>35</v>
      </c>
      <c r="B44" s="18">
        <v>0</v>
      </c>
      <c r="C44" s="13" t="s">
        <v>19</v>
      </c>
      <c r="D44" s="14"/>
    </row>
    <row r="45" spans="1:8" ht="12.75">
      <c r="A45" s="4"/>
      <c r="H45" s="1" t="s">
        <v>6</v>
      </c>
    </row>
    <row r="46" spans="1:10" ht="13.5" customHeight="1">
      <c r="A46" s="291" t="s">
        <v>41</v>
      </c>
      <c r="B46" s="291"/>
      <c r="C46" s="291"/>
      <c r="D46" s="291"/>
      <c r="I46" s="30"/>
      <c r="J46" s="30"/>
    </row>
    <row r="47" spans="1:10" ht="9" customHeight="1">
      <c r="A47" s="291"/>
      <c r="B47" s="291"/>
      <c r="C47" s="291"/>
      <c r="D47" s="291"/>
      <c r="I47" s="4"/>
      <c r="J47" s="4"/>
    </row>
    <row r="48" spans="1:10" ht="12.75">
      <c r="A48" s="4"/>
      <c r="C48" s="6" t="s">
        <v>10</v>
      </c>
      <c r="I48" s="4"/>
      <c r="J48" s="4"/>
    </row>
    <row r="49" spans="1:14" ht="66.75" customHeight="1">
      <c r="A49" s="8" t="s">
        <v>42</v>
      </c>
      <c r="B49" s="8" t="s">
        <v>43</v>
      </c>
      <c r="C49" s="8" t="s">
        <v>44</v>
      </c>
      <c r="D49" s="248" t="s">
        <v>715</v>
      </c>
      <c r="I49" s="3"/>
      <c r="J49" s="3"/>
      <c r="K49" s="3"/>
      <c r="L49" s="3"/>
      <c r="M49" s="3"/>
      <c r="N49" s="3"/>
    </row>
    <row r="50" spans="1:14" ht="15">
      <c r="A50" s="31" t="s">
        <v>112</v>
      </c>
      <c r="B50" s="32" t="s">
        <v>47</v>
      </c>
      <c r="C50" s="21" t="s">
        <v>48</v>
      </c>
      <c r="D50" s="33">
        <f>(0.14+0.15)*6*387.05</f>
        <v>673.4670000000001</v>
      </c>
      <c r="E50" s="34"/>
      <c r="F50" s="35"/>
      <c r="G50" s="36"/>
      <c r="I50" s="37"/>
      <c r="J50" s="37"/>
      <c r="K50" s="37"/>
      <c r="L50" s="37"/>
      <c r="M50" s="37"/>
      <c r="N50" s="37"/>
    </row>
    <row r="51" spans="1:14" ht="15">
      <c r="A51" s="31" t="s">
        <v>49</v>
      </c>
      <c r="B51" s="32" t="s">
        <v>50</v>
      </c>
      <c r="C51" s="156" t="s">
        <v>51</v>
      </c>
      <c r="D51" s="33">
        <f>(2.1+2.23)*6*387.05</f>
        <v>10055.559000000001</v>
      </c>
      <c r="E51" s="34"/>
      <c r="F51" s="35"/>
      <c r="G51" s="36"/>
      <c r="I51" s="37"/>
      <c r="J51" s="37"/>
      <c r="K51" s="37"/>
      <c r="L51" s="37"/>
      <c r="M51" s="37"/>
      <c r="N51" s="37"/>
    </row>
    <row r="52" spans="1:14" ht="15">
      <c r="A52" s="31" t="s">
        <v>52</v>
      </c>
      <c r="B52" s="32" t="s">
        <v>50</v>
      </c>
      <c r="C52" s="156" t="s">
        <v>53</v>
      </c>
      <c r="D52" s="33">
        <f>(1.2+2)*6*387.05</f>
        <v>7431.3600000000015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54</v>
      </c>
      <c r="B53" s="32" t="s">
        <v>47</v>
      </c>
      <c r="C53" s="38" t="s">
        <v>55</v>
      </c>
      <c r="D53" s="33">
        <f>(0.2+0.21)*6*387.05</f>
        <v>952.143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56</v>
      </c>
      <c r="B54" s="251" t="s">
        <v>47</v>
      </c>
      <c r="C54" s="44" t="s">
        <v>175</v>
      </c>
      <c r="D54" s="33">
        <f>(0.96+0.64)*6*387.05-836.04-0.04</f>
        <v>2879.600000000001</v>
      </c>
      <c r="E54" s="34"/>
      <c r="F54" s="41"/>
      <c r="G54" s="42"/>
      <c r="H54" s="43"/>
      <c r="I54" s="37"/>
      <c r="J54" s="37"/>
      <c r="K54" s="37"/>
      <c r="L54" s="37"/>
      <c r="M54" s="37"/>
      <c r="N54" s="37"/>
    </row>
    <row r="55" spans="1:14" ht="15">
      <c r="A55" s="31" t="s">
        <v>115</v>
      </c>
      <c r="B55" s="39" t="s">
        <v>47</v>
      </c>
      <c r="C55" s="44" t="s">
        <v>60</v>
      </c>
      <c r="D55" s="33">
        <f>(0.69+0.73)*6*387.05</f>
        <v>3297.6659999999997</v>
      </c>
      <c r="E55" s="34"/>
      <c r="F55" s="41"/>
      <c r="G55" s="42"/>
      <c r="I55" s="37"/>
      <c r="J55" s="37"/>
      <c r="K55" s="37"/>
      <c r="L55" s="37"/>
      <c r="M55" s="37"/>
      <c r="N55" s="37"/>
    </row>
    <row r="56" spans="1:14" ht="15">
      <c r="A56" s="31" t="s">
        <v>63</v>
      </c>
      <c r="B56" s="39" t="s">
        <v>64</v>
      </c>
      <c r="C56" s="40" t="s">
        <v>65</v>
      </c>
      <c r="D56" s="33">
        <f>(1.14+1.21)*6*387.05</f>
        <v>5457.405</v>
      </c>
      <c r="E56" s="34"/>
      <c r="F56" s="41"/>
      <c r="G56" s="42"/>
      <c r="I56" s="37"/>
      <c r="J56" s="37"/>
      <c r="K56" s="37"/>
      <c r="L56" s="37"/>
      <c r="M56" s="37"/>
      <c r="N56" s="37"/>
    </row>
    <row r="57" spans="1:14" ht="15">
      <c r="A57" s="31" t="s">
        <v>66</v>
      </c>
      <c r="B57" s="39" t="s">
        <v>67</v>
      </c>
      <c r="C57" s="40">
        <v>4.88</v>
      </c>
      <c r="D57" s="33">
        <f>4.88*12*387.05</f>
        <v>22665.648</v>
      </c>
      <c r="E57" s="34"/>
      <c r="F57" s="41"/>
      <c r="H57" s="45"/>
      <c r="I57" s="37"/>
      <c r="J57" s="37"/>
      <c r="K57" s="37"/>
      <c r="L57" s="37"/>
      <c r="M57" s="37"/>
      <c r="N57" s="37"/>
    </row>
    <row r="58" spans="1:14" ht="15">
      <c r="A58" s="31" t="s">
        <v>102</v>
      </c>
      <c r="B58" s="162"/>
      <c r="C58" s="40" t="s">
        <v>176</v>
      </c>
      <c r="D58" s="33">
        <f>(0.71+0.75)*6*387.05</f>
        <v>3390.558</v>
      </c>
      <c r="E58" s="34"/>
      <c r="F58" s="41"/>
      <c r="H58" s="45"/>
      <c r="I58" s="37"/>
      <c r="J58" s="37"/>
      <c r="K58" s="37"/>
      <c r="L58" s="37"/>
      <c r="M58" s="37"/>
      <c r="N58" s="37"/>
    </row>
    <row r="59" spans="1:14" ht="15">
      <c r="A59" s="46" t="s">
        <v>68</v>
      </c>
      <c r="B59" s="47"/>
      <c r="C59" s="48"/>
      <c r="D59" s="49">
        <f>SUM(D50:D58)</f>
        <v>56803.406</v>
      </c>
      <c r="E59" s="34">
        <f>D59+B21</f>
        <v>58893.476</v>
      </c>
      <c r="F59" s="41"/>
      <c r="H59" s="50">
        <f>E59-B20</f>
        <v>-0.004000000000814907</v>
      </c>
      <c r="I59" s="37"/>
      <c r="J59" s="37"/>
      <c r="K59" s="37"/>
      <c r="L59" s="37"/>
      <c r="M59" s="37"/>
      <c r="N59" s="37"/>
    </row>
    <row r="60" spans="1:14" ht="15.75">
      <c r="A60" s="51" t="s">
        <v>69</v>
      </c>
      <c r="B60" s="52"/>
      <c r="C60" s="53"/>
      <c r="D60" s="164">
        <f>D61+D62</f>
        <v>5679.4</v>
      </c>
      <c r="E60" s="34"/>
      <c r="F60" s="41"/>
      <c r="H60" s="50"/>
      <c r="I60" s="37"/>
      <c r="J60" s="37"/>
      <c r="K60" s="37"/>
      <c r="L60" s="37"/>
      <c r="M60" s="37"/>
      <c r="N60" s="37"/>
    </row>
    <row r="61" spans="1:14" ht="15.75">
      <c r="A61" s="51" t="s">
        <v>177</v>
      </c>
      <c r="B61" s="52"/>
      <c r="C61" s="53"/>
      <c r="D61" s="164">
        <v>306.4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 t="s">
        <v>178</v>
      </c>
      <c r="B62" s="52"/>
      <c r="C62" s="53"/>
      <c r="D62" s="164">
        <v>5373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164">
        <f>D59+D60</f>
        <v>62482.806000000004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65">
        <f>D65</f>
        <v>0</v>
      </c>
      <c r="E64" s="61"/>
      <c r="H64" s="34">
        <f>347.32*12</f>
        <v>4167.84</v>
      </c>
    </row>
    <row r="65" spans="1:8" ht="13.5" customHeight="1">
      <c r="A65" s="145"/>
      <c r="B65" s="145"/>
      <c r="C65" s="146"/>
      <c r="D65" s="165">
        <v>0</v>
      </c>
      <c r="E65" s="61"/>
      <c r="H65" s="34"/>
    </row>
    <row r="66" spans="1:5" ht="25.5" customHeight="1">
      <c r="A66" s="291" t="s">
        <v>73</v>
      </c>
      <c r="B66" s="291"/>
      <c r="C66" s="291"/>
      <c r="D66" s="165">
        <f>D67+D68</f>
        <v>15138.000000000004</v>
      </c>
      <c r="E66" s="61"/>
    </row>
    <row r="67" spans="1:5" ht="15.75">
      <c r="A67" s="78" t="s">
        <v>74</v>
      </c>
      <c r="B67" s="114"/>
      <c r="C67" s="115"/>
      <c r="D67" s="165">
        <f>B16+B21-D60</f>
        <v>11688.590000000002</v>
      </c>
      <c r="E67" s="61"/>
    </row>
    <row r="68" spans="1:5" ht="15.75">
      <c r="A68" s="114" t="s">
        <v>75</v>
      </c>
      <c r="B68" s="114"/>
      <c r="C68" s="115"/>
      <c r="D68" s="165">
        <f>B17+B22-D64</f>
        <v>3449.4100000000008</v>
      </c>
      <c r="E68" s="61"/>
    </row>
    <row r="69" spans="1:5" ht="13.5" customHeight="1">
      <c r="A69" s="294" t="s">
        <v>76</v>
      </c>
      <c r="B69" s="294"/>
      <c r="C69" s="294"/>
      <c r="D69" s="125">
        <v>223406.3</v>
      </c>
      <c r="E69" s="61"/>
    </row>
    <row r="70" spans="1:4" ht="15">
      <c r="A70" s="290" t="s">
        <v>20</v>
      </c>
      <c r="B70" s="290"/>
      <c r="C70" s="290"/>
      <c r="D70" s="126"/>
    </row>
    <row r="71" spans="1:4" ht="13.5" customHeight="1">
      <c r="A71" s="290" t="s">
        <v>77</v>
      </c>
      <c r="B71" s="290"/>
      <c r="C71" s="290"/>
      <c r="D71" s="126">
        <f>D69*B20/B18</f>
        <v>54644.58465900105</v>
      </c>
    </row>
    <row r="72" spans="1:4" ht="13.5" customHeight="1">
      <c r="A72" s="290" t="s">
        <v>28</v>
      </c>
      <c r="B72" s="290"/>
      <c r="C72" s="290"/>
      <c r="D72" s="126">
        <f>D69*B22/B18</f>
        <v>7264.6559259079595</v>
      </c>
    </row>
    <row r="73" spans="1:4" ht="13.5" customHeight="1">
      <c r="A73" s="290" t="s">
        <v>29</v>
      </c>
      <c r="B73" s="290"/>
      <c r="C73" s="290"/>
      <c r="D73" s="126">
        <f>SUM(D75:D77)</f>
        <v>161497.05941509097</v>
      </c>
    </row>
    <row r="74" spans="1:4" ht="15">
      <c r="A74" s="290" t="s">
        <v>20</v>
      </c>
      <c r="B74" s="290"/>
      <c r="C74" s="290"/>
      <c r="D74" s="126"/>
    </row>
    <row r="75" spans="1:4" ht="13.5" customHeight="1">
      <c r="A75" s="290" t="s">
        <v>31</v>
      </c>
      <c r="B75" s="290"/>
      <c r="C75" s="290"/>
      <c r="D75" s="126">
        <f>D69*B25/B18</f>
        <v>18891.10980046373</v>
      </c>
    </row>
    <row r="76" spans="1:4" ht="15">
      <c r="A76" s="290" t="s">
        <v>33</v>
      </c>
      <c r="B76" s="290"/>
      <c r="C76" s="290"/>
      <c r="D76" s="126">
        <f>D69*B26/B18</f>
        <v>21761.381525167155</v>
      </c>
    </row>
    <row r="77" spans="1:4" ht="15" customHeight="1">
      <c r="A77" s="290" t="s">
        <v>34</v>
      </c>
      <c r="B77" s="290"/>
      <c r="C77" s="290"/>
      <c r="D77" s="126">
        <f>D69*B27/B18</f>
        <v>120844.5680894601</v>
      </c>
    </row>
    <row r="78" spans="1:4" ht="15">
      <c r="A78" s="290" t="s">
        <v>78</v>
      </c>
      <c r="B78" s="290"/>
      <c r="C78" s="290"/>
      <c r="D78" s="126"/>
    </row>
    <row r="79" spans="1:4" ht="15" customHeight="1">
      <c r="A79" s="290" t="s">
        <v>35</v>
      </c>
      <c r="B79" s="290"/>
      <c r="C79" s="290"/>
      <c r="D79" s="12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18.75" customHeight="1">
      <c r="A82" s="31" t="s">
        <v>77</v>
      </c>
      <c r="B82" s="296" t="s">
        <v>84</v>
      </c>
      <c r="C82" s="166" t="s">
        <v>173</v>
      </c>
      <c r="D82" s="67" t="s">
        <v>85</v>
      </c>
    </row>
    <row r="83" spans="1:4" ht="22.5" customHeight="1">
      <c r="A83" s="31" t="s">
        <v>28</v>
      </c>
      <c r="B83" s="296"/>
      <c r="C83" s="70">
        <v>2.7</v>
      </c>
      <c r="D83" s="71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31" t="s">
        <v>33</v>
      </c>
      <c r="B85" s="297"/>
      <c r="C85" s="70" t="s">
        <v>89</v>
      </c>
      <c r="D85" s="249" t="s">
        <v>716</v>
      </c>
    </row>
    <row r="86" spans="1:4" ht="39.75" customHeight="1">
      <c r="A86" s="31" t="s">
        <v>34</v>
      </c>
      <c r="B86" s="73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8:C78"/>
    <mergeCell ref="A79:C79"/>
    <mergeCell ref="A80:D80"/>
    <mergeCell ref="B82:B83"/>
    <mergeCell ref="B84:B85"/>
    <mergeCell ref="A72:C72"/>
    <mergeCell ref="A73:C73"/>
    <mergeCell ref="A74:C74"/>
    <mergeCell ref="A75:C75"/>
    <mergeCell ref="A76:C76"/>
    <mergeCell ref="A77:C77"/>
    <mergeCell ref="A46:D47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A1" sqref="A1:D92"/>
    </sheetView>
  </sheetViews>
  <sheetFormatPr defaultColWidth="9.140625" defaultRowHeight="12.75"/>
  <cols>
    <col min="1" max="1" width="48.140625" style="0" customWidth="1"/>
    <col min="2" max="2" width="24.140625" style="167" customWidth="1"/>
    <col min="3" max="3" width="25.00390625" style="167" customWidth="1"/>
    <col min="4" max="4" width="29.28125" style="167" customWidth="1"/>
    <col min="5" max="5" width="11.00390625" style="1" customWidth="1"/>
    <col min="6" max="6" width="9.140625" style="1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5.75">
      <c r="A4" s="287" t="s">
        <v>179</v>
      </c>
      <c r="B4" s="287"/>
      <c r="C4" s="287"/>
      <c r="D4" s="287"/>
    </row>
    <row r="5" spans="1:4" ht="15.75">
      <c r="A5" s="287" t="s">
        <v>4</v>
      </c>
      <c r="B5" s="287"/>
      <c r="C5" s="287"/>
      <c r="D5" s="287"/>
    </row>
    <row r="6" spans="1:4" ht="27.75" customHeight="1">
      <c r="A6" s="254"/>
      <c r="B6" s="255"/>
      <c r="C6" s="255"/>
      <c r="D6" s="255"/>
    </row>
    <row r="7" spans="1:4" ht="57.75" customHeight="1">
      <c r="A7" s="305" t="s">
        <v>721</v>
      </c>
      <c r="B7" s="305"/>
      <c r="C7" s="305"/>
      <c r="D7" s="305"/>
    </row>
    <row r="8" spans="1:4" ht="15">
      <c r="A8" s="254" t="s">
        <v>7</v>
      </c>
      <c r="B8" s="255"/>
      <c r="C8" s="255"/>
      <c r="D8" s="255"/>
    </row>
    <row r="9" spans="1:4" ht="15">
      <c r="A9" s="254" t="s">
        <v>8</v>
      </c>
      <c r="B9" s="255"/>
      <c r="C9" s="255"/>
      <c r="D9" s="255"/>
    </row>
    <row r="10" spans="1:4" ht="15">
      <c r="A10" s="254"/>
      <c r="B10" s="255"/>
      <c r="C10" s="255"/>
      <c r="D10" s="255"/>
    </row>
    <row r="11" spans="1:4" ht="15.75">
      <c r="A11" s="5" t="s">
        <v>9</v>
      </c>
      <c r="B11" s="255"/>
      <c r="C11" s="255"/>
      <c r="D11" s="255"/>
    </row>
    <row r="12" spans="1:4" ht="15">
      <c r="A12" s="254"/>
      <c r="B12" s="255"/>
      <c r="C12" s="256" t="s">
        <v>10</v>
      </c>
      <c r="D12" s="255"/>
    </row>
    <row r="13" spans="1:6" ht="38.25" customHeight="1">
      <c r="A13" s="257" t="s">
        <v>11</v>
      </c>
      <c r="B13" s="258" t="s">
        <v>12</v>
      </c>
      <c r="C13" s="259" t="s">
        <v>13</v>
      </c>
      <c r="D13" s="259"/>
      <c r="F13" s="1" t="s">
        <v>6</v>
      </c>
    </row>
    <row r="14" spans="1:4" ht="15">
      <c r="A14" s="257">
        <v>1</v>
      </c>
      <c r="B14" s="260">
        <v>2</v>
      </c>
      <c r="C14" s="260">
        <v>3</v>
      </c>
      <c r="D14" s="260">
        <v>4</v>
      </c>
    </row>
    <row r="15" spans="1:4" ht="38.25" customHeight="1">
      <c r="A15" s="261" t="s">
        <v>15</v>
      </c>
      <c r="B15" s="262">
        <f>B16+B17</f>
        <v>-14415.25</v>
      </c>
      <c r="C15" s="263"/>
      <c r="D15" s="263"/>
    </row>
    <row r="16" spans="1:4" ht="15">
      <c r="A16" s="264" t="s">
        <v>16</v>
      </c>
      <c r="B16" s="262">
        <v>-2412.51</v>
      </c>
      <c r="C16" s="263"/>
      <c r="D16" s="263"/>
    </row>
    <row r="17" spans="1:4" ht="15">
      <c r="A17" s="264" t="s">
        <v>17</v>
      </c>
      <c r="B17" s="262">
        <v>-12002.74</v>
      </c>
      <c r="C17" s="263"/>
      <c r="D17" s="263"/>
    </row>
    <row r="18" spans="1:4" ht="24.75" customHeight="1">
      <c r="A18" s="265" t="s">
        <v>18</v>
      </c>
      <c r="B18" s="266">
        <f>B20+B22+B23</f>
        <v>225943.17</v>
      </c>
      <c r="C18" s="266" t="s">
        <v>19</v>
      </c>
      <c r="D18" s="263" t="s">
        <v>19</v>
      </c>
    </row>
    <row r="19" spans="1:4" ht="15">
      <c r="A19" s="264" t="s">
        <v>20</v>
      </c>
      <c r="B19" s="266"/>
      <c r="C19" s="266"/>
      <c r="D19" s="263"/>
    </row>
    <row r="20" spans="1:4" ht="15">
      <c r="A20" s="264" t="s">
        <v>77</v>
      </c>
      <c r="B20" s="266">
        <v>57460.26</v>
      </c>
      <c r="C20" s="266" t="s">
        <v>180</v>
      </c>
      <c r="D20" s="263"/>
    </row>
    <row r="21" spans="1:5" ht="15">
      <c r="A21" s="264" t="s">
        <v>147</v>
      </c>
      <c r="B21" s="266">
        <v>3715.45</v>
      </c>
      <c r="C21" s="266" t="s">
        <v>181</v>
      </c>
      <c r="D21" s="263"/>
      <c r="E21" s="1">
        <f>(0.55+1.15)*6*364.26</f>
        <v>3715.4519999999998</v>
      </c>
    </row>
    <row r="22" spans="1:4" ht="15.75">
      <c r="A22" s="264" t="s">
        <v>28</v>
      </c>
      <c r="B22" s="267">
        <v>5555.28</v>
      </c>
      <c r="C22" s="266">
        <v>2.7</v>
      </c>
      <c r="D22" s="263"/>
    </row>
    <row r="23" spans="1:4" ht="15">
      <c r="A23" s="264" t="s">
        <v>29</v>
      </c>
      <c r="B23" s="266">
        <f>B25+B26+B27</f>
        <v>162927.63</v>
      </c>
      <c r="C23" s="266" t="s">
        <v>19</v>
      </c>
      <c r="D23" s="263"/>
    </row>
    <row r="24" spans="1:4" ht="15">
      <c r="A24" s="264" t="s">
        <v>20</v>
      </c>
      <c r="B24" s="266"/>
      <c r="C24" s="266"/>
      <c r="D24" s="263" t="s">
        <v>30</v>
      </c>
    </row>
    <row r="25" spans="1:4" ht="15">
      <c r="A25" s="264" t="s">
        <v>31</v>
      </c>
      <c r="B25" s="266">
        <v>18753.1</v>
      </c>
      <c r="C25" s="266" t="s">
        <v>19</v>
      </c>
      <c r="D25" s="263"/>
    </row>
    <row r="26" spans="1:4" ht="15">
      <c r="A26" s="264" t="s">
        <v>33</v>
      </c>
      <c r="B26" s="266">
        <v>21602.43</v>
      </c>
      <c r="C26" s="266" t="s">
        <v>19</v>
      </c>
      <c r="D26" s="268" t="s">
        <v>32</v>
      </c>
    </row>
    <row r="27" spans="1:4" ht="15">
      <c r="A27" s="264" t="s">
        <v>34</v>
      </c>
      <c r="B27" s="266">
        <v>122572.1</v>
      </c>
      <c r="C27" s="266"/>
      <c r="D27" s="268" t="s">
        <v>32</v>
      </c>
    </row>
    <row r="28" spans="1:4" ht="15">
      <c r="A28" s="264" t="s">
        <v>35</v>
      </c>
      <c r="B28" s="266"/>
      <c r="C28" s="266" t="s">
        <v>19</v>
      </c>
      <c r="D28" s="263"/>
    </row>
    <row r="29" spans="1:5" ht="25.5" customHeight="1">
      <c r="A29" s="265" t="s">
        <v>36</v>
      </c>
      <c r="B29" s="269">
        <v>221052.1</v>
      </c>
      <c r="C29" s="263" t="s">
        <v>19</v>
      </c>
      <c r="D29" s="263" t="s">
        <v>19</v>
      </c>
      <c r="E29" s="1">
        <f>B29/B18</f>
        <v>0.978352653899651</v>
      </c>
    </row>
    <row r="30" spans="1:4" ht="15">
      <c r="A30" s="264" t="s">
        <v>77</v>
      </c>
      <c r="B30" s="263">
        <f>B20*E29</f>
        <v>56216.39786476396</v>
      </c>
      <c r="C30" s="263"/>
      <c r="D30" s="263"/>
    </row>
    <row r="31" spans="1:4" ht="15">
      <c r="A31" s="264" t="s">
        <v>28</v>
      </c>
      <c r="B31" s="263">
        <f>B22*E29</f>
        <v>5435.022931155653</v>
      </c>
      <c r="C31" s="263" t="s">
        <v>6</v>
      </c>
      <c r="D31" s="263" t="s">
        <v>19</v>
      </c>
    </row>
    <row r="32" spans="1:4" ht="15">
      <c r="A32" s="264" t="s">
        <v>29</v>
      </c>
      <c r="B32" s="263">
        <f>SUM(B34:B37)</f>
        <v>159400.6792040804</v>
      </c>
      <c r="C32" s="263" t="s">
        <v>19</v>
      </c>
      <c r="D32" s="263" t="s">
        <v>19</v>
      </c>
    </row>
    <row r="33" spans="1:4" ht="15">
      <c r="A33" s="264" t="s">
        <v>20</v>
      </c>
      <c r="B33" s="263"/>
      <c r="C33" s="263"/>
      <c r="D33" s="263"/>
    </row>
    <row r="34" spans="1:4" ht="15">
      <c r="A34" s="264" t="s">
        <v>31</v>
      </c>
      <c r="B34" s="263">
        <f>B25*E29</f>
        <v>18347.145153845544</v>
      </c>
      <c r="C34" s="263" t="s">
        <v>19</v>
      </c>
      <c r="D34" s="263"/>
    </row>
    <row r="35" spans="1:4" ht="15">
      <c r="A35" s="264" t="s">
        <v>33</v>
      </c>
      <c r="B35" s="263">
        <f>B26*E29</f>
        <v>21134.79472118144</v>
      </c>
      <c r="C35" s="263" t="s">
        <v>19</v>
      </c>
      <c r="D35" s="263"/>
    </row>
    <row r="36" spans="1:4" ht="15">
      <c r="A36" s="264" t="s">
        <v>34</v>
      </c>
      <c r="B36" s="263">
        <f>B27*E29</f>
        <v>119918.73932905341</v>
      </c>
      <c r="C36" s="263"/>
      <c r="D36" s="263"/>
    </row>
    <row r="37" spans="1:4" ht="15">
      <c r="A37" s="264" t="s">
        <v>35</v>
      </c>
      <c r="B37" s="263">
        <v>0</v>
      </c>
      <c r="C37" s="263"/>
      <c r="D37" s="263"/>
    </row>
    <row r="38" spans="1:4" ht="15">
      <c r="A38" s="264"/>
      <c r="B38" s="263"/>
      <c r="C38" s="263"/>
      <c r="D38" s="263"/>
    </row>
    <row r="39" spans="1:4" ht="38.25" customHeight="1">
      <c r="A39" s="265" t="s">
        <v>40</v>
      </c>
      <c r="B39" s="269">
        <f>SUM(B41:B44)</f>
        <v>159400.6792040804</v>
      </c>
      <c r="C39" s="263" t="s">
        <v>19</v>
      </c>
      <c r="D39" s="263" t="s">
        <v>19</v>
      </c>
    </row>
    <row r="40" spans="1:4" ht="15">
      <c r="A40" s="264" t="s">
        <v>20</v>
      </c>
      <c r="B40" s="263"/>
      <c r="C40" s="263"/>
      <c r="D40" s="263"/>
    </row>
    <row r="41" spans="1:4" ht="15">
      <c r="A41" s="264" t="s">
        <v>31</v>
      </c>
      <c r="B41" s="263">
        <f>B34</f>
        <v>18347.145153845544</v>
      </c>
      <c r="C41" s="263"/>
      <c r="D41" s="263"/>
    </row>
    <row r="42" spans="1:4" ht="15">
      <c r="A42" s="264" t="s">
        <v>33</v>
      </c>
      <c r="B42" s="263">
        <f>B35</f>
        <v>21134.79472118144</v>
      </c>
      <c r="C42" s="263"/>
      <c r="D42" s="263"/>
    </row>
    <row r="43" spans="1:4" ht="15">
      <c r="A43" s="264" t="s">
        <v>34</v>
      </c>
      <c r="B43" s="263">
        <f>B36</f>
        <v>119918.73932905341</v>
      </c>
      <c r="C43" s="263"/>
      <c r="D43" s="263"/>
    </row>
    <row r="44" spans="1:4" ht="15">
      <c r="A44" s="264" t="s">
        <v>35</v>
      </c>
      <c r="B44" s="263">
        <v>0</v>
      </c>
      <c r="C44" s="263" t="s">
        <v>19</v>
      </c>
      <c r="D44" s="263"/>
    </row>
    <row r="45" spans="1:4" ht="15">
      <c r="A45" s="264"/>
      <c r="B45" s="263"/>
      <c r="C45" s="263"/>
      <c r="D45" s="263"/>
    </row>
    <row r="46" spans="1:4" ht="15.75">
      <c r="A46" s="270" t="s">
        <v>41</v>
      </c>
      <c r="B46" s="263"/>
      <c r="C46" s="263"/>
      <c r="D46" s="263"/>
    </row>
    <row r="47" spans="1:4" ht="15">
      <c r="A47" s="264"/>
      <c r="B47" s="263"/>
      <c r="C47" s="263"/>
      <c r="D47" s="263"/>
    </row>
    <row r="48" spans="1:4" ht="15">
      <c r="A48" s="264"/>
      <c r="B48" s="263"/>
      <c r="C48" s="271" t="s">
        <v>10</v>
      </c>
      <c r="D48" s="263"/>
    </row>
    <row r="49" spans="1:4" ht="60" customHeight="1">
      <c r="A49" s="272" t="s">
        <v>42</v>
      </c>
      <c r="B49" s="259" t="s">
        <v>43</v>
      </c>
      <c r="C49" s="259" t="s">
        <v>44</v>
      </c>
      <c r="D49" s="273" t="s">
        <v>45</v>
      </c>
    </row>
    <row r="50" spans="1:4" ht="15">
      <c r="A50" s="264" t="s">
        <v>112</v>
      </c>
      <c r="B50" s="263" t="s">
        <v>47</v>
      </c>
      <c r="C50" s="266" t="s">
        <v>48</v>
      </c>
      <c r="D50" s="274">
        <f>(0.14+0.15)*6*364.26</f>
        <v>633.8124</v>
      </c>
    </row>
    <row r="51" spans="1:4" ht="15">
      <c r="A51" s="264" t="s">
        <v>49</v>
      </c>
      <c r="B51" s="263" t="s">
        <v>50</v>
      </c>
      <c r="C51" s="266" t="s">
        <v>51</v>
      </c>
      <c r="D51" s="274">
        <f>(2.1+2.23)*6*364.26</f>
        <v>9463.4748</v>
      </c>
    </row>
    <row r="52" spans="1:4" ht="15">
      <c r="A52" s="264" t="s">
        <v>52</v>
      </c>
      <c r="B52" s="263" t="s">
        <v>50</v>
      </c>
      <c r="C52" s="266" t="s">
        <v>53</v>
      </c>
      <c r="D52" s="274">
        <f>(1.2+2)*6*364.26</f>
        <v>6993.792000000001</v>
      </c>
    </row>
    <row r="53" spans="1:4" ht="15">
      <c r="A53" s="264" t="s">
        <v>54</v>
      </c>
      <c r="B53" s="263" t="s">
        <v>47</v>
      </c>
      <c r="C53" s="266" t="s">
        <v>55</v>
      </c>
      <c r="D53" s="274">
        <f>(0.2+0.21)*6*364.26</f>
        <v>896.0795999999999</v>
      </c>
    </row>
    <row r="54" spans="1:4" ht="15">
      <c r="A54" s="264" t="s">
        <v>56</v>
      </c>
      <c r="B54" s="275" t="s">
        <v>47</v>
      </c>
      <c r="C54" s="266" t="s">
        <v>182</v>
      </c>
      <c r="D54" s="274">
        <f>(0.86+0.65)*6*364.26-544.44-0.06</f>
        <v>2755.6956</v>
      </c>
    </row>
    <row r="55" spans="1:4" ht="15">
      <c r="A55" s="264" t="s">
        <v>115</v>
      </c>
      <c r="B55" s="263" t="s">
        <v>47</v>
      </c>
      <c r="C55" s="266" t="s">
        <v>60</v>
      </c>
      <c r="D55" s="274">
        <f>(0.69+0.73)*6*364.26</f>
        <v>3103.4952</v>
      </c>
    </row>
    <row r="56" spans="1:4" ht="15">
      <c r="A56" s="264" t="s">
        <v>63</v>
      </c>
      <c r="B56" s="263" t="s">
        <v>64</v>
      </c>
      <c r="C56" s="266" t="s">
        <v>65</v>
      </c>
      <c r="D56" s="274">
        <f>(1.14+1.21)*6*364.26</f>
        <v>5136.065999999999</v>
      </c>
    </row>
    <row r="57" spans="1:4" ht="15">
      <c r="A57" s="264" t="s">
        <v>66</v>
      </c>
      <c r="B57" s="263" t="s">
        <v>67</v>
      </c>
      <c r="C57" s="266">
        <v>4.88</v>
      </c>
      <c r="D57" s="274">
        <f>4.88*12*364.26</f>
        <v>21331.0656</v>
      </c>
    </row>
    <row r="58" spans="1:4" ht="15">
      <c r="A58" s="264" t="s">
        <v>102</v>
      </c>
      <c r="B58" s="263"/>
      <c r="C58" s="266" t="s">
        <v>183</v>
      </c>
      <c r="D58" s="274">
        <f>(0.76+0.81)*6*364.26</f>
        <v>3431.3291999999997</v>
      </c>
    </row>
    <row r="59" spans="1:6" ht="15">
      <c r="A59" s="264" t="s">
        <v>68</v>
      </c>
      <c r="B59" s="263"/>
      <c r="C59" s="266"/>
      <c r="D59" s="274">
        <f>SUM(D50:D58)</f>
        <v>53744.8104</v>
      </c>
      <c r="E59" s="1">
        <f>D59+B21</f>
        <v>57460.2604</v>
      </c>
      <c r="F59" s="1">
        <f>E59-B20</f>
        <v>0.0003999999971711077</v>
      </c>
    </row>
    <row r="60" spans="1:4" ht="15.75">
      <c r="A60" s="264" t="s">
        <v>69</v>
      </c>
      <c r="B60" s="263"/>
      <c r="C60" s="263"/>
      <c r="D60" s="276">
        <f>D61+D62+D63</f>
        <v>28303.89</v>
      </c>
    </row>
    <row r="61" spans="1:4" ht="15.75">
      <c r="A61" s="191" t="s">
        <v>184</v>
      </c>
      <c r="B61" s="263"/>
      <c r="C61" s="263"/>
      <c r="D61" s="276">
        <v>23471.3</v>
      </c>
    </row>
    <row r="62" spans="1:4" ht="15.75">
      <c r="A62" s="191" t="s">
        <v>185</v>
      </c>
      <c r="B62" s="263"/>
      <c r="C62" s="263"/>
      <c r="D62" s="276">
        <v>3637.53</v>
      </c>
    </row>
    <row r="63" spans="1:4" ht="15.75">
      <c r="A63" s="264" t="s">
        <v>186</v>
      </c>
      <c r="B63" s="263"/>
      <c r="C63" s="263"/>
      <c r="D63" s="276">
        <v>1195.06</v>
      </c>
    </row>
    <row r="64" spans="1:4" ht="15.75">
      <c r="A64" s="270" t="s">
        <v>71</v>
      </c>
      <c r="B64" s="263"/>
      <c r="C64" s="263"/>
      <c r="D64" s="276">
        <v>62482.806000000004</v>
      </c>
    </row>
    <row r="65" spans="1:4" ht="15.75">
      <c r="A65" s="270" t="s">
        <v>72</v>
      </c>
      <c r="B65" s="263"/>
      <c r="C65" s="263"/>
      <c r="D65" s="276">
        <f>D66</f>
        <v>0</v>
      </c>
    </row>
    <row r="66" spans="1:4" ht="15">
      <c r="A66" s="264"/>
      <c r="B66" s="263"/>
      <c r="C66" s="263"/>
      <c r="D66" s="263">
        <v>0</v>
      </c>
    </row>
    <row r="67" spans="1:4" ht="15.75">
      <c r="A67" s="270" t="s">
        <v>73</v>
      </c>
      <c r="B67" s="263"/>
      <c r="C67" s="263"/>
      <c r="D67" s="276">
        <f>D68+D69</f>
        <v>-33448.41</v>
      </c>
    </row>
    <row r="68" spans="1:4" ht="15.75">
      <c r="A68" s="264" t="s">
        <v>74</v>
      </c>
      <c r="B68" s="263"/>
      <c r="C68" s="263"/>
      <c r="D68" s="276">
        <f>B16+B21-D60</f>
        <v>-27000.95</v>
      </c>
    </row>
    <row r="69" spans="1:4" ht="15.75">
      <c r="A69" s="264" t="s">
        <v>75</v>
      </c>
      <c r="B69" s="263"/>
      <c r="C69" s="263"/>
      <c r="D69" s="276">
        <f>B17+B22-D65</f>
        <v>-6447.46</v>
      </c>
    </row>
    <row r="70" spans="1:4" ht="15.75">
      <c r="A70" s="270" t="s">
        <v>76</v>
      </c>
      <c r="B70" s="263"/>
      <c r="C70" s="263"/>
      <c r="D70" s="263">
        <v>0</v>
      </c>
    </row>
    <row r="71" spans="1:4" ht="15">
      <c r="A71" s="264" t="s">
        <v>20</v>
      </c>
      <c r="B71" s="263"/>
      <c r="C71" s="263"/>
      <c r="D71" s="263"/>
    </row>
    <row r="72" spans="1:4" ht="15">
      <c r="A72" s="264" t="s">
        <v>77</v>
      </c>
      <c r="B72" s="263"/>
      <c r="C72" s="263"/>
      <c r="D72" s="263">
        <f>D70*B20/B18</f>
        <v>0</v>
      </c>
    </row>
    <row r="73" spans="1:4" ht="15">
      <c r="A73" s="264" t="s">
        <v>28</v>
      </c>
      <c r="B73" s="263"/>
      <c r="C73" s="263"/>
      <c r="D73" s="263">
        <f>D70*B22/B18</f>
        <v>0</v>
      </c>
    </row>
    <row r="74" spans="1:4" ht="15">
      <c r="A74" s="264" t="s">
        <v>29</v>
      </c>
      <c r="B74" s="263"/>
      <c r="C74" s="263"/>
      <c r="D74" s="263">
        <v>0</v>
      </c>
    </row>
    <row r="75" spans="1:4" ht="15">
      <c r="A75" s="264" t="s">
        <v>20</v>
      </c>
      <c r="B75" s="263"/>
      <c r="C75" s="263"/>
      <c r="D75" s="263"/>
    </row>
    <row r="76" spans="1:4" ht="15">
      <c r="A76" s="264" t="s">
        <v>31</v>
      </c>
      <c r="B76" s="263"/>
      <c r="C76" s="263"/>
      <c r="D76" s="263">
        <v>0</v>
      </c>
    </row>
    <row r="77" spans="1:4" ht="15">
      <c r="A77" s="264" t="s">
        <v>33</v>
      </c>
      <c r="B77" s="263"/>
      <c r="C77" s="263"/>
      <c r="D77" s="263">
        <v>0</v>
      </c>
    </row>
    <row r="78" spans="1:4" ht="15">
      <c r="A78" s="264" t="s">
        <v>34</v>
      </c>
      <c r="B78" s="263"/>
      <c r="C78" s="263"/>
      <c r="D78" s="263">
        <v>0</v>
      </c>
    </row>
    <row r="79" spans="1:4" ht="15">
      <c r="A79" s="264" t="s">
        <v>78</v>
      </c>
      <c r="B79" s="263"/>
      <c r="C79" s="263"/>
      <c r="D79" s="263"/>
    </row>
    <row r="80" spans="1:4" ht="15">
      <c r="A80" s="264" t="s">
        <v>35</v>
      </c>
      <c r="B80" s="263"/>
      <c r="C80" s="263"/>
      <c r="D80" s="263">
        <v>0</v>
      </c>
    </row>
    <row r="81" spans="1:4" ht="15.75">
      <c r="A81" s="270" t="s">
        <v>79</v>
      </c>
      <c r="B81" s="263"/>
      <c r="C81" s="263"/>
      <c r="D81" s="263"/>
    </row>
    <row r="82" spans="1:4" ht="54" customHeight="1">
      <c r="A82" s="277" t="s">
        <v>80</v>
      </c>
      <c r="B82" s="278" t="s">
        <v>81</v>
      </c>
      <c r="C82" s="278" t="s">
        <v>722</v>
      </c>
      <c r="D82" s="277" t="s">
        <v>83</v>
      </c>
    </row>
    <row r="83" spans="1:4" ht="32.25" customHeight="1">
      <c r="A83" s="279" t="s">
        <v>77</v>
      </c>
      <c r="B83" s="303" t="s">
        <v>84</v>
      </c>
      <c r="C83" s="280" t="s">
        <v>187</v>
      </c>
      <c r="D83" s="277" t="s">
        <v>85</v>
      </c>
    </row>
    <row r="84" spans="1:4" ht="19.5" customHeight="1">
      <c r="A84" s="279" t="s">
        <v>28</v>
      </c>
      <c r="B84" s="303"/>
      <c r="C84" s="243">
        <v>2.7</v>
      </c>
      <c r="D84" s="281" t="s">
        <v>85</v>
      </c>
    </row>
    <row r="85" spans="1:4" ht="17.25" customHeight="1">
      <c r="A85" s="279" t="s">
        <v>31</v>
      </c>
      <c r="B85" s="304" t="s">
        <v>86</v>
      </c>
      <c r="C85" s="243" t="s">
        <v>87</v>
      </c>
      <c r="D85" s="283" t="s">
        <v>716</v>
      </c>
    </row>
    <row r="86" spans="1:4" ht="17.25" customHeight="1">
      <c r="A86" s="279" t="s">
        <v>33</v>
      </c>
      <c r="B86" s="304"/>
      <c r="C86" s="243" t="s">
        <v>89</v>
      </c>
      <c r="D86" s="283" t="s">
        <v>716</v>
      </c>
    </row>
    <row r="87" spans="1:4" ht="34.5" customHeight="1">
      <c r="A87" s="279" t="s">
        <v>34</v>
      </c>
      <c r="B87" s="282" t="s">
        <v>90</v>
      </c>
      <c r="C87" s="284" t="s">
        <v>91</v>
      </c>
      <c r="D87" s="281" t="s">
        <v>92</v>
      </c>
    </row>
    <row r="88" spans="1:4" ht="15">
      <c r="A88" s="285"/>
      <c r="B88" s="286"/>
      <c r="C88" s="286"/>
      <c r="D88" s="286"/>
    </row>
    <row r="89" spans="1:4" ht="15">
      <c r="A89" s="254" t="s">
        <v>93</v>
      </c>
      <c r="B89" s="255"/>
      <c r="C89" s="255"/>
      <c r="D89" s="255"/>
    </row>
    <row r="90" spans="1:4" ht="15">
      <c r="A90" s="254"/>
      <c r="B90" s="255"/>
      <c r="C90" s="255"/>
      <c r="D90" s="255"/>
    </row>
    <row r="91" spans="1:4" ht="15">
      <c r="A91" s="254" t="s">
        <v>95</v>
      </c>
      <c r="B91" s="255"/>
      <c r="C91" s="255"/>
      <c r="D91" s="255"/>
    </row>
    <row r="92" spans="1:4" ht="15">
      <c r="A92" s="254"/>
      <c r="B92" s="255"/>
      <c r="C92" s="255"/>
      <c r="D92" s="255"/>
    </row>
  </sheetData>
  <sheetProtection selectLockedCells="1" selectUnlockedCells="1"/>
  <mergeCells count="8">
    <mergeCell ref="B83:B84"/>
    <mergeCell ref="B85:B86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5118055555555555" footer="0.5118055555555555"/>
  <pageSetup fitToHeight="2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58">
      <selection activeCell="D87" sqref="D87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188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189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spans="1:5" ht="15.75">
      <c r="A11" s="5" t="s">
        <v>9</v>
      </c>
      <c r="E11" s="141"/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23275.67</v>
      </c>
      <c r="C15" s="13"/>
      <c r="D15" s="14"/>
    </row>
    <row r="16" spans="1:4" ht="15.75">
      <c r="A16" s="15" t="s">
        <v>16</v>
      </c>
      <c r="B16" s="12">
        <v>9580.19</v>
      </c>
      <c r="C16" s="13"/>
      <c r="D16" s="14"/>
    </row>
    <row r="17" spans="1:4" ht="15.75">
      <c r="A17" s="15" t="s">
        <v>17</v>
      </c>
      <c r="B17" s="12">
        <v>13695.48</v>
      </c>
      <c r="C17" s="13"/>
      <c r="D17" s="14"/>
    </row>
    <row r="18" spans="1:5" ht="25.5">
      <c r="A18" s="11" t="s">
        <v>18</v>
      </c>
      <c r="B18" s="16">
        <f>B20+B22+B23+B24</f>
        <v>287314.76</v>
      </c>
      <c r="C18" s="148" t="s">
        <v>19</v>
      </c>
      <c r="D18" s="14" t="s">
        <v>19</v>
      </c>
      <c r="E18" s="17"/>
    </row>
    <row r="19" spans="1:4" ht="15">
      <c r="A19" s="9" t="s">
        <v>20</v>
      </c>
      <c r="B19" s="16"/>
      <c r="C19" s="148"/>
      <c r="D19" s="14"/>
    </row>
    <row r="20" spans="1:5" ht="15">
      <c r="A20" s="9" t="s">
        <v>77</v>
      </c>
      <c r="B20" s="16">
        <v>74394.06</v>
      </c>
      <c r="C20" s="105" t="s">
        <v>190</v>
      </c>
      <c r="D20" s="14"/>
      <c r="E20" s="1">
        <f>12.11*489.5</f>
        <v>5927.844999999999</v>
      </c>
    </row>
    <row r="21" spans="1:5" ht="15">
      <c r="A21" s="9" t="s">
        <v>147</v>
      </c>
      <c r="B21" s="16">
        <v>3847.47</v>
      </c>
      <c r="C21" s="21" t="s">
        <v>191</v>
      </c>
      <c r="D21" s="20"/>
      <c r="E21" s="17">
        <f>(0.35+0.96)*6*489.5</f>
        <v>3847.4700000000003</v>
      </c>
    </row>
    <row r="22" spans="1:5" ht="15.75">
      <c r="A22" s="9" t="s">
        <v>167</v>
      </c>
      <c r="B22" s="120">
        <v>854.4</v>
      </c>
      <c r="C22" s="107"/>
      <c r="D22" s="20"/>
      <c r="E22" s="17"/>
    </row>
    <row r="23" spans="1:5" ht="15.75">
      <c r="A23" s="9" t="s">
        <v>28</v>
      </c>
      <c r="B23" s="118">
        <v>0</v>
      </c>
      <c r="C23" s="168">
        <v>0</v>
      </c>
      <c r="D23" s="20"/>
      <c r="E23" s="17"/>
    </row>
    <row r="24" spans="1:4" ht="15">
      <c r="A24" s="9" t="s">
        <v>29</v>
      </c>
      <c r="B24" s="16">
        <f>B26+B27+B28</f>
        <v>212066.3</v>
      </c>
      <c r="C24" s="152" t="s">
        <v>19</v>
      </c>
      <c r="D24" s="20" t="s">
        <v>30</v>
      </c>
    </row>
    <row r="25" spans="1:4" ht="15">
      <c r="A25" s="9" t="s">
        <v>20</v>
      </c>
      <c r="B25" s="16"/>
      <c r="C25" s="152"/>
      <c r="D25" s="20"/>
    </row>
    <row r="26" spans="1:5" ht="15">
      <c r="A26" s="9" t="s">
        <v>31</v>
      </c>
      <c r="B26" s="16">
        <v>22004.19</v>
      </c>
      <c r="C26" s="152" t="s">
        <v>19</v>
      </c>
      <c r="D26" s="27" t="s">
        <v>32</v>
      </c>
      <c r="E26" s="17"/>
    </row>
    <row r="27" spans="1:5" ht="15">
      <c r="A27" s="9" t="s">
        <v>33</v>
      </c>
      <c r="B27" s="16">
        <v>25347.24</v>
      </c>
      <c r="C27" s="152" t="s">
        <v>19</v>
      </c>
      <c r="D27" s="27" t="s">
        <v>32</v>
      </c>
      <c r="E27" s="17"/>
    </row>
    <row r="28" spans="1:5" ht="15">
      <c r="A28" s="9" t="s">
        <v>34</v>
      </c>
      <c r="B28" s="16">
        <v>164714.87</v>
      </c>
      <c r="C28" s="152"/>
      <c r="D28" s="28"/>
      <c r="E28" s="17"/>
    </row>
    <row r="29" spans="1:5" ht="15">
      <c r="A29" s="9" t="s">
        <v>35</v>
      </c>
      <c r="B29" s="25"/>
      <c r="C29" s="152" t="s">
        <v>19</v>
      </c>
      <c r="D29" s="28"/>
      <c r="E29" s="17"/>
    </row>
    <row r="30" spans="1:5" ht="25.5">
      <c r="A30" s="11" t="s">
        <v>36</v>
      </c>
      <c r="B30" s="18">
        <v>289644.9</v>
      </c>
      <c r="C30" s="13" t="s">
        <v>19</v>
      </c>
      <c r="D30" s="14" t="s">
        <v>19</v>
      </c>
      <c r="E30" s="1">
        <f>B30/B18</f>
        <v>1.0081100602001791</v>
      </c>
    </row>
    <row r="31" spans="1:4" ht="15">
      <c r="A31" s="9" t="s">
        <v>77</v>
      </c>
      <c r="B31" s="18">
        <f>B20*E30</f>
        <v>74997.40030513573</v>
      </c>
      <c r="C31" s="13"/>
      <c r="D31" s="14"/>
    </row>
    <row r="32" spans="1:4" ht="15">
      <c r="A32" s="9" t="s">
        <v>28</v>
      </c>
      <c r="B32" s="18">
        <f>B23*E30</f>
        <v>0</v>
      </c>
      <c r="C32" s="18" t="s">
        <v>6</v>
      </c>
      <c r="D32" s="14" t="s">
        <v>19</v>
      </c>
    </row>
    <row r="33" spans="1:4" ht="15">
      <c r="A33" s="9" t="s">
        <v>29</v>
      </c>
      <c r="B33" s="18">
        <f>B35+B36+B37</f>
        <v>213786.17045942924</v>
      </c>
      <c r="C33" s="13" t="s">
        <v>19</v>
      </c>
      <c r="D33" s="14" t="s">
        <v>19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31</v>
      </c>
      <c r="B35" s="18">
        <f>B26*E30</f>
        <v>22182.64530555618</v>
      </c>
      <c r="C35" s="13" t="s">
        <v>19</v>
      </c>
      <c r="D35" s="14"/>
    </row>
    <row r="36" spans="1:4" ht="15">
      <c r="A36" s="9" t="s">
        <v>33</v>
      </c>
      <c r="B36" s="18">
        <f>B27*E30</f>
        <v>25552.80764230839</v>
      </c>
      <c r="C36" s="13" t="s">
        <v>19</v>
      </c>
      <c r="D36" s="14"/>
    </row>
    <row r="37" spans="1:4" ht="15">
      <c r="A37" s="9" t="s">
        <v>34</v>
      </c>
      <c r="B37" s="18">
        <f>B28*E30</f>
        <v>166050.71751156467</v>
      </c>
      <c r="C37" s="13"/>
      <c r="D37" s="14"/>
    </row>
    <row r="38" spans="1:4" ht="15">
      <c r="A38" s="9" t="s">
        <v>35</v>
      </c>
      <c r="B38" s="18">
        <v>0</v>
      </c>
      <c r="C38" s="13"/>
      <c r="D38" s="14"/>
    </row>
    <row r="39" spans="1:4" ht="15">
      <c r="A39" s="9"/>
      <c r="B39" s="18"/>
      <c r="C39" s="13"/>
      <c r="D39" s="14"/>
    </row>
    <row r="40" spans="1:4" ht="38.25">
      <c r="A40" s="11" t="s">
        <v>40</v>
      </c>
      <c r="B40" s="18">
        <f>B42+B43+B44</f>
        <v>213786.17045942924</v>
      </c>
      <c r="C40" s="13" t="s">
        <v>19</v>
      </c>
      <c r="D40" s="14" t="s">
        <v>19</v>
      </c>
    </row>
    <row r="41" spans="1:4" ht="15">
      <c r="A41" s="9" t="s">
        <v>20</v>
      </c>
      <c r="B41" s="18"/>
      <c r="C41" s="13"/>
      <c r="D41" s="14"/>
    </row>
    <row r="42" spans="1:4" ht="15">
      <c r="A42" s="9" t="s">
        <v>31</v>
      </c>
      <c r="B42" s="18">
        <f>B35</f>
        <v>22182.64530555618</v>
      </c>
      <c r="C42" s="13"/>
      <c r="D42" s="14"/>
    </row>
    <row r="43" spans="1:4" ht="15">
      <c r="A43" s="9" t="s">
        <v>33</v>
      </c>
      <c r="B43" s="18">
        <f>B36</f>
        <v>25552.80764230839</v>
      </c>
      <c r="C43" s="13"/>
      <c r="D43" s="14"/>
    </row>
    <row r="44" spans="1:4" ht="15">
      <c r="A44" s="9" t="s">
        <v>34</v>
      </c>
      <c r="B44" s="18">
        <f>B37</f>
        <v>166050.71751156467</v>
      </c>
      <c r="C44" s="13"/>
      <c r="D44" s="14"/>
    </row>
    <row r="45" spans="1:4" ht="15">
      <c r="A45" s="9" t="s">
        <v>35</v>
      </c>
      <c r="B45" s="18">
        <v>0</v>
      </c>
      <c r="C45" s="13" t="s">
        <v>19</v>
      </c>
      <c r="D45" s="14"/>
    </row>
    <row r="46" ht="12.75">
      <c r="A46" s="4"/>
    </row>
    <row r="47" spans="1:10" ht="13.5" customHeight="1">
      <c r="A47" s="291" t="s">
        <v>41</v>
      </c>
      <c r="B47" s="291"/>
      <c r="C47" s="291"/>
      <c r="D47" s="291"/>
      <c r="I47" s="141"/>
      <c r="J47" s="30"/>
    </row>
    <row r="48" spans="1:10" ht="9" customHeight="1">
      <c r="A48" s="291"/>
      <c r="B48" s="291"/>
      <c r="C48" s="291"/>
      <c r="D48" s="291"/>
      <c r="J48" s="4"/>
    </row>
    <row r="49" spans="1:10" ht="12.75">
      <c r="A49" s="4"/>
      <c r="C49" s="6" t="s">
        <v>10</v>
      </c>
      <c r="J49" s="4"/>
    </row>
    <row r="50" spans="1:14" ht="66.75" customHeight="1">
      <c r="A50" s="8" t="s">
        <v>42</v>
      </c>
      <c r="B50" s="8" t="s">
        <v>43</v>
      </c>
      <c r="C50" s="8" t="s">
        <v>44</v>
      </c>
      <c r="D50" s="248" t="s">
        <v>715</v>
      </c>
      <c r="I50" s="142"/>
      <c r="J50" s="3"/>
      <c r="K50" s="3"/>
      <c r="L50" s="3"/>
      <c r="M50" s="3"/>
      <c r="N50" s="3"/>
    </row>
    <row r="51" spans="1:14" ht="15">
      <c r="A51" s="31" t="s">
        <v>112</v>
      </c>
      <c r="B51" s="32" t="s">
        <v>47</v>
      </c>
      <c r="C51" s="21" t="s">
        <v>48</v>
      </c>
      <c r="D51" s="33">
        <f>(0.14+0.15)*6*489.5</f>
        <v>851.7300000000001</v>
      </c>
      <c r="E51" s="34"/>
      <c r="F51" s="35"/>
      <c r="G51" s="36"/>
      <c r="I51" s="45"/>
      <c r="J51" s="37"/>
      <c r="K51" s="37"/>
      <c r="L51" s="37"/>
      <c r="M51" s="37"/>
      <c r="N51" s="37"/>
    </row>
    <row r="52" spans="1:14" ht="15">
      <c r="A52" s="31" t="s">
        <v>49</v>
      </c>
      <c r="B52" s="32" t="s">
        <v>50</v>
      </c>
      <c r="C52" s="156" t="s">
        <v>51</v>
      </c>
      <c r="D52" s="33">
        <f>(2.1+2.23)*6*489.5</f>
        <v>12717.210000000001</v>
      </c>
      <c r="E52" s="34"/>
      <c r="F52" s="35"/>
      <c r="G52" s="36"/>
      <c r="I52" s="45"/>
      <c r="J52" s="37"/>
      <c r="K52" s="37"/>
      <c r="L52" s="37"/>
      <c r="M52" s="37"/>
      <c r="N52" s="37"/>
    </row>
    <row r="53" spans="1:14" ht="15">
      <c r="A53" s="31" t="s">
        <v>52</v>
      </c>
      <c r="B53" s="32" t="s">
        <v>50</v>
      </c>
      <c r="C53" s="156" t="s">
        <v>53</v>
      </c>
      <c r="D53" s="33">
        <f>(1.2+2)*6*489.5</f>
        <v>9398.400000000001</v>
      </c>
      <c r="E53" s="34"/>
      <c r="F53" s="35"/>
      <c r="G53" s="36"/>
      <c r="I53" s="45"/>
      <c r="J53" s="37"/>
      <c r="K53" s="37"/>
      <c r="L53" s="37"/>
      <c r="M53" s="37"/>
      <c r="N53" s="37"/>
    </row>
    <row r="54" spans="1:14" ht="15">
      <c r="A54" s="31" t="s">
        <v>54</v>
      </c>
      <c r="B54" s="32" t="s">
        <v>47</v>
      </c>
      <c r="C54" s="156" t="s">
        <v>55</v>
      </c>
      <c r="D54" s="33">
        <f>(0.2+0.21)*6*489.5</f>
        <v>1204.17</v>
      </c>
      <c r="E54" s="34"/>
      <c r="F54" s="35"/>
      <c r="G54" s="36"/>
      <c r="I54" s="45"/>
      <c r="J54" s="37"/>
      <c r="K54" s="37"/>
      <c r="L54" s="37"/>
      <c r="M54" s="37"/>
      <c r="N54" s="37"/>
    </row>
    <row r="55" spans="1:14" ht="15">
      <c r="A55" s="31" t="s">
        <v>56</v>
      </c>
      <c r="B55" s="251" t="s">
        <v>47</v>
      </c>
      <c r="C55" s="40" t="s">
        <v>192</v>
      </c>
      <c r="D55" s="33">
        <f>(0.91+0.6)*6*489.5-998.64-0.09</f>
        <v>3436.14</v>
      </c>
      <c r="E55" s="34"/>
      <c r="F55" s="41"/>
      <c r="G55" s="42"/>
      <c r="H55" s="43"/>
      <c r="I55" s="45"/>
      <c r="J55" s="37"/>
      <c r="K55" s="37"/>
      <c r="L55" s="37"/>
      <c r="M55" s="37"/>
      <c r="N55" s="37"/>
    </row>
    <row r="56" spans="1:14" ht="15">
      <c r="A56" s="31" t="s">
        <v>115</v>
      </c>
      <c r="B56" s="39" t="s">
        <v>47</v>
      </c>
      <c r="C56" s="40" t="s">
        <v>60</v>
      </c>
      <c r="D56" s="33">
        <f>(0.69+0.73)*6*489.5</f>
        <v>4170.54</v>
      </c>
      <c r="E56" s="34"/>
      <c r="F56" s="41"/>
      <c r="G56" s="42"/>
      <c r="I56" s="45"/>
      <c r="J56" s="37"/>
      <c r="K56" s="37"/>
      <c r="L56" s="37"/>
      <c r="M56" s="37"/>
      <c r="N56" s="37"/>
    </row>
    <row r="57" spans="1:14" ht="15">
      <c r="A57" s="31" t="s">
        <v>63</v>
      </c>
      <c r="B57" s="39" t="s">
        <v>64</v>
      </c>
      <c r="C57" s="40" t="s">
        <v>65</v>
      </c>
      <c r="D57" s="33">
        <f>(1.14+1.21)*6*489.5</f>
        <v>6901.949999999999</v>
      </c>
      <c r="E57" s="34"/>
      <c r="F57" s="41"/>
      <c r="G57" s="42"/>
      <c r="I57" s="45"/>
      <c r="J57" s="37"/>
      <c r="K57" s="37"/>
      <c r="L57" s="37"/>
      <c r="M57" s="37"/>
      <c r="N57" s="37"/>
    </row>
    <row r="58" spans="1:14" ht="15">
      <c r="A58" s="31" t="s">
        <v>66</v>
      </c>
      <c r="B58" s="39" t="s">
        <v>67</v>
      </c>
      <c r="C58" s="40">
        <v>4.88</v>
      </c>
      <c r="D58" s="33">
        <f>4.88*12*489.5</f>
        <v>28665.120000000003</v>
      </c>
      <c r="E58" s="34"/>
      <c r="F58" s="41"/>
      <c r="H58" s="45"/>
      <c r="I58" s="45"/>
      <c r="J58" s="37"/>
      <c r="K58" s="37"/>
      <c r="L58" s="37"/>
      <c r="M58" s="37"/>
      <c r="N58" s="37"/>
    </row>
    <row r="59" spans="1:14" ht="15">
      <c r="A59" s="31" t="s">
        <v>102</v>
      </c>
      <c r="B59" s="162"/>
      <c r="C59" s="40" t="s">
        <v>193</v>
      </c>
      <c r="D59" s="33">
        <f>(0.5+0.59)*6*489.5</f>
        <v>3201.3299999999995</v>
      </c>
      <c r="E59" s="34"/>
      <c r="F59" s="41"/>
      <c r="H59" s="45"/>
      <c r="I59" s="45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SUM(D51:D59)</f>
        <v>70546.59000000001</v>
      </c>
      <c r="E60" s="34">
        <f>D60+B21</f>
        <v>74394.06000000001</v>
      </c>
      <c r="F60" s="41"/>
      <c r="H60" s="50">
        <f>E60-B20</f>
        <v>0</v>
      </c>
      <c r="I60" s="45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D62+D63+D64</f>
        <v>4432.35</v>
      </c>
      <c r="E61" s="34"/>
      <c r="F61" s="41"/>
      <c r="H61" s="50"/>
      <c r="I61" s="45"/>
      <c r="J61" s="37"/>
      <c r="K61" s="37"/>
      <c r="L61" s="37"/>
      <c r="M61" s="37"/>
      <c r="N61" s="37"/>
    </row>
    <row r="62" spans="1:14" ht="15.75">
      <c r="A62" s="51" t="s">
        <v>194</v>
      </c>
      <c r="B62" s="52"/>
      <c r="C62" s="53"/>
      <c r="D62" s="54">
        <v>949.51</v>
      </c>
      <c r="E62" s="34"/>
      <c r="F62" s="41"/>
      <c r="H62" s="50"/>
      <c r="I62" s="45"/>
      <c r="J62" s="37"/>
      <c r="K62" s="37"/>
      <c r="L62" s="37"/>
      <c r="M62" s="37"/>
      <c r="N62" s="37"/>
    </row>
    <row r="63" spans="1:14" ht="15.75">
      <c r="A63" s="51" t="s">
        <v>154</v>
      </c>
      <c r="B63" s="52"/>
      <c r="C63" s="53"/>
      <c r="D63" s="54">
        <v>2981.86</v>
      </c>
      <c r="E63" s="34"/>
      <c r="F63" s="41"/>
      <c r="H63" s="50"/>
      <c r="I63" s="45"/>
      <c r="J63" s="37"/>
      <c r="K63" s="37"/>
      <c r="L63" s="37"/>
      <c r="M63" s="37"/>
      <c r="N63" s="37"/>
    </row>
    <row r="64" spans="1:14" ht="15.75">
      <c r="A64" s="51" t="s">
        <v>195</v>
      </c>
      <c r="B64" s="52"/>
      <c r="C64" s="53"/>
      <c r="D64" s="54">
        <v>500.98</v>
      </c>
      <c r="E64" s="34"/>
      <c r="F64" s="45"/>
      <c r="H64" s="50"/>
      <c r="I64" s="45"/>
      <c r="J64" s="37"/>
      <c r="K64" s="37"/>
      <c r="L64" s="37"/>
      <c r="M64" s="37"/>
      <c r="N64" s="37"/>
    </row>
    <row r="65" spans="1:14" ht="15.75">
      <c r="A65" s="56" t="s">
        <v>71</v>
      </c>
      <c r="B65" s="57"/>
      <c r="C65" s="58"/>
      <c r="D65" s="54">
        <f>D60+D61</f>
        <v>74978.94000000002</v>
      </c>
      <c r="E65" s="34"/>
      <c r="F65" s="45"/>
      <c r="H65" s="50"/>
      <c r="I65" s="45"/>
      <c r="J65" s="37"/>
      <c r="K65" s="37"/>
      <c r="L65" s="37"/>
      <c r="M65" s="37"/>
      <c r="N65" s="37"/>
    </row>
    <row r="66" spans="1:8" ht="13.5" customHeight="1">
      <c r="A66" s="302" t="s">
        <v>72</v>
      </c>
      <c r="B66" s="302"/>
      <c r="C66" s="302"/>
      <c r="D66" s="60">
        <f>D67</f>
        <v>0</v>
      </c>
      <c r="E66" s="61"/>
      <c r="H66" s="34">
        <f>347.32*12</f>
        <v>4167.84</v>
      </c>
    </row>
    <row r="67" spans="1:8" ht="13.5" customHeight="1">
      <c r="A67" s="145"/>
      <c r="B67" s="145"/>
      <c r="C67" s="146"/>
      <c r="D67" s="60">
        <v>0</v>
      </c>
      <c r="E67" s="61"/>
      <c r="H67" s="34"/>
    </row>
    <row r="68" spans="1:5" ht="25.5" customHeight="1">
      <c r="A68" s="293" t="s">
        <v>73</v>
      </c>
      <c r="B68" s="293"/>
      <c r="C68" s="293"/>
      <c r="D68" s="60">
        <f>D69+D70</f>
        <v>22690.79</v>
      </c>
      <c r="E68" s="61"/>
    </row>
    <row r="69" spans="1:5" ht="15.75">
      <c r="A69" s="62" t="s">
        <v>74</v>
      </c>
      <c r="B69" s="63"/>
      <c r="C69" s="64"/>
      <c r="D69" s="60">
        <f>B16+B21-D61</f>
        <v>8995.31</v>
      </c>
      <c r="E69" s="61"/>
    </row>
    <row r="70" spans="1:5" ht="15.75">
      <c r="A70" s="63" t="s">
        <v>75</v>
      </c>
      <c r="B70" s="63"/>
      <c r="C70" s="64"/>
      <c r="D70" s="60">
        <f>B17+B23-D66</f>
        <v>13695.48</v>
      </c>
      <c r="E70" s="61"/>
    </row>
    <row r="71" spans="1:5" ht="13.5" customHeight="1">
      <c r="A71" s="294" t="s">
        <v>76</v>
      </c>
      <c r="B71" s="294"/>
      <c r="C71" s="294"/>
      <c r="D71" s="65">
        <v>0</v>
      </c>
      <c r="E71" s="61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D71*E21</f>
        <v>0</v>
      </c>
    </row>
    <row r="74" spans="1:4" ht="13.5" customHeight="1">
      <c r="A74" s="290" t="s">
        <v>28</v>
      </c>
      <c r="B74" s="290"/>
      <c r="C74" s="290"/>
      <c r="D74" s="66">
        <f>D71-D73-D75</f>
        <v>0</v>
      </c>
    </row>
    <row r="75" spans="1:4" ht="13.5" customHeight="1">
      <c r="A75" s="290" t="s">
        <v>29</v>
      </c>
      <c r="B75" s="290"/>
      <c r="C75" s="290"/>
      <c r="D75" s="66">
        <f>SUM(D77:D79)</f>
        <v>0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D71*E26</f>
        <v>0</v>
      </c>
    </row>
    <row r="78" spans="1:4" ht="15">
      <c r="A78" s="290" t="s">
        <v>33</v>
      </c>
      <c r="B78" s="290"/>
      <c r="C78" s="290"/>
      <c r="D78" s="66">
        <f>D71*E27</f>
        <v>0</v>
      </c>
    </row>
    <row r="79" spans="1:4" ht="15" customHeight="1">
      <c r="A79" s="290" t="s">
        <v>34</v>
      </c>
      <c r="B79" s="290"/>
      <c r="C79" s="290"/>
      <c r="D79" s="66">
        <f>D71*E28</f>
        <v>0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>
        <v>0</v>
      </c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42.75" customHeight="1">
      <c r="A84" s="72" t="s">
        <v>77</v>
      </c>
      <c r="B84" s="69" t="s">
        <v>84</v>
      </c>
      <c r="C84" s="169" t="s">
        <v>190</v>
      </c>
      <c r="D84" s="67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249" t="s">
        <v>716</v>
      </c>
    </row>
    <row r="86" spans="1:4" ht="21" customHeight="1">
      <c r="A86" s="31" t="s">
        <v>33</v>
      </c>
      <c r="B86" s="297"/>
      <c r="C86" s="70" t="s">
        <v>89</v>
      </c>
      <c r="D86" s="249" t="s">
        <v>716</v>
      </c>
    </row>
    <row r="87" spans="1:4" ht="39.75" customHeight="1">
      <c r="A87" s="31" t="s">
        <v>34</v>
      </c>
      <c r="B87" s="170" t="s">
        <v>90</v>
      </c>
      <c r="C87" s="147" t="s">
        <v>91</v>
      </c>
      <c r="D87" s="71" t="s">
        <v>92</v>
      </c>
    </row>
    <row r="89" ht="12.75">
      <c r="A89" t="s">
        <v>93</v>
      </c>
    </row>
    <row r="91" ht="12.75">
      <c r="A91" t="s">
        <v>95</v>
      </c>
    </row>
  </sheetData>
  <sheetProtection selectLockedCells="1" selectUnlockedCells="1"/>
  <mergeCells count="22">
    <mergeCell ref="A80:C80"/>
    <mergeCell ref="A81:C81"/>
    <mergeCell ref="A82:D82"/>
    <mergeCell ref="B85:B86"/>
    <mergeCell ref="A74:C74"/>
    <mergeCell ref="A75:C75"/>
    <mergeCell ref="A76:C76"/>
    <mergeCell ref="A77:C77"/>
    <mergeCell ref="A78:C78"/>
    <mergeCell ref="A79:C79"/>
    <mergeCell ref="A47:D48"/>
    <mergeCell ref="A66:C66"/>
    <mergeCell ref="A68:C68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3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53.71093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196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197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26.25">
      <c r="A15" s="11" t="s">
        <v>15</v>
      </c>
      <c r="B15" s="12">
        <f>B16+B17</f>
        <v>25481.930000000008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106517.27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2">
        <v>-81035.34</v>
      </c>
      <c r="C17" s="13"/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B20+B24+B25+B26+B27</f>
        <v>681989.41</v>
      </c>
      <c r="C18" s="148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25"/>
      <c r="C19" s="148"/>
      <c r="D19" s="14"/>
      <c r="E19" s="1"/>
      <c r="F19" s="1"/>
      <c r="G19" s="1"/>
      <c r="H19" s="1"/>
    </row>
    <row r="20" spans="1:8" ht="15">
      <c r="A20" s="9" t="s">
        <v>198</v>
      </c>
      <c r="B20" s="16">
        <v>149946.42</v>
      </c>
      <c r="C20" s="148"/>
      <c r="D20" s="14"/>
      <c r="E20" s="1"/>
      <c r="F20" s="1"/>
      <c r="G20" s="1"/>
      <c r="H20" s="1"/>
    </row>
    <row r="21" spans="1:8" ht="15">
      <c r="A21" s="9" t="s">
        <v>199</v>
      </c>
      <c r="B21" s="106"/>
      <c r="C21" s="21" t="s">
        <v>200</v>
      </c>
      <c r="D21" s="20"/>
      <c r="E21" s="17"/>
      <c r="F21" s="1"/>
      <c r="G21" s="1"/>
      <c r="H21" s="1"/>
    </row>
    <row r="22" spans="1:8" ht="15.75">
      <c r="A22" s="9" t="s">
        <v>201</v>
      </c>
      <c r="B22" s="129"/>
      <c r="C22" s="21" t="s">
        <v>202</v>
      </c>
      <c r="D22" s="20"/>
      <c r="E22" s="17"/>
      <c r="F22" s="1"/>
      <c r="G22" s="1"/>
      <c r="H22" s="1"/>
    </row>
    <row r="23" spans="1:8" ht="15">
      <c r="A23" s="9" t="s">
        <v>147</v>
      </c>
      <c r="B23" s="16">
        <v>31806.85</v>
      </c>
      <c r="C23" s="21" t="s">
        <v>203</v>
      </c>
      <c r="D23" s="20"/>
      <c r="E23" s="17">
        <f>(2.08+1.89)*6*1335.3</f>
        <v>31806.845999999998</v>
      </c>
      <c r="F23" s="1"/>
      <c r="G23" s="1"/>
      <c r="H23" s="1"/>
    </row>
    <row r="24" spans="1:8" ht="15.75">
      <c r="A24" s="9" t="s">
        <v>28</v>
      </c>
      <c r="B24" s="171">
        <v>38742.3</v>
      </c>
      <c r="C24" s="172">
        <v>2.7</v>
      </c>
      <c r="D24" s="20" t="s">
        <v>30</v>
      </c>
      <c r="E24" s="1"/>
      <c r="F24" s="1"/>
      <c r="G24" s="1"/>
      <c r="H24" s="1"/>
    </row>
    <row r="25" spans="1:8" ht="15">
      <c r="A25" s="9" t="s">
        <v>149</v>
      </c>
      <c r="B25" s="16">
        <v>241.8</v>
      </c>
      <c r="C25" s="19">
        <v>0.13</v>
      </c>
      <c r="D25" s="20"/>
      <c r="E25" s="1"/>
      <c r="F25" s="1"/>
      <c r="G25" s="1"/>
      <c r="H25" s="1"/>
    </row>
    <row r="26" spans="1:8" ht="15">
      <c r="A26" s="9" t="s">
        <v>167</v>
      </c>
      <c r="B26" s="16">
        <v>2883.6</v>
      </c>
      <c r="C26" s="153"/>
      <c r="D26" s="27" t="s">
        <v>32</v>
      </c>
      <c r="E26" s="17"/>
      <c r="F26" s="1"/>
      <c r="G26" s="1"/>
      <c r="H26" s="1"/>
    </row>
    <row r="27" spans="1:8" ht="15">
      <c r="A27" s="9" t="s">
        <v>29</v>
      </c>
      <c r="B27" s="16">
        <f>B29+B30+B31</f>
        <v>490175.29000000004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20</v>
      </c>
      <c r="B28" s="25"/>
      <c r="C28" s="152"/>
      <c r="D28" s="28"/>
      <c r="E28" s="17"/>
      <c r="F28" s="1"/>
      <c r="G28" s="1"/>
      <c r="H28" s="1"/>
    </row>
    <row r="29" spans="1:8" ht="15">
      <c r="A29" s="9" t="s">
        <v>31</v>
      </c>
      <c r="B29" s="16">
        <v>134545.58</v>
      </c>
      <c r="C29" s="152" t="s">
        <v>19</v>
      </c>
      <c r="D29" s="28"/>
      <c r="E29" s="17"/>
      <c r="F29" s="1"/>
      <c r="G29" s="1"/>
      <c r="H29" s="1"/>
    </row>
    <row r="30" spans="1:8" ht="15">
      <c r="A30" s="9" t="s">
        <v>33</v>
      </c>
      <c r="B30" s="16">
        <v>131897.23</v>
      </c>
      <c r="C30" s="152" t="s">
        <v>19</v>
      </c>
      <c r="D30" s="28"/>
      <c r="E30" s="17"/>
      <c r="F30" s="1"/>
      <c r="G30" s="1"/>
      <c r="H30" s="1"/>
    </row>
    <row r="31" spans="1:8" ht="15">
      <c r="A31" s="9" t="s">
        <v>34</v>
      </c>
      <c r="B31" s="16">
        <v>223732.48</v>
      </c>
      <c r="C31" s="152"/>
      <c r="D31" s="28"/>
      <c r="E31" s="17"/>
      <c r="F31" s="1"/>
      <c r="G31" s="1"/>
      <c r="H31" s="1"/>
    </row>
    <row r="32" spans="1:8" ht="15">
      <c r="A32" s="9" t="s">
        <v>35</v>
      </c>
      <c r="B32" s="25"/>
      <c r="C32" s="152" t="s">
        <v>19</v>
      </c>
      <c r="D32" s="28"/>
      <c r="E32" s="17"/>
      <c r="F32" s="1"/>
      <c r="G32" s="1"/>
      <c r="H32" s="1"/>
    </row>
    <row r="33" spans="1:8" ht="25.5">
      <c r="A33" s="11" t="s">
        <v>36</v>
      </c>
      <c r="B33" s="18">
        <v>716255.53</v>
      </c>
      <c r="C33" s="13" t="s">
        <v>19</v>
      </c>
      <c r="D33" s="14" t="s">
        <v>19</v>
      </c>
      <c r="E33" s="1">
        <f>B33/B18</f>
        <v>1.050244357899927</v>
      </c>
      <c r="F33" s="1"/>
      <c r="G33" s="1"/>
      <c r="H33" s="1"/>
    </row>
    <row r="34" spans="1:4" ht="15">
      <c r="A34" s="9" t="s">
        <v>77</v>
      </c>
      <c r="B34" s="18">
        <f>B20*E33</f>
        <v>157480.38159229278</v>
      </c>
      <c r="C34" s="13"/>
      <c r="D34" s="14"/>
    </row>
    <row r="35" spans="1:4" ht="15">
      <c r="A35" s="9" t="s">
        <v>28</v>
      </c>
      <c r="B35" s="18">
        <f>B24*E33</f>
        <v>40688.88198706634</v>
      </c>
      <c r="C35" s="18" t="s">
        <v>6</v>
      </c>
      <c r="D35" s="14" t="s">
        <v>19</v>
      </c>
    </row>
    <row r="36" spans="1:4" ht="15">
      <c r="A36" s="9" t="s">
        <v>29</v>
      </c>
      <c r="B36" s="18">
        <f>B38+B39+B40</f>
        <v>514803.83270446054</v>
      </c>
      <c r="C36" s="13" t="s">
        <v>19</v>
      </c>
      <c r="D36" s="14" t="s">
        <v>19</v>
      </c>
    </row>
    <row r="37" spans="1:4" ht="15">
      <c r="A37" s="9" t="s">
        <v>20</v>
      </c>
      <c r="B37" s="18"/>
      <c r="C37" s="13"/>
      <c r="D37" s="14"/>
    </row>
    <row r="38" spans="1:4" ht="15">
      <c r="A38" s="9" t="s">
        <v>31</v>
      </c>
      <c r="B38" s="18">
        <f>B29*E33</f>
        <v>141305.73627537323</v>
      </c>
      <c r="C38" s="13" t="s">
        <v>19</v>
      </c>
      <c r="D38" s="14"/>
    </row>
    <row r="39" spans="1:4" ht="15">
      <c r="A39" s="9" t="s">
        <v>33</v>
      </c>
      <c r="B39" s="18">
        <f>B30*E33</f>
        <v>138524.321630129</v>
      </c>
      <c r="C39" s="13" t="s">
        <v>19</v>
      </c>
      <c r="D39" s="14"/>
    </row>
    <row r="40" spans="1:4" ht="15">
      <c r="A40" s="9" t="s">
        <v>34</v>
      </c>
      <c r="B40" s="18">
        <f>B31*E33</f>
        <v>234973.77479895827</v>
      </c>
      <c r="C40" s="13"/>
      <c r="D40" s="14"/>
    </row>
    <row r="41" spans="1:4" ht="15">
      <c r="A41" s="9" t="s">
        <v>35</v>
      </c>
      <c r="B41" s="18">
        <v>0</v>
      </c>
      <c r="C41" s="13"/>
      <c r="D41" s="14"/>
    </row>
    <row r="42" spans="1:4" ht="15">
      <c r="A42" s="9"/>
      <c r="B42" s="18"/>
      <c r="C42" s="13"/>
      <c r="D42" s="14"/>
    </row>
    <row r="43" spans="1:4" ht="38.25">
      <c r="A43" s="11" t="s">
        <v>40</v>
      </c>
      <c r="B43" s="18">
        <f>B45+B46+B47</f>
        <v>514803.83270446054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B38</f>
        <v>141305.73627537323</v>
      </c>
      <c r="C45" s="13"/>
      <c r="D45" s="14"/>
    </row>
    <row r="46" spans="1:4" ht="15">
      <c r="A46" s="9" t="s">
        <v>33</v>
      </c>
      <c r="B46" s="18">
        <f>B39</f>
        <v>138524.321630129</v>
      </c>
      <c r="C46" s="13"/>
      <c r="D46" s="14"/>
    </row>
    <row r="47" spans="1:4" ht="15">
      <c r="A47" s="9" t="s">
        <v>34</v>
      </c>
      <c r="B47" s="18">
        <f>B40</f>
        <v>234973.77479895827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248" t="s">
        <v>715</v>
      </c>
      <c r="E53" s="29"/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204</v>
      </c>
      <c r="D54" s="33">
        <f>(0.21+0.39)*6*1335.3</f>
        <v>4807.079999999999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156" t="s">
        <v>51</v>
      </c>
      <c r="D55" s="33">
        <f>(2.1+2.23)*6*1335.3</f>
        <v>34691.094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156" t="s">
        <v>53</v>
      </c>
      <c r="D56" s="33">
        <f>(1.2+2)*6*1335.3</f>
        <v>25637.760000000002</v>
      </c>
      <c r="E56" s="34"/>
      <c r="F56" s="35"/>
      <c r="G56" s="36"/>
      <c r="H56" s="1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33">
        <f>(0.2+0.21)*6*1335.3</f>
        <v>3284.8379999999997</v>
      </c>
      <c r="E57" s="34"/>
      <c r="F57" s="35"/>
      <c r="G57" s="36"/>
      <c r="H57" s="1"/>
      <c r="I57" s="37"/>
      <c r="J57" s="37"/>
      <c r="K57" s="37"/>
      <c r="L57" s="37"/>
      <c r="M57" s="37"/>
      <c r="N57" s="37"/>
    </row>
    <row r="58" spans="1:14" ht="15">
      <c r="A58" s="31" t="s">
        <v>205</v>
      </c>
      <c r="B58" s="251" t="s">
        <v>47</v>
      </c>
      <c r="C58" s="44" t="s">
        <v>206</v>
      </c>
      <c r="D58" s="33">
        <f>(0.66+0.53)*6*153.9</f>
        <v>1098.846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207</v>
      </c>
      <c r="B59" s="39"/>
      <c r="C59" s="44" t="s">
        <v>208</v>
      </c>
      <c r="D59" s="33">
        <f>(0.84+0.53)*6*1181.4-2557.86+0.18</f>
        <v>7153.428000000002</v>
      </c>
      <c r="E59" s="34"/>
      <c r="F59" s="41"/>
      <c r="G59" s="42"/>
      <c r="H59" s="43"/>
      <c r="I59" s="37"/>
      <c r="J59" s="37"/>
      <c r="K59" s="37"/>
      <c r="L59" s="37"/>
      <c r="M59" s="37"/>
      <c r="N59" s="37"/>
    </row>
    <row r="60" spans="1:14" ht="18" customHeight="1">
      <c r="A60" s="31" t="s">
        <v>209</v>
      </c>
      <c r="B60" s="39" t="s">
        <v>47</v>
      </c>
      <c r="C60" s="44" t="s">
        <v>210</v>
      </c>
      <c r="D60" s="33">
        <f>(0.25+0.26)*6*153.9</f>
        <v>470.934</v>
      </c>
      <c r="E60" s="34"/>
      <c r="F60" s="41"/>
      <c r="G60" s="42"/>
      <c r="H60" s="1"/>
      <c r="I60" s="37"/>
      <c r="J60" s="37"/>
      <c r="K60" s="37"/>
      <c r="L60" s="37"/>
      <c r="M60" s="37"/>
      <c r="N60" s="37"/>
    </row>
    <row r="61" spans="1:14" ht="18" customHeight="1">
      <c r="A61" s="31" t="s">
        <v>211</v>
      </c>
      <c r="B61" s="39"/>
      <c r="C61" s="44" t="s">
        <v>212</v>
      </c>
      <c r="D61" s="33">
        <f>(0.69+1.75)*6*1181.4</f>
        <v>17295.696000000004</v>
      </c>
      <c r="E61" s="34"/>
      <c r="F61" s="41"/>
      <c r="G61" s="42"/>
      <c r="H61" s="1"/>
      <c r="I61" s="37"/>
      <c r="J61" s="37"/>
      <c r="K61" s="37"/>
      <c r="L61" s="37"/>
      <c r="M61" s="37"/>
      <c r="N61" s="37"/>
    </row>
    <row r="62" spans="1:14" ht="15">
      <c r="A62" s="31" t="s">
        <v>63</v>
      </c>
      <c r="B62" s="39" t="s">
        <v>64</v>
      </c>
      <c r="C62" s="40" t="s">
        <v>65</v>
      </c>
      <c r="D62" s="33">
        <f>(1.14+1.21)*6*1335.3</f>
        <v>18827.729999999996</v>
      </c>
      <c r="E62" s="34"/>
      <c r="F62" s="41"/>
      <c r="G62" s="42"/>
      <c r="H62" s="1"/>
      <c r="I62" s="37"/>
      <c r="J62" s="37"/>
      <c r="K62" s="37"/>
      <c r="L62" s="37"/>
      <c r="M62" s="37"/>
      <c r="N62" s="37"/>
    </row>
    <row r="63" spans="1:14" ht="15">
      <c r="A63" s="31" t="s">
        <v>66</v>
      </c>
      <c r="B63" s="39" t="s">
        <v>67</v>
      </c>
      <c r="C63" s="40">
        <v>4.88</v>
      </c>
      <c r="D63" s="33">
        <f>4.88*12*1335.3</f>
        <v>78195.168</v>
      </c>
      <c r="E63" s="34"/>
      <c r="F63" s="41"/>
      <c r="G63" s="1"/>
      <c r="H63" s="45"/>
      <c r="I63" s="37"/>
      <c r="J63" s="37"/>
      <c r="K63" s="37"/>
      <c r="L63" s="37"/>
      <c r="M63" s="37"/>
      <c r="N63" s="37"/>
    </row>
    <row r="64" spans="1:14" ht="15">
      <c r="A64" s="46" t="s">
        <v>68</v>
      </c>
      <c r="B64" s="47"/>
      <c r="C64" s="48"/>
      <c r="D64" s="49">
        <f>SUM(D54:D63)</f>
        <v>191462.57400000002</v>
      </c>
      <c r="E64" s="34">
        <f>D64+B23</f>
        <v>223269.42400000003</v>
      </c>
      <c r="F64" s="41"/>
      <c r="G64" s="1"/>
      <c r="H64" s="50">
        <f>E64-B20</f>
        <v>73323.00400000002</v>
      </c>
      <c r="I64" s="45" t="s">
        <v>213</v>
      </c>
      <c r="J64" s="45"/>
      <c r="K64" s="37"/>
      <c r="L64" s="37"/>
      <c r="M64" s="37"/>
      <c r="N64" s="37"/>
    </row>
    <row r="65" spans="1:14" ht="15.75">
      <c r="A65" s="51" t="s">
        <v>69</v>
      </c>
      <c r="B65" s="52"/>
      <c r="C65" s="53"/>
      <c r="D65" s="54">
        <f>D66+D67+D68</f>
        <v>4672.94</v>
      </c>
      <c r="E65" s="34"/>
      <c r="F65" s="41"/>
      <c r="G65" s="1"/>
      <c r="H65" s="50"/>
      <c r="I65" s="37"/>
      <c r="J65" s="37"/>
      <c r="K65" s="37"/>
      <c r="L65" s="37"/>
      <c r="M65" s="37"/>
      <c r="N65" s="37"/>
    </row>
    <row r="66" spans="1:14" ht="15.75">
      <c r="A66" s="51" t="s">
        <v>214</v>
      </c>
      <c r="B66" s="52"/>
      <c r="C66" s="53"/>
      <c r="D66" s="54">
        <v>1667.62</v>
      </c>
      <c r="E66" s="34"/>
      <c r="F66" s="41"/>
      <c r="G66" s="1"/>
      <c r="H66" s="50"/>
      <c r="I66" s="37"/>
      <c r="J66" s="37"/>
      <c r="K66" s="37"/>
      <c r="L66" s="37"/>
      <c r="M66" s="37"/>
      <c r="N66" s="37"/>
    </row>
    <row r="67" spans="1:14" ht="15.75">
      <c r="A67" s="51" t="s">
        <v>154</v>
      </c>
      <c r="B67" s="52"/>
      <c r="C67" s="53"/>
      <c r="D67" s="54">
        <v>1528.02</v>
      </c>
      <c r="E67" s="34"/>
      <c r="F67" s="41"/>
      <c r="G67" s="1"/>
      <c r="H67" s="50"/>
      <c r="I67" s="37"/>
      <c r="J67" s="37"/>
      <c r="K67" s="37"/>
      <c r="L67" s="37"/>
      <c r="M67" s="37"/>
      <c r="N67" s="37"/>
    </row>
    <row r="68" spans="1:14" ht="15.75">
      <c r="A68" s="51" t="s">
        <v>215</v>
      </c>
      <c r="B68" s="52"/>
      <c r="C68" s="53"/>
      <c r="D68" s="54">
        <v>1477.3</v>
      </c>
      <c r="E68" s="34"/>
      <c r="F68" s="45"/>
      <c r="G68" s="1"/>
      <c r="H68" s="50"/>
      <c r="I68" s="37"/>
      <c r="J68" s="37"/>
      <c r="K68" s="37"/>
      <c r="L68" s="37"/>
      <c r="M68" s="37"/>
      <c r="N68" s="37"/>
    </row>
    <row r="69" spans="1:14" ht="15.75">
      <c r="A69" s="56" t="s">
        <v>71</v>
      </c>
      <c r="B69" s="57"/>
      <c r="C69" s="58"/>
      <c r="D69" s="54">
        <f>D64+D65</f>
        <v>196135.51400000002</v>
      </c>
      <c r="E69" s="34"/>
      <c r="F69" s="45"/>
      <c r="G69" s="1"/>
      <c r="H69" s="50"/>
      <c r="I69" s="37"/>
      <c r="J69" s="37"/>
      <c r="K69" s="37"/>
      <c r="L69" s="37"/>
      <c r="M69" s="37"/>
      <c r="N69" s="37"/>
    </row>
    <row r="70" spans="1:8" ht="13.5" customHeight="1">
      <c r="A70" s="302" t="s">
        <v>72</v>
      </c>
      <c r="B70" s="302"/>
      <c r="C70" s="302"/>
      <c r="D70" s="60">
        <f>D71</f>
        <v>0</v>
      </c>
      <c r="E70" s="61"/>
      <c r="F70" s="1"/>
      <c r="G70" s="1"/>
      <c r="H70" s="34"/>
    </row>
    <row r="71" spans="1:8" ht="13.5" customHeight="1">
      <c r="A71" s="145"/>
      <c r="B71" s="145"/>
      <c r="C71" s="146"/>
      <c r="D71" s="60">
        <v>0</v>
      </c>
      <c r="E71" s="61"/>
      <c r="F71" s="1"/>
      <c r="G71" s="1"/>
      <c r="H71" s="34"/>
    </row>
    <row r="72" spans="1:5" ht="25.5" customHeight="1">
      <c r="A72" s="293" t="s">
        <v>73</v>
      </c>
      <c r="B72" s="293"/>
      <c r="C72" s="293"/>
      <c r="D72" s="60">
        <f>D73+D74</f>
        <v>91358.14</v>
      </c>
      <c r="E72" s="173"/>
    </row>
    <row r="73" spans="1:5" ht="15.75">
      <c r="A73" s="62" t="s">
        <v>74</v>
      </c>
      <c r="B73" s="63"/>
      <c r="C73" s="64"/>
      <c r="D73" s="60">
        <f>B16+B23-D65</f>
        <v>133651.18</v>
      </c>
      <c r="E73" s="173"/>
    </row>
    <row r="74" spans="1:5" ht="15.75">
      <c r="A74" s="63" t="s">
        <v>75</v>
      </c>
      <c r="B74" s="63"/>
      <c r="C74" s="64"/>
      <c r="D74" s="60">
        <f>B17+B24-D70</f>
        <v>-42293.03999999999</v>
      </c>
      <c r="E74" s="173"/>
    </row>
    <row r="75" spans="1:5" ht="13.5" customHeight="1">
      <c r="A75" s="294" t="s">
        <v>76</v>
      </c>
      <c r="B75" s="294"/>
      <c r="C75" s="294"/>
      <c r="D75" s="65">
        <v>40597.2</v>
      </c>
      <c r="E75" s="173"/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77</v>
      </c>
      <c r="B77" s="290"/>
      <c r="C77" s="290"/>
      <c r="D77" s="66">
        <f>D75*B20/B18</f>
        <v>8925.952093631484</v>
      </c>
    </row>
    <row r="78" spans="1:4" ht="13.5" customHeight="1">
      <c r="A78" s="290" t="s">
        <v>28</v>
      </c>
      <c r="B78" s="290"/>
      <c r="C78" s="290"/>
      <c r="D78" s="66">
        <f>D75*B24/B18</f>
        <v>2306.23654634168</v>
      </c>
    </row>
    <row r="79" spans="1:4" ht="13.5" customHeight="1">
      <c r="A79" s="290" t="s">
        <v>29</v>
      </c>
      <c r="B79" s="290"/>
      <c r="C79" s="290"/>
      <c r="D79" s="66">
        <f>SUM(D81:D83)</f>
        <v>29178.963766003344</v>
      </c>
    </row>
    <row r="80" spans="1:4" ht="15">
      <c r="A80" s="290" t="s">
        <v>20</v>
      </c>
      <c r="B80" s="290"/>
      <c r="C80" s="290"/>
      <c r="D80" s="66"/>
    </row>
    <row r="81" spans="1:4" ht="13.5" customHeight="1">
      <c r="A81" s="290" t="s">
        <v>31</v>
      </c>
      <c r="B81" s="290"/>
      <c r="C81" s="290"/>
      <c r="D81" s="66">
        <f>D75*B29/B18</f>
        <v>8009.176887916778</v>
      </c>
    </row>
    <row r="82" spans="1:4" ht="15" customHeight="1">
      <c r="A82" s="290" t="s">
        <v>33</v>
      </c>
      <c r="B82" s="290"/>
      <c r="C82" s="290"/>
      <c r="D82" s="66">
        <f>D75*B30/B18</f>
        <v>7851.526940507771</v>
      </c>
    </row>
    <row r="83" spans="1:4" ht="15" customHeight="1">
      <c r="A83" s="290" t="s">
        <v>34</v>
      </c>
      <c r="B83" s="290"/>
      <c r="C83" s="290"/>
      <c r="D83" s="66">
        <f>D75*B31/B18</f>
        <v>13318.259937578796</v>
      </c>
    </row>
    <row r="84" spans="1:4" ht="15">
      <c r="A84" s="290" t="s">
        <v>78</v>
      </c>
      <c r="B84" s="290"/>
      <c r="C84" s="290"/>
      <c r="D84" s="66"/>
    </row>
    <row r="85" spans="1:4" ht="15" customHeight="1">
      <c r="A85" s="290" t="s">
        <v>35</v>
      </c>
      <c r="B85" s="290"/>
      <c r="C85" s="290"/>
      <c r="D85" s="66"/>
    </row>
    <row r="86" spans="1:4" ht="25.5" customHeight="1">
      <c r="A86" s="295" t="s">
        <v>79</v>
      </c>
      <c r="B86" s="295"/>
      <c r="C86" s="295"/>
      <c r="D86" s="295"/>
    </row>
    <row r="87" spans="1:4" ht="38.25">
      <c r="A87" s="67" t="s">
        <v>80</v>
      </c>
      <c r="B87" s="68" t="s">
        <v>81</v>
      </c>
      <c r="C87" s="68" t="s">
        <v>82</v>
      </c>
      <c r="D87" s="67" t="s">
        <v>83</v>
      </c>
    </row>
    <row r="88" spans="1:4" ht="12.75" customHeight="1">
      <c r="A88" s="31" t="s">
        <v>216</v>
      </c>
      <c r="B88" s="296" t="s">
        <v>84</v>
      </c>
      <c r="C88" s="70" t="s">
        <v>200</v>
      </c>
      <c r="D88" s="67" t="s">
        <v>85</v>
      </c>
    </row>
    <row r="89" spans="1:4" ht="12.75" customHeight="1">
      <c r="A89" s="31" t="s">
        <v>217</v>
      </c>
      <c r="B89" s="296"/>
      <c r="C89" s="70" t="s">
        <v>202</v>
      </c>
      <c r="D89" s="67"/>
    </row>
    <row r="90" spans="1:4" ht="12.75">
      <c r="A90" s="31" t="s">
        <v>28</v>
      </c>
      <c r="B90" s="296"/>
      <c r="C90" s="70">
        <v>2.7</v>
      </c>
      <c r="D90" s="71" t="s">
        <v>85</v>
      </c>
    </row>
    <row r="91" spans="1:4" ht="19.5" customHeight="1">
      <c r="A91" s="31" t="s">
        <v>31</v>
      </c>
      <c r="B91" s="297" t="s">
        <v>86</v>
      </c>
      <c r="C91" s="70" t="s">
        <v>87</v>
      </c>
      <c r="D91" s="249" t="s">
        <v>716</v>
      </c>
    </row>
    <row r="92" spans="1:4" ht="21" customHeight="1">
      <c r="A92" s="31" t="s">
        <v>33</v>
      </c>
      <c r="B92" s="297"/>
      <c r="C92" s="70" t="s">
        <v>89</v>
      </c>
      <c r="D92" s="249" t="s">
        <v>716</v>
      </c>
    </row>
    <row r="93" spans="1:4" ht="39.75" customHeight="1">
      <c r="A93" s="31" t="s">
        <v>34</v>
      </c>
      <c r="B93" s="170" t="s">
        <v>90</v>
      </c>
      <c r="C93" s="147" t="s">
        <v>91</v>
      </c>
      <c r="D93" s="71" t="s">
        <v>92</v>
      </c>
    </row>
    <row r="95" ht="12.75">
      <c r="A95" t="s">
        <v>93</v>
      </c>
    </row>
    <row r="97" ht="12.75">
      <c r="A97" t="s">
        <v>95</v>
      </c>
    </row>
  </sheetData>
  <sheetProtection selectLockedCells="1" selectUnlockedCells="1"/>
  <mergeCells count="23">
    <mergeCell ref="A84:C84"/>
    <mergeCell ref="A85:C85"/>
    <mergeCell ref="A86:D86"/>
    <mergeCell ref="B88:B90"/>
    <mergeCell ref="B91:B92"/>
    <mergeCell ref="A78:C78"/>
    <mergeCell ref="A79:C79"/>
    <mergeCell ref="A80:C80"/>
    <mergeCell ref="A81:C81"/>
    <mergeCell ref="A82:C82"/>
    <mergeCell ref="A83:C83"/>
    <mergeCell ref="A50:D51"/>
    <mergeCell ref="A70:C70"/>
    <mergeCell ref="A72:C72"/>
    <mergeCell ref="A75:C75"/>
    <mergeCell ref="A76:C76"/>
    <mergeCell ref="A77:C77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73">
      <selection activeCell="D85" sqref="D85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218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219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-3304.4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-3304.4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0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B20+B25</f>
        <v>685878.9400000001</v>
      </c>
      <c r="C18" s="148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25"/>
      <c r="C19" s="148"/>
      <c r="D19" s="14"/>
      <c r="E19" s="1"/>
      <c r="F19" s="1"/>
      <c r="G19" s="1"/>
      <c r="H19" s="1"/>
    </row>
    <row r="20" spans="1:8" ht="15">
      <c r="A20" s="9" t="s">
        <v>220</v>
      </c>
      <c r="B20" s="16">
        <v>208302.66</v>
      </c>
      <c r="C20" s="105" t="s">
        <v>221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2105.08</v>
      </c>
      <c r="C21" s="21" t="s">
        <v>113</v>
      </c>
      <c r="D21" s="20"/>
      <c r="E21" s="17">
        <f>(0.1+0.11)*6*1670.7</f>
        <v>2105.0820000000003</v>
      </c>
      <c r="F21" s="1"/>
      <c r="G21" s="1"/>
      <c r="H21" s="1"/>
    </row>
    <row r="22" spans="1:8" ht="15.75">
      <c r="A22" s="9" t="s">
        <v>28</v>
      </c>
      <c r="B22" s="129">
        <v>0</v>
      </c>
      <c r="C22" s="107">
        <v>0</v>
      </c>
      <c r="D22" s="20"/>
      <c r="E22" s="17"/>
      <c r="F22" s="1"/>
      <c r="G22" s="1"/>
      <c r="H22" s="1"/>
    </row>
    <row r="23" spans="1:8" ht="15">
      <c r="A23" s="9" t="s">
        <v>149</v>
      </c>
      <c r="B23" s="106">
        <v>0</v>
      </c>
      <c r="C23" s="21"/>
      <c r="D23" s="20"/>
      <c r="E23" s="17"/>
      <c r="F23" s="1"/>
      <c r="G23" s="1"/>
      <c r="H23" s="1"/>
    </row>
    <row r="24" spans="1:8" ht="15.75">
      <c r="A24" s="9" t="s">
        <v>167</v>
      </c>
      <c r="B24" s="176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B27+B28+B29</f>
        <v>477576.28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25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123408</v>
      </c>
      <c r="C27" s="178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154091.31</v>
      </c>
      <c r="C28" s="178" t="s">
        <v>19</v>
      </c>
      <c r="D28" s="28"/>
      <c r="E28" s="17"/>
      <c r="F28" s="1"/>
      <c r="G28" s="1"/>
      <c r="H28" s="1"/>
    </row>
    <row r="29" spans="1:8" ht="15">
      <c r="A29" s="9" t="s">
        <v>35</v>
      </c>
      <c r="B29" s="16">
        <v>200076.97</v>
      </c>
      <c r="C29" s="178" t="s">
        <v>19</v>
      </c>
      <c r="D29" s="28"/>
      <c r="E29" s="17"/>
      <c r="F29" s="1"/>
      <c r="G29" s="1"/>
      <c r="H29" s="1"/>
    </row>
    <row r="30" spans="1:8" ht="25.5">
      <c r="A30" s="11" t="s">
        <v>36</v>
      </c>
      <c r="B30" s="18">
        <v>557470.63</v>
      </c>
      <c r="C30" s="13" t="s">
        <v>19</v>
      </c>
      <c r="D30" s="14" t="s">
        <v>19</v>
      </c>
      <c r="E30" s="1">
        <f>B30/B18</f>
        <v>0.812782835991436</v>
      </c>
      <c r="F30" s="1"/>
      <c r="G30" s="1"/>
      <c r="H30" s="1"/>
    </row>
    <row r="31" spans="1:4" ht="15">
      <c r="A31" s="9" t="s">
        <v>20</v>
      </c>
      <c r="B31" s="18"/>
      <c r="C31" s="13"/>
      <c r="D31" s="14"/>
    </row>
    <row r="32" spans="1:4" ht="15">
      <c r="A32" s="9" t="s">
        <v>77</v>
      </c>
      <c r="B32" s="18">
        <f>B20*E30</f>
        <v>169304.82673935985</v>
      </c>
      <c r="C32" s="13"/>
      <c r="D32" s="14"/>
    </row>
    <row r="33" spans="1:4" ht="15">
      <c r="A33" s="9" t="s">
        <v>28</v>
      </c>
      <c r="B33" s="18">
        <v>0</v>
      </c>
      <c r="C33" s="18" t="s">
        <v>6</v>
      </c>
      <c r="D33" s="14" t="s">
        <v>19</v>
      </c>
    </row>
    <row r="34" spans="1:4" ht="15">
      <c r="A34" s="9" t="s">
        <v>29</v>
      </c>
      <c r="B34" s="18">
        <f>B36+B37+B38</f>
        <v>388165.80326064007</v>
      </c>
      <c r="C34" s="13" t="s">
        <v>19</v>
      </c>
      <c r="D34" s="14" t="s">
        <v>19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31</v>
      </c>
      <c r="B36" s="18">
        <f>B27*E30</f>
        <v>100303.90422403112</v>
      </c>
      <c r="C36" s="13" t="s">
        <v>19</v>
      </c>
      <c r="D36" s="14"/>
    </row>
    <row r="37" spans="1:4" ht="15">
      <c r="A37" s="9" t="s">
        <v>33</v>
      </c>
      <c r="B37" s="18">
        <f>B28*E30</f>
        <v>125242.77194343551</v>
      </c>
      <c r="C37" s="13" t="s">
        <v>19</v>
      </c>
      <c r="D37" s="14"/>
    </row>
    <row r="38" spans="1:4" ht="15">
      <c r="A38" s="9" t="s">
        <v>34</v>
      </c>
      <c r="B38" s="18">
        <f>B29*E30</f>
        <v>162619.12709317345</v>
      </c>
      <c r="C38" s="13"/>
      <c r="D38" s="14"/>
    </row>
    <row r="39" spans="1:4" ht="15">
      <c r="A39" s="9" t="s">
        <v>35</v>
      </c>
      <c r="B39" s="18">
        <v>0</v>
      </c>
      <c r="C39" s="13"/>
      <c r="D39" s="14"/>
    </row>
    <row r="40" spans="1:4" ht="15">
      <c r="A40" s="9"/>
      <c r="B40" s="18"/>
      <c r="C40" s="13"/>
      <c r="D40" s="14"/>
    </row>
    <row r="41" spans="1:4" ht="38.25">
      <c r="A41" s="11" t="s">
        <v>40</v>
      </c>
      <c r="B41" s="18">
        <f>B43+B44+B45</f>
        <v>388165.80326064007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B36</f>
        <v>100303.90422403112</v>
      </c>
      <c r="C43" s="13"/>
      <c r="D43" s="14"/>
    </row>
    <row r="44" spans="1:4" ht="15">
      <c r="A44" s="9" t="s">
        <v>33</v>
      </c>
      <c r="B44" s="18">
        <f>B37</f>
        <v>125242.77194343551</v>
      </c>
      <c r="C44" s="13"/>
      <c r="D44" s="14"/>
    </row>
    <row r="45" spans="1:4" ht="15">
      <c r="A45" s="9" t="s">
        <v>34</v>
      </c>
      <c r="B45" s="18">
        <f>B38</f>
        <v>162619.12709317345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222</v>
      </c>
      <c r="D52" s="33">
        <f>0.18*6*1670.7</f>
        <v>1804.3560000000002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 t="s">
        <v>51</v>
      </c>
      <c r="D53" s="33">
        <f>(2.1+2.23)*6*1670.7</f>
        <v>43404.786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33">
        <f>(1.2+2)*6*1670.7</f>
        <v>32077.440000000006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55</v>
      </c>
      <c r="D55" s="33">
        <f>(0.2+0.21)*6*1670.7</f>
        <v>4109.9220000000005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251" t="s">
        <v>47</v>
      </c>
      <c r="C56" s="40" t="s">
        <v>223</v>
      </c>
      <c r="D56" s="33">
        <f>(0.92+1.12)*6*1670.7</f>
        <v>20449.368000000002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0" t="s">
        <v>224</v>
      </c>
      <c r="D57" s="33"/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225</v>
      </c>
      <c r="D58" s="33">
        <f>(0.4+0.25)*6*1670.7</f>
        <v>6515.7300000000005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33">
        <f>4.88*12*1670.7-0.21</f>
        <v>97835.982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SUM(D52:D59)</f>
        <v>206197.58400000003</v>
      </c>
      <c r="E60" s="34">
        <f>D60+B21</f>
        <v>208302.66400000002</v>
      </c>
      <c r="F60" s="41"/>
      <c r="G60" s="1"/>
      <c r="H60" s="50">
        <f>E60-B20</f>
        <v>0.0040000000153668225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</f>
        <v>66.08</v>
      </c>
      <c r="E61" s="34"/>
      <c r="F61" s="41"/>
      <c r="G61" s="1"/>
      <c r="H61" s="50"/>
      <c r="I61" s="37"/>
      <c r="J61" s="37"/>
      <c r="K61" s="37"/>
      <c r="L61" s="37"/>
      <c r="M61" s="37"/>
      <c r="N61" s="37"/>
    </row>
    <row r="62" spans="1:14" ht="15.75">
      <c r="A62" s="51" t="s">
        <v>226</v>
      </c>
      <c r="B62" s="52"/>
      <c r="C62" s="53"/>
      <c r="D62" s="54">
        <v>66.08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54">
        <f>D60+D61</f>
        <v>206263.66400000002</v>
      </c>
      <c r="E63" s="34"/>
      <c r="F63" s="45"/>
      <c r="G63" s="1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60">
        <f>D65</f>
        <v>0</v>
      </c>
      <c r="E64" s="61"/>
      <c r="F64" s="1"/>
      <c r="G64" s="1"/>
      <c r="H64" s="34"/>
    </row>
    <row r="65" spans="1:8" ht="13.5" customHeight="1">
      <c r="A65" s="145"/>
      <c r="B65" s="145"/>
      <c r="C65" s="146"/>
      <c r="D65" s="60">
        <v>0</v>
      </c>
      <c r="E65" s="61"/>
      <c r="F65" s="1"/>
      <c r="G65" s="1"/>
      <c r="H65" s="34"/>
    </row>
    <row r="66" spans="1:5" ht="25.5" customHeight="1">
      <c r="A66" s="293" t="s">
        <v>73</v>
      </c>
      <c r="B66" s="293"/>
      <c r="C66" s="293"/>
      <c r="D66" s="60">
        <f>D67+D68</f>
        <v>-1265.4</v>
      </c>
      <c r="E66" s="173"/>
    </row>
    <row r="67" spans="1:5" ht="15.75">
      <c r="A67" s="62" t="s">
        <v>74</v>
      </c>
      <c r="B67" s="63"/>
      <c r="C67" s="64"/>
      <c r="D67" s="60">
        <f>B16+B21-D61</f>
        <v>-1265.4</v>
      </c>
      <c r="E67" s="173"/>
    </row>
    <row r="68" spans="1:5" ht="15.75">
      <c r="A68" s="63" t="s">
        <v>75</v>
      </c>
      <c r="B68" s="63"/>
      <c r="C68" s="64"/>
      <c r="D68" s="60">
        <f>B17+B23-D64</f>
        <v>0</v>
      </c>
      <c r="E68" s="173"/>
    </row>
    <row r="69" spans="1:5" ht="13.5" customHeight="1">
      <c r="A69" s="294" t="s">
        <v>76</v>
      </c>
      <c r="B69" s="294"/>
      <c r="C69" s="294"/>
      <c r="D69" s="65">
        <v>175934.12</v>
      </c>
      <c r="E69" s="173"/>
    </row>
    <row r="70" spans="1:4" ht="15" customHeight="1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D69*B20/B18</f>
        <v>53431.50670402447</v>
      </c>
    </row>
    <row r="72" spans="1:4" ht="13.5" customHeight="1">
      <c r="A72" s="290" t="s">
        <v>28</v>
      </c>
      <c r="B72" s="290"/>
      <c r="C72" s="290"/>
      <c r="D72" s="66">
        <f>D69*B22/B18</f>
        <v>0</v>
      </c>
    </row>
    <row r="73" spans="1:4" ht="13.5" customHeight="1">
      <c r="A73" s="290" t="s">
        <v>29</v>
      </c>
      <c r="B73" s="290"/>
      <c r="C73" s="290"/>
      <c r="D73" s="66">
        <f>SUM(D75:D79)</f>
        <v>122502.61329597552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D69*B27/B18</f>
        <v>31655.262488391898</v>
      </c>
    </row>
    <row r="76" spans="1:4" ht="15">
      <c r="A76" s="290" t="s">
        <v>33</v>
      </c>
      <c r="B76" s="290"/>
      <c r="C76" s="290"/>
      <c r="D76" s="66">
        <f>D69*B28/B18</f>
        <v>39525.807607530856</v>
      </c>
    </row>
    <row r="77" spans="1:4" ht="15" customHeight="1">
      <c r="A77" s="290" t="s">
        <v>34</v>
      </c>
      <c r="B77" s="290"/>
      <c r="C77" s="290"/>
      <c r="D77" s="66"/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>
        <f>D69*B29/B18</f>
        <v>51321.543200052765</v>
      </c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39.75" customHeight="1">
      <c r="A82" s="31" t="s">
        <v>77</v>
      </c>
      <c r="B82" s="69" t="s">
        <v>84</v>
      </c>
      <c r="C82" s="70" t="s">
        <v>221</v>
      </c>
      <c r="D82" s="67" t="s">
        <v>85</v>
      </c>
    </row>
    <row r="83" spans="1:4" ht="19.5" customHeight="1">
      <c r="A83" s="31" t="s">
        <v>31</v>
      </c>
      <c r="B83" s="297" t="s">
        <v>86</v>
      </c>
      <c r="C83" s="70" t="s">
        <v>87</v>
      </c>
      <c r="D83" s="249" t="s">
        <v>716</v>
      </c>
    </row>
    <row r="84" spans="1:4" ht="21" customHeight="1">
      <c r="A84" s="31" t="s">
        <v>33</v>
      </c>
      <c r="B84" s="297"/>
      <c r="C84" s="70" t="s">
        <v>89</v>
      </c>
      <c r="D84" s="249" t="s">
        <v>716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2">
    <mergeCell ref="A78:C78"/>
    <mergeCell ref="A79:C79"/>
    <mergeCell ref="A80:D80"/>
    <mergeCell ref="B83:B84"/>
    <mergeCell ref="A72:C72"/>
    <mergeCell ref="A73:C73"/>
    <mergeCell ref="A74:C74"/>
    <mergeCell ref="A75:C75"/>
    <mergeCell ref="A76:C76"/>
    <mergeCell ref="A77:C77"/>
    <mergeCell ref="A48:D49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55">
      <selection activeCell="D85" sqref="D85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227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228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9375.02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9375.02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0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B20+B25</f>
        <v>912882.09</v>
      </c>
      <c r="C18" s="148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25"/>
      <c r="C19" s="148"/>
      <c r="D19" s="14"/>
      <c r="E19" s="1"/>
      <c r="F19" s="1"/>
      <c r="G19" s="1"/>
      <c r="H19" s="1"/>
    </row>
    <row r="20" spans="1:8" ht="15">
      <c r="A20" s="9" t="s">
        <v>220</v>
      </c>
      <c r="B20" s="16">
        <v>285954.48</v>
      </c>
      <c r="C20" s="105" t="s">
        <v>229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14628.6</v>
      </c>
      <c r="C21" s="19" t="s">
        <v>230</v>
      </c>
      <c r="D21" s="20"/>
      <c r="E21" s="17">
        <f>(0.36+0.9)*6*1935</f>
        <v>14628.6</v>
      </c>
      <c r="F21" s="1"/>
      <c r="G21" s="1"/>
      <c r="H21" s="1"/>
    </row>
    <row r="22" spans="1:8" ht="15.75">
      <c r="A22" s="9" t="s">
        <v>28</v>
      </c>
      <c r="B22" s="129">
        <v>0</v>
      </c>
      <c r="C22" s="107">
        <v>0</v>
      </c>
      <c r="D22" s="20"/>
      <c r="E22" s="17"/>
      <c r="F22" s="1"/>
      <c r="G22" s="1"/>
      <c r="H22" s="1"/>
    </row>
    <row r="23" spans="1:8" ht="15">
      <c r="A23" s="9" t="s">
        <v>149</v>
      </c>
      <c r="B23" s="106">
        <v>0</v>
      </c>
      <c r="C23" s="21">
        <v>0</v>
      </c>
      <c r="D23" s="20"/>
      <c r="E23" s="17"/>
      <c r="F23" s="1"/>
      <c r="G23" s="1"/>
      <c r="H23" s="1"/>
    </row>
    <row r="24" spans="1:8" ht="15.75">
      <c r="A24" s="9" t="s">
        <v>167</v>
      </c>
      <c r="B24" s="176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B27+B28+B29+B30</f>
        <v>626927.61</v>
      </c>
      <c r="C25" s="152" t="s">
        <v>19</v>
      </c>
      <c r="D25" s="20"/>
      <c r="E25" s="1"/>
      <c r="F25" s="1"/>
      <c r="G25" s="1"/>
      <c r="H25" s="1" t="s">
        <v>6</v>
      </c>
    </row>
    <row r="26" spans="1:8" ht="15">
      <c r="A26" s="9" t="s">
        <v>20</v>
      </c>
      <c r="B26" s="25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163117.27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202518.11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25">
        <v>0</v>
      </c>
      <c r="C29" s="152"/>
      <c r="D29" s="28"/>
      <c r="E29" s="17"/>
      <c r="F29" s="1"/>
      <c r="G29" s="1"/>
      <c r="H29" s="1"/>
    </row>
    <row r="30" spans="1:8" ht="15">
      <c r="A30" s="9" t="s">
        <v>35</v>
      </c>
      <c r="B30" s="16">
        <v>261292.23</v>
      </c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754759.4</v>
      </c>
      <c r="C31" s="13" t="s">
        <v>19</v>
      </c>
      <c r="D31" s="14" t="s">
        <v>19</v>
      </c>
      <c r="E31" s="1">
        <f>B31/B18</f>
        <v>0.8267873893768691</v>
      </c>
      <c r="F31" s="1"/>
      <c r="G31" s="1"/>
      <c r="H31" s="1"/>
    </row>
    <row r="32" spans="1:4" ht="15">
      <c r="A32" s="9" t="s">
        <v>77</v>
      </c>
      <c r="B32" s="18">
        <f>B20*E31</f>
        <v>236423.55799982013</v>
      </c>
      <c r="C32" s="13"/>
      <c r="D32" s="14"/>
    </row>
    <row r="33" spans="1:4" ht="15">
      <c r="A33" s="9" t="s">
        <v>28</v>
      </c>
      <c r="B33" s="18">
        <v>0</v>
      </c>
      <c r="C33" s="18" t="s">
        <v>6</v>
      </c>
      <c r="D33" s="14" t="s">
        <v>19</v>
      </c>
    </row>
    <row r="34" spans="1:4" ht="15">
      <c r="A34" s="9" t="s">
        <v>29</v>
      </c>
      <c r="B34" s="18">
        <f>B36+B37+B38+B39</f>
        <v>518335.8420001799</v>
      </c>
      <c r="C34" s="13" t="s">
        <v>19</v>
      </c>
      <c r="D34" s="14" t="s">
        <v>19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31</v>
      </c>
      <c r="B36" s="18">
        <f>B27*E31</f>
        <v>134863.30182558188</v>
      </c>
      <c r="C36" s="13" t="s">
        <v>19</v>
      </c>
      <c r="D36" s="14"/>
    </row>
    <row r="37" spans="1:4" ht="15">
      <c r="A37" s="9" t="s">
        <v>33</v>
      </c>
      <c r="B37" s="18">
        <f>B28*E31</f>
        <v>167439.4194684376</v>
      </c>
      <c r="C37" s="13" t="s">
        <v>19</v>
      </c>
      <c r="D37" s="14"/>
    </row>
    <row r="38" spans="1:4" ht="15">
      <c r="A38" s="9" t="s">
        <v>34</v>
      </c>
      <c r="B38" s="18">
        <v>0</v>
      </c>
      <c r="C38" s="13"/>
      <c r="D38" s="14"/>
    </row>
    <row r="39" spans="1:4" ht="15">
      <c r="A39" s="9" t="s">
        <v>35</v>
      </c>
      <c r="B39" s="18">
        <f>B30*E31</f>
        <v>216033.12070616047</v>
      </c>
      <c r="C39" s="13"/>
      <c r="D39" s="14"/>
    </row>
    <row r="40" spans="1:4" ht="15">
      <c r="A40" s="9"/>
      <c r="B40" s="18"/>
      <c r="C40" s="13"/>
      <c r="D40" s="14"/>
    </row>
    <row r="41" spans="1:4" ht="38.25">
      <c r="A41" s="11" t="s">
        <v>40</v>
      </c>
      <c r="B41" s="18">
        <f>B43+B44+B45</f>
        <v>302302.7212940195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B36</f>
        <v>134863.30182558188</v>
      </c>
      <c r="C43" s="13"/>
      <c r="D43" s="14"/>
    </row>
    <row r="44" spans="1:4" ht="15">
      <c r="A44" s="9" t="s">
        <v>33</v>
      </c>
      <c r="B44" s="18">
        <f>B37</f>
        <v>167439.4194684376</v>
      </c>
      <c r="C44" s="13"/>
      <c r="D44" s="14"/>
    </row>
    <row r="45" spans="1:4" ht="15">
      <c r="A45" s="9" t="s">
        <v>34</v>
      </c>
      <c r="B45" s="18">
        <f>B38</f>
        <v>0</v>
      </c>
      <c r="C45" s="13"/>
      <c r="D45" s="14"/>
    </row>
    <row r="46" spans="1:4" ht="15">
      <c r="A46" s="9" t="s">
        <v>35</v>
      </c>
      <c r="B46" s="18">
        <f>B39</f>
        <v>216033.12070616047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179" t="s">
        <v>112</v>
      </c>
      <c r="B52" s="180" t="s">
        <v>47</v>
      </c>
      <c r="C52" s="19" t="s">
        <v>231</v>
      </c>
      <c r="D52" s="155">
        <f>(0.21+0.42)*6*1935</f>
        <v>7314.3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179" t="s">
        <v>49</v>
      </c>
      <c r="B53" s="180" t="s">
        <v>50</v>
      </c>
      <c r="C53" s="156" t="s">
        <v>51</v>
      </c>
      <c r="D53" s="155">
        <f>(2.1+2.23)*6*1935</f>
        <v>50271.3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179" t="s">
        <v>52</v>
      </c>
      <c r="B54" s="180" t="s">
        <v>50</v>
      </c>
      <c r="C54" s="156" t="s">
        <v>53</v>
      </c>
      <c r="D54" s="155">
        <f>(1.2+2)*6*1935</f>
        <v>37152.00000000001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179" t="s">
        <v>54</v>
      </c>
      <c r="B55" s="180" t="s">
        <v>47</v>
      </c>
      <c r="C55" s="156" t="s">
        <v>55</v>
      </c>
      <c r="D55" s="155">
        <f>(0.2+0.21)*6*1935</f>
        <v>4760.1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179" t="s">
        <v>56</v>
      </c>
      <c r="B56" s="162" t="s">
        <v>719</v>
      </c>
      <c r="C56" s="40" t="s">
        <v>232</v>
      </c>
      <c r="D56" s="155">
        <f>(1.47+1.12)*6*1935-4760.22+0.3</f>
        <v>25309.979999999996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179" t="s">
        <v>115</v>
      </c>
      <c r="B57" s="162" t="s">
        <v>47</v>
      </c>
      <c r="C57" s="40" t="s">
        <v>210</v>
      </c>
      <c r="D57" s="155">
        <f>(0.25+0.26)*6*1935</f>
        <v>5921.1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179" t="s">
        <v>63</v>
      </c>
      <c r="B58" s="162" t="s">
        <v>64</v>
      </c>
      <c r="C58" s="40" t="s">
        <v>65</v>
      </c>
      <c r="D58" s="155">
        <f>(1.14+1.21)*6*1935</f>
        <v>27283.499999999996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179" t="s">
        <v>66</v>
      </c>
      <c r="B59" s="162" t="s">
        <v>67</v>
      </c>
      <c r="C59" s="40">
        <v>4.88</v>
      </c>
      <c r="D59" s="155">
        <f>4.88*12*1935</f>
        <v>113313.6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181" t="s">
        <v>68</v>
      </c>
      <c r="B60" s="182"/>
      <c r="C60" s="158"/>
      <c r="D60" s="159">
        <f>SUM(D52:D59)</f>
        <v>271325.88</v>
      </c>
      <c r="E60" s="34">
        <f>D60+B21</f>
        <v>285954.48</v>
      </c>
      <c r="F60" s="41"/>
      <c r="G60" s="1"/>
      <c r="H60" s="50">
        <f>E60-B20</f>
        <v>0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</f>
        <v>11717</v>
      </c>
      <c r="E61" s="34"/>
      <c r="F61" s="41"/>
      <c r="G61" s="1"/>
      <c r="H61" s="50"/>
      <c r="I61" s="37"/>
      <c r="J61" s="37"/>
      <c r="K61" s="37"/>
      <c r="L61" s="37"/>
      <c r="M61" s="37"/>
      <c r="N61" s="37"/>
    </row>
    <row r="62" spans="1:14" ht="15.75">
      <c r="A62" s="51" t="s">
        <v>233</v>
      </c>
      <c r="B62" s="52"/>
      <c r="C62" s="53"/>
      <c r="D62" s="54">
        <v>11717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54">
        <f>D60+D61</f>
        <v>283042.88</v>
      </c>
      <c r="E63" s="34"/>
      <c r="F63" s="45"/>
      <c r="G63" s="1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60">
        <f>D65</f>
        <v>0</v>
      </c>
      <c r="E64" s="61"/>
      <c r="F64" s="1"/>
      <c r="G64" s="1"/>
      <c r="H64" s="34"/>
    </row>
    <row r="65" spans="1:8" ht="13.5" customHeight="1">
      <c r="A65" s="145"/>
      <c r="B65" s="145"/>
      <c r="C65" s="146"/>
      <c r="D65" s="60">
        <v>0</v>
      </c>
      <c r="E65" s="61"/>
      <c r="F65" s="1"/>
      <c r="G65" s="1"/>
      <c r="H65" s="34"/>
    </row>
    <row r="66" spans="1:5" ht="25.5" customHeight="1">
      <c r="A66" s="293" t="s">
        <v>73</v>
      </c>
      <c r="B66" s="293"/>
      <c r="C66" s="293"/>
      <c r="D66" s="60">
        <f>D67+D68</f>
        <v>12286.620000000003</v>
      </c>
      <c r="E66" s="173"/>
    </row>
    <row r="67" spans="1:5" ht="15.75">
      <c r="A67" s="62" t="s">
        <v>74</v>
      </c>
      <c r="B67" s="63"/>
      <c r="C67" s="64"/>
      <c r="D67" s="60">
        <f>B16+B21-D61</f>
        <v>12286.620000000003</v>
      </c>
      <c r="E67" s="173"/>
    </row>
    <row r="68" spans="1:5" ht="15.75">
      <c r="A68" s="63" t="s">
        <v>75</v>
      </c>
      <c r="B68" s="63"/>
      <c r="C68" s="64"/>
      <c r="D68" s="60">
        <f>B17+B23-D64</f>
        <v>0</v>
      </c>
      <c r="E68" s="173"/>
    </row>
    <row r="69" spans="1:5" ht="13.5" customHeight="1">
      <c r="A69" s="294" t="s">
        <v>76</v>
      </c>
      <c r="B69" s="294"/>
      <c r="C69" s="294"/>
      <c r="D69" s="65">
        <v>161786.63</v>
      </c>
      <c r="E69" s="173"/>
    </row>
    <row r="70" spans="1:4" ht="15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D69*B20/B18</f>
        <v>50678.62778708081</v>
      </c>
    </row>
    <row r="72" spans="1:4" ht="13.5" customHeight="1">
      <c r="A72" s="290" t="s">
        <v>28</v>
      </c>
      <c r="B72" s="290"/>
      <c r="C72" s="290"/>
      <c r="D72" s="66">
        <f>D69*B22/B18</f>
        <v>0</v>
      </c>
    </row>
    <row r="73" spans="1:4" ht="13.5" customHeight="1">
      <c r="A73" s="290" t="s">
        <v>29</v>
      </c>
      <c r="B73" s="290"/>
      <c r="C73" s="290"/>
      <c r="D73" s="66">
        <f>SUM(D75:D79)</f>
        <v>111108.00221291921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D69*B27/B18</f>
        <v>28908.655013814652</v>
      </c>
    </row>
    <row r="76" spans="1:4" ht="15">
      <c r="A76" s="290" t="s">
        <v>33</v>
      </c>
      <c r="B76" s="290"/>
      <c r="C76" s="290"/>
      <c r="D76" s="66">
        <f>D69*B28/B18</f>
        <v>35891.516428884366</v>
      </c>
    </row>
    <row r="77" spans="1:4" ht="15" customHeight="1">
      <c r="A77" s="290" t="s">
        <v>34</v>
      </c>
      <c r="B77" s="290"/>
      <c r="C77" s="290"/>
      <c r="D77" s="66">
        <f>D69*E28</f>
        <v>0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>
        <f>D69*B30/B18</f>
        <v>46307.83077022018</v>
      </c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43.5" customHeight="1">
      <c r="A82" s="72" t="s">
        <v>77</v>
      </c>
      <c r="B82" s="69" t="s">
        <v>84</v>
      </c>
      <c r="C82" s="147" t="s">
        <v>229</v>
      </c>
      <c r="D82" s="67" t="s">
        <v>85</v>
      </c>
    </row>
    <row r="83" spans="1:4" ht="19.5" customHeight="1">
      <c r="A83" s="31" t="s">
        <v>31</v>
      </c>
      <c r="B83" s="297" t="s">
        <v>86</v>
      </c>
      <c r="C83" s="70" t="s">
        <v>87</v>
      </c>
      <c r="D83" s="249" t="s">
        <v>716</v>
      </c>
    </row>
    <row r="84" spans="1:4" ht="21" customHeight="1">
      <c r="A84" s="31" t="s">
        <v>33</v>
      </c>
      <c r="B84" s="297"/>
      <c r="C84" s="70" t="s">
        <v>89</v>
      </c>
      <c r="D84" s="249" t="s">
        <v>716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2">
    <mergeCell ref="A78:C78"/>
    <mergeCell ref="A79:C79"/>
    <mergeCell ref="A80:D80"/>
    <mergeCell ref="B83:B84"/>
    <mergeCell ref="A72:C72"/>
    <mergeCell ref="A73:C73"/>
    <mergeCell ref="A74:C74"/>
    <mergeCell ref="A75:C75"/>
    <mergeCell ref="A76:C76"/>
    <mergeCell ref="A77:C77"/>
    <mergeCell ref="A48:D49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70">
      <selection activeCell="D88" sqref="D88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234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235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8" ht="12.75">
      <c r="A12" s="2"/>
      <c r="C12" s="6" t="s">
        <v>10</v>
      </c>
      <c r="H12" s="183"/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-3090.57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-3090.57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0</v>
      </c>
      <c r="C17" s="175" t="s">
        <v>19</v>
      </c>
      <c r="D17" s="14"/>
      <c r="E17" s="1"/>
      <c r="F17" s="1"/>
      <c r="G17" s="1"/>
      <c r="H17" s="149">
        <f>H18-B20</f>
        <v>2054.3139999999985</v>
      </c>
    </row>
    <row r="18" spans="1:8" ht="25.5">
      <c r="A18" s="11" t="s">
        <v>18</v>
      </c>
      <c r="B18" s="16">
        <f>B20+B24+B25</f>
        <v>240516.89999999997</v>
      </c>
      <c r="C18" s="148" t="s">
        <v>19</v>
      </c>
      <c r="D18" s="14" t="s">
        <v>19</v>
      </c>
      <c r="E18" s="17"/>
      <c r="F18" s="1"/>
      <c r="G18" s="1"/>
      <c r="H18" s="1">
        <f>(E19+H19)*6</f>
        <v>59597.244</v>
      </c>
    </row>
    <row r="19" spans="1:8" ht="15">
      <c r="A19" s="9" t="s">
        <v>20</v>
      </c>
      <c r="B19" s="25"/>
      <c r="C19" s="148"/>
      <c r="D19" s="14"/>
      <c r="E19" s="1">
        <f>E20+E21+E22</f>
        <v>4829.138</v>
      </c>
      <c r="F19" s="1"/>
      <c r="G19" s="1"/>
      <c r="H19" s="1">
        <f>H20+H21+H22</f>
        <v>5103.736</v>
      </c>
    </row>
    <row r="20" spans="1:8" ht="15">
      <c r="A20" s="9" t="s">
        <v>236</v>
      </c>
      <c r="B20" s="16">
        <v>57542.93</v>
      </c>
      <c r="C20" s="105" t="s">
        <v>237</v>
      </c>
      <c r="D20" s="14"/>
      <c r="E20" s="1">
        <f>11.98*50.5</f>
        <v>604.99</v>
      </c>
      <c r="F20" s="1"/>
      <c r="G20" s="1"/>
      <c r="H20" s="1">
        <f>13.42*50.5</f>
        <v>677.71</v>
      </c>
    </row>
    <row r="21" spans="1:8" ht="15">
      <c r="A21" s="9" t="s">
        <v>238</v>
      </c>
      <c r="B21" s="16"/>
      <c r="C21" s="105" t="s">
        <v>239</v>
      </c>
      <c r="D21" s="14"/>
      <c r="E21" s="1">
        <f>11.98*52.6</f>
        <v>630.148</v>
      </c>
      <c r="F21" s="1"/>
      <c r="G21" s="1"/>
      <c r="H21" s="1">
        <f>12.51*52.6</f>
        <v>658.026</v>
      </c>
    </row>
    <row r="22" spans="1:8" ht="15">
      <c r="A22" s="9" t="s">
        <v>240</v>
      </c>
      <c r="B22" s="16"/>
      <c r="C22" s="105" t="s">
        <v>241</v>
      </c>
      <c r="D22" s="14"/>
      <c r="E22" s="1">
        <f>11.98*300</f>
        <v>3594</v>
      </c>
      <c r="F22" s="1"/>
      <c r="G22" s="1"/>
      <c r="H22" s="1">
        <f>12.56*300</f>
        <v>3768</v>
      </c>
    </row>
    <row r="23" spans="1:8" ht="15">
      <c r="A23" s="9" t="s">
        <v>147</v>
      </c>
      <c r="B23" s="16">
        <v>725.58</v>
      </c>
      <c r="C23" s="21" t="s">
        <v>242</v>
      </c>
      <c r="D23" s="20"/>
      <c r="E23" s="17">
        <f>(0.01+0.29)*6*403.1</f>
        <v>725.5799999999999</v>
      </c>
      <c r="F23" s="1"/>
      <c r="G23" s="1"/>
      <c r="H23" s="1"/>
    </row>
    <row r="24" spans="1:8" ht="15.75">
      <c r="A24" s="9" t="s">
        <v>28</v>
      </c>
      <c r="B24" s="118">
        <v>0</v>
      </c>
      <c r="C24" s="151">
        <v>0</v>
      </c>
      <c r="D24" s="20"/>
      <c r="E24" s="17"/>
      <c r="F24" s="1"/>
      <c r="G24" s="1"/>
      <c r="H24" s="1"/>
    </row>
    <row r="25" spans="1:8" ht="15">
      <c r="A25" s="9" t="s">
        <v>29</v>
      </c>
      <c r="B25" s="16">
        <f>B27+B28+B29</f>
        <v>182973.96999999997</v>
      </c>
      <c r="C25" s="184" t="s">
        <v>19</v>
      </c>
      <c r="D25" s="20"/>
      <c r="E25" s="17"/>
      <c r="F25" s="1"/>
      <c r="G25" s="1"/>
      <c r="H25" s="1"/>
    </row>
    <row r="26" spans="1:8" ht="15.75">
      <c r="A26" s="9" t="s">
        <v>20</v>
      </c>
      <c r="B26" s="120"/>
      <c r="C26" s="185"/>
      <c r="D26" s="20" t="s">
        <v>30</v>
      </c>
      <c r="E26" s="1"/>
      <c r="F26" s="1"/>
      <c r="G26" s="1"/>
      <c r="H26" s="1"/>
    </row>
    <row r="27" spans="1:8" ht="15">
      <c r="A27" s="9" t="s">
        <v>31</v>
      </c>
      <c r="B27" s="16">
        <v>22632.28</v>
      </c>
      <c r="C27" s="184" t="s">
        <v>19</v>
      </c>
      <c r="D27" s="20"/>
      <c r="E27" s="1"/>
      <c r="F27" s="1"/>
      <c r="G27" s="1"/>
      <c r="H27" s="1"/>
    </row>
    <row r="28" spans="1:8" ht="15">
      <c r="A28" s="9" t="s">
        <v>33</v>
      </c>
      <c r="B28" s="16">
        <v>24700.08</v>
      </c>
      <c r="C28" s="184" t="s">
        <v>19</v>
      </c>
      <c r="D28" s="27" t="s">
        <v>32</v>
      </c>
      <c r="E28" s="17"/>
      <c r="F28" s="1"/>
      <c r="G28" s="1"/>
      <c r="H28" s="1"/>
    </row>
    <row r="29" spans="1:8" ht="15">
      <c r="A29" s="9" t="s">
        <v>34</v>
      </c>
      <c r="B29" s="16">
        <v>135641.61</v>
      </c>
      <c r="C29" s="184"/>
      <c r="D29" s="27" t="s">
        <v>32</v>
      </c>
      <c r="E29" s="17"/>
      <c r="F29" s="1"/>
      <c r="G29" s="1"/>
      <c r="H29" s="1"/>
    </row>
    <row r="30" spans="1:8" ht="15">
      <c r="A30" s="9" t="s">
        <v>35</v>
      </c>
      <c r="B30" s="16"/>
      <c r="C30" s="184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148691.62</v>
      </c>
      <c r="C31" s="13" t="s">
        <v>19</v>
      </c>
      <c r="D31" s="14" t="s">
        <v>19</v>
      </c>
      <c r="E31" s="1">
        <f>B31/B18</f>
        <v>0.6182169319494806</v>
      </c>
      <c r="F31" s="1"/>
      <c r="G31" s="1"/>
      <c r="H31" s="1"/>
    </row>
    <row r="32" spans="1:8" ht="15">
      <c r="A32" s="9" t="s">
        <v>77</v>
      </c>
      <c r="B32" s="18">
        <f>B20*E31</f>
        <v>35574.01363998372</v>
      </c>
      <c r="C32" s="13"/>
      <c r="D32" s="14"/>
      <c r="H32" t="s">
        <v>6</v>
      </c>
    </row>
    <row r="33" spans="1:4" ht="15">
      <c r="A33" s="9" t="s">
        <v>28</v>
      </c>
      <c r="B33" s="18">
        <f>B24*E31</f>
        <v>0</v>
      </c>
      <c r="C33" s="18" t="s">
        <v>6</v>
      </c>
      <c r="D33" s="14" t="s">
        <v>19</v>
      </c>
    </row>
    <row r="34" spans="1:4" ht="15">
      <c r="A34" s="9" t="s">
        <v>29</v>
      </c>
      <c r="B34" s="18">
        <f>B36+B37+B38</f>
        <v>113117.6063600163</v>
      </c>
      <c r="C34" s="13" t="s">
        <v>19</v>
      </c>
      <c r="D34" s="14" t="s">
        <v>19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31</v>
      </c>
      <c r="B36" s="18">
        <f>B27*E31</f>
        <v>13991.65870462159</v>
      </c>
      <c r="C36" s="13" t="s">
        <v>19</v>
      </c>
      <c r="D36" s="14"/>
    </row>
    <row r="37" spans="1:4" ht="15">
      <c r="A37" s="9" t="s">
        <v>33</v>
      </c>
      <c r="B37" s="18">
        <f>B28*E31</f>
        <v>15270.007676506728</v>
      </c>
      <c r="C37" s="13" t="s">
        <v>19</v>
      </c>
      <c r="D37" s="14"/>
    </row>
    <row r="38" spans="1:4" ht="15">
      <c r="A38" s="9" t="s">
        <v>34</v>
      </c>
      <c r="B38" s="18">
        <f>B29*E31</f>
        <v>83855.93997888798</v>
      </c>
      <c r="C38" s="13"/>
      <c r="D38" s="14"/>
    </row>
    <row r="39" spans="1:4" ht="15">
      <c r="A39" s="9" t="s">
        <v>35</v>
      </c>
      <c r="B39" s="18">
        <v>0</v>
      </c>
      <c r="C39" s="13"/>
      <c r="D39" s="14"/>
    </row>
    <row r="40" spans="1:4" ht="38.25">
      <c r="A40" s="11" t="s">
        <v>40</v>
      </c>
      <c r="B40" s="18">
        <f>B42+B43+B44</f>
        <v>113117.6063600163</v>
      </c>
      <c r="C40" s="13" t="s">
        <v>19</v>
      </c>
      <c r="D40" s="14" t="s">
        <v>19</v>
      </c>
    </row>
    <row r="41" spans="1:4" ht="15">
      <c r="A41" s="9" t="s">
        <v>20</v>
      </c>
      <c r="B41" s="18"/>
      <c r="C41" s="13"/>
      <c r="D41" s="14"/>
    </row>
    <row r="42" spans="1:4" ht="15">
      <c r="A42" s="9" t="s">
        <v>31</v>
      </c>
      <c r="B42" s="18">
        <f>B36</f>
        <v>13991.65870462159</v>
      </c>
      <c r="C42" s="13"/>
      <c r="D42" s="14"/>
    </row>
    <row r="43" spans="1:4" ht="15">
      <c r="A43" s="9" t="s">
        <v>33</v>
      </c>
      <c r="B43" s="18">
        <f>B37</f>
        <v>15270.007676506728</v>
      </c>
      <c r="C43" s="13"/>
      <c r="D43" s="14"/>
    </row>
    <row r="44" spans="1:4" ht="15">
      <c r="A44" s="9" t="s">
        <v>34</v>
      </c>
      <c r="B44" s="18">
        <f>B38</f>
        <v>83855.93997888798</v>
      </c>
      <c r="C44" s="13"/>
      <c r="D44" s="14"/>
    </row>
    <row r="45" spans="1:4" ht="15">
      <c r="A45" s="9" t="s">
        <v>35</v>
      </c>
      <c r="B45" s="18">
        <v>0</v>
      </c>
      <c r="C45" s="13" t="s">
        <v>19</v>
      </c>
      <c r="D45" s="14"/>
    </row>
    <row r="46" ht="12.75">
      <c r="A46" s="4"/>
    </row>
    <row r="47" spans="1:10" ht="13.5" customHeight="1">
      <c r="A47" s="291" t="s">
        <v>41</v>
      </c>
      <c r="B47" s="291"/>
      <c r="C47" s="291"/>
      <c r="D47" s="291"/>
      <c r="I47" s="30"/>
      <c r="J47" s="30"/>
    </row>
    <row r="48" spans="1:10" ht="9" customHeight="1">
      <c r="A48" s="291"/>
      <c r="B48" s="291"/>
      <c r="C48" s="291"/>
      <c r="D48" s="291"/>
      <c r="I48" s="4"/>
      <c r="J48" s="4"/>
    </row>
    <row r="49" spans="1:10" ht="12.75">
      <c r="A49" s="4"/>
      <c r="C49" s="6" t="s">
        <v>10</v>
      </c>
      <c r="I49" s="4"/>
      <c r="J49" s="4"/>
    </row>
    <row r="50" spans="1:14" ht="66.75" customHeight="1">
      <c r="A50" s="8" t="s">
        <v>42</v>
      </c>
      <c r="B50" s="8" t="s">
        <v>43</v>
      </c>
      <c r="C50" s="8" t="s">
        <v>44</v>
      </c>
      <c r="D50" s="248" t="s">
        <v>715</v>
      </c>
      <c r="E50" s="29"/>
      <c r="I50" s="3"/>
      <c r="J50" s="3"/>
      <c r="K50" s="3"/>
      <c r="L50" s="3"/>
      <c r="M50" s="3"/>
      <c r="N50" s="3"/>
    </row>
    <row r="51" spans="1:14" ht="15">
      <c r="A51" s="31" t="s">
        <v>112</v>
      </c>
      <c r="B51" s="32" t="s">
        <v>47</v>
      </c>
      <c r="C51" s="19" t="s">
        <v>48</v>
      </c>
      <c r="D51" s="33">
        <f>(0.14+0.15)*6*403.1</f>
        <v>701.3940000000001</v>
      </c>
      <c r="E51" s="34">
        <f>347.32*12</f>
        <v>4167.84</v>
      </c>
      <c r="F51" s="35"/>
      <c r="G51" s="36"/>
      <c r="H51" s="1"/>
      <c r="I51" s="37"/>
      <c r="J51" s="37"/>
      <c r="K51" s="37"/>
      <c r="L51" s="37"/>
      <c r="M51" s="37"/>
      <c r="N51" s="37"/>
    </row>
    <row r="52" spans="1:14" ht="15">
      <c r="A52" s="31" t="s">
        <v>49</v>
      </c>
      <c r="B52" s="32" t="s">
        <v>50</v>
      </c>
      <c r="C52" s="156" t="s">
        <v>51</v>
      </c>
      <c r="D52" s="33">
        <f>(2.1+2.23)*6*403.1</f>
        <v>10472.538</v>
      </c>
      <c r="E52" s="34">
        <f aca="true" t="shared" si="0" ref="E52:E59">347.32*12</f>
        <v>4167.84</v>
      </c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52</v>
      </c>
      <c r="B53" s="32" t="s">
        <v>50</v>
      </c>
      <c r="C53" s="156" t="s">
        <v>53</v>
      </c>
      <c r="D53" s="33">
        <f>(1.2+2)*6*403.1</f>
        <v>7739.520000000001</v>
      </c>
      <c r="E53" s="34">
        <f t="shared" si="0"/>
        <v>4167.84</v>
      </c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54</v>
      </c>
      <c r="B54" s="32" t="s">
        <v>47</v>
      </c>
      <c r="C54" s="156" t="s">
        <v>136</v>
      </c>
      <c r="D54" s="33">
        <f>(0.41+0.43)*6*403.1</f>
        <v>2031.624</v>
      </c>
      <c r="E54" s="34">
        <f t="shared" si="0"/>
        <v>4167.84</v>
      </c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56</v>
      </c>
      <c r="B55" s="251" t="s">
        <v>47</v>
      </c>
      <c r="C55" s="40" t="s">
        <v>243</v>
      </c>
      <c r="D55" s="33">
        <f>(0.6+0.64)*6*403.1-324.9</f>
        <v>2674.1639999999998</v>
      </c>
      <c r="E55" s="34">
        <f t="shared" si="0"/>
        <v>4167.84</v>
      </c>
      <c r="F55" s="41"/>
      <c r="G55" s="42"/>
      <c r="H55" s="43">
        <f>347.18*12</f>
        <v>4166.16</v>
      </c>
      <c r="I55" s="37"/>
      <c r="J55" s="37"/>
      <c r="K55" s="37"/>
      <c r="L55" s="37"/>
      <c r="M55" s="37"/>
      <c r="N55" s="37"/>
    </row>
    <row r="56" spans="1:14" ht="15">
      <c r="A56" s="31" t="s">
        <v>244</v>
      </c>
      <c r="B56" s="39" t="s">
        <v>47</v>
      </c>
      <c r="C56" s="40" t="s">
        <v>245</v>
      </c>
      <c r="D56" s="33">
        <f>(0.64+0.68)*6*52.6</f>
        <v>416.592</v>
      </c>
      <c r="E56" s="34">
        <f t="shared" si="0"/>
        <v>4167.84</v>
      </c>
      <c r="F56" s="41"/>
      <c r="G56" s="42"/>
      <c r="H56" s="1"/>
      <c r="I56" s="37"/>
      <c r="J56" s="37"/>
      <c r="K56" s="37"/>
      <c r="L56" s="37"/>
      <c r="M56" s="37"/>
      <c r="N56" s="37"/>
    </row>
    <row r="57" spans="1:14" ht="15">
      <c r="A57" s="31" t="s">
        <v>246</v>
      </c>
      <c r="B57" s="39"/>
      <c r="C57" s="40" t="s">
        <v>60</v>
      </c>
      <c r="D57" s="33">
        <f>(0.69+0.73)*6*350.5</f>
        <v>2986.2599999999998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65</v>
      </c>
      <c r="D58" s="33">
        <f>(1.14+1.21)*6*403.1</f>
        <v>5683.709999999999</v>
      </c>
      <c r="E58" s="34">
        <f t="shared" si="0"/>
        <v>4167.84</v>
      </c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33">
        <f>4.88*12*403.1</f>
        <v>23605.536000000004</v>
      </c>
      <c r="E59" s="34">
        <f t="shared" si="0"/>
        <v>4167.84</v>
      </c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247</v>
      </c>
      <c r="B60" s="39"/>
      <c r="C60" s="40" t="s">
        <v>248</v>
      </c>
      <c r="D60" s="33">
        <f>(0.81+0.86)*6*50.5</f>
        <v>506.01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SUM(D51:D60)</f>
        <v>56817.348000000005</v>
      </c>
      <c r="E61" s="186">
        <f>D61+B23</f>
        <v>57542.92800000001</v>
      </c>
      <c r="F61" s="187"/>
      <c r="G61" s="188" t="s">
        <v>193</v>
      </c>
      <c r="H61" s="50">
        <f>E61-B20</f>
        <v>-0.001999999993131496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2344.66</v>
      </c>
      <c r="E62" s="34"/>
      <c r="F62" s="41"/>
      <c r="G62" s="1"/>
      <c r="H62" s="50">
        <v>2054.35</v>
      </c>
      <c r="I62" s="37"/>
      <c r="J62" s="37"/>
      <c r="K62" s="37"/>
      <c r="L62" s="37"/>
      <c r="M62" s="37"/>
      <c r="N62" s="37"/>
    </row>
    <row r="63" spans="1:14" ht="15.75">
      <c r="A63" s="51" t="s">
        <v>249</v>
      </c>
      <c r="B63" s="52"/>
      <c r="C63" s="53"/>
      <c r="D63" s="122">
        <v>2344.66</v>
      </c>
      <c r="E63" s="34"/>
      <c r="F63" s="41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D61+D62</f>
        <v>59162.008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F65" s="1"/>
      <c r="G65" s="1"/>
      <c r="H65" s="34">
        <f>347.32*12</f>
        <v>4167.84</v>
      </c>
    </row>
    <row r="66" spans="1:8" ht="13.5" customHeight="1">
      <c r="A66" s="145"/>
      <c r="B66" s="145"/>
      <c r="C66" s="146"/>
      <c r="D66" s="124">
        <v>0</v>
      </c>
      <c r="E66" s="61"/>
      <c r="F66" s="1"/>
      <c r="G66" s="1"/>
      <c r="H66" s="34"/>
    </row>
    <row r="67" spans="1:5" ht="25.5" customHeight="1">
      <c r="A67" s="293" t="s">
        <v>73</v>
      </c>
      <c r="B67" s="293"/>
      <c r="C67" s="293"/>
      <c r="D67" s="124">
        <f>D68+D69</f>
        <v>-4709.65</v>
      </c>
      <c r="E67" s="173"/>
    </row>
    <row r="68" spans="1:5" ht="15.75">
      <c r="A68" s="189" t="s">
        <v>74</v>
      </c>
      <c r="B68" s="190"/>
      <c r="C68" s="191"/>
      <c r="D68" s="124">
        <f>B16+B23-D62</f>
        <v>-4709.65</v>
      </c>
      <c r="E68" s="173"/>
    </row>
    <row r="69" spans="1:5" ht="15.75">
      <c r="A69" s="190" t="s">
        <v>75</v>
      </c>
      <c r="B69" s="190"/>
      <c r="C69" s="191"/>
      <c r="D69" s="124">
        <f>B17+B24-D65</f>
        <v>0</v>
      </c>
      <c r="E69" s="173"/>
    </row>
    <row r="70" spans="1:5" ht="13.5" customHeight="1">
      <c r="A70" s="294" t="s">
        <v>76</v>
      </c>
      <c r="B70" s="294"/>
      <c r="C70" s="294"/>
      <c r="D70" s="192">
        <v>233038.4</v>
      </c>
      <c r="E70" s="173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55753.72183207085</v>
      </c>
    </row>
    <row r="73" spans="1:4" ht="13.5" customHeight="1">
      <c r="A73" s="290" t="s">
        <v>28</v>
      </c>
      <c r="B73" s="290"/>
      <c r="C73" s="290"/>
      <c r="D73" s="66">
        <f>D70*B24/B18</f>
        <v>0</v>
      </c>
    </row>
    <row r="74" spans="1:4" ht="13.5" customHeight="1">
      <c r="A74" s="290" t="s">
        <v>29</v>
      </c>
      <c r="B74" s="290"/>
      <c r="C74" s="290"/>
      <c r="D74" s="66">
        <f>SUM(D76:D78)</f>
        <v>177284.67816792917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21928.5643526588</v>
      </c>
    </row>
    <row r="77" spans="1:4" ht="15">
      <c r="A77" s="290" t="s">
        <v>33</v>
      </c>
      <c r="B77" s="290"/>
      <c r="C77" s="290"/>
      <c r="D77" s="66">
        <f>D70*B28/B18</f>
        <v>23932.069318505273</v>
      </c>
    </row>
    <row r="78" spans="1:4" ht="15" customHeight="1">
      <c r="A78" s="290" t="s">
        <v>34</v>
      </c>
      <c r="B78" s="290"/>
      <c r="C78" s="290"/>
      <c r="D78" s="66">
        <f>D70*B29/B18</f>
        <v>131424.0444967651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12.75" customHeight="1">
      <c r="A83" s="31" t="s">
        <v>236</v>
      </c>
      <c r="B83" s="306" t="s">
        <v>84</v>
      </c>
      <c r="C83" s="70" t="s">
        <v>237</v>
      </c>
      <c r="D83" s="307" t="s">
        <v>85</v>
      </c>
    </row>
    <row r="84" spans="1:4" ht="12.75" customHeight="1">
      <c r="A84" s="31" t="s">
        <v>238</v>
      </c>
      <c r="B84" s="306"/>
      <c r="C84" s="70" t="s">
        <v>239</v>
      </c>
      <c r="D84" s="307"/>
    </row>
    <row r="85" spans="1:4" ht="12.75" customHeight="1">
      <c r="A85" s="31" t="s">
        <v>240</v>
      </c>
      <c r="B85" s="306"/>
      <c r="C85" s="70" t="s">
        <v>241</v>
      </c>
      <c r="D85" s="307"/>
    </row>
    <row r="86" spans="1:4" ht="19.5" customHeight="1">
      <c r="A86" s="31" t="s">
        <v>31</v>
      </c>
      <c r="B86" s="297" t="s">
        <v>86</v>
      </c>
      <c r="C86" s="70" t="s">
        <v>87</v>
      </c>
      <c r="D86" s="249" t="s">
        <v>716</v>
      </c>
    </row>
    <row r="87" spans="1:4" ht="21" customHeight="1">
      <c r="A87" s="31" t="s">
        <v>33</v>
      </c>
      <c r="B87" s="297"/>
      <c r="C87" s="70" t="s">
        <v>89</v>
      </c>
      <c r="D87" s="249" t="s">
        <v>716</v>
      </c>
    </row>
    <row r="88" spans="1:4" ht="39.75" customHeight="1">
      <c r="A88" s="31" t="s">
        <v>34</v>
      </c>
      <c r="B88" s="170" t="s">
        <v>90</v>
      </c>
      <c r="C88" s="147" t="s">
        <v>91</v>
      </c>
      <c r="D88" s="71" t="s">
        <v>92</v>
      </c>
    </row>
    <row r="90" ht="12.75">
      <c r="A90" t="s">
        <v>93</v>
      </c>
    </row>
    <row r="92" ht="12.75">
      <c r="A92" t="s">
        <v>95</v>
      </c>
    </row>
  </sheetData>
  <sheetProtection selectLockedCells="1" selectUnlockedCells="1"/>
  <mergeCells count="24">
    <mergeCell ref="A79:C79"/>
    <mergeCell ref="A80:C80"/>
    <mergeCell ref="A81:D81"/>
    <mergeCell ref="B83:B85"/>
    <mergeCell ref="D83:D85"/>
    <mergeCell ref="B86:B87"/>
    <mergeCell ref="A73:C73"/>
    <mergeCell ref="A74:C74"/>
    <mergeCell ref="A75:C75"/>
    <mergeCell ref="A76:C76"/>
    <mergeCell ref="A77:C77"/>
    <mergeCell ref="A78:C78"/>
    <mergeCell ref="A47:D48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64">
      <selection activeCell="D91" sqref="D9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250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251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spans="1:2" ht="12.75">
      <c r="A10" s="4"/>
      <c r="B10" t="s">
        <v>252</v>
      </c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-10932.57</v>
      </c>
      <c r="C15" s="13"/>
      <c r="D15" s="14"/>
      <c r="E15" s="128"/>
      <c r="F15" s="128"/>
      <c r="G15" s="128"/>
      <c r="H15" s="128"/>
    </row>
    <row r="16" spans="1:8" ht="15.75">
      <c r="A16" s="15" t="s">
        <v>16</v>
      </c>
      <c r="B16" s="12">
        <v>2405.9</v>
      </c>
      <c r="C16" s="13"/>
      <c r="D16" s="14"/>
      <c r="E16" s="128"/>
      <c r="F16" s="128"/>
      <c r="G16" s="128"/>
      <c r="H16" s="128"/>
    </row>
    <row r="17" spans="1:8" ht="15.75">
      <c r="A17" s="15" t="s">
        <v>17</v>
      </c>
      <c r="B17" s="174">
        <v>-13338.47</v>
      </c>
      <c r="C17" s="175" t="s">
        <v>19</v>
      </c>
      <c r="D17" s="14"/>
      <c r="E17" s="128"/>
      <c r="F17" s="128"/>
      <c r="G17" s="128"/>
      <c r="H17" s="128"/>
    </row>
    <row r="18" spans="1:8" ht="25.5">
      <c r="A18" s="11" t="s">
        <v>18</v>
      </c>
      <c r="B18" s="16">
        <f>B20+B22+B23</f>
        <v>245154.65</v>
      </c>
      <c r="C18" s="148" t="s">
        <v>19</v>
      </c>
      <c r="D18" s="14" t="s">
        <v>19</v>
      </c>
      <c r="E18" s="194"/>
      <c r="F18" s="128"/>
      <c r="G18" s="128"/>
      <c r="H18" s="128"/>
    </row>
    <row r="19" spans="1:8" ht="15">
      <c r="A19" s="9" t="s">
        <v>20</v>
      </c>
      <c r="B19" s="16"/>
      <c r="C19" s="148"/>
      <c r="D19" s="14"/>
      <c r="E19" s="128"/>
      <c r="F19" s="128"/>
      <c r="G19" s="128"/>
      <c r="H19" s="128"/>
    </row>
    <row r="20" spans="1:8" ht="15">
      <c r="A20" s="9" t="s">
        <v>77</v>
      </c>
      <c r="B20" s="16">
        <v>60062.22</v>
      </c>
      <c r="C20" s="105" t="s">
        <v>253</v>
      </c>
      <c r="D20" s="14"/>
      <c r="E20" s="128"/>
      <c r="F20" s="128"/>
      <c r="G20" s="128"/>
      <c r="H20" s="128"/>
    </row>
    <row r="21" spans="1:8" ht="15">
      <c r="A21" s="9" t="s">
        <v>147</v>
      </c>
      <c r="B21" s="16">
        <v>5685.960000000001</v>
      </c>
      <c r="C21" s="21" t="s">
        <v>254</v>
      </c>
      <c r="D21" s="20"/>
      <c r="E21" s="17">
        <f>(0.96+1.49)*6*386.8</f>
        <v>5685.960000000001</v>
      </c>
      <c r="F21" s="128"/>
      <c r="G21" s="128"/>
      <c r="H21" s="128"/>
    </row>
    <row r="22" spans="1:8" ht="15.75">
      <c r="A22" s="9" t="s">
        <v>28</v>
      </c>
      <c r="B22" s="118">
        <v>3168.72</v>
      </c>
      <c r="C22" s="119">
        <v>2.7</v>
      </c>
      <c r="D22" s="20"/>
      <c r="E22" s="194"/>
      <c r="F22" s="128"/>
      <c r="G22" s="128"/>
      <c r="H22" s="128"/>
    </row>
    <row r="23" spans="1:8" ht="15">
      <c r="A23" s="9" t="s">
        <v>29</v>
      </c>
      <c r="B23" s="16">
        <f>B25+B26+B27</f>
        <v>181923.71</v>
      </c>
      <c r="C23" s="21" t="s">
        <v>19</v>
      </c>
      <c r="D23" s="20"/>
      <c r="E23" s="194"/>
      <c r="F23" s="128"/>
      <c r="G23" s="128"/>
      <c r="H23" s="128"/>
    </row>
    <row r="24" spans="1:8" ht="15.75">
      <c r="A24" s="9" t="s">
        <v>20</v>
      </c>
      <c r="B24" s="120"/>
      <c r="C24" s="177"/>
      <c r="D24" s="20" t="s">
        <v>30</v>
      </c>
      <c r="E24" s="128"/>
      <c r="F24" s="128"/>
      <c r="G24" s="128"/>
      <c r="H24" s="128"/>
    </row>
    <row r="25" spans="1:8" ht="15">
      <c r="A25" s="9" t="s">
        <v>31</v>
      </c>
      <c r="B25" s="16">
        <v>24056.01</v>
      </c>
      <c r="C25" s="152" t="s">
        <v>19</v>
      </c>
      <c r="D25" s="20"/>
      <c r="E25" s="128"/>
      <c r="F25" s="128"/>
      <c r="G25" s="128"/>
      <c r="H25" s="128"/>
    </row>
    <row r="26" spans="1:8" ht="15">
      <c r="A26" s="9" t="s">
        <v>33</v>
      </c>
      <c r="B26" s="16">
        <v>27710.97</v>
      </c>
      <c r="C26" s="152" t="s">
        <v>19</v>
      </c>
      <c r="D26" s="27" t="s">
        <v>32</v>
      </c>
      <c r="E26" s="194"/>
      <c r="F26" s="128"/>
      <c r="G26" s="128"/>
      <c r="H26" s="128"/>
    </row>
    <row r="27" spans="1:8" ht="15">
      <c r="A27" s="9" t="s">
        <v>34</v>
      </c>
      <c r="B27" s="16">
        <v>130156.73</v>
      </c>
      <c r="C27" s="152"/>
      <c r="D27" s="27" t="s">
        <v>32</v>
      </c>
      <c r="E27" s="194"/>
      <c r="F27" s="128"/>
      <c r="G27" s="128"/>
      <c r="H27" s="128"/>
    </row>
    <row r="28" spans="1:8" ht="15">
      <c r="A28" s="9" t="s">
        <v>35</v>
      </c>
      <c r="B28" s="16"/>
      <c r="C28" s="152" t="s">
        <v>19</v>
      </c>
      <c r="D28" s="28"/>
      <c r="E28" s="194"/>
      <c r="F28" s="128"/>
      <c r="G28" s="128"/>
      <c r="H28" s="128"/>
    </row>
    <row r="29" spans="1:8" ht="25.5">
      <c r="A29" s="11" t="s">
        <v>36</v>
      </c>
      <c r="B29" s="18">
        <v>229047.43</v>
      </c>
      <c r="C29" s="13" t="s">
        <v>19</v>
      </c>
      <c r="D29" s="14" t="s">
        <v>19</v>
      </c>
      <c r="E29" s="1">
        <f>B29/B18</f>
        <v>0.9342977177875271</v>
      </c>
      <c r="F29" s="128"/>
      <c r="G29" s="128"/>
      <c r="H29" s="128"/>
    </row>
    <row r="30" spans="1:8" ht="15">
      <c r="A30" s="9" t="s">
        <v>77</v>
      </c>
      <c r="B30" s="18">
        <f>B20*E29</f>
        <v>56115.99507125237</v>
      </c>
      <c r="C30" s="13"/>
      <c r="D30" s="14"/>
      <c r="E30" s="128"/>
      <c r="F30" s="128"/>
      <c r="G30" s="128"/>
      <c r="H30" s="128"/>
    </row>
    <row r="31" spans="1:4" ht="15">
      <c r="A31" s="9" t="s">
        <v>28</v>
      </c>
      <c r="B31" s="18">
        <f>B22*E29</f>
        <v>2960.5278643076927</v>
      </c>
      <c r="C31" s="18" t="s">
        <v>6</v>
      </c>
      <c r="D31" s="14" t="s">
        <v>19</v>
      </c>
    </row>
    <row r="32" spans="1:4" ht="15">
      <c r="A32" s="9" t="s">
        <v>29</v>
      </c>
      <c r="B32" s="18">
        <f>B34+B35+B36</f>
        <v>169970.90706443993</v>
      </c>
      <c r="C32" s="13" t="s">
        <v>19</v>
      </c>
      <c r="D32" s="14" t="s">
        <v>19</v>
      </c>
    </row>
    <row r="33" spans="1:4" ht="15">
      <c r="A33" s="9" t="s">
        <v>20</v>
      </c>
      <c r="B33" s="18"/>
      <c r="C33" s="13"/>
      <c r="D33" s="14"/>
    </row>
    <row r="34" spans="1:4" ht="15">
      <c r="A34" s="9" t="s">
        <v>31</v>
      </c>
      <c r="B34" s="18">
        <f>B25*E29</f>
        <v>22475.475242073928</v>
      </c>
      <c r="C34" s="13" t="s">
        <v>19</v>
      </c>
      <c r="D34" s="14"/>
    </row>
    <row r="35" spans="1:4" ht="15">
      <c r="A35" s="9" t="s">
        <v>33</v>
      </c>
      <c r="B35" s="18">
        <f>B26*E29</f>
        <v>25890.296028678633</v>
      </c>
      <c r="C35" s="13" t="s">
        <v>19</v>
      </c>
      <c r="D35" s="14"/>
    </row>
    <row r="36" spans="1:4" ht="15">
      <c r="A36" s="9" t="s">
        <v>34</v>
      </c>
      <c r="B36" s="18">
        <f>B27*E29</f>
        <v>121605.13579368737</v>
      </c>
      <c r="C36" s="13"/>
      <c r="D36" s="14"/>
    </row>
    <row r="37" spans="1:4" ht="15">
      <c r="A37" s="9" t="s">
        <v>35</v>
      </c>
      <c r="B37" s="18">
        <v>0</v>
      </c>
      <c r="C37" s="13"/>
      <c r="D37" s="14"/>
    </row>
    <row r="38" spans="1:4" ht="38.25">
      <c r="A38" s="11" t="s">
        <v>40</v>
      </c>
      <c r="B38" s="18">
        <f>B40+B41+B42</f>
        <v>169970.90706443993</v>
      </c>
      <c r="C38" s="13" t="s">
        <v>19</v>
      </c>
      <c r="D38" s="14" t="s">
        <v>19</v>
      </c>
    </row>
    <row r="39" spans="1:4" ht="15">
      <c r="A39" s="9" t="s">
        <v>20</v>
      </c>
      <c r="B39" s="18"/>
      <c r="C39" s="13"/>
      <c r="D39" s="14"/>
    </row>
    <row r="40" spans="1:4" ht="15">
      <c r="A40" s="9" t="s">
        <v>31</v>
      </c>
      <c r="B40" s="18">
        <f>B34</f>
        <v>22475.475242073928</v>
      </c>
      <c r="C40" s="13"/>
      <c r="D40" s="14"/>
    </row>
    <row r="41" spans="1:4" ht="15">
      <c r="A41" s="9" t="s">
        <v>33</v>
      </c>
      <c r="B41" s="18">
        <f>B35</f>
        <v>25890.296028678633</v>
      </c>
      <c r="C41" s="13"/>
      <c r="D41" s="14"/>
    </row>
    <row r="42" spans="1:4" ht="15">
      <c r="A42" s="9" t="s">
        <v>34</v>
      </c>
      <c r="B42" s="18">
        <f>B36</f>
        <v>121605.13579368737</v>
      </c>
      <c r="C42" s="13"/>
      <c r="D42" s="14"/>
    </row>
    <row r="43" spans="1:4" ht="15">
      <c r="A43" s="9" t="s">
        <v>35</v>
      </c>
      <c r="B43" s="18">
        <v>0</v>
      </c>
      <c r="C43" s="13" t="s">
        <v>19</v>
      </c>
      <c r="D43" s="14"/>
    </row>
    <row r="44" ht="12.75">
      <c r="A44" s="4"/>
    </row>
    <row r="45" spans="1:10" ht="13.5" customHeight="1">
      <c r="A45" s="291" t="s">
        <v>41</v>
      </c>
      <c r="B45" s="291"/>
      <c r="C45" s="291"/>
      <c r="D45" s="291"/>
      <c r="I45" s="30"/>
      <c r="J45" s="30"/>
    </row>
    <row r="46" spans="1:10" ht="9" customHeight="1">
      <c r="A46" s="291"/>
      <c r="B46" s="291"/>
      <c r="C46" s="291"/>
      <c r="D46" s="291"/>
      <c r="I46" s="4"/>
      <c r="J46" s="4"/>
    </row>
    <row r="47" spans="1:10" ht="12.75">
      <c r="A47" s="4"/>
      <c r="C47" s="6" t="s">
        <v>10</v>
      </c>
      <c r="I47" s="4"/>
      <c r="J47" s="4"/>
    </row>
    <row r="48" spans="1:14" ht="66.75" customHeight="1">
      <c r="A48" s="8" t="s">
        <v>42</v>
      </c>
      <c r="B48" s="8" t="s">
        <v>43</v>
      </c>
      <c r="C48" s="8" t="s">
        <v>44</v>
      </c>
      <c r="D48" s="248" t="s">
        <v>715</v>
      </c>
      <c r="E48" s="29"/>
      <c r="I48" s="3"/>
      <c r="J48" s="3"/>
      <c r="K48" s="3"/>
      <c r="L48" s="3"/>
      <c r="M48" s="3"/>
      <c r="N48" s="3"/>
    </row>
    <row r="49" spans="1:14" ht="15">
      <c r="A49" s="31" t="s">
        <v>112</v>
      </c>
      <c r="B49" s="32" t="s">
        <v>47</v>
      </c>
      <c r="C49" s="21" t="s">
        <v>48</v>
      </c>
      <c r="D49" s="33">
        <f>(0.14+0.15)*6*386.8</f>
        <v>673.0320000000002</v>
      </c>
      <c r="E49" s="34">
        <f>347.32*12</f>
        <v>4167.84</v>
      </c>
      <c r="F49" s="35"/>
      <c r="G49" s="36"/>
      <c r="H49" s="1"/>
      <c r="I49" s="37"/>
      <c r="J49" s="37"/>
      <c r="K49" s="37"/>
      <c r="L49" s="37"/>
      <c r="M49" s="37"/>
      <c r="N49" s="37"/>
    </row>
    <row r="50" spans="1:14" ht="15">
      <c r="A50" s="31" t="s">
        <v>49</v>
      </c>
      <c r="B50" s="32" t="s">
        <v>50</v>
      </c>
      <c r="C50" s="156" t="s">
        <v>51</v>
      </c>
      <c r="D50" s="33">
        <f>(2.1+2.23)*6*386.8</f>
        <v>10049.064</v>
      </c>
      <c r="E50" s="34">
        <f aca="true" t="shared" si="0" ref="E50:E56">347.32*12</f>
        <v>4167.84</v>
      </c>
      <c r="F50" s="35"/>
      <c r="G50" s="36"/>
      <c r="H50" s="1"/>
      <c r="I50" s="37"/>
      <c r="J50" s="37"/>
      <c r="K50" s="37"/>
      <c r="L50" s="37"/>
      <c r="M50" s="37"/>
      <c r="N50" s="37"/>
    </row>
    <row r="51" spans="1:14" ht="15">
      <c r="A51" s="31" t="s">
        <v>52</v>
      </c>
      <c r="B51" s="32" t="s">
        <v>50</v>
      </c>
      <c r="C51" s="156" t="s">
        <v>53</v>
      </c>
      <c r="D51" s="33">
        <f>(1.2+2)*6*386.8</f>
        <v>7426.560000000001</v>
      </c>
      <c r="E51" s="34">
        <f t="shared" si="0"/>
        <v>4167.84</v>
      </c>
      <c r="F51" s="35"/>
      <c r="G51" s="36"/>
      <c r="H51" s="1"/>
      <c r="I51" s="37"/>
      <c r="J51" s="37"/>
      <c r="K51" s="37"/>
      <c r="L51" s="37"/>
      <c r="M51" s="37"/>
      <c r="N51" s="37"/>
    </row>
    <row r="52" spans="1:14" ht="15">
      <c r="A52" s="31" t="s">
        <v>54</v>
      </c>
      <c r="B52" s="32" t="s">
        <v>47</v>
      </c>
      <c r="C52" s="38" t="s">
        <v>136</v>
      </c>
      <c r="D52" s="33">
        <f>(0.41+0.43)*6*386.8</f>
        <v>1949.472</v>
      </c>
      <c r="E52" s="34">
        <f t="shared" si="0"/>
        <v>4167.84</v>
      </c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56</v>
      </c>
      <c r="B53" s="251" t="s">
        <v>47</v>
      </c>
      <c r="C53" s="44" t="s">
        <v>255</v>
      </c>
      <c r="D53" s="33">
        <f>(0.77+0.64)*6*386.8-394.56-0.06</f>
        <v>2877.7080000000005</v>
      </c>
      <c r="E53" s="34">
        <f t="shared" si="0"/>
        <v>4167.84</v>
      </c>
      <c r="F53" s="41"/>
      <c r="G53" s="42"/>
      <c r="H53" s="43">
        <f>347.18*12</f>
        <v>4166.16</v>
      </c>
      <c r="I53" s="37"/>
      <c r="J53" s="37"/>
      <c r="K53" s="37"/>
      <c r="L53" s="37"/>
      <c r="M53" s="37"/>
      <c r="N53" s="37"/>
    </row>
    <row r="54" spans="1:14" ht="15">
      <c r="A54" s="31" t="s">
        <v>115</v>
      </c>
      <c r="B54" s="39" t="s">
        <v>47</v>
      </c>
      <c r="C54" s="44" t="s">
        <v>60</v>
      </c>
      <c r="D54" s="33">
        <f>(0.69+0.73)*6*386.8</f>
        <v>3295.536</v>
      </c>
      <c r="E54" s="34">
        <f t="shared" si="0"/>
        <v>4167.84</v>
      </c>
      <c r="F54" s="41"/>
      <c r="G54" s="42"/>
      <c r="H54" s="1"/>
      <c r="I54" s="37"/>
      <c r="J54" s="37"/>
      <c r="K54" s="37"/>
      <c r="L54" s="37"/>
      <c r="M54" s="37"/>
      <c r="N54" s="37"/>
    </row>
    <row r="55" spans="1:14" ht="15">
      <c r="A55" s="31" t="s">
        <v>63</v>
      </c>
      <c r="B55" s="39" t="s">
        <v>64</v>
      </c>
      <c r="C55" s="40" t="s">
        <v>65</v>
      </c>
      <c r="D55" s="33">
        <f>(1.14+1.21)*6*386.8</f>
        <v>5453.879999999999</v>
      </c>
      <c r="E55" s="34">
        <f t="shared" si="0"/>
        <v>4167.84</v>
      </c>
      <c r="F55" s="41"/>
      <c r="G55" s="42"/>
      <c r="H55" s="1"/>
      <c r="I55" s="37"/>
      <c r="J55" s="37"/>
      <c r="K55" s="37"/>
      <c r="L55" s="37"/>
      <c r="M55" s="37"/>
      <c r="N55" s="37"/>
    </row>
    <row r="56" spans="1:14" ht="15">
      <c r="A56" s="31" t="s">
        <v>66</v>
      </c>
      <c r="B56" s="39" t="s">
        <v>67</v>
      </c>
      <c r="C56" s="40">
        <v>4.88</v>
      </c>
      <c r="D56" s="33">
        <f>4.88*12*386.8</f>
        <v>22651.008</v>
      </c>
      <c r="E56" s="34">
        <f t="shared" si="0"/>
        <v>4167.84</v>
      </c>
      <c r="F56" s="41"/>
      <c r="G56" s="1"/>
      <c r="H56" s="45"/>
      <c r="I56" s="37"/>
      <c r="J56" s="37"/>
      <c r="K56" s="37"/>
      <c r="L56" s="37"/>
      <c r="M56" s="37"/>
      <c r="N56" s="37"/>
    </row>
    <row r="57" spans="1:14" ht="15">
      <c r="A57" s="46" t="s">
        <v>68</v>
      </c>
      <c r="B57" s="47"/>
      <c r="C57" s="48"/>
      <c r="D57" s="49">
        <f>SUM(D49:D56)</f>
        <v>54376.26</v>
      </c>
      <c r="E57" s="34">
        <f>D57+B21</f>
        <v>60062.22</v>
      </c>
      <c r="F57" s="41"/>
      <c r="G57" s="1"/>
      <c r="H57" s="50">
        <f>E57-B20</f>
        <v>0</v>
      </c>
      <c r="I57" s="37"/>
      <c r="J57" s="37"/>
      <c r="K57" s="37"/>
      <c r="L57" s="37"/>
      <c r="M57" s="37"/>
      <c r="N57" s="37"/>
    </row>
    <row r="58" spans="1:14" ht="15.75">
      <c r="A58" s="51" t="s">
        <v>69</v>
      </c>
      <c r="B58" s="52"/>
      <c r="C58" s="53"/>
      <c r="D58" s="54">
        <f>D59+D60+D61</f>
        <v>3741.38</v>
      </c>
      <c r="E58" s="34"/>
      <c r="F58" s="41"/>
      <c r="G58" s="1"/>
      <c r="H58" s="50">
        <v>394.56</v>
      </c>
      <c r="I58" s="37"/>
      <c r="J58" s="37"/>
      <c r="K58" s="37"/>
      <c r="L58" s="37"/>
      <c r="M58" s="37"/>
      <c r="N58" s="37"/>
    </row>
    <row r="59" spans="1:14" ht="15.75">
      <c r="A59" s="51" t="s">
        <v>249</v>
      </c>
      <c r="B59" s="52"/>
      <c r="C59" s="53"/>
      <c r="D59" s="54">
        <v>818.92</v>
      </c>
      <c r="E59" s="34"/>
      <c r="F59" s="41"/>
      <c r="G59" s="1"/>
      <c r="H59" s="50"/>
      <c r="I59" s="37"/>
      <c r="J59" s="37"/>
      <c r="K59" s="37"/>
      <c r="L59" s="37"/>
      <c r="M59" s="37"/>
      <c r="N59" s="37"/>
    </row>
    <row r="60" spans="1:14" ht="15.75">
      <c r="A60" s="51" t="s">
        <v>256</v>
      </c>
      <c r="B60" s="52"/>
      <c r="C60" s="53"/>
      <c r="D60" s="54">
        <v>2522.25</v>
      </c>
      <c r="E60" s="34"/>
      <c r="F60" s="45"/>
      <c r="G60" s="1"/>
      <c r="H60" s="50"/>
      <c r="I60" s="37"/>
      <c r="J60" s="37"/>
      <c r="K60" s="37"/>
      <c r="L60" s="37"/>
      <c r="M60" s="37"/>
      <c r="N60" s="37"/>
    </row>
    <row r="61" spans="1:14" ht="15.75">
      <c r="A61" s="51" t="s">
        <v>257</v>
      </c>
      <c r="B61" s="52"/>
      <c r="C61" s="53"/>
      <c r="D61" s="54">
        <v>400.21</v>
      </c>
      <c r="E61" s="34"/>
      <c r="F61" s="45"/>
      <c r="G61" s="1"/>
      <c r="H61" s="50"/>
      <c r="I61" s="37"/>
      <c r="J61" s="37"/>
      <c r="K61" s="37"/>
      <c r="L61" s="37"/>
      <c r="M61" s="37"/>
      <c r="N61" s="37"/>
    </row>
    <row r="62" spans="1:14" ht="15.75">
      <c r="A62" s="56" t="s">
        <v>71</v>
      </c>
      <c r="B62" s="57"/>
      <c r="C62" s="58"/>
      <c r="D62" s="54">
        <f>D57+D58</f>
        <v>58117.64</v>
      </c>
      <c r="E62" s="34"/>
      <c r="F62" s="45"/>
      <c r="G62" s="1"/>
      <c r="H62" s="50"/>
      <c r="I62" s="37"/>
      <c r="J62" s="37"/>
      <c r="K62" s="37"/>
      <c r="L62" s="37"/>
      <c r="M62" s="37"/>
      <c r="N62" s="37"/>
    </row>
    <row r="63" spans="1:8" ht="13.5" customHeight="1">
      <c r="A63" s="302" t="s">
        <v>72</v>
      </c>
      <c r="B63" s="302"/>
      <c r="C63" s="302"/>
      <c r="D63" s="60">
        <f>D64</f>
        <v>0</v>
      </c>
      <c r="E63" s="61"/>
      <c r="F63" s="1"/>
      <c r="G63" s="1"/>
      <c r="H63" s="34">
        <f>347.32*12</f>
        <v>4167.84</v>
      </c>
    </row>
    <row r="64" spans="1:8" ht="13.5" customHeight="1">
      <c r="A64" s="145"/>
      <c r="B64" s="145"/>
      <c r="C64" s="146"/>
      <c r="D64" s="60">
        <v>0</v>
      </c>
      <c r="E64" s="61"/>
      <c r="F64" s="1"/>
      <c r="G64" s="1"/>
      <c r="H64" s="34"/>
    </row>
    <row r="65" spans="1:5" ht="25.5" customHeight="1">
      <c r="A65" s="293" t="s">
        <v>73</v>
      </c>
      <c r="B65" s="293"/>
      <c r="C65" s="293"/>
      <c r="D65" s="60">
        <f>D66+D67</f>
        <v>-5819.2699999999995</v>
      </c>
      <c r="E65" s="173"/>
    </row>
    <row r="66" spans="1:5" ht="15.75">
      <c r="A66" s="62" t="s">
        <v>74</v>
      </c>
      <c r="B66" s="63"/>
      <c r="C66" s="64"/>
      <c r="D66" s="60">
        <f>B16+B21-D58</f>
        <v>4350.4800000000005</v>
      </c>
      <c r="E66" s="173"/>
    </row>
    <row r="67" spans="1:5" ht="15.75">
      <c r="A67" s="63" t="s">
        <v>75</v>
      </c>
      <c r="B67" s="63"/>
      <c r="C67" s="64"/>
      <c r="D67" s="60">
        <f>B17+B22-D63</f>
        <v>-10169.75</v>
      </c>
      <c r="E67" s="173"/>
    </row>
    <row r="68" spans="1:5" ht="13.5" customHeight="1">
      <c r="A68" s="294" t="s">
        <v>76</v>
      </c>
      <c r="B68" s="294"/>
      <c r="C68" s="294"/>
      <c r="D68" s="65">
        <v>110630.79</v>
      </c>
      <c r="E68" s="173"/>
    </row>
    <row r="69" spans="1:4" ht="15" customHeight="1">
      <c r="A69" s="290" t="s">
        <v>20</v>
      </c>
      <c r="B69" s="290"/>
      <c r="C69" s="290"/>
      <c r="D69" s="66"/>
    </row>
    <row r="70" spans="1:4" ht="13.5" customHeight="1">
      <c r="A70" s="290" t="s">
        <v>77</v>
      </c>
      <c r="B70" s="290"/>
      <c r="C70" s="290"/>
      <c r="D70" s="66">
        <f>D68*B20/B18</f>
        <v>27104.241537959</v>
      </c>
    </row>
    <row r="71" spans="1:4" ht="13.5" customHeight="1">
      <c r="A71" s="290" t="s">
        <v>28</v>
      </c>
      <c r="B71" s="290"/>
      <c r="C71" s="290"/>
      <c r="D71" s="66">
        <f>D68*B22/B18</f>
        <v>1429.9463497380123</v>
      </c>
    </row>
    <row r="72" spans="1:4" ht="13.5" customHeight="1">
      <c r="A72" s="290" t="s">
        <v>29</v>
      </c>
      <c r="B72" s="290"/>
      <c r="C72" s="290"/>
      <c r="D72" s="66">
        <f>SUM(D74:D76)</f>
        <v>82096.602112303</v>
      </c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31</v>
      </c>
      <c r="B74" s="290"/>
      <c r="C74" s="290"/>
      <c r="D74" s="66">
        <f>D68*B25/B18</f>
        <v>10855.741021220278</v>
      </c>
    </row>
    <row r="75" spans="1:4" ht="15">
      <c r="A75" s="290" t="s">
        <v>33</v>
      </c>
      <c r="B75" s="290"/>
      <c r="C75" s="290"/>
      <c r="D75" s="66">
        <f>D68*B26/B18</f>
        <v>12505.11260041896</v>
      </c>
    </row>
    <row r="76" spans="1:4" ht="15" customHeight="1">
      <c r="A76" s="290" t="s">
        <v>34</v>
      </c>
      <c r="B76" s="290"/>
      <c r="C76" s="290"/>
      <c r="D76" s="66">
        <f>D68*B27/B18</f>
        <v>58735.74849066375</v>
      </c>
    </row>
    <row r="77" spans="1:4" ht="15">
      <c r="A77" s="290" t="s">
        <v>78</v>
      </c>
      <c r="B77" s="290"/>
      <c r="C77" s="290"/>
      <c r="D77" s="66"/>
    </row>
    <row r="78" spans="1:4" ht="15" customHeight="1">
      <c r="A78" s="290" t="s">
        <v>35</v>
      </c>
      <c r="B78" s="290"/>
      <c r="C78" s="290"/>
      <c r="D78" s="66"/>
    </row>
    <row r="79" spans="1:4" ht="25.5" customHeight="1">
      <c r="A79" s="295" t="s">
        <v>79</v>
      </c>
      <c r="B79" s="295"/>
      <c r="C79" s="295"/>
      <c r="D79" s="295"/>
    </row>
    <row r="80" spans="1:4" ht="38.25">
      <c r="A80" s="67" t="s">
        <v>80</v>
      </c>
      <c r="B80" s="68" t="s">
        <v>81</v>
      </c>
      <c r="C80" s="68" t="s">
        <v>82</v>
      </c>
      <c r="D80" s="67" t="s">
        <v>83</v>
      </c>
    </row>
    <row r="81" spans="1:4" ht="20.25" customHeight="1">
      <c r="A81" s="31" t="s">
        <v>77</v>
      </c>
      <c r="B81" s="296" t="s">
        <v>84</v>
      </c>
      <c r="C81" s="70" t="s">
        <v>253</v>
      </c>
      <c r="D81" s="67" t="s">
        <v>85</v>
      </c>
    </row>
    <row r="82" spans="1:4" ht="23.25" customHeight="1">
      <c r="A82" s="31" t="s">
        <v>28</v>
      </c>
      <c r="B82" s="296"/>
      <c r="C82" s="70">
        <v>2.7</v>
      </c>
      <c r="D82" s="71" t="s">
        <v>85</v>
      </c>
    </row>
    <row r="83" spans="1:4" ht="19.5" customHeight="1">
      <c r="A83" s="31" t="s">
        <v>31</v>
      </c>
      <c r="B83" s="297" t="s">
        <v>86</v>
      </c>
      <c r="C83" s="70" t="s">
        <v>87</v>
      </c>
      <c r="D83" s="249" t="s">
        <v>716</v>
      </c>
    </row>
    <row r="84" spans="1:4" ht="21" customHeight="1">
      <c r="A84" s="31" t="s">
        <v>33</v>
      </c>
      <c r="B84" s="297"/>
      <c r="C84" s="70" t="s">
        <v>89</v>
      </c>
      <c r="D84" s="249" t="s">
        <v>716</v>
      </c>
    </row>
    <row r="85" spans="1:4" ht="39.75" customHeight="1">
      <c r="A85" s="31" t="s">
        <v>34</v>
      </c>
      <c r="B85" s="170" t="s">
        <v>90</v>
      </c>
      <c r="C85" s="147" t="s">
        <v>91</v>
      </c>
      <c r="D85" s="71" t="s">
        <v>92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3">
    <mergeCell ref="A77:C77"/>
    <mergeCell ref="A78:C78"/>
    <mergeCell ref="A79:D79"/>
    <mergeCell ref="B81:B82"/>
    <mergeCell ref="B83:B84"/>
    <mergeCell ref="A71:C71"/>
    <mergeCell ref="A72:C72"/>
    <mergeCell ref="A73:C73"/>
    <mergeCell ref="A74:C74"/>
    <mergeCell ref="A75:C75"/>
    <mergeCell ref="A76:C76"/>
    <mergeCell ref="A45:D46"/>
    <mergeCell ref="A63:C63"/>
    <mergeCell ref="A65:C65"/>
    <mergeCell ref="A68:C68"/>
    <mergeCell ref="A69:C69"/>
    <mergeCell ref="A70:C70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0">
      <selection activeCell="D24" sqref="D2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258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259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-1638.11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-454.02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-1184.09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B20+B24+B25</f>
        <v>79279.73000000001</v>
      </c>
      <c r="C18" s="105" t="s">
        <v>19</v>
      </c>
      <c r="D18" s="14" t="s">
        <v>19</v>
      </c>
      <c r="E18" s="17"/>
      <c r="F18" s="1"/>
      <c r="G18" s="1"/>
      <c r="H18" s="1">
        <v>4742.33</v>
      </c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>
        <f>H20+H21+H22</f>
        <v>4729.455999999999</v>
      </c>
    </row>
    <row r="20" spans="1:8" ht="15">
      <c r="A20" s="9" t="s">
        <v>260</v>
      </c>
      <c r="B20" s="16">
        <v>53255.99</v>
      </c>
      <c r="C20" s="105" t="s">
        <v>261</v>
      </c>
      <c r="D20" s="14"/>
      <c r="E20" s="1">
        <f>12*357.4</f>
        <v>4288.799999999999</v>
      </c>
      <c r="F20" s="1"/>
      <c r="G20" s="1"/>
      <c r="H20" s="1">
        <f>13.44*263.4</f>
        <v>3540.0959999999995</v>
      </c>
    </row>
    <row r="21" spans="1:8" ht="15">
      <c r="A21" s="9" t="s">
        <v>262</v>
      </c>
      <c r="B21" s="16"/>
      <c r="C21" s="105" t="s">
        <v>263</v>
      </c>
      <c r="D21" s="14"/>
      <c r="E21" s="1"/>
      <c r="F21" s="1"/>
      <c r="G21" s="1"/>
      <c r="H21" s="1">
        <f>12.78*48</f>
        <v>613.4399999999999</v>
      </c>
    </row>
    <row r="22" spans="1:8" ht="15">
      <c r="A22" s="9" t="s">
        <v>264</v>
      </c>
      <c r="B22" s="16"/>
      <c r="C22" s="105" t="s">
        <v>265</v>
      </c>
      <c r="D22" s="14"/>
      <c r="E22" s="1"/>
      <c r="F22" s="1"/>
      <c r="G22" s="1"/>
      <c r="H22" s="1">
        <f>12.52*46</f>
        <v>575.92</v>
      </c>
    </row>
    <row r="23" spans="1:8" ht="15">
      <c r="A23" s="9" t="s">
        <v>147</v>
      </c>
      <c r="B23" s="16">
        <v>2723.39</v>
      </c>
      <c r="C23" s="21" t="s">
        <v>266</v>
      </c>
      <c r="D23" s="20"/>
      <c r="E23" s="17">
        <f>(0.31+0.96)*6*357.4</f>
        <v>2723.388</v>
      </c>
      <c r="F23" s="1"/>
      <c r="G23" s="1"/>
      <c r="H23" s="1"/>
    </row>
    <row r="24" spans="1:8" ht="15.75">
      <c r="A24" s="9" t="s">
        <v>28</v>
      </c>
      <c r="B24" s="118">
        <v>1581.12</v>
      </c>
      <c r="C24" s="119">
        <v>2.7</v>
      </c>
      <c r="D24" s="20"/>
      <c r="E24" s="17"/>
      <c r="F24" s="1"/>
      <c r="G24" s="1"/>
      <c r="H24" s="1"/>
    </row>
    <row r="25" spans="1:8" ht="15">
      <c r="A25" s="9" t="s">
        <v>29</v>
      </c>
      <c r="B25" s="16">
        <f>B27+B28</f>
        <v>24442.620000000003</v>
      </c>
      <c r="C25" s="195" t="s">
        <v>19</v>
      </c>
      <c r="D25" s="20"/>
      <c r="E25" s="17"/>
      <c r="F25" s="1"/>
      <c r="G25" s="1"/>
      <c r="H25" s="1"/>
    </row>
    <row r="26" spans="1:8" ht="15.75">
      <c r="A26" s="9" t="s">
        <v>20</v>
      </c>
      <c r="B26" s="120"/>
      <c r="C26" s="177"/>
      <c r="D26" s="20" t="s">
        <v>30</v>
      </c>
      <c r="E26" s="1"/>
      <c r="F26" s="1"/>
      <c r="G26" s="1"/>
      <c r="H26" s="1"/>
    </row>
    <row r="27" spans="1:8" ht="15">
      <c r="A27" s="9" t="s">
        <v>31</v>
      </c>
      <c r="B27" s="16">
        <v>11401.2</v>
      </c>
      <c r="C27" s="152" t="s">
        <v>19</v>
      </c>
      <c r="D27" s="20"/>
      <c r="E27" s="1"/>
      <c r="F27" s="1"/>
      <c r="G27" s="1"/>
      <c r="H27" s="1"/>
    </row>
    <row r="28" spans="1:8" ht="15">
      <c r="A28" s="9" t="s">
        <v>33</v>
      </c>
      <c r="B28" s="16">
        <v>13041.42</v>
      </c>
      <c r="C28" s="152" t="s">
        <v>19</v>
      </c>
      <c r="D28" s="27" t="s">
        <v>32</v>
      </c>
      <c r="E28" s="17"/>
      <c r="F28" s="1"/>
      <c r="G28" s="1"/>
      <c r="H28" s="1"/>
    </row>
    <row r="29" spans="1:8" ht="15">
      <c r="A29" s="9" t="s">
        <v>34</v>
      </c>
      <c r="B29" s="16">
        <v>0</v>
      </c>
      <c r="C29" s="152" t="s">
        <v>6</v>
      </c>
      <c r="D29" s="27" t="s">
        <v>32</v>
      </c>
      <c r="E29" s="17"/>
      <c r="F29" s="1"/>
      <c r="G29" s="1"/>
      <c r="H29" s="1"/>
    </row>
    <row r="30" spans="1:8" ht="15">
      <c r="A30" s="9" t="s">
        <v>35</v>
      </c>
      <c r="B30" s="16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65842.58</v>
      </c>
      <c r="C31" s="13" t="s">
        <v>19</v>
      </c>
      <c r="D31" s="14" t="s">
        <v>19</v>
      </c>
      <c r="E31" s="1">
        <f>B31/B18</f>
        <v>0.8305096397275822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44229.61306823572</v>
      </c>
      <c r="C33" s="13"/>
      <c r="D33" s="14"/>
    </row>
    <row r="34" spans="1:4" ht="15">
      <c r="A34" s="9" t="s">
        <v>28</v>
      </c>
      <c r="B34" s="18">
        <f>B24*E31</f>
        <v>1313.1354015660747</v>
      </c>
      <c r="C34" s="18" t="s">
        <v>6</v>
      </c>
      <c r="D34" s="14" t="s">
        <v>19</v>
      </c>
    </row>
    <row r="35" spans="1:4" ht="15">
      <c r="A35" s="9" t="s">
        <v>29</v>
      </c>
      <c r="B35" s="18">
        <f>B37+B38</f>
        <v>20299.831530198193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9468.80650446211</v>
      </c>
      <c r="C37" s="13" t="s">
        <v>19</v>
      </c>
      <c r="D37" s="14"/>
    </row>
    <row r="38" spans="1:4" ht="15">
      <c r="A38" s="9" t="s">
        <v>33</v>
      </c>
      <c r="B38" s="18">
        <f>B28*E31</f>
        <v>10831.025025736084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B43+B44+B45+B46</f>
        <v>20299.831530198193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9468.80650446211</v>
      </c>
      <c r="C43" s="13"/>
      <c r="D43" s="14"/>
    </row>
    <row r="44" spans="1:4" ht="15">
      <c r="A44" s="9" t="s">
        <v>33</v>
      </c>
      <c r="B44" s="18">
        <f>B38</f>
        <v>10831.025025736084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48</v>
      </c>
      <c r="D52" s="33">
        <f>(0.14+0.15)*6*357.4</f>
        <v>621.8760000000001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 t="s">
        <v>51</v>
      </c>
      <c r="D53" s="33">
        <f>(2.1+2.23)*6*357.4</f>
        <v>9285.252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33">
        <f>(1.2+2)*6*357.4</f>
        <v>6862.080000000001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136</v>
      </c>
      <c r="D55" s="33">
        <f>(0.41+0.43)*6*357.4</f>
        <v>1801.2959999999998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251" t="s">
        <v>47</v>
      </c>
      <c r="C56" s="40" t="s">
        <v>267</v>
      </c>
      <c r="D56" s="33">
        <f>(0.95+0.66)*6*357.4-434.87</f>
        <v>3017.614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268</v>
      </c>
      <c r="B57" s="39" t="s">
        <v>47</v>
      </c>
      <c r="C57" s="44" t="s">
        <v>210</v>
      </c>
      <c r="D57" s="33">
        <f>(0.25+0.26)*6*311.4</f>
        <v>952.8839999999999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269</v>
      </c>
      <c r="B58" s="39"/>
      <c r="C58" s="44" t="s">
        <v>224</v>
      </c>
      <c r="D58" s="33">
        <v>0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63</v>
      </c>
      <c r="B59" s="39" t="s">
        <v>64</v>
      </c>
      <c r="C59" s="44" t="s">
        <v>65</v>
      </c>
      <c r="D59" s="33">
        <f>(1.14+1.21)*6*357.4</f>
        <v>5039.339999999999</v>
      </c>
      <c r="E59" s="34"/>
      <c r="F59" s="41"/>
      <c r="G59" s="42"/>
      <c r="H59" s="1"/>
      <c r="I59" s="37"/>
      <c r="J59" s="37"/>
      <c r="K59" s="37"/>
      <c r="L59" s="37"/>
      <c r="M59" s="37"/>
      <c r="N59" s="37"/>
    </row>
    <row r="60" spans="1:14" ht="15">
      <c r="A60" s="31" t="s">
        <v>66</v>
      </c>
      <c r="B60" s="39" t="s">
        <v>67</v>
      </c>
      <c r="C60" s="44">
        <v>4.88</v>
      </c>
      <c r="D60" s="33">
        <f>4.88*12*357.4</f>
        <v>20929.344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31" t="s">
        <v>270</v>
      </c>
      <c r="B61" s="39"/>
      <c r="C61" s="40" t="s">
        <v>103</v>
      </c>
      <c r="D61" s="121">
        <f>(0.62+0.66)*6*263.4</f>
        <v>2022.9119999999998</v>
      </c>
      <c r="E61" s="34"/>
      <c r="F61" s="41"/>
      <c r="G61" s="1"/>
      <c r="H61" s="45"/>
      <c r="I61" s="37"/>
      <c r="J61" s="37"/>
      <c r="K61" s="37"/>
      <c r="L61" s="37"/>
      <c r="M61" s="37"/>
      <c r="N61" s="37"/>
    </row>
    <row r="62" spans="1:14" ht="15">
      <c r="A62" s="46" t="s">
        <v>68</v>
      </c>
      <c r="B62" s="47"/>
      <c r="C62" s="48"/>
      <c r="D62" s="49">
        <f>SUM(D52:D61)</f>
        <v>50532.598</v>
      </c>
      <c r="E62" s="34">
        <f>D62+B23</f>
        <v>53255.988</v>
      </c>
      <c r="F62" s="41"/>
      <c r="G62" s="1"/>
      <c r="H62" s="50">
        <f>E62-B20</f>
        <v>-0.0020000000004074536</v>
      </c>
      <c r="I62" s="37"/>
      <c r="J62" s="37"/>
      <c r="K62" s="37"/>
      <c r="L62" s="37"/>
      <c r="M62" s="37"/>
      <c r="N62" s="37"/>
    </row>
    <row r="63" spans="1:14" ht="15.75">
      <c r="A63" s="51" t="s">
        <v>69</v>
      </c>
      <c r="B63" s="52"/>
      <c r="C63" s="53"/>
      <c r="D63" s="54">
        <f>D64</f>
        <v>2021.34</v>
      </c>
      <c r="E63" s="34"/>
      <c r="F63" s="41"/>
      <c r="G63" s="1"/>
      <c r="H63" s="50">
        <v>930.79</v>
      </c>
      <c r="I63" s="37"/>
      <c r="J63" s="37"/>
      <c r="K63" s="37"/>
      <c r="L63" s="37"/>
      <c r="M63" s="37"/>
      <c r="N63" s="37"/>
    </row>
    <row r="64" spans="1:14" ht="15.75">
      <c r="A64" s="51" t="s">
        <v>249</v>
      </c>
      <c r="B64" s="52"/>
      <c r="C64" s="53"/>
      <c r="D64" s="54">
        <v>2021.34</v>
      </c>
      <c r="E64" s="34"/>
      <c r="F64" s="41"/>
      <c r="G64" s="1"/>
      <c r="H64" s="50"/>
      <c r="I64" s="37"/>
      <c r="J64" s="37"/>
      <c r="K64" s="37"/>
      <c r="L64" s="37"/>
      <c r="M64" s="37"/>
      <c r="N64" s="37"/>
    </row>
    <row r="65" spans="1:14" ht="15.75">
      <c r="A65" s="56" t="s">
        <v>71</v>
      </c>
      <c r="B65" s="57"/>
      <c r="C65" s="58"/>
      <c r="D65" s="54">
        <f>D62+D63</f>
        <v>52553.937999999995</v>
      </c>
      <c r="E65" s="34"/>
      <c r="F65" s="45"/>
      <c r="G65" s="1"/>
      <c r="H65" s="50"/>
      <c r="I65" s="37"/>
      <c r="J65" s="37"/>
      <c r="K65" s="37"/>
      <c r="L65" s="37"/>
      <c r="M65" s="37"/>
      <c r="N65" s="37"/>
    </row>
    <row r="66" spans="1:8" ht="13.5" customHeight="1">
      <c r="A66" s="302" t="s">
        <v>72</v>
      </c>
      <c r="B66" s="302"/>
      <c r="C66" s="302"/>
      <c r="D66" s="60">
        <f>D67</f>
        <v>0</v>
      </c>
      <c r="E66" s="61"/>
      <c r="F66" s="1"/>
      <c r="G66" s="1"/>
      <c r="H66" s="34">
        <f>347.32*12</f>
        <v>4167.84</v>
      </c>
    </row>
    <row r="67" spans="1:8" ht="13.5" customHeight="1">
      <c r="A67" s="145"/>
      <c r="B67" s="145"/>
      <c r="C67" s="146"/>
      <c r="D67" s="60">
        <v>0</v>
      </c>
      <c r="E67" s="61"/>
      <c r="F67" s="1"/>
      <c r="G67" s="1"/>
      <c r="H67" s="34"/>
    </row>
    <row r="68" spans="1:5" ht="25.5" customHeight="1">
      <c r="A68" s="293" t="s">
        <v>73</v>
      </c>
      <c r="B68" s="293"/>
      <c r="C68" s="293"/>
      <c r="D68" s="60">
        <f>D69+D70</f>
        <v>645.06</v>
      </c>
      <c r="E68" s="173"/>
    </row>
    <row r="69" spans="1:5" ht="15.75">
      <c r="A69" s="62" t="s">
        <v>74</v>
      </c>
      <c r="B69" s="63"/>
      <c r="C69" s="64"/>
      <c r="D69" s="60">
        <f>B16+B23-D63</f>
        <v>248.02999999999997</v>
      </c>
      <c r="E69" s="173"/>
    </row>
    <row r="70" spans="1:5" ht="15.75">
      <c r="A70" s="63" t="s">
        <v>75</v>
      </c>
      <c r="B70" s="63"/>
      <c r="C70" s="64"/>
      <c r="D70" s="60">
        <f>B17+B24-D66</f>
        <v>397.03</v>
      </c>
      <c r="E70" s="173"/>
    </row>
    <row r="71" spans="1:5" ht="13.5" customHeight="1">
      <c r="A71" s="294" t="s">
        <v>76</v>
      </c>
      <c r="B71" s="294"/>
      <c r="C71" s="294"/>
      <c r="D71" s="65">
        <v>37279.98</v>
      </c>
      <c r="E71" s="173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D71*B20/B18</f>
        <v>25042.747270710937</v>
      </c>
    </row>
    <row r="74" spans="1:4" ht="13.5" customHeight="1">
      <c r="A74" s="290" t="s">
        <v>28</v>
      </c>
      <c r="B74" s="290"/>
      <c r="C74" s="290"/>
      <c r="D74" s="66">
        <f>D71*B24/B18</f>
        <v>743.495493458416</v>
      </c>
    </row>
    <row r="75" spans="1:4" ht="13.5" customHeight="1">
      <c r="A75" s="290" t="s">
        <v>29</v>
      </c>
      <c r="B75" s="290"/>
      <c r="C75" s="290"/>
      <c r="D75" s="66">
        <f>SUM(D77:D79)</f>
        <v>11493.737235830647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D71*B27/B18</f>
        <v>5361.225473093817</v>
      </c>
    </row>
    <row r="78" spans="1:4" ht="15">
      <c r="A78" s="290" t="s">
        <v>33</v>
      </c>
      <c r="B78" s="290"/>
      <c r="C78" s="290"/>
      <c r="D78" s="66">
        <f>D71*B28/B18</f>
        <v>6132.511762736831</v>
      </c>
    </row>
    <row r="79" spans="1:4" ht="15" customHeight="1">
      <c r="A79" s="290" t="s">
        <v>34</v>
      </c>
      <c r="B79" s="290"/>
      <c r="C79" s="290"/>
      <c r="D79" s="66">
        <f>D71*E30</f>
        <v>0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/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12.75" customHeight="1">
      <c r="A84" s="31" t="s">
        <v>260</v>
      </c>
      <c r="B84" s="296" t="s">
        <v>84</v>
      </c>
      <c r="C84" s="70" t="s">
        <v>261</v>
      </c>
      <c r="D84" s="307" t="s">
        <v>85</v>
      </c>
    </row>
    <row r="85" spans="1:4" ht="12.75" customHeight="1">
      <c r="A85" s="31" t="s">
        <v>262</v>
      </c>
      <c r="B85" s="296"/>
      <c r="C85" s="70" t="s">
        <v>263</v>
      </c>
      <c r="D85" s="307"/>
    </row>
    <row r="86" spans="1:4" ht="12.75" customHeight="1">
      <c r="A86" s="31" t="s">
        <v>264</v>
      </c>
      <c r="B86" s="296"/>
      <c r="C86" s="70" t="s">
        <v>265</v>
      </c>
      <c r="D86" s="307"/>
    </row>
    <row r="87" spans="1:4" ht="12.75">
      <c r="A87" s="31" t="s">
        <v>28</v>
      </c>
      <c r="B87" s="296"/>
      <c r="C87" s="70">
        <v>2.7</v>
      </c>
      <c r="D87" s="31" t="s">
        <v>85</v>
      </c>
    </row>
    <row r="88" spans="1:4" ht="19.5" customHeight="1">
      <c r="A88" s="31" t="s">
        <v>31</v>
      </c>
      <c r="B88" s="297" t="s">
        <v>86</v>
      </c>
      <c r="C88" s="70" t="s">
        <v>87</v>
      </c>
      <c r="D88" s="252" t="s">
        <v>716</v>
      </c>
    </row>
    <row r="89" spans="1:4" ht="21" customHeight="1">
      <c r="A89" s="31" t="s">
        <v>33</v>
      </c>
      <c r="B89" s="297"/>
      <c r="C89" s="70" t="s">
        <v>89</v>
      </c>
      <c r="D89" s="252" t="s">
        <v>716</v>
      </c>
    </row>
    <row r="91" ht="12.75">
      <c r="A91" t="s">
        <v>93</v>
      </c>
    </row>
    <row r="93" ht="12.75">
      <c r="A93" t="s">
        <v>95</v>
      </c>
    </row>
  </sheetData>
  <sheetProtection selectLockedCells="1" selectUnlockedCells="1"/>
  <mergeCells count="24">
    <mergeCell ref="A80:C80"/>
    <mergeCell ref="A81:C81"/>
    <mergeCell ref="A82:D82"/>
    <mergeCell ref="B84:B87"/>
    <mergeCell ref="D84:D86"/>
    <mergeCell ref="B88:B89"/>
    <mergeCell ref="A74:C74"/>
    <mergeCell ref="A75:C75"/>
    <mergeCell ref="A76:C76"/>
    <mergeCell ref="A77:C77"/>
    <mergeCell ref="A78:C78"/>
    <mergeCell ref="A79:C79"/>
    <mergeCell ref="A48:D49"/>
    <mergeCell ref="A66:C66"/>
    <mergeCell ref="A68:C68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271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272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-311.34000000000015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-9496.74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9185.4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v>233283.19</v>
      </c>
      <c r="C18" s="105" t="s">
        <v>19</v>
      </c>
      <c r="D18" s="14"/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56274.97</v>
      </c>
      <c r="C20" s="105" t="s">
        <v>273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1515.5399999999997</v>
      </c>
      <c r="C21" s="19" t="s">
        <v>274</v>
      </c>
      <c r="D21" s="20"/>
      <c r="E21" s="17">
        <f>(0.2+0.47)*6*377</f>
        <v>1515.5399999999997</v>
      </c>
      <c r="F21" s="1"/>
      <c r="G21" s="1"/>
      <c r="H21" s="1"/>
    </row>
    <row r="22" spans="1:8" ht="15.75">
      <c r="A22" s="9" t="s">
        <v>28</v>
      </c>
      <c r="B22" s="118">
        <v>9185.4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29</v>
      </c>
      <c r="B23" s="16">
        <f>B25+B26+B27</f>
        <v>167823.53</v>
      </c>
      <c r="C23" s="195" t="s">
        <v>19</v>
      </c>
      <c r="D23" s="20"/>
      <c r="E23" s="17"/>
      <c r="F23" s="1"/>
      <c r="G23" s="1"/>
      <c r="H23" s="1"/>
    </row>
    <row r="24" spans="1:8" ht="15.75">
      <c r="A24" s="9" t="s">
        <v>20</v>
      </c>
      <c r="B24" s="120"/>
      <c r="C24" s="177"/>
      <c r="D24" s="20"/>
      <c r="E24" s="1"/>
      <c r="F24" s="1"/>
      <c r="G24" s="1"/>
      <c r="H24" s="1"/>
    </row>
    <row r="25" spans="1:8" ht="15">
      <c r="A25" s="9" t="s">
        <v>31</v>
      </c>
      <c r="B25" s="16">
        <v>19036.2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33</v>
      </c>
      <c r="B26" s="16">
        <v>21928.35</v>
      </c>
      <c r="C26" s="152" t="s">
        <v>19</v>
      </c>
      <c r="D26" s="27"/>
      <c r="E26" s="17"/>
      <c r="F26" s="1"/>
      <c r="G26" s="1"/>
      <c r="H26" s="1"/>
    </row>
    <row r="27" spans="1:8" ht="15">
      <c r="A27" s="9" t="s">
        <v>34</v>
      </c>
      <c r="B27" s="16">
        <v>126858.98</v>
      </c>
      <c r="C27" s="152"/>
      <c r="D27" s="27"/>
      <c r="E27" s="17"/>
      <c r="F27" s="1"/>
      <c r="G27" s="1"/>
      <c r="H27" s="1"/>
    </row>
    <row r="28" spans="1:8" ht="15">
      <c r="A28" s="9" t="s">
        <v>35</v>
      </c>
      <c r="B28" s="16"/>
      <c r="C28" s="152" t="s">
        <v>19</v>
      </c>
      <c r="D28" s="28"/>
      <c r="E28" s="17"/>
      <c r="F28" s="1"/>
      <c r="G28" s="1"/>
      <c r="H28" s="1"/>
    </row>
    <row r="29" spans="1:8" ht="25.5">
      <c r="A29" s="11" t="s">
        <v>36</v>
      </c>
      <c r="B29" s="18">
        <v>220182.19</v>
      </c>
      <c r="C29" s="13" t="s">
        <v>19</v>
      </c>
      <c r="D29" s="14"/>
      <c r="E29" s="1">
        <f>B29/B18</f>
        <v>0.9438407885283119</v>
      </c>
      <c r="F29" s="1"/>
      <c r="G29" s="1"/>
      <c r="H29" s="1"/>
    </row>
    <row r="30" spans="1:4" ht="15">
      <c r="A30" s="9" t="s">
        <v>20</v>
      </c>
      <c r="B30" s="18"/>
      <c r="C30" s="13"/>
      <c r="D30" s="14"/>
    </row>
    <row r="31" spans="1:4" ht="15">
      <c r="A31" s="9" t="s">
        <v>77</v>
      </c>
      <c r="B31" s="18">
        <f>B20*E29</f>
        <v>53114.612059207095</v>
      </c>
      <c r="C31" s="13"/>
      <c r="D31" s="14"/>
    </row>
    <row r="32" spans="1:4" ht="15">
      <c r="A32" s="9" t="s">
        <v>28</v>
      </c>
      <c r="B32" s="18">
        <f>B22*E29</f>
        <v>8669.555178947956</v>
      </c>
      <c r="C32" s="18" t="s">
        <v>6</v>
      </c>
      <c r="D32" s="14" t="s">
        <v>19</v>
      </c>
    </row>
    <row r="33" spans="1:4" ht="15">
      <c r="A33" s="9" t="s">
        <v>29</v>
      </c>
      <c r="B33" s="18">
        <f>B35+B36+B37</f>
        <v>158398.6928888048</v>
      </c>
      <c r="C33" s="13" t="s">
        <v>19</v>
      </c>
      <c r="D33" s="14" t="s">
        <v>19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31</v>
      </c>
      <c r="B35" s="18">
        <f>B25*E29</f>
        <v>17967.14201858265</v>
      </c>
      <c r="C35" s="13" t="s">
        <v>19</v>
      </c>
      <c r="D35" s="14"/>
    </row>
    <row r="36" spans="1:4" ht="15">
      <c r="A36" s="9" t="s">
        <v>33</v>
      </c>
      <c r="B36" s="18">
        <f>B26*E29</f>
        <v>20696.871155124805</v>
      </c>
      <c r="C36" s="13" t="s">
        <v>19</v>
      </c>
      <c r="D36" s="14"/>
    </row>
    <row r="37" spans="1:4" ht="15">
      <c r="A37" s="9" t="s">
        <v>34</v>
      </c>
      <c r="B37" s="18">
        <f>B27*E29</f>
        <v>119734.67971509734</v>
      </c>
      <c r="C37" s="13"/>
      <c r="D37" s="14"/>
    </row>
    <row r="38" spans="1:4" ht="15">
      <c r="A38" s="9" t="s">
        <v>35</v>
      </c>
      <c r="B38" s="18">
        <v>0</v>
      </c>
      <c r="C38" s="13"/>
      <c r="D38" s="14"/>
    </row>
    <row r="39" spans="1:4" ht="38.25">
      <c r="A39" s="11" t="s">
        <v>40</v>
      </c>
      <c r="B39" s="18">
        <f>B41+B42+B43</f>
        <v>158398.6928888048</v>
      </c>
      <c r="C39" s="13" t="s">
        <v>19</v>
      </c>
      <c r="D39" s="14" t="s">
        <v>19</v>
      </c>
    </row>
    <row r="40" spans="1:4" ht="15">
      <c r="A40" s="9" t="s">
        <v>20</v>
      </c>
      <c r="B40" s="18"/>
      <c r="C40" s="13"/>
      <c r="D40" s="14"/>
    </row>
    <row r="41" spans="1:4" ht="15">
      <c r="A41" s="9" t="s">
        <v>31</v>
      </c>
      <c r="B41" s="18">
        <f>B35</f>
        <v>17967.14201858265</v>
      </c>
      <c r="C41" s="13"/>
      <c r="D41" s="14"/>
    </row>
    <row r="42" spans="1:4" ht="15">
      <c r="A42" s="9" t="s">
        <v>33</v>
      </c>
      <c r="B42" s="18">
        <f>B36</f>
        <v>20696.871155124805</v>
      </c>
      <c r="C42" s="13"/>
      <c r="D42" s="14"/>
    </row>
    <row r="43" spans="1:4" ht="15">
      <c r="A43" s="9" t="s">
        <v>34</v>
      </c>
      <c r="B43" s="18">
        <f>B37</f>
        <v>119734.67971509734</v>
      </c>
      <c r="C43" s="13"/>
      <c r="D43" s="14"/>
    </row>
    <row r="44" spans="1:4" ht="15">
      <c r="A44" s="9" t="s">
        <v>35</v>
      </c>
      <c r="B44" s="18">
        <v>0</v>
      </c>
      <c r="C44" s="13" t="s">
        <v>19</v>
      </c>
      <c r="D44" s="14"/>
    </row>
    <row r="45" ht="12.75">
      <c r="A45" s="4"/>
    </row>
    <row r="46" spans="1:10" ht="13.5" customHeight="1">
      <c r="A46" s="291" t="s">
        <v>41</v>
      </c>
      <c r="B46" s="291"/>
      <c r="C46" s="291"/>
      <c r="D46" s="291"/>
      <c r="I46" s="30"/>
      <c r="J46" s="30"/>
    </row>
    <row r="47" spans="1:10" ht="9" customHeight="1">
      <c r="A47" s="291"/>
      <c r="B47" s="291"/>
      <c r="C47" s="291"/>
      <c r="D47" s="291"/>
      <c r="I47" s="4"/>
      <c r="J47" s="4"/>
    </row>
    <row r="48" spans="1:10" ht="12.75">
      <c r="A48" s="4"/>
      <c r="C48" s="6" t="s">
        <v>10</v>
      </c>
      <c r="I48" s="4"/>
      <c r="J48" s="4"/>
    </row>
    <row r="49" spans="1:14" ht="66.75" customHeight="1">
      <c r="A49" s="8" t="s">
        <v>42</v>
      </c>
      <c r="B49" s="8" t="s">
        <v>43</v>
      </c>
      <c r="C49" s="8" t="s">
        <v>44</v>
      </c>
      <c r="D49" s="248" t="s">
        <v>715</v>
      </c>
      <c r="E49" s="29"/>
      <c r="I49" s="3"/>
      <c r="J49" s="3"/>
      <c r="K49" s="3"/>
      <c r="L49" s="3"/>
      <c r="M49" s="3"/>
      <c r="N49" s="3"/>
    </row>
    <row r="50" spans="1:14" ht="15">
      <c r="A50" s="31" t="s">
        <v>112</v>
      </c>
      <c r="B50" s="32" t="s">
        <v>47</v>
      </c>
      <c r="C50" s="19" t="s">
        <v>48</v>
      </c>
      <c r="D50" s="33">
        <f>(0.14+0.15)*6*377</f>
        <v>655.9800000000001</v>
      </c>
      <c r="E50" s="34"/>
      <c r="F50" s="35"/>
      <c r="G50" s="36"/>
      <c r="H50" s="1"/>
      <c r="I50" s="37"/>
      <c r="J50" s="37"/>
      <c r="K50" s="37"/>
      <c r="L50" s="37"/>
      <c r="M50" s="37"/>
      <c r="N50" s="37"/>
    </row>
    <row r="51" spans="1:14" ht="15">
      <c r="A51" s="31" t="s">
        <v>49</v>
      </c>
      <c r="B51" s="32" t="s">
        <v>50</v>
      </c>
      <c r="C51" s="156" t="s">
        <v>51</v>
      </c>
      <c r="D51" s="33">
        <f>(2.1+2.23)*6*377</f>
        <v>9794.460000000001</v>
      </c>
      <c r="E51" s="34"/>
      <c r="F51" s="35"/>
      <c r="G51" s="36"/>
      <c r="H51" s="1"/>
      <c r="I51" s="37"/>
      <c r="J51" s="37"/>
      <c r="K51" s="37"/>
      <c r="L51" s="37"/>
      <c r="M51" s="37"/>
      <c r="N51" s="37"/>
    </row>
    <row r="52" spans="1:14" ht="15">
      <c r="A52" s="31" t="s">
        <v>52</v>
      </c>
      <c r="B52" s="32" t="s">
        <v>50</v>
      </c>
      <c r="C52" s="156" t="s">
        <v>53</v>
      </c>
      <c r="D52" s="33">
        <f>(1.2+2)*6*377</f>
        <v>7238.4000000000015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54</v>
      </c>
      <c r="B53" s="32" t="s">
        <v>47</v>
      </c>
      <c r="C53" s="156" t="s">
        <v>55</v>
      </c>
      <c r="D53" s="33">
        <f>(0.2+0.21)*6*377</f>
        <v>927.42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56</v>
      </c>
      <c r="B54" s="251" t="s">
        <v>47</v>
      </c>
      <c r="C54" s="44" t="s">
        <v>275</v>
      </c>
      <c r="D54" s="33">
        <f>(0.61+0.65)*6*377+E64</f>
        <v>2850.1200000000003</v>
      </c>
      <c r="E54" s="34"/>
      <c r="F54" s="41"/>
      <c r="G54" s="42"/>
      <c r="H54" s="43"/>
      <c r="I54" s="37"/>
      <c r="J54" s="37"/>
      <c r="K54" s="37"/>
      <c r="L54" s="37"/>
      <c r="M54" s="37"/>
      <c r="N54" s="37"/>
    </row>
    <row r="55" spans="1:14" ht="15">
      <c r="A55" s="31" t="s">
        <v>115</v>
      </c>
      <c r="B55" s="39" t="s">
        <v>47</v>
      </c>
      <c r="C55" s="44" t="s">
        <v>276</v>
      </c>
      <c r="D55" s="33">
        <f>(0.69+0.73)*6*377</f>
        <v>3212.04</v>
      </c>
      <c r="E55" s="34"/>
      <c r="F55" s="41"/>
      <c r="G55" s="42"/>
      <c r="H55" s="1"/>
      <c r="I55" s="37"/>
      <c r="J55" s="37"/>
      <c r="K55" s="37"/>
      <c r="L55" s="37"/>
      <c r="M55" s="37"/>
      <c r="N55" s="37"/>
    </row>
    <row r="56" spans="1:14" ht="15">
      <c r="A56" s="31" t="s">
        <v>63</v>
      </c>
      <c r="B56" s="39" t="s">
        <v>64</v>
      </c>
      <c r="C56" s="44" t="s">
        <v>65</v>
      </c>
      <c r="D56" s="33">
        <f>(1.14+1.21)*6*377</f>
        <v>5315.699999999999</v>
      </c>
      <c r="E56" s="34"/>
      <c r="F56" s="41"/>
      <c r="G56" s="42"/>
      <c r="H56" s="1"/>
      <c r="I56" s="37"/>
      <c r="J56" s="37"/>
      <c r="K56" s="37"/>
      <c r="L56" s="37"/>
      <c r="M56" s="37"/>
      <c r="N56" s="37"/>
    </row>
    <row r="57" spans="1:14" ht="15">
      <c r="A57" s="31" t="s">
        <v>66</v>
      </c>
      <c r="B57" s="39" t="s">
        <v>67</v>
      </c>
      <c r="C57" s="44">
        <v>4.88</v>
      </c>
      <c r="D57" s="33">
        <f>4.88*12*377</f>
        <v>22077.120000000003</v>
      </c>
      <c r="E57" s="34"/>
      <c r="F57" s="41"/>
      <c r="G57" s="1"/>
      <c r="H57" s="45"/>
      <c r="I57" s="37"/>
      <c r="J57" s="37"/>
      <c r="K57" s="37"/>
      <c r="L57" s="37"/>
      <c r="M57" s="37"/>
      <c r="N57" s="37"/>
    </row>
    <row r="58" spans="1:14" ht="15">
      <c r="A58" s="31" t="s">
        <v>277</v>
      </c>
      <c r="B58" s="39"/>
      <c r="C58" s="44" t="s">
        <v>243</v>
      </c>
      <c r="D58" s="121">
        <f>(0.6+0.64)*6*377</f>
        <v>2804.8799999999997</v>
      </c>
      <c r="E58" s="34"/>
      <c r="F58" s="41"/>
      <c r="G58" s="1"/>
      <c r="H58" s="45"/>
      <c r="I58" s="37"/>
      <c r="J58" s="37"/>
      <c r="K58" s="37"/>
      <c r="L58" s="37"/>
      <c r="M58" s="37"/>
      <c r="N58" s="37"/>
    </row>
    <row r="59" spans="1:14" ht="15">
      <c r="A59" s="46" t="s">
        <v>68</v>
      </c>
      <c r="B59" s="47"/>
      <c r="C59" s="48"/>
      <c r="D59" s="49">
        <f>SUM(D50:D58)</f>
        <v>54876.12</v>
      </c>
      <c r="E59" s="34">
        <f>D59+B21</f>
        <v>56391.66</v>
      </c>
      <c r="F59" s="41"/>
      <c r="G59" s="1"/>
      <c r="H59" s="50">
        <f>E59-B20</f>
        <v>116.69000000000233</v>
      </c>
      <c r="I59" s="45" t="s">
        <v>278</v>
      </c>
      <c r="J59" s="45"/>
      <c r="K59" s="37"/>
      <c r="L59" s="37"/>
      <c r="M59" s="37"/>
      <c r="N59" s="37"/>
    </row>
    <row r="60" spans="1:14" ht="15.75">
      <c r="A60" s="51" t="s">
        <v>69</v>
      </c>
      <c r="B60" s="52"/>
      <c r="C60" s="53"/>
      <c r="D60" s="54">
        <f>D61</f>
        <v>0</v>
      </c>
      <c r="E60" s="34"/>
      <c r="F60" s="41"/>
      <c r="G60" s="1"/>
      <c r="H60" s="50"/>
      <c r="I60" s="37"/>
      <c r="J60" s="37"/>
      <c r="K60" s="37"/>
      <c r="L60" s="37"/>
      <c r="M60" s="37"/>
      <c r="N60" s="37"/>
    </row>
    <row r="61" spans="1:14" ht="15.75">
      <c r="A61" s="51"/>
      <c r="B61" s="52"/>
      <c r="C61" s="53"/>
      <c r="D61" s="54">
        <v>0</v>
      </c>
      <c r="E61" s="34"/>
      <c r="F61" s="41"/>
      <c r="G61" s="1"/>
      <c r="H61" s="50"/>
      <c r="I61" s="37"/>
      <c r="J61" s="37"/>
      <c r="K61" s="37"/>
      <c r="L61" s="37"/>
      <c r="M61" s="37"/>
      <c r="N61" s="37"/>
    </row>
    <row r="62" spans="1:14" ht="15.75">
      <c r="A62" s="56" t="s">
        <v>71</v>
      </c>
      <c r="B62" s="57"/>
      <c r="C62" s="58"/>
      <c r="D62" s="54">
        <f>D59+D60</f>
        <v>54876.12</v>
      </c>
      <c r="E62" s="34"/>
      <c r="F62" s="45"/>
      <c r="G62" s="1"/>
      <c r="H62" s="50"/>
      <c r="I62" s="37"/>
      <c r="J62" s="37"/>
      <c r="K62" s="37"/>
      <c r="L62" s="37"/>
      <c r="M62" s="37"/>
      <c r="N62" s="37"/>
    </row>
    <row r="63" spans="1:8" ht="13.5" customHeight="1">
      <c r="A63" s="302" t="s">
        <v>72</v>
      </c>
      <c r="B63" s="302"/>
      <c r="C63" s="302"/>
      <c r="D63" s="60">
        <f>D64+D65</f>
        <v>3296.25</v>
      </c>
      <c r="E63" s="61"/>
      <c r="F63" s="1"/>
      <c r="G63" s="1"/>
      <c r="H63" s="34"/>
    </row>
    <row r="64" spans="1:8" ht="13.5" customHeight="1">
      <c r="A64" s="145" t="s">
        <v>279</v>
      </c>
      <c r="B64" s="145"/>
      <c r="C64" s="146"/>
      <c r="D64" s="60">
        <v>1817.57</v>
      </c>
      <c r="E64" s="61"/>
      <c r="F64" s="1"/>
      <c r="G64" s="1"/>
      <c r="H64" s="34"/>
    </row>
    <row r="65" spans="1:8" ht="13.5" customHeight="1">
      <c r="A65" s="145" t="s">
        <v>280</v>
      </c>
      <c r="B65" s="145"/>
      <c r="C65" s="146"/>
      <c r="D65" s="60">
        <v>1478.68</v>
      </c>
      <c r="E65" s="61"/>
      <c r="F65" s="1"/>
      <c r="G65" s="1"/>
      <c r="H65" s="34"/>
    </row>
    <row r="66" spans="1:5" ht="25.5" customHeight="1">
      <c r="A66" s="293" t="s">
        <v>73</v>
      </c>
      <c r="B66" s="293"/>
      <c r="C66" s="293"/>
      <c r="D66" s="60">
        <f>D67+D68</f>
        <v>7093.349999999999</v>
      </c>
      <c r="E66" s="173"/>
    </row>
    <row r="67" spans="1:5" ht="15.75">
      <c r="A67" s="62" t="s">
        <v>74</v>
      </c>
      <c r="B67" s="63"/>
      <c r="C67" s="64"/>
      <c r="D67" s="60">
        <f>B16+B21-D60</f>
        <v>-7981.2</v>
      </c>
      <c r="E67" s="173"/>
    </row>
    <row r="68" spans="1:5" ht="15.75">
      <c r="A68" s="63" t="s">
        <v>75</v>
      </c>
      <c r="B68" s="63"/>
      <c r="C68" s="64"/>
      <c r="D68" s="60">
        <f>B17+B22-D63</f>
        <v>15074.55</v>
      </c>
      <c r="E68" s="173"/>
    </row>
    <row r="69" spans="1:5" ht="13.5" customHeight="1">
      <c r="A69" s="294" t="s">
        <v>76</v>
      </c>
      <c r="B69" s="294"/>
      <c r="C69" s="294"/>
      <c r="D69" s="65">
        <v>0</v>
      </c>
      <c r="E69" s="173"/>
    </row>
    <row r="70" spans="1:4" ht="15" customHeight="1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D69*E21</f>
        <v>0</v>
      </c>
    </row>
    <row r="72" spans="1:4" ht="13.5" customHeight="1">
      <c r="A72" s="290" t="s">
        <v>28</v>
      </c>
      <c r="B72" s="290"/>
      <c r="C72" s="290"/>
      <c r="D72" s="66">
        <f>D69-D71-D73</f>
        <v>0</v>
      </c>
    </row>
    <row r="73" spans="1:4" ht="13.5" customHeight="1">
      <c r="A73" s="290" t="s">
        <v>29</v>
      </c>
      <c r="B73" s="290"/>
      <c r="C73" s="290"/>
      <c r="D73" s="66">
        <f>SUM(D75:D77)</f>
        <v>0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D69*E26</f>
        <v>0</v>
      </c>
    </row>
    <row r="76" spans="1:4" ht="15">
      <c r="A76" s="290" t="s">
        <v>33</v>
      </c>
      <c r="B76" s="290"/>
      <c r="C76" s="290"/>
      <c r="D76" s="66">
        <f>D69*E27</f>
        <v>0</v>
      </c>
    </row>
    <row r="77" spans="1:4" ht="15" customHeight="1">
      <c r="A77" s="290" t="s">
        <v>34</v>
      </c>
      <c r="B77" s="290"/>
      <c r="C77" s="290"/>
      <c r="D77" s="66">
        <f>D69*E28</f>
        <v>0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19.5" customHeight="1">
      <c r="A82" s="31" t="s">
        <v>77</v>
      </c>
      <c r="B82" s="296" t="s">
        <v>84</v>
      </c>
      <c r="C82" s="70" t="s">
        <v>273</v>
      </c>
      <c r="D82" s="67" t="s">
        <v>85</v>
      </c>
    </row>
    <row r="83" spans="1:4" ht="22.5" customHeight="1">
      <c r="A83" s="31" t="s">
        <v>28</v>
      </c>
      <c r="B83" s="296"/>
      <c r="C83" s="70">
        <v>2.7</v>
      </c>
      <c r="D83" s="71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31" t="s">
        <v>33</v>
      </c>
      <c r="B85" s="297"/>
      <c r="C85" s="70" t="s">
        <v>89</v>
      </c>
      <c r="D85" s="249" t="s">
        <v>716</v>
      </c>
    </row>
    <row r="86" spans="1:4" ht="39.75" customHeight="1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8:C78"/>
    <mergeCell ref="A79:C79"/>
    <mergeCell ref="A80:D80"/>
    <mergeCell ref="B82:B83"/>
    <mergeCell ref="B84:B85"/>
    <mergeCell ref="A72:C72"/>
    <mergeCell ref="A73:C73"/>
    <mergeCell ref="A74:C74"/>
    <mergeCell ref="A75:C75"/>
    <mergeCell ref="A76:C76"/>
    <mergeCell ref="A77:C77"/>
    <mergeCell ref="A46:D47"/>
    <mergeCell ref="A63:C63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75" customWidth="1"/>
    <col min="2" max="2" width="25.00390625" style="76" customWidth="1"/>
    <col min="3" max="3" width="23.00390625" style="76" customWidth="1"/>
    <col min="4" max="4" width="25.140625" style="76" customWidth="1"/>
    <col min="5" max="5" width="14.28125" style="1" customWidth="1"/>
    <col min="6" max="6" width="9.140625" style="1" customWidth="1"/>
  </cols>
  <sheetData>
    <row r="1" spans="1:4" ht="12.75">
      <c r="A1" s="300" t="s">
        <v>0</v>
      </c>
      <c r="B1" s="300"/>
      <c r="C1" s="300"/>
      <c r="D1" s="300"/>
    </row>
    <row r="2" spans="1:4" ht="12.75">
      <c r="A2" s="300" t="s">
        <v>1</v>
      </c>
      <c r="B2" s="300"/>
      <c r="C2" s="300"/>
      <c r="D2" s="300"/>
    </row>
    <row r="3" spans="1:4" ht="12.75">
      <c r="A3" s="300" t="s">
        <v>2</v>
      </c>
      <c r="B3" s="300"/>
      <c r="C3" s="300"/>
      <c r="D3" s="300"/>
    </row>
    <row r="4" spans="1:4" ht="12.75">
      <c r="A4" s="300" t="s">
        <v>96</v>
      </c>
      <c r="B4" s="300"/>
      <c r="C4" s="300"/>
      <c r="D4" s="300"/>
    </row>
    <row r="5" spans="1:4" ht="12.75">
      <c r="A5" s="300" t="s">
        <v>4</v>
      </c>
      <c r="B5" s="300"/>
      <c r="C5" s="300"/>
      <c r="D5" s="300"/>
    </row>
    <row r="6" spans="1:4" ht="12.75">
      <c r="A6" s="4"/>
      <c r="B6" s="77"/>
      <c r="C6" s="77"/>
      <c r="D6" s="77"/>
    </row>
    <row r="7" spans="1:4" ht="23.25" customHeight="1">
      <c r="A7" s="301" t="s">
        <v>97</v>
      </c>
      <c r="B7" s="301"/>
      <c r="C7" s="301"/>
      <c r="D7" s="301"/>
    </row>
    <row r="8" spans="1:4" ht="12.75">
      <c r="A8" s="4" t="s">
        <v>7</v>
      </c>
      <c r="B8" s="77"/>
      <c r="C8" s="77"/>
      <c r="D8" s="77"/>
    </row>
    <row r="9" spans="1:4" ht="12.75">
      <c r="A9" s="4" t="s">
        <v>8</v>
      </c>
      <c r="B9" s="77"/>
      <c r="C9" s="77"/>
      <c r="D9" s="77"/>
    </row>
    <row r="10" spans="1:4" ht="12.75">
      <c r="A10" s="4"/>
      <c r="B10" s="77"/>
      <c r="C10" s="77"/>
      <c r="D10" s="77"/>
    </row>
    <row r="11" spans="1:4" ht="12.75">
      <c r="A11" s="4" t="s">
        <v>9</v>
      </c>
      <c r="B11" s="77"/>
      <c r="C11" s="77"/>
      <c r="D11" s="77"/>
    </row>
    <row r="12" spans="1:4" ht="12.75">
      <c r="A12" s="4"/>
      <c r="B12" s="77"/>
      <c r="C12" s="79" t="s">
        <v>10</v>
      </c>
      <c r="D12" s="77"/>
    </row>
    <row r="13" spans="1:4" ht="45" customHeight="1">
      <c r="A13" s="80" t="s">
        <v>11</v>
      </c>
      <c r="B13" s="81" t="s">
        <v>12</v>
      </c>
      <c r="C13" s="81" t="s">
        <v>13</v>
      </c>
      <c r="D13" s="81" t="s">
        <v>14</v>
      </c>
    </row>
    <row r="14" spans="1:4" ht="12.75">
      <c r="A14" s="82">
        <v>1</v>
      </c>
      <c r="B14" s="82">
        <v>2</v>
      </c>
      <c r="C14" s="82">
        <v>3</v>
      </c>
      <c r="D14" s="82">
        <v>4</v>
      </c>
    </row>
    <row r="15" spans="1:4" ht="39" customHeight="1">
      <c r="A15" s="83" t="s">
        <v>15</v>
      </c>
      <c r="B15" s="84">
        <f>B16+B17</f>
        <v>11834.699999999999</v>
      </c>
      <c r="C15" s="85"/>
      <c r="D15" s="85"/>
    </row>
    <row r="16" spans="1:4" ht="12.75">
      <c r="A16" s="86" t="s">
        <v>16</v>
      </c>
      <c r="B16" s="84">
        <v>27730.6</v>
      </c>
      <c r="C16" s="85"/>
      <c r="D16" s="85"/>
    </row>
    <row r="17" spans="1:4" ht="12.75">
      <c r="A17" s="86" t="s">
        <v>17</v>
      </c>
      <c r="B17" s="84">
        <v>-15895.9</v>
      </c>
      <c r="C17" s="85"/>
      <c r="D17" s="85"/>
    </row>
    <row r="18" spans="1:4" ht="25.5" customHeight="1">
      <c r="A18" s="83" t="s">
        <v>18</v>
      </c>
      <c r="B18" s="87">
        <f>B22+B23+B20</f>
        <v>292127.15</v>
      </c>
      <c r="C18" s="87" t="s">
        <v>19</v>
      </c>
      <c r="D18" s="85" t="s">
        <v>19</v>
      </c>
    </row>
    <row r="19" spans="1:4" ht="12.75">
      <c r="A19" s="88" t="s">
        <v>20</v>
      </c>
      <c r="B19" s="87"/>
      <c r="C19" s="87"/>
      <c r="D19" s="85"/>
    </row>
    <row r="20" spans="1:4" ht="12.75">
      <c r="A20" s="86" t="s">
        <v>21</v>
      </c>
      <c r="B20" s="87">
        <v>66744</v>
      </c>
      <c r="C20" s="87" t="s">
        <v>98</v>
      </c>
      <c r="D20" s="89" t="s">
        <v>6</v>
      </c>
    </row>
    <row r="21" spans="1:5" ht="12.75">
      <c r="A21" s="86" t="s">
        <v>22</v>
      </c>
      <c r="B21" s="87">
        <v>1715.48</v>
      </c>
      <c r="C21" s="87" t="s">
        <v>99</v>
      </c>
      <c r="D21" s="89"/>
      <c r="E21" s="1">
        <f>(0.1+0.54)*6*446.74</f>
        <v>1715.4816</v>
      </c>
    </row>
    <row r="22" spans="1:4" ht="12.75">
      <c r="A22" s="86" t="s">
        <v>28</v>
      </c>
      <c r="B22" s="90">
        <v>5515.2</v>
      </c>
      <c r="C22" s="87">
        <v>2.7</v>
      </c>
      <c r="D22" s="85"/>
    </row>
    <row r="23" spans="1:4" ht="12.75">
      <c r="A23" s="86" t="s">
        <v>29</v>
      </c>
      <c r="B23" s="87">
        <f>SUM(B25:B28)</f>
        <v>219867.95</v>
      </c>
      <c r="C23" s="87" t="s">
        <v>30</v>
      </c>
      <c r="D23" s="85" t="s">
        <v>30</v>
      </c>
    </row>
    <row r="24" spans="1:4" ht="12.75">
      <c r="A24" s="86" t="s">
        <v>20</v>
      </c>
      <c r="B24" s="87"/>
      <c r="C24" s="87"/>
      <c r="D24" s="85"/>
    </row>
    <row r="25" spans="1:4" ht="12.75">
      <c r="A25" s="86" t="s">
        <v>31</v>
      </c>
      <c r="B25" s="87">
        <v>32315.94</v>
      </c>
      <c r="C25" s="87"/>
      <c r="D25" s="85" t="s">
        <v>32</v>
      </c>
    </row>
    <row r="26" spans="1:4" ht="12.75">
      <c r="A26" s="86" t="s">
        <v>33</v>
      </c>
      <c r="B26" s="87">
        <v>37225.75</v>
      </c>
      <c r="C26" s="87"/>
      <c r="D26" s="85" t="s">
        <v>32</v>
      </c>
    </row>
    <row r="27" spans="1:4" ht="12.75">
      <c r="A27" s="86" t="s">
        <v>34</v>
      </c>
      <c r="B27" s="87">
        <v>150326.26</v>
      </c>
      <c r="C27" s="87" t="s">
        <v>6</v>
      </c>
      <c r="D27" s="85"/>
    </row>
    <row r="28" spans="1:4" ht="12.75">
      <c r="A28" s="86" t="s">
        <v>35</v>
      </c>
      <c r="B28" s="87"/>
      <c r="C28" s="87"/>
      <c r="D28" s="85" t="s">
        <v>6</v>
      </c>
    </row>
    <row r="29" spans="1:5" ht="25.5" customHeight="1">
      <c r="A29" s="83" t="s">
        <v>36</v>
      </c>
      <c r="B29" s="84">
        <v>299243.21</v>
      </c>
      <c r="C29" s="85" t="s">
        <v>19</v>
      </c>
      <c r="D29" s="85" t="s">
        <v>19</v>
      </c>
      <c r="E29" s="1">
        <f>B29/B18</f>
        <v>1.024359461282527</v>
      </c>
    </row>
    <row r="30" spans="1:4" ht="12.75">
      <c r="A30" s="86" t="s">
        <v>20</v>
      </c>
      <c r="B30" s="84"/>
      <c r="C30" s="85"/>
      <c r="D30" s="85"/>
    </row>
    <row r="31" spans="1:4" ht="12.75">
      <c r="A31" s="86" t="s">
        <v>37</v>
      </c>
      <c r="B31" s="84"/>
      <c r="C31" s="85"/>
      <c r="D31" s="85"/>
    </row>
    <row r="32" spans="1:4" ht="12.75">
      <c r="A32" s="86" t="s">
        <v>38</v>
      </c>
      <c r="B32" s="84"/>
      <c r="C32" s="85">
        <v>0</v>
      </c>
      <c r="D32" s="85" t="s">
        <v>19</v>
      </c>
    </row>
    <row r="33" spans="1:4" ht="12.75">
      <c r="A33" s="86" t="s">
        <v>39</v>
      </c>
      <c r="B33" s="84">
        <f>B20*E29</f>
        <v>68369.847883841</v>
      </c>
      <c r="C33" s="85"/>
      <c r="D33" s="85"/>
    </row>
    <row r="34" spans="1:4" ht="12.75">
      <c r="A34" s="86" t="s">
        <v>28</v>
      </c>
      <c r="B34" s="84">
        <f>B22*E29</f>
        <v>5649.5473008653935</v>
      </c>
      <c r="C34" s="85" t="s">
        <v>6</v>
      </c>
      <c r="D34" s="85" t="s">
        <v>19</v>
      </c>
    </row>
    <row r="35" spans="1:4" ht="12.75">
      <c r="A35" s="86" t="s">
        <v>29</v>
      </c>
      <c r="B35" s="84">
        <f>SUM(B37:B39)</f>
        <v>225223.8148152936</v>
      </c>
      <c r="C35" s="85" t="s">
        <v>19</v>
      </c>
      <c r="D35" s="85" t="s">
        <v>19</v>
      </c>
    </row>
    <row r="36" spans="1:4" ht="12.75">
      <c r="A36" s="86" t="s">
        <v>20</v>
      </c>
      <c r="B36" s="84"/>
      <c r="C36" s="85"/>
      <c r="D36" s="85"/>
    </row>
    <row r="37" spans="1:4" ht="12.75">
      <c r="A37" s="86" t="s">
        <v>31</v>
      </c>
      <c r="B37" s="84">
        <f>B25*E29</f>
        <v>33103.138889238464</v>
      </c>
      <c r="C37" s="85" t="s">
        <v>19</v>
      </c>
      <c r="D37" s="85"/>
    </row>
    <row r="38" spans="1:4" ht="12.75">
      <c r="A38" s="86" t="s">
        <v>33</v>
      </c>
      <c r="B38" s="84">
        <f>B26*E29</f>
        <v>38132.54921583803</v>
      </c>
      <c r="C38" s="85" t="s">
        <v>19</v>
      </c>
      <c r="D38" s="85"/>
    </row>
    <row r="39" spans="1:4" ht="12.75">
      <c r="A39" s="86" t="s">
        <v>34</v>
      </c>
      <c r="B39" s="84">
        <f>B27*E29</f>
        <v>153988.1267102171</v>
      </c>
      <c r="C39" s="85"/>
      <c r="D39" s="85"/>
    </row>
    <row r="40" spans="1:4" ht="12.75">
      <c r="A40" s="86" t="s">
        <v>35</v>
      </c>
      <c r="B40" s="84">
        <f>B28*94.57%</f>
        <v>0</v>
      </c>
      <c r="C40" s="85" t="s">
        <v>19</v>
      </c>
      <c r="D40" s="85"/>
    </row>
    <row r="41" spans="1:4" ht="39" customHeight="1">
      <c r="A41" s="83" t="s">
        <v>40</v>
      </c>
      <c r="B41" s="84"/>
      <c r="C41" s="85" t="s">
        <v>19</v>
      </c>
      <c r="D41" s="85" t="s">
        <v>19</v>
      </c>
    </row>
    <row r="42" spans="1:4" ht="12.75">
      <c r="A42" s="86" t="s">
        <v>20</v>
      </c>
      <c r="B42" s="84"/>
      <c r="C42" s="85"/>
      <c r="D42" s="85"/>
    </row>
    <row r="43" spans="1:4" ht="12.75">
      <c r="A43" s="86" t="s">
        <v>31</v>
      </c>
      <c r="B43" s="84">
        <f>B37</f>
        <v>33103.138889238464</v>
      </c>
      <c r="C43" s="85" t="s">
        <v>19</v>
      </c>
      <c r="D43" s="85"/>
    </row>
    <row r="44" spans="1:4" ht="12.75">
      <c r="A44" s="86" t="s">
        <v>33</v>
      </c>
      <c r="B44" s="84">
        <f>B38</f>
        <v>38132.54921583803</v>
      </c>
      <c r="C44" s="85" t="s">
        <v>19</v>
      </c>
      <c r="D44" s="85"/>
    </row>
    <row r="45" spans="1:4" ht="12.75">
      <c r="A45" s="86" t="s">
        <v>34</v>
      </c>
      <c r="B45" s="84">
        <f>B39</f>
        <v>153988.1267102171</v>
      </c>
      <c r="C45" s="85"/>
      <c r="D45" s="85"/>
    </row>
    <row r="46" spans="1:4" ht="12.75">
      <c r="A46" s="86" t="s">
        <v>35</v>
      </c>
      <c r="B46" s="84">
        <f>B40</f>
        <v>0</v>
      </c>
      <c r="C46" s="85" t="s">
        <v>19</v>
      </c>
      <c r="D46" s="85"/>
    </row>
    <row r="47" spans="1:4" ht="12.75">
      <c r="A47" s="91"/>
      <c r="B47" s="92"/>
      <c r="C47" s="93"/>
      <c r="D47" s="93"/>
    </row>
    <row r="48" spans="1:4" ht="12.75">
      <c r="A48" s="94" t="s">
        <v>41</v>
      </c>
      <c r="B48" s="93"/>
      <c r="C48" s="93"/>
      <c r="D48" s="93"/>
    </row>
    <row r="49" spans="1:4" ht="12.75">
      <c r="A49" s="91"/>
      <c r="B49" s="93"/>
      <c r="C49" s="93"/>
      <c r="D49" s="93"/>
    </row>
    <row r="50" spans="1:4" ht="63.75">
      <c r="A50" s="80" t="s">
        <v>42</v>
      </c>
      <c r="B50" s="81" t="s">
        <v>43</v>
      </c>
      <c r="C50" s="81" t="s">
        <v>44</v>
      </c>
      <c r="D50" s="81" t="s">
        <v>45</v>
      </c>
    </row>
    <row r="51" spans="1:4" ht="48.75" customHeight="1">
      <c r="A51" s="95" t="s">
        <v>46</v>
      </c>
      <c r="B51" s="96" t="s">
        <v>47</v>
      </c>
      <c r="C51" s="87" t="s">
        <v>48</v>
      </c>
      <c r="D51" s="97">
        <f>(0.14+0.15)*6*446.74</f>
        <v>777.3276000000001</v>
      </c>
    </row>
    <row r="52" spans="1:4" ht="12.75">
      <c r="A52" s="95" t="s">
        <v>49</v>
      </c>
      <c r="B52" s="96" t="s">
        <v>50</v>
      </c>
      <c r="C52" s="87" t="s">
        <v>51</v>
      </c>
      <c r="D52" s="97">
        <f>(2.1+2.23)*6*446.74</f>
        <v>11606.3052</v>
      </c>
    </row>
    <row r="53" spans="1:4" ht="12.75">
      <c r="A53" s="95" t="s">
        <v>52</v>
      </c>
      <c r="B53" s="96" t="s">
        <v>50</v>
      </c>
      <c r="C53" s="87" t="s">
        <v>53</v>
      </c>
      <c r="D53" s="97">
        <f>(1.2+2)*6*446.73</f>
        <v>8577.216000000002</v>
      </c>
    </row>
    <row r="54" spans="1:4" ht="12.75">
      <c r="A54" s="95" t="s">
        <v>54</v>
      </c>
      <c r="B54" s="96" t="s">
        <v>47</v>
      </c>
      <c r="C54" s="87" t="s">
        <v>55</v>
      </c>
      <c r="D54" s="97">
        <f>(0.2+0.21)*6*446.74</f>
        <v>1098.9804</v>
      </c>
    </row>
    <row r="55" spans="1:4" ht="12.75">
      <c r="A55" s="95" t="s">
        <v>56</v>
      </c>
      <c r="B55" s="96" t="s">
        <v>57</v>
      </c>
      <c r="C55" s="87" t="s">
        <v>100</v>
      </c>
      <c r="D55" s="97">
        <f>(0.75+0.63)*6*446.74-427.74+0.11</f>
        <v>3271.3772000000004</v>
      </c>
    </row>
    <row r="56" spans="1:4" ht="12.75">
      <c r="A56" s="95" t="s">
        <v>101</v>
      </c>
      <c r="B56" s="96" t="s">
        <v>47</v>
      </c>
      <c r="C56" s="87" t="s">
        <v>60</v>
      </c>
      <c r="D56" s="97">
        <f>(0.69+0.73)*6*446.74</f>
        <v>3806.2248</v>
      </c>
    </row>
    <row r="57" spans="1:4" ht="12.75">
      <c r="A57" s="95" t="s">
        <v>63</v>
      </c>
      <c r="B57" s="96" t="s">
        <v>64</v>
      </c>
      <c r="C57" s="87" t="s">
        <v>65</v>
      </c>
      <c r="D57" s="97">
        <f>(1.14+1.21)*6*446.74</f>
        <v>6299.033999999999</v>
      </c>
    </row>
    <row r="58" spans="1:4" ht="12.75">
      <c r="A58" s="95" t="s">
        <v>66</v>
      </c>
      <c r="B58" s="96" t="s">
        <v>67</v>
      </c>
      <c r="C58" s="87">
        <v>4.88</v>
      </c>
      <c r="D58" s="97">
        <f>4.88*12*446.74</f>
        <v>26161.0944</v>
      </c>
    </row>
    <row r="59" spans="1:4" ht="12.75">
      <c r="A59" s="95" t="s">
        <v>102</v>
      </c>
      <c r="B59" s="96"/>
      <c r="C59" s="87" t="s">
        <v>103</v>
      </c>
      <c r="D59" s="97">
        <f>(0.62+0.66)*6*446.74</f>
        <v>3430.9632</v>
      </c>
    </row>
    <row r="60" spans="1:4" ht="12.75">
      <c r="A60" s="95" t="s">
        <v>68</v>
      </c>
      <c r="B60" s="96"/>
      <c r="C60" s="96" t="s">
        <v>6</v>
      </c>
      <c r="D60" s="97">
        <f>SUM(D51:D59)</f>
        <v>65028.5228</v>
      </c>
    </row>
    <row r="61" spans="1:6" ht="12.75">
      <c r="A61" s="86" t="s">
        <v>69</v>
      </c>
      <c r="B61" s="84"/>
      <c r="C61" s="84"/>
      <c r="D61" s="84">
        <v>0</v>
      </c>
      <c r="E61" s="98">
        <f>D60+B21</f>
        <v>66744.0028</v>
      </c>
      <c r="F61" s="98">
        <f>E61-B20</f>
        <v>0.0028000000020256266</v>
      </c>
    </row>
    <row r="62" spans="1:4" ht="12.75">
      <c r="A62" s="86"/>
      <c r="B62" s="84"/>
      <c r="C62" s="84"/>
      <c r="D62" s="84">
        <v>0</v>
      </c>
    </row>
    <row r="63" spans="1:4" ht="12.75">
      <c r="A63" s="88" t="s">
        <v>71</v>
      </c>
      <c r="B63" s="84"/>
      <c r="C63" s="84"/>
      <c r="D63" s="84">
        <f>D60+D61</f>
        <v>65028.5228</v>
      </c>
    </row>
    <row r="64" spans="1:4" ht="12.75">
      <c r="A64"/>
      <c r="B64"/>
      <c r="C64"/>
      <c r="D64"/>
    </row>
    <row r="65" spans="1:4" ht="12.75">
      <c r="A65" s="86" t="s">
        <v>72</v>
      </c>
      <c r="B65" s="84"/>
      <c r="C65" s="84"/>
      <c r="D65" s="84">
        <v>0</v>
      </c>
    </row>
    <row r="66" spans="1:4" ht="12.75">
      <c r="A66" s="88" t="s">
        <v>73</v>
      </c>
      <c r="B66" s="84"/>
      <c r="C66" s="84"/>
      <c r="D66" s="84">
        <f>D67+D68</f>
        <v>19065.379999999997</v>
      </c>
    </row>
    <row r="67" spans="1:4" ht="12.75">
      <c r="A67" s="86" t="s">
        <v>74</v>
      </c>
      <c r="B67" s="84"/>
      <c r="C67" s="84"/>
      <c r="D67" s="84">
        <f>B16+B21-D61</f>
        <v>29446.079999999998</v>
      </c>
    </row>
    <row r="68" spans="1:4" ht="12.75">
      <c r="A68" s="86" t="s">
        <v>75</v>
      </c>
      <c r="B68" s="84"/>
      <c r="C68" s="84"/>
      <c r="D68" s="84">
        <f>B17+B22-D65</f>
        <v>-10380.7</v>
      </c>
    </row>
    <row r="69" spans="1:4" ht="12.75">
      <c r="A69" s="88" t="s">
        <v>76</v>
      </c>
      <c r="B69" s="84"/>
      <c r="C69" s="84"/>
      <c r="D69" s="84">
        <v>146570.88</v>
      </c>
    </row>
    <row r="70" spans="1:4" ht="12.75">
      <c r="A70" s="86" t="s">
        <v>20</v>
      </c>
      <c r="B70" s="84"/>
      <c r="C70" s="84"/>
      <c r="D70" s="84"/>
    </row>
    <row r="71" spans="1:4" ht="12.75">
      <c r="A71" s="86" t="s">
        <v>77</v>
      </c>
      <c r="B71" s="84"/>
      <c r="C71" s="84"/>
      <c r="D71" s="84">
        <f>D69*B20/B18</f>
        <v>33487.906942986985</v>
      </c>
    </row>
    <row r="72" spans="1:4" ht="12.75">
      <c r="A72" s="86" t="s">
        <v>28</v>
      </c>
      <c r="B72" s="84"/>
      <c r="C72" s="84"/>
      <c r="D72" s="84">
        <f>D69*B22/B18</f>
        <v>2767.1776395175866</v>
      </c>
    </row>
    <row r="73" spans="1:4" ht="12.75">
      <c r="A73" s="86" t="s">
        <v>29</v>
      </c>
      <c r="B73" s="84"/>
      <c r="C73" s="84"/>
      <c r="D73" s="84">
        <f>SUM(D75:D77)</f>
        <v>110315.79541749544</v>
      </c>
    </row>
    <row r="74" spans="1:4" ht="12.75">
      <c r="A74" s="86" t="s">
        <v>20</v>
      </c>
      <c r="B74" s="84"/>
      <c r="C74" s="84"/>
      <c r="D74" s="84"/>
    </row>
    <row r="75" spans="1:4" ht="12.75">
      <c r="A75" s="86" t="s">
        <v>31</v>
      </c>
      <c r="B75" s="84"/>
      <c r="C75" s="84"/>
      <c r="D75" s="84">
        <f>D69*B25/B18</f>
        <v>16214.089528574114</v>
      </c>
    </row>
    <row r="76" spans="1:4" ht="12.75">
      <c r="A76" s="86" t="s">
        <v>33</v>
      </c>
      <c r="B76" s="84"/>
      <c r="C76" s="84"/>
      <c r="D76" s="84">
        <f>D69*B26/B18</f>
        <v>18677.520854052764</v>
      </c>
    </row>
    <row r="77" spans="1:4" ht="12.75">
      <c r="A77" s="86" t="s">
        <v>34</v>
      </c>
      <c r="B77" s="84"/>
      <c r="C77" s="84"/>
      <c r="D77" s="84">
        <f>D69*B27/B18</f>
        <v>75424.18503486855</v>
      </c>
    </row>
    <row r="78" spans="1:4" ht="12.75">
      <c r="A78" s="86" t="s">
        <v>78</v>
      </c>
      <c r="B78" s="84"/>
      <c r="C78" s="84"/>
      <c r="D78" s="84"/>
    </row>
    <row r="79" spans="1:4" ht="12.75">
      <c r="A79" s="86" t="s">
        <v>35</v>
      </c>
      <c r="B79" s="84"/>
      <c r="C79" s="84"/>
      <c r="D79" s="84">
        <f>D69*E28</f>
        <v>0</v>
      </c>
    </row>
    <row r="80" spans="1:4" ht="12.75">
      <c r="A80" s="88" t="s">
        <v>79</v>
      </c>
      <c r="B80" s="84"/>
      <c r="C80" s="84"/>
      <c r="D80" s="84"/>
    </row>
    <row r="81" spans="1:4" ht="39.75" customHeight="1">
      <c r="A81" s="99" t="s">
        <v>80</v>
      </c>
      <c r="B81" s="100" t="s">
        <v>81</v>
      </c>
      <c r="C81" s="100" t="s">
        <v>104</v>
      </c>
      <c r="D81" s="100" t="s">
        <v>83</v>
      </c>
    </row>
    <row r="82" spans="1:4" ht="33.75" customHeight="1">
      <c r="A82" s="95" t="s">
        <v>105</v>
      </c>
      <c r="B82" s="299" t="s">
        <v>106</v>
      </c>
      <c r="C82" s="87" t="s">
        <v>98</v>
      </c>
      <c r="D82" s="90" t="s">
        <v>85</v>
      </c>
    </row>
    <row r="83" spans="1:4" ht="16.5" customHeight="1">
      <c r="A83" s="95" t="s">
        <v>28</v>
      </c>
      <c r="B83" s="299"/>
      <c r="C83" s="87">
        <v>2.7</v>
      </c>
      <c r="D83" s="90" t="s">
        <v>85</v>
      </c>
    </row>
    <row r="84" spans="1:4" ht="19.5" customHeight="1">
      <c r="A84" s="102" t="s">
        <v>31</v>
      </c>
      <c r="B84" s="299" t="s">
        <v>86</v>
      </c>
      <c r="C84" s="103" t="s">
        <v>87</v>
      </c>
      <c r="D84" s="90" t="s">
        <v>88</v>
      </c>
    </row>
    <row r="85" spans="1:4" ht="39.75" customHeight="1">
      <c r="A85" s="102" t="s">
        <v>33</v>
      </c>
      <c r="B85" s="299"/>
      <c r="C85" s="103" t="s">
        <v>89</v>
      </c>
      <c r="D85" s="90" t="s">
        <v>88</v>
      </c>
    </row>
    <row r="86" spans="1:4" ht="49.5" customHeight="1">
      <c r="A86" s="102" t="s">
        <v>34</v>
      </c>
      <c r="B86" s="101" t="s">
        <v>90</v>
      </c>
      <c r="C86" s="103" t="s">
        <v>91</v>
      </c>
      <c r="D86" s="90" t="s">
        <v>92</v>
      </c>
    </row>
    <row r="88" spans="1:3" ht="12.75">
      <c r="A88" s="75" t="s">
        <v>93</v>
      </c>
      <c r="C88" s="76" t="s">
        <v>94</v>
      </c>
    </row>
    <row r="89" ht="12.75">
      <c r="D89" s="104"/>
    </row>
    <row r="90" ht="12.75">
      <c r="A90" s="75" t="s">
        <v>95</v>
      </c>
    </row>
  </sheetData>
  <sheetProtection selectLockedCells="1" selectUnlockedCells="1"/>
  <mergeCells count="8">
    <mergeCell ref="B82:B83"/>
    <mergeCell ref="B84:B85"/>
    <mergeCell ref="A1:D1"/>
    <mergeCell ref="A2:D2"/>
    <mergeCell ref="A3:D3"/>
    <mergeCell ref="A4:D4"/>
    <mergeCell ref="A5:D5"/>
    <mergeCell ref="A7:D7"/>
  </mergeCells>
  <printOptions/>
  <pageMargins left="0.7" right="0.7" top="0.27569444444444446" bottom="0.4131944444444444" header="0.5118055555555555" footer="0.5118055555555555"/>
  <pageSetup fitToHeight="4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67">
      <selection activeCell="D83" sqref="D83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281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282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11347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11347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0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B20+B23</f>
        <v>103517.35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59007.96</v>
      </c>
      <c r="C20" s="105" t="s">
        <v>283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4926.71</v>
      </c>
      <c r="C21" s="19" t="s">
        <v>284</v>
      </c>
      <c r="D21" s="20"/>
      <c r="E21" s="17">
        <f>(0.69+1.5)*6*374.94</f>
        <v>4926.7116000000005</v>
      </c>
      <c r="F21" s="1"/>
      <c r="G21" s="1"/>
      <c r="H21" s="1"/>
    </row>
    <row r="22" spans="1:8" ht="15.75">
      <c r="A22" s="9" t="s">
        <v>28</v>
      </c>
      <c r="B22" s="118">
        <v>0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29</v>
      </c>
      <c r="B23" s="16">
        <f>B25+B26+B27+B28</f>
        <v>44509.39</v>
      </c>
      <c r="C23" s="19" t="s">
        <v>19</v>
      </c>
      <c r="D23" s="20"/>
      <c r="E23" s="17"/>
      <c r="F23" s="1"/>
      <c r="G23" s="1"/>
      <c r="H23" s="1"/>
    </row>
    <row r="24" spans="1:8" ht="15.75">
      <c r="A24" s="9" t="s">
        <v>20</v>
      </c>
      <c r="B24" s="120"/>
      <c r="C24" s="196"/>
      <c r="D24" s="20" t="s">
        <v>30</v>
      </c>
      <c r="E24" s="1"/>
      <c r="F24" s="1"/>
      <c r="G24" s="1"/>
      <c r="H24" s="1"/>
    </row>
    <row r="25" spans="1:8" ht="15">
      <c r="A25" s="9" t="s">
        <v>31</v>
      </c>
      <c r="B25" s="16">
        <v>20683.4</v>
      </c>
      <c r="C25" s="19" t="s">
        <v>19</v>
      </c>
      <c r="D25" s="20"/>
      <c r="E25" s="1"/>
      <c r="F25" s="1"/>
      <c r="G25" s="1"/>
      <c r="H25" s="1"/>
    </row>
    <row r="26" spans="1:8" ht="15">
      <c r="A26" s="9" t="s">
        <v>33</v>
      </c>
      <c r="B26" s="16">
        <v>23825.99</v>
      </c>
      <c r="C26" s="19" t="s">
        <v>19</v>
      </c>
      <c r="D26" s="27" t="s">
        <v>32</v>
      </c>
      <c r="E26" s="17"/>
      <c r="F26" s="1"/>
      <c r="G26" s="1"/>
      <c r="H26" s="1"/>
    </row>
    <row r="27" spans="1:8" ht="15">
      <c r="A27" s="9" t="s">
        <v>34</v>
      </c>
      <c r="B27" s="16">
        <v>0</v>
      </c>
      <c r="C27" s="19" t="s">
        <v>6</v>
      </c>
      <c r="D27" s="27" t="s">
        <v>32</v>
      </c>
      <c r="E27" s="17"/>
      <c r="F27" s="1"/>
      <c r="G27" s="1"/>
      <c r="H27" s="1"/>
    </row>
    <row r="28" spans="1:8" ht="15">
      <c r="A28" s="9" t="s">
        <v>35</v>
      </c>
      <c r="B28" s="16"/>
      <c r="C28" s="19" t="s">
        <v>19</v>
      </c>
      <c r="D28" s="28"/>
      <c r="E28" s="17"/>
      <c r="F28" s="1"/>
      <c r="G28" s="1"/>
      <c r="H28" s="1"/>
    </row>
    <row r="29" spans="1:8" ht="25.5">
      <c r="A29" s="11" t="s">
        <v>36</v>
      </c>
      <c r="B29" s="18">
        <v>100323.2</v>
      </c>
      <c r="C29" s="13" t="s">
        <v>19</v>
      </c>
      <c r="D29" s="14" t="s">
        <v>19</v>
      </c>
      <c r="E29" s="1">
        <f>B29/B18</f>
        <v>0.9691438198524208</v>
      </c>
      <c r="F29" s="1"/>
      <c r="G29" s="1"/>
      <c r="H29" s="1"/>
    </row>
    <row r="30" spans="1:4" ht="15">
      <c r="A30" s="9" t="s">
        <v>77</v>
      </c>
      <c r="B30" s="18">
        <f>B20*E29</f>
        <v>57187.19975609885</v>
      </c>
      <c r="C30" s="13"/>
      <c r="D30" s="14"/>
    </row>
    <row r="31" spans="1:4" ht="15">
      <c r="A31" s="9" t="s">
        <v>28</v>
      </c>
      <c r="B31" s="18">
        <v>0</v>
      </c>
      <c r="C31" s="18" t="s">
        <v>6</v>
      </c>
      <c r="D31" s="14" t="s">
        <v>19</v>
      </c>
    </row>
    <row r="32" spans="1:4" ht="15">
      <c r="A32" s="9" t="s">
        <v>29</v>
      </c>
      <c r="B32" s="18">
        <f>B34+B35+B36+B37</f>
        <v>43136.000243901144</v>
      </c>
      <c r="C32" s="13" t="s">
        <v>19</v>
      </c>
      <c r="D32" s="14" t="s">
        <v>19</v>
      </c>
    </row>
    <row r="33" spans="1:4" ht="15">
      <c r="A33" s="9" t="s">
        <v>20</v>
      </c>
      <c r="B33" s="18"/>
      <c r="C33" s="13"/>
      <c r="D33" s="14"/>
    </row>
    <row r="34" spans="1:4" ht="15">
      <c r="A34" s="9" t="s">
        <v>31</v>
      </c>
      <c r="B34" s="18">
        <f>B25*E29</f>
        <v>20045.18928353556</v>
      </c>
      <c r="C34" s="13" t="s">
        <v>19</v>
      </c>
      <c r="D34" s="14"/>
    </row>
    <row r="35" spans="1:4" ht="15">
      <c r="A35" s="9" t="s">
        <v>33</v>
      </c>
      <c r="B35" s="18">
        <f>B26*E29</f>
        <v>23090.810960365583</v>
      </c>
      <c r="C35" s="13" t="s">
        <v>19</v>
      </c>
      <c r="D35" s="14"/>
    </row>
    <row r="36" spans="1:4" ht="15">
      <c r="A36" s="9" t="s">
        <v>34</v>
      </c>
      <c r="B36" s="18">
        <v>0</v>
      </c>
      <c r="C36" s="13"/>
      <c r="D36" s="14"/>
    </row>
    <row r="37" spans="1:4" ht="15">
      <c r="A37" s="9" t="s">
        <v>35</v>
      </c>
      <c r="B37" s="18">
        <v>0</v>
      </c>
      <c r="C37" s="13"/>
      <c r="D37" s="14"/>
    </row>
    <row r="38" spans="1:4" ht="38.25">
      <c r="A38" s="11" t="s">
        <v>40</v>
      </c>
      <c r="B38" s="18">
        <f>B40+B41+B42+B43</f>
        <v>43136.000243901144</v>
      </c>
      <c r="C38" s="13" t="s">
        <v>19</v>
      </c>
      <c r="D38" s="14" t="s">
        <v>19</v>
      </c>
    </row>
    <row r="39" spans="1:4" ht="15">
      <c r="A39" s="9" t="s">
        <v>20</v>
      </c>
      <c r="B39" s="18"/>
      <c r="C39" s="13"/>
      <c r="D39" s="14"/>
    </row>
    <row r="40" spans="1:4" ht="15">
      <c r="A40" s="9" t="s">
        <v>31</v>
      </c>
      <c r="B40" s="18">
        <f>B34</f>
        <v>20045.18928353556</v>
      </c>
      <c r="C40" s="13"/>
      <c r="D40" s="14"/>
    </row>
    <row r="41" spans="1:4" ht="15">
      <c r="A41" s="9" t="s">
        <v>33</v>
      </c>
      <c r="B41" s="18">
        <f>B35</f>
        <v>23090.810960365583</v>
      </c>
      <c r="C41" s="13"/>
      <c r="D41" s="14"/>
    </row>
    <row r="42" spans="1:4" ht="15">
      <c r="A42" s="9" t="s">
        <v>34</v>
      </c>
      <c r="B42" s="18">
        <v>0</v>
      </c>
      <c r="C42" s="13"/>
      <c r="D42" s="14"/>
    </row>
    <row r="43" spans="1:4" ht="15">
      <c r="A43" s="9" t="s">
        <v>35</v>
      </c>
      <c r="B43" s="18">
        <v>0</v>
      </c>
      <c r="C43" s="13" t="s">
        <v>19</v>
      </c>
      <c r="D43" s="14"/>
    </row>
    <row r="44" ht="12.75">
      <c r="A44" s="4"/>
    </row>
    <row r="45" spans="1:10" ht="13.5" customHeight="1">
      <c r="A45" s="291" t="s">
        <v>41</v>
      </c>
      <c r="B45" s="291"/>
      <c r="C45" s="291"/>
      <c r="D45" s="291"/>
      <c r="I45" s="30"/>
      <c r="J45" s="30"/>
    </row>
    <row r="46" spans="1:10" ht="9" customHeight="1">
      <c r="A46" s="291"/>
      <c r="B46" s="291"/>
      <c r="C46" s="291"/>
      <c r="D46" s="291"/>
      <c r="I46" s="4"/>
      <c r="J46" s="4"/>
    </row>
    <row r="47" spans="1:10" ht="12.75">
      <c r="A47" s="4"/>
      <c r="C47" s="6" t="s">
        <v>10</v>
      </c>
      <c r="I47" s="4"/>
      <c r="J47" s="4"/>
    </row>
    <row r="48" spans="1:14" ht="66.75" customHeight="1">
      <c r="A48" s="8" t="s">
        <v>42</v>
      </c>
      <c r="B48" s="8" t="s">
        <v>43</v>
      </c>
      <c r="C48" s="8" t="s">
        <v>44</v>
      </c>
      <c r="D48" s="248" t="s">
        <v>715</v>
      </c>
      <c r="E48" s="29"/>
      <c r="I48" s="3"/>
      <c r="J48" s="3"/>
      <c r="K48" s="3"/>
      <c r="L48" s="3"/>
      <c r="M48" s="3"/>
      <c r="N48" s="3"/>
    </row>
    <row r="49" spans="1:14" ht="15">
      <c r="A49" s="46" t="s">
        <v>112</v>
      </c>
      <c r="B49" s="197" t="s">
        <v>47</v>
      </c>
      <c r="C49" s="19" t="s">
        <v>48</v>
      </c>
      <c r="D49" s="198">
        <f>(0.14+0.15)*6*374.94</f>
        <v>652.3956000000001</v>
      </c>
      <c r="E49" s="34">
        <f>347.32*12</f>
        <v>4167.84</v>
      </c>
      <c r="F49" s="35"/>
      <c r="G49" s="36"/>
      <c r="H49" s="1"/>
      <c r="I49" s="37"/>
      <c r="J49" s="37"/>
      <c r="K49" s="37"/>
      <c r="L49" s="37"/>
      <c r="M49" s="37"/>
      <c r="N49" s="37"/>
    </row>
    <row r="50" spans="1:14" ht="15">
      <c r="A50" s="46" t="s">
        <v>49</v>
      </c>
      <c r="B50" s="197" t="s">
        <v>50</v>
      </c>
      <c r="C50" s="156" t="s">
        <v>51</v>
      </c>
      <c r="D50" s="198">
        <f>(2.1+2.23)*6*374.94</f>
        <v>9740.9412</v>
      </c>
      <c r="E50" s="34">
        <f aca="true" t="shared" si="0" ref="E50:E56">347.32*12</f>
        <v>4167.84</v>
      </c>
      <c r="F50" s="35"/>
      <c r="G50" s="36"/>
      <c r="H50" s="1"/>
      <c r="I50" s="37"/>
      <c r="J50" s="37"/>
      <c r="K50" s="37"/>
      <c r="L50" s="37"/>
      <c r="M50" s="37"/>
      <c r="N50" s="37"/>
    </row>
    <row r="51" spans="1:14" ht="15">
      <c r="A51" s="46" t="s">
        <v>52</v>
      </c>
      <c r="B51" s="197" t="s">
        <v>50</v>
      </c>
      <c r="C51" s="156" t="s">
        <v>53</v>
      </c>
      <c r="D51" s="198">
        <f>(1.2+2)*6*374.94</f>
        <v>7198.848000000001</v>
      </c>
      <c r="E51" s="34">
        <f t="shared" si="0"/>
        <v>4167.84</v>
      </c>
      <c r="F51" s="35"/>
      <c r="G51" s="36"/>
      <c r="H51" s="1"/>
      <c r="I51" s="37"/>
      <c r="J51" s="37"/>
      <c r="K51" s="37"/>
      <c r="L51" s="37"/>
      <c r="M51" s="37"/>
      <c r="N51" s="37"/>
    </row>
    <row r="52" spans="1:14" ht="15">
      <c r="A52" s="46" t="s">
        <v>54</v>
      </c>
      <c r="B52" s="197" t="s">
        <v>47</v>
      </c>
      <c r="C52" s="156" t="s">
        <v>136</v>
      </c>
      <c r="D52" s="198">
        <f>(0.41+0.43)*6*374.94</f>
        <v>1889.6976</v>
      </c>
      <c r="E52" s="34">
        <f t="shared" si="0"/>
        <v>4167.84</v>
      </c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46" t="s">
        <v>56</v>
      </c>
      <c r="B53" s="253" t="s">
        <v>47</v>
      </c>
      <c r="C53" s="40" t="s">
        <v>285</v>
      </c>
      <c r="D53" s="198">
        <f>(1.03+0.65)*6*374.94-944.88-0.06</f>
        <v>2834.455200000001</v>
      </c>
      <c r="E53" s="34">
        <f t="shared" si="0"/>
        <v>4167.84</v>
      </c>
      <c r="F53" s="41"/>
      <c r="G53" s="42"/>
      <c r="H53" s="43">
        <f>347.18*12</f>
        <v>4166.16</v>
      </c>
      <c r="I53" s="37"/>
      <c r="J53" s="37"/>
      <c r="K53" s="37"/>
      <c r="L53" s="37"/>
      <c r="M53" s="37"/>
      <c r="N53" s="37"/>
    </row>
    <row r="54" spans="1:14" ht="15">
      <c r="A54" s="46" t="s">
        <v>115</v>
      </c>
      <c r="B54" s="199" t="s">
        <v>47</v>
      </c>
      <c r="C54" s="40" t="s">
        <v>210</v>
      </c>
      <c r="D54" s="198">
        <f>(0.25+0.26)*6*374.94</f>
        <v>1147.3164</v>
      </c>
      <c r="E54" s="34">
        <f t="shared" si="0"/>
        <v>4167.84</v>
      </c>
      <c r="F54" s="41"/>
      <c r="G54" s="42"/>
      <c r="H54" s="1"/>
      <c r="I54" s="37"/>
      <c r="J54" s="37"/>
      <c r="K54" s="37"/>
      <c r="L54" s="37"/>
      <c r="M54" s="37"/>
      <c r="N54" s="37"/>
    </row>
    <row r="55" spans="1:14" ht="15">
      <c r="A55" s="46" t="s">
        <v>63</v>
      </c>
      <c r="B55" s="199" t="s">
        <v>64</v>
      </c>
      <c r="C55" s="40" t="s">
        <v>65</v>
      </c>
      <c r="D55" s="198">
        <f>(1.14+1.21)*6*374.94</f>
        <v>5286.6539999999995</v>
      </c>
      <c r="E55" s="34">
        <f t="shared" si="0"/>
        <v>4167.84</v>
      </c>
      <c r="F55" s="41"/>
      <c r="G55" s="42"/>
      <c r="H55" s="1"/>
      <c r="I55" s="37"/>
      <c r="J55" s="37"/>
      <c r="K55" s="37"/>
      <c r="L55" s="37"/>
      <c r="M55" s="37"/>
      <c r="N55" s="37"/>
    </row>
    <row r="56" spans="1:14" ht="15">
      <c r="A56" s="46" t="s">
        <v>66</v>
      </c>
      <c r="B56" s="199" t="s">
        <v>67</v>
      </c>
      <c r="C56" s="40">
        <v>4.88</v>
      </c>
      <c r="D56" s="198">
        <f>4.88*12*374.94</f>
        <v>21956.4864</v>
      </c>
      <c r="E56" s="34">
        <f t="shared" si="0"/>
        <v>4167.84</v>
      </c>
      <c r="F56" s="41"/>
      <c r="G56" s="1"/>
      <c r="H56" s="45"/>
      <c r="I56" s="37"/>
      <c r="J56" s="37"/>
      <c r="K56" s="37"/>
      <c r="L56" s="37"/>
      <c r="M56" s="37"/>
      <c r="N56" s="37"/>
    </row>
    <row r="57" spans="1:14" ht="15">
      <c r="A57" s="46" t="s">
        <v>277</v>
      </c>
      <c r="B57" s="199"/>
      <c r="C57" s="40" t="s">
        <v>169</v>
      </c>
      <c r="D57" s="198">
        <f>(0.73+0.77)*6*374.94</f>
        <v>3374.46</v>
      </c>
      <c r="E57" s="34"/>
      <c r="F57" s="41"/>
      <c r="G57" s="1"/>
      <c r="H57" s="45"/>
      <c r="I57" s="37"/>
      <c r="J57" s="37"/>
      <c r="K57" s="37"/>
      <c r="L57" s="37"/>
      <c r="M57" s="37"/>
      <c r="N57" s="37"/>
    </row>
    <row r="58" spans="1:14" ht="15">
      <c r="A58" s="46" t="s">
        <v>68</v>
      </c>
      <c r="B58" s="200"/>
      <c r="C58" s="201"/>
      <c r="D58" s="202">
        <f>SUM(D49:D57)</f>
        <v>54081.2544</v>
      </c>
      <c r="E58" s="34">
        <f>D58+B21</f>
        <v>59007.9644</v>
      </c>
      <c r="F58" s="41"/>
      <c r="G58" s="1"/>
      <c r="H58" s="50">
        <f>E58-B20</f>
        <v>0.004399999997986015</v>
      </c>
      <c r="I58" s="203"/>
      <c r="J58" s="37"/>
      <c r="K58" s="37"/>
      <c r="L58" s="37"/>
      <c r="M58" s="37"/>
      <c r="N58" s="37"/>
    </row>
    <row r="59" spans="1:14" ht="15.75">
      <c r="A59" s="51" t="s">
        <v>69</v>
      </c>
      <c r="B59" s="52"/>
      <c r="C59" s="53"/>
      <c r="D59" s="54">
        <f>D60</f>
        <v>0</v>
      </c>
      <c r="E59" s="34"/>
      <c r="F59" s="41"/>
      <c r="G59" s="1"/>
      <c r="H59" s="50"/>
      <c r="I59" s="37"/>
      <c r="J59" s="37"/>
      <c r="K59" s="37"/>
      <c r="L59" s="37"/>
      <c r="M59" s="37"/>
      <c r="N59" s="37"/>
    </row>
    <row r="60" spans="1:14" ht="15.75">
      <c r="A60" s="51"/>
      <c r="B60" s="52"/>
      <c r="C60" s="53"/>
      <c r="D60" s="54">
        <v>0</v>
      </c>
      <c r="E60" s="34"/>
      <c r="F60" s="41"/>
      <c r="G60" s="1"/>
      <c r="H60" s="50"/>
      <c r="I60" s="37"/>
      <c r="J60" s="37"/>
      <c r="K60" s="37"/>
      <c r="L60" s="37"/>
      <c r="M60" s="37"/>
      <c r="N60" s="37"/>
    </row>
    <row r="61" spans="1:14" ht="15.75">
      <c r="A61" s="56" t="s">
        <v>71</v>
      </c>
      <c r="B61" s="57"/>
      <c r="C61" s="58"/>
      <c r="D61" s="54">
        <f>D58+D59</f>
        <v>54081.2544</v>
      </c>
      <c r="E61" s="34"/>
      <c r="F61" s="45"/>
      <c r="G61" s="1"/>
      <c r="H61" s="50"/>
      <c r="I61" s="37"/>
      <c r="J61" s="37"/>
      <c r="K61" s="37"/>
      <c r="L61" s="37"/>
      <c r="M61" s="37"/>
      <c r="N61" s="37"/>
    </row>
    <row r="62" spans="1:8" ht="13.5" customHeight="1">
      <c r="A62" s="302" t="s">
        <v>72</v>
      </c>
      <c r="B62" s="302"/>
      <c r="C62" s="302"/>
      <c r="D62" s="60">
        <f>D63</f>
        <v>0</v>
      </c>
      <c r="E62" s="61"/>
      <c r="F62" s="1"/>
      <c r="G62" s="1"/>
      <c r="H62" s="34">
        <f>347.32*12</f>
        <v>4167.84</v>
      </c>
    </row>
    <row r="63" spans="1:8" ht="13.5" customHeight="1">
      <c r="A63" s="145"/>
      <c r="B63" s="145"/>
      <c r="C63" s="146"/>
      <c r="D63" s="60"/>
      <c r="E63" s="61"/>
      <c r="F63" s="1"/>
      <c r="G63" s="1"/>
      <c r="H63" s="34"/>
    </row>
    <row r="64" spans="1:5" ht="25.5" customHeight="1">
      <c r="A64" s="293" t="s">
        <v>73</v>
      </c>
      <c r="B64" s="293"/>
      <c r="C64" s="293"/>
      <c r="D64" s="60">
        <f>D65+D66</f>
        <v>16273.71</v>
      </c>
      <c r="E64" s="173"/>
    </row>
    <row r="65" spans="1:5" ht="15.75">
      <c r="A65" s="62" t="s">
        <v>74</v>
      </c>
      <c r="B65" s="63"/>
      <c r="C65" s="64"/>
      <c r="D65" s="60">
        <f>B16+B21-D59</f>
        <v>16273.71</v>
      </c>
      <c r="E65" s="173"/>
    </row>
    <row r="66" spans="1:5" ht="15.75">
      <c r="A66" s="63" t="s">
        <v>75</v>
      </c>
      <c r="B66" s="63"/>
      <c r="C66" s="64"/>
      <c r="D66" s="60">
        <f>B17+B22-D62</f>
        <v>0</v>
      </c>
      <c r="E66" s="173"/>
    </row>
    <row r="67" spans="1:5" ht="13.5" customHeight="1">
      <c r="A67" s="294" t="s">
        <v>76</v>
      </c>
      <c r="B67" s="294"/>
      <c r="C67" s="294"/>
      <c r="D67" s="65">
        <v>0</v>
      </c>
      <c r="E67" s="173"/>
    </row>
    <row r="68" spans="1:4" ht="15" customHeight="1">
      <c r="A68" s="290" t="s">
        <v>20</v>
      </c>
      <c r="B68" s="290"/>
      <c r="C68" s="290"/>
      <c r="D68" s="66"/>
    </row>
    <row r="69" spans="1:4" ht="13.5" customHeight="1">
      <c r="A69" s="290" t="s">
        <v>77</v>
      </c>
      <c r="B69" s="290"/>
      <c r="C69" s="290"/>
      <c r="D69" s="66">
        <f>D67*E21</f>
        <v>0</v>
      </c>
    </row>
    <row r="70" spans="1:4" ht="13.5" customHeight="1">
      <c r="A70" s="290" t="s">
        <v>28</v>
      </c>
      <c r="B70" s="290"/>
      <c r="C70" s="290"/>
      <c r="D70" s="66">
        <f>D67-D69-D71</f>
        <v>0</v>
      </c>
    </row>
    <row r="71" spans="1:4" ht="13.5" customHeight="1">
      <c r="A71" s="290" t="s">
        <v>29</v>
      </c>
      <c r="B71" s="290"/>
      <c r="C71" s="290"/>
      <c r="D71" s="66">
        <f>SUM(D73:D75)</f>
        <v>0</v>
      </c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31</v>
      </c>
      <c r="B73" s="290"/>
      <c r="C73" s="290"/>
      <c r="D73" s="66">
        <f>D67*E26</f>
        <v>0</v>
      </c>
    </row>
    <row r="74" spans="1:4" ht="15">
      <c r="A74" s="290" t="s">
        <v>33</v>
      </c>
      <c r="B74" s="290"/>
      <c r="C74" s="290"/>
      <c r="D74" s="66">
        <f>D67*E27</f>
        <v>0</v>
      </c>
    </row>
    <row r="75" spans="1:4" ht="15" customHeight="1">
      <c r="A75" s="290" t="s">
        <v>34</v>
      </c>
      <c r="B75" s="290"/>
      <c r="C75" s="290"/>
      <c r="D75" s="66">
        <f>D67*E28</f>
        <v>0</v>
      </c>
    </row>
    <row r="76" spans="1:4" ht="15">
      <c r="A76" s="290" t="s">
        <v>78</v>
      </c>
      <c r="B76" s="290"/>
      <c r="C76" s="290"/>
      <c r="D76" s="66"/>
    </row>
    <row r="77" spans="1:4" ht="15" customHeight="1">
      <c r="A77" s="290" t="s">
        <v>35</v>
      </c>
      <c r="B77" s="290"/>
      <c r="C77" s="290"/>
      <c r="D77" s="66"/>
    </row>
    <row r="78" spans="1:4" ht="25.5" customHeight="1">
      <c r="A78" s="295" t="s">
        <v>79</v>
      </c>
      <c r="B78" s="295"/>
      <c r="C78" s="295"/>
      <c r="D78" s="295"/>
    </row>
    <row r="79" spans="1:4" ht="38.25">
      <c r="A79" s="67" t="s">
        <v>80</v>
      </c>
      <c r="B79" s="68" t="s">
        <v>81</v>
      </c>
      <c r="C79" s="68" t="s">
        <v>82</v>
      </c>
      <c r="D79" s="67" t="s">
        <v>83</v>
      </c>
    </row>
    <row r="80" spans="1:4" ht="43.5" customHeight="1">
      <c r="A80" s="31" t="s">
        <v>77</v>
      </c>
      <c r="B80" s="69" t="s">
        <v>84</v>
      </c>
      <c r="C80" s="70" t="s">
        <v>283</v>
      </c>
      <c r="D80" s="67" t="s">
        <v>85</v>
      </c>
    </row>
    <row r="81" spans="1:4" ht="19.5" customHeight="1">
      <c r="A81" s="31" t="s">
        <v>31</v>
      </c>
      <c r="B81" s="297" t="s">
        <v>86</v>
      </c>
      <c r="C81" s="70" t="s">
        <v>87</v>
      </c>
      <c r="D81" s="249" t="s">
        <v>716</v>
      </c>
    </row>
    <row r="82" spans="1:4" ht="21" customHeight="1">
      <c r="A82" s="31" t="s">
        <v>33</v>
      </c>
      <c r="B82" s="297"/>
      <c r="C82" s="70" t="s">
        <v>89</v>
      </c>
      <c r="D82" s="249" t="s">
        <v>716</v>
      </c>
    </row>
    <row r="84" ht="12.75">
      <c r="A84" t="s">
        <v>93</v>
      </c>
    </row>
    <row r="86" ht="12.75">
      <c r="A86" t="s">
        <v>95</v>
      </c>
    </row>
  </sheetData>
  <sheetProtection selectLockedCells="1" selectUnlockedCells="1"/>
  <mergeCells count="22">
    <mergeCell ref="A76:C76"/>
    <mergeCell ref="A77:C77"/>
    <mergeCell ref="A78:D78"/>
    <mergeCell ref="B81:B82"/>
    <mergeCell ref="A70:C70"/>
    <mergeCell ref="A71:C71"/>
    <mergeCell ref="A72:C72"/>
    <mergeCell ref="A73:C73"/>
    <mergeCell ref="A74:C74"/>
    <mergeCell ref="A75:C75"/>
    <mergeCell ref="A45:D46"/>
    <mergeCell ref="A62:C62"/>
    <mergeCell ref="A64:C64"/>
    <mergeCell ref="A67:C67"/>
    <mergeCell ref="A68:C68"/>
    <mergeCell ref="A69:C69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67">
      <selection activeCell="D84" sqref="D8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286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287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26614.99</v>
      </c>
      <c r="C15" s="13"/>
      <c r="D15" s="14"/>
    </row>
    <row r="16" spans="1:4" ht="15.75">
      <c r="A16" s="15" t="s">
        <v>16</v>
      </c>
      <c r="B16" s="12">
        <v>5132.79</v>
      </c>
      <c r="C16" s="13"/>
      <c r="D16" s="14"/>
    </row>
    <row r="17" spans="1:4" ht="15.75">
      <c r="A17" s="15" t="s">
        <v>17</v>
      </c>
      <c r="B17" s="174">
        <v>21482.2</v>
      </c>
      <c r="C17" s="175" t="s">
        <v>19</v>
      </c>
      <c r="D17" s="14"/>
    </row>
    <row r="18" spans="1:5" ht="25.5">
      <c r="A18" s="11" t="s">
        <v>18</v>
      </c>
      <c r="B18" s="16">
        <f>B20+B22+B23</f>
        <v>108637.69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56074.98</v>
      </c>
      <c r="C20" s="105" t="s">
        <v>288</v>
      </c>
      <c r="D20" s="14"/>
    </row>
    <row r="21" spans="1:5" ht="15">
      <c r="A21" s="9" t="s">
        <v>147</v>
      </c>
      <c r="B21" s="16">
        <v>5160.88</v>
      </c>
      <c r="C21" s="19" t="s">
        <v>289</v>
      </c>
      <c r="D21" s="20"/>
      <c r="E21" s="17">
        <f>(0.88+1.57)*6*351.08</f>
        <v>5160.876</v>
      </c>
    </row>
    <row r="22" spans="1:5" ht="15.75">
      <c r="A22" s="9" t="s">
        <v>28</v>
      </c>
      <c r="B22" s="118">
        <v>0</v>
      </c>
      <c r="C22" s="119" t="s">
        <v>6</v>
      </c>
      <c r="D22" s="20"/>
      <c r="E22" s="17"/>
    </row>
    <row r="23" spans="1:5" ht="15">
      <c r="A23" s="9" t="s">
        <v>29</v>
      </c>
      <c r="B23" s="16">
        <f>B25+B26</f>
        <v>52562.71000000001</v>
      </c>
      <c r="C23" s="195" t="s">
        <v>19</v>
      </c>
      <c r="D23" s="20"/>
      <c r="E23" s="17"/>
    </row>
    <row r="24" spans="1:4" ht="15.75">
      <c r="A24" s="9" t="s">
        <v>20</v>
      </c>
      <c r="B24" s="120"/>
      <c r="C24" s="177"/>
      <c r="D24" s="20" t="s">
        <v>30</v>
      </c>
    </row>
    <row r="25" spans="1:4" ht="15">
      <c r="A25" s="9" t="s">
        <v>31</v>
      </c>
      <c r="B25" s="16">
        <v>24425.72</v>
      </c>
      <c r="C25" s="152" t="s">
        <v>19</v>
      </c>
      <c r="D25" s="20"/>
    </row>
    <row r="26" spans="1:5" ht="15">
      <c r="A26" s="9" t="s">
        <v>33</v>
      </c>
      <c r="B26" s="16">
        <v>28136.99</v>
      </c>
      <c r="C26" s="152" t="s">
        <v>19</v>
      </c>
      <c r="D26" s="27" t="s">
        <v>32</v>
      </c>
      <c r="E26" s="17"/>
    </row>
    <row r="27" spans="1:5" ht="15">
      <c r="A27" s="9" t="s">
        <v>34</v>
      </c>
      <c r="B27" s="16">
        <v>0</v>
      </c>
      <c r="C27" s="152" t="s">
        <v>6</v>
      </c>
      <c r="D27" s="27" t="s">
        <v>32</v>
      </c>
      <c r="E27" s="17"/>
    </row>
    <row r="28" spans="1:5" ht="15">
      <c r="A28" s="9" t="s">
        <v>35</v>
      </c>
      <c r="B28" s="16">
        <v>0</v>
      </c>
      <c r="C28" s="152" t="s">
        <v>19</v>
      </c>
      <c r="D28" s="28"/>
      <c r="E28" s="17"/>
    </row>
    <row r="29" spans="1:5" ht="25.5">
      <c r="A29" s="11" t="s">
        <v>36</v>
      </c>
      <c r="B29" s="18">
        <v>95782.13</v>
      </c>
      <c r="C29" s="13" t="s">
        <v>19</v>
      </c>
      <c r="D29" s="14" t="s">
        <v>19</v>
      </c>
      <c r="E29" s="1">
        <f>B29/B18</f>
        <v>0.881665746022398</v>
      </c>
    </row>
    <row r="30" spans="1:4" ht="15">
      <c r="A30" s="9" t="s">
        <v>77</v>
      </c>
      <c r="B30" s="18">
        <f>B20*E29</f>
        <v>49439.38907489105</v>
      </c>
      <c r="C30" s="13"/>
      <c r="D30" s="14"/>
    </row>
    <row r="31" spans="1:4" ht="15">
      <c r="A31" s="9" t="s">
        <v>28</v>
      </c>
      <c r="B31" s="18">
        <f>B22*E29</f>
        <v>0</v>
      </c>
      <c r="C31" s="18" t="s">
        <v>6</v>
      </c>
      <c r="D31" s="14" t="s">
        <v>19</v>
      </c>
    </row>
    <row r="32" spans="1:4" ht="15">
      <c r="A32" s="9" t="s">
        <v>29</v>
      </c>
      <c r="B32" s="18">
        <f>B34+B35</f>
        <v>46342.740925108956</v>
      </c>
      <c r="C32" s="13" t="s">
        <v>19</v>
      </c>
      <c r="D32" s="14" t="s">
        <v>19</v>
      </c>
    </row>
    <row r="33" spans="1:4" ht="15">
      <c r="A33" s="9" t="s">
        <v>20</v>
      </c>
      <c r="B33" s="18"/>
      <c r="C33" s="13"/>
      <c r="D33" s="14"/>
    </row>
    <row r="34" spans="1:4" ht="15">
      <c r="A34" s="9" t="s">
        <v>31</v>
      </c>
      <c r="B34" s="18">
        <f>B25*E29</f>
        <v>21535.320645934207</v>
      </c>
      <c r="C34" s="13" t="s">
        <v>19</v>
      </c>
      <c r="D34" s="14"/>
    </row>
    <row r="35" spans="1:4" ht="15">
      <c r="A35" s="9" t="s">
        <v>33</v>
      </c>
      <c r="B35" s="18">
        <f>B26*E29</f>
        <v>24807.420279174752</v>
      </c>
      <c r="C35" s="13" t="s">
        <v>19</v>
      </c>
      <c r="D35" s="14"/>
    </row>
    <row r="36" spans="1:4" ht="15">
      <c r="A36" s="9" t="s">
        <v>34</v>
      </c>
      <c r="B36" s="18">
        <v>0</v>
      </c>
      <c r="C36" s="13"/>
      <c r="D36" s="14"/>
    </row>
    <row r="37" spans="1:4" ht="15">
      <c r="A37" s="9" t="s">
        <v>35</v>
      </c>
      <c r="B37" s="18">
        <v>0</v>
      </c>
      <c r="C37" s="13"/>
      <c r="D37" s="14"/>
    </row>
    <row r="38" spans="1:4" ht="38.25">
      <c r="A38" s="11" t="s">
        <v>40</v>
      </c>
      <c r="B38" s="18">
        <f>B40+B41</f>
        <v>46342.740925108956</v>
      </c>
      <c r="C38" s="13" t="s">
        <v>19</v>
      </c>
      <c r="D38" s="14" t="s">
        <v>19</v>
      </c>
    </row>
    <row r="39" spans="1:4" ht="15">
      <c r="A39" s="9" t="s">
        <v>20</v>
      </c>
      <c r="B39" s="18"/>
      <c r="C39" s="13"/>
      <c r="D39" s="14"/>
    </row>
    <row r="40" spans="1:4" ht="15">
      <c r="A40" s="9" t="s">
        <v>31</v>
      </c>
      <c r="B40" s="18">
        <f>B34</f>
        <v>21535.320645934207</v>
      </c>
      <c r="C40" s="13"/>
      <c r="D40" s="14"/>
    </row>
    <row r="41" spans="1:4" ht="15">
      <c r="A41" s="9" t="s">
        <v>33</v>
      </c>
      <c r="B41" s="18">
        <f>B35</f>
        <v>24807.420279174752</v>
      </c>
      <c r="C41" s="13"/>
      <c r="D41" s="14"/>
    </row>
    <row r="42" spans="1:4" ht="15">
      <c r="A42" s="9" t="s">
        <v>34</v>
      </c>
      <c r="B42" s="18">
        <v>0</v>
      </c>
      <c r="C42" s="13"/>
      <c r="D42" s="14"/>
    </row>
    <row r="43" spans="1:4" ht="15">
      <c r="A43" s="9" t="s">
        <v>35</v>
      </c>
      <c r="B43" s="18">
        <v>0</v>
      </c>
      <c r="C43" s="13" t="s">
        <v>19</v>
      </c>
      <c r="D43" s="14"/>
    </row>
    <row r="44" ht="12.75">
      <c r="A44" s="4"/>
    </row>
    <row r="45" spans="1:10" ht="13.5" customHeight="1">
      <c r="A45" s="291" t="s">
        <v>41</v>
      </c>
      <c r="B45" s="291"/>
      <c r="C45" s="291"/>
      <c r="D45" s="291"/>
      <c r="I45" s="30"/>
      <c r="J45" s="30"/>
    </row>
    <row r="46" spans="1:10" ht="9" customHeight="1">
      <c r="A46" s="291"/>
      <c r="B46" s="291"/>
      <c r="C46" s="291"/>
      <c r="D46" s="291"/>
      <c r="I46" s="4"/>
      <c r="J46" s="4"/>
    </row>
    <row r="47" spans="1:10" ht="12.75">
      <c r="A47" s="4"/>
      <c r="C47" s="6" t="s">
        <v>10</v>
      </c>
      <c r="I47" s="4"/>
      <c r="J47" s="4"/>
    </row>
    <row r="48" spans="1:14" ht="66.75" customHeight="1">
      <c r="A48" s="8" t="s">
        <v>42</v>
      </c>
      <c r="B48" s="8" t="s">
        <v>43</v>
      </c>
      <c r="C48" s="8" t="s">
        <v>44</v>
      </c>
      <c r="D48" s="248" t="s">
        <v>715</v>
      </c>
      <c r="I48" s="3"/>
      <c r="J48" s="3"/>
      <c r="K48" s="3"/>
      <c r="L48" s="3"/>
      <c r="M48" s="3"/>
      <c r="N48" s="3"/>
    </row>
    <row r="49" spans="1:14" ht="15">
      <c r="A49" s="31" t="s">
        <v>112</v>
      </c>
      <c r="B49" s="32" t="s">
        <v>47</v>
      </c>
      <c r="C49" s="19" t="s">
        <v>48</v>
      </c>
      <c r="D49" s="198">
        <f>(0.14+0.15)*6*351.08</f>
        <v>610.8792000000001</v>
      </c>
      <c r="E49" s="34"/>
      <c r="F49" s="35"/>
      <c r="G49" s="36"/>
      <c r="I49" s="37"/>
      <c r="J49" s="37"/>
      <c r="K49" s="37"/>
      <c r="L49" s="37"/>
      <c r="M49" s="37"/>
      <c r="N49" s="37"/>
    </row>
    <row r="50" spans="1:14" ht="15">
      <c r="A50" s="31" t="s">
        <v>49</v>
      </c>
      <c r="B50" s="32" t="s">
        <v>50</v>
      </c>
      <c r="C50" s="156" t="s">
        <v>51</v>
      </c>
      <c r="D50" s="198">
        <f>(2.1+2.23)*6*351.08</f>
        <v>9121.0584</v>
      </c>
      <c r="E50" s="34"/>
      <c r="F50" s="35"/>
      <c r="G50" s="36"/>
      <c r="I50" s="37"/>
      <c r="J50" s="37"/>
      <c r="K50" s="37"/>
      <c r="L50" s="37"/>
      <c r="M50" s="37"/>
      <c r="N50" s="37"/>
    </row>
    <row r="51" spans="1:14" ht="15">
      <c r="A51" s="31" t="s">
        <v>52</v>
      </c>
      <c r="B51" s="32" t="s">
        <v>50</v>
      </c>
      <c r="C51" s="156" t="s">
        <v>53</v>
      </c>
      <c r="D51" s="198">
        <f>(1.2+2)*6*351.08</f>
        <v>6740.736000000001</v>
      </c>
      <c r="E51" s="34"/>
      <c r="F51" s="35"/>
      <c r="G51" s="36"/>
      <c r="I51" s="37"/>
      <c r="J51" s="37"/>
      <c r="K51" s="37"/>
      <c r="L51" s="37"/>
      <c r="M51" s="37"/>
      <c r="N51" s="37"/>
    </row>
    <row r="52" spans="1:14" ht="15">
      <c r="A52" s="31" t="s">
        <v>54</v>
      </c>
      <c r="B52" s="32" t="s">
        <v>47</v>
      </c>
      <c r="C52" s="156" t="s">
        <v>136</v>
      </c>
      <c r="D52" s="198">
        <f>(0.41+0.43)*6*351.08</f>
        <v>1769.4432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56</v>
      </c>
      <c r="B53" s="39" t="s">
        <v>719</v>
      </c>
      <c r="C53" s="40" t="s">
        <v>290</v>
      </c>
      <c r="D53" s="198">
        <f>(0.92+0.66)*6*351.08-631.44-0.03</f>
        <v>2696.7684</v>
      </c>
      <c r="E53" s="34"/>
      <c r="F53" s="41"/>
      <c r="G53" s="42"/>
      <c r="H53" s="43"/>
      <c r="I53" s="37"/>
      <c r="J53" s="37"/>
      <c r="K53" s="37"/>
      <c r="L53" s="37"/>
      <c r="M53" s="37"/>
      <c r="N53" s="37"/>
    </row>
    <row r="54" spans="1:14" ht="15">
      <c r="A54" s="31" t="s">
        <v>115</v>
      </c>
      <c r="B54" s="39" t="s">
        <v>47</v>
      </c>
      <c r="C54" s="40" t="s">
        <v>210</v>
      </c>
      <c r="D54" s="198">
        <f>(0.25+0.26)*6*351.08</f>
        <v>1074.3048</v>
      </c>
      <c r="E54" s="34"/>
      <c r="F54" s="41"/>
      <c r="G54" s="42"/>
      <c r="I54" s="37"/>
      <c r="J54" s="37"/>
      <c r="K54" s="37"/>
      <c r="L54" s="37"/>
      <c r="M54" s="37"/>
      <c r="N54" s="37"/>
    </row>
    <row r="55" spans="1:14" ht="15">
      <c r="A55" s="31" t="s">
        <v>63</v>
      </c>
      <c r="B55" s="39" t="s">
        <v>64</v>
      </c>
      <c r="C55" s="40" t="s">
        <v>65</v>
      </c>
      <c r="D55" s="198">
        <f>(1.14+1.21)*6*351.08</f>
        <v>4950.227999999999</v>
      </c>
      <c r="E55" s="34"/>
      <c r="F55" s="41"/>
      <c r="G55" s="42"/>
      <c r="I55" s="37"/>
      <c r="J55" s="37"/>
      <c r="K55" s="37"/>
      <c r="L55" s="37"/>
      <c r="M55" s="37"/>
      <c r="N55" s="37"/>
    </row>
    <row r="56" spans="1:14" ht="15">
      <c r="A56" s="31" t="s">
        <v>66</v>
      </c>
      <c r="B56" s="39" t="s">
        <v>67</v>
      </c>
      <c r="C56" s="40">
        <v>4.88</v>
      </c>
      <c r="D56" s="198">
        <f>4.88*12*351.08</f>
        <v>20559.2448</v>
      </c>
      <c r="E56" s="34"/>
      <c r="F56" s="41"/>
      <c r="H56" s="45"/>
      <c r="I56" s="37"/>
      <c r="J56" s="37"/>
      <c r="K56" s="37"/>
      <c r="L56" s="37"/>
      <c r="M56" s="37"/>
      <c r="N56" s="37"/>
    </row>
    <row r="57" spans="1:14" ht="15">
      <c r="A57" s="31" t="s">
        <v>277</v>
      </c>
      <c r="B57" s="39"/>
      <c r="C57" s="40" t="s">
        <v>291</v>
      </c>
      <c r="D57" s="198">
        <f>(0.78+0.83)*6*351.08</f>
        <v>3391.4328</v>
      </c>
      <c r="E57" s="34"/>
      <c r="F57" s="41"/>
      <c r="H57" s="45"/>
      <c r="I57" s="37"/>
      <c r="J57" s="37"/>
      <c r="K57" s="37"/>
      <c r="L57" s="37"/>
      <c r="M57" s="37"/>
      <c r="N57" s="37"/>
    </row>
    <row r="58" spans="1:14" ht="15">
      <c r="A58" s="46" t="s">
        <v>68</v>
      </c>
      <c r="B58" s="47"/>
      <c r="C58" s="201"/>
      <c r="D58" s="202">
        <f>SUM(D49:D57)</f>
        <v>50914.09560000001</v>
      </c>
      <c r="E58" s="34">
        <f>D58+B21</f>
        <v>56074.975600000005</v>
      </c>
      <c r="F58" s="41"/>
      <c r="H58" s="50">
        <f>E58-B20</f>
        <v>-0.004399999997986015</v>
      </c>
      <c r="I58" s="37"/>
      <c r="J58" s="37"/>
      <c r="K58" s="37"/>
      <c r="L58" s="37"/>
      <c r="M58" s="37"/>
      <c r="N58" s="37"/>
    </row>
    <row r="59" spans="1:14" ht="15.75">
      <c r="A59" s="51" t="s">
        <v>69</v>
      </c>
      <c r="B59" s="52"/>
      <c r="C59" s="53"/>
      <c r="D59" s="54">
        <f>D60</f>
        <v>0</v>
      </c>
      <c r="E59" s="34"/>
      <c r="F59" s="41"/>
      <c r="H59" s="50"/>
      <c r="I59" s="37"/>
      <c r="J59" s="37"/>
      <c r="K59" s="37"/>
      <c r="L59" s="37"/>
      <c r="M59" s="37"/>
      <c r="N59" s="37"/>
    </row>
    <row r="60" spans="1:14" ht="15.75">
      <c r="A60" s="51"/>
      <c r="B60" s="52"/>
      <c r="C60" s="53"/>
      <c r="D60" s="54"/>
      <c r="E60" s="34"/>
      <c r="F60" s="41"/>
      <c r="H60" s="50"/>
      <c r="I60" s="37"/>
      <c r="J60" s="37"/>
      <c r="K60" s="37"/>
      <c r="L60" s="37"/>
      <c r="M60" s="37"/>
      <c r="N60" s="37"/>
    </row>
    <row r="61" spans="1:14" ht="15.75">
      <c r="A61" s="56" t="s">
        <v>71</v>
      </c>
      <c r="B61" s="57"/>
      <c r="C61" s="58"/>
      <c r="D61" s="54">
        <f>D58+D59</f>
        <v>50914.09560000001</v>
      </c>
      <c r="E61" s="34"/>
      <c r="F61" s="45"/>
      <c r="H61" s="50"/>
      <c r="I61" s="37"/>
      <c r="J61" s="37"/>
      <c r="K61" s="37"/>
      <c r="L61" s="37"/>
      <c r="M61" s="37"/>
      <c r="N61" s="37"/>
    </row>
    <row r="62" spans="1:8" ht="13.5" customHeight="1">
      <c r="A62" s="302" t="s">
        <v>72</v>
      </c>
      <c r="B62" s="302"/>
      <c r="C62" s="302"/>
      <c r="D62" s="60">
        <f>D63</f>
        <v>0</v>
      </c>
      <c r="E62" s="61"/>
      <c r="H62" s="34"/>
    </row>
    <row r="63" spans="1:8" ht="13.5" customHeight="1">
      <c r="A63" s="145"/>
      <c r="B63" s="145"/>
      <c r="C63" s="146"/>
      <c r="D63" s="60"/>
      <c r="E63" s="61"/>
      <c r="H63" s="34"/>
    </row>
    <row r="64" spans="1:8" ht="13.5" customHeight="1">
      <c r="A64" s="145" t="s">
        <v>292</v>
      </c>
      <c r="B64" s="145"/>
      <c r="C64" s="146"/>
      <c r="D64" s="60">
        <v>25001.84</v>
      </c>
      <c r="E64" s="61"/>
      <c r="H64" s="34"/>
    </row>
    <row r="65" spans="1:5" ht="25.5" customHeight="1">
      <c r="A65" s="293" t="s">
        <v>73</v>
      </c>
      <c r="B65" s="293"/>
      <c r="C65" s="293"/>
      <c r="D65" s="60">
        <f>D66+D67</f>
        <v>31775.870000000003</v>
      </c>
      <c r="E65" s="61"/>
    </row>
    <row r="66" spans="1:5" ht="15.75">
      <c r="A66" s="62" t="s">
        <v>74</v>
      </c>
      <c r="B66" s="63"/>
      <c r="C66" s="64"/>
      <c r="D66" s="60">
        <f>B16+B21-D59</f>
        <v>10293.67</v>
      </c>
      <c r="E66" s="61"/>
    </row>
    <row r="67" spans="1:5" ht="15.75">
      <c r="A67" s="63" t="s">
        <v>75</v>
      </c>
      <c r="B67" s="63"/>
      <c r="C67" s="64"/>
      <c r="D67" s="60">
        <f>B17+B22-D62</f>
        <v>21482.2</v>
      </c>
      <c r="E67" s="61"/>
    </row>
    <row r="68" spans="1:5" ht="13.5" customHeight="1">
      <c r="A68" s="294" t="s">
        <v>76</v>
      </c>
      <c r="B68" s="294"/>
      <c r="C68" s="294"/>
      <c r="D68" s="65">
        <v>24984.35</v>
      </c>
      <c r="E68" s="61"/>
    </row>
    <row r="69" spans="1:4" ht="15" customHeight="1">
      <c r="A69" s="290" t="s">
        <v>20</v>
      </c>
      <c r="B69" s="290"/>
      <c r="C69" s="290"/>
      <c r="D69" s="66"/>
    </row>
    <row r="70" spans="1:4" ht="13.5" customHeight="1">
      <c r="A70" s="290" t="s">
        <v>77</v>
      </c>
      <c r="B70" s="290"/>
      <c r="C70" s="290"/>
      <c r="D70" s="66">
        <f>D68*B20/B18</f>
        <v>12896.04856807062</v>
      </c>
    </row>
    <row r="71" spans="1:4" ht="13.5" customHeight="1">
      <c r="A71" s="290" t="s">
        <v>28</v>
      </c>
      <c r="B71" s="290"/>
      <c r="C71" s="290"/>
      <c r="D71" s="66">
        <f>D68*B22/B18</f>
        <v>0</v>
      </c>
    </row>
    <row r="72" spans="1:4" ht="13.5" customHeight="1">
      <c r="A72" s="290" t="s">
        <v>29</v>
      </c>
      <c r="B72" s="290"/>
      <c r="C72" s="290"/>
      <c r="D72" s="66">
        <f>SUM(D74:D76)</f>
        <v>12088.30143192938</v>
      </c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31</v>
      </c>
      <c r="B74" s="290"/>
      <c r="C74" s="290"/>
      <c r="D74" s="66">
        <f>D68*B25/B18</f>
        <v>5617.3942715645</v>
      </c>
    </row>
    <row r="75" spans="1:4" ht="15">
      <c r="A75" s="290" t="s">
        <v>33</v>
      </c>
      <c r="B75" s="290"/>
      <c r="C75" s="290"/>
      <c r="D75" s="66">
        <f>D68*B26/B18</f>
        <v>6470.907160364879</v>
      </c>
    </row>
    <row r="76" spans="1:4" ht="15" customHeight="1">
      <c r="A76" s="290" t="s">
        <v>34</v>
      </c>
      <c r="B76" s="290"/>
      <c r="C76" s="290"/>
      <c r="D76" s="66">
        <f>D68*E28</f>
        <v>0</v>
      </c>
    </row>
    <row r="77" spans="1:4" ht="15">
      <c r="A77" s="290" t="s">
        <v>78</v>
      </c>
      <c r="B77" s="290"/>
      <c r="C77" s="290"/>
      <c r="D77" s="66"/>
    </row>
    <row r="78" spans="1:4" ht="15" customHeight="1">
      <c r="A78" s="290" t="s">
        <v>35</v>
      </c>
      <c r="B78" s="290"/>
      <c r="C78" s="290"/>
      <c r="D78" s="66"/>
    </row>
    <row r="79" spans="1:4" ht="25.5" customHeight="1">
      <c r="A79" s="295" t="s">
        <v>79</v>
      </c>
      <c r="B79" s="295"/>
      <c r="C79" s="295"/>
      <c r="D79" s="295"/>
    </row>
    <row r="80" spans="1:4" ht="38.25">
      <c r="A80" s="67" t="s">
        <v>80</v>
      </c>
      <c r="B80" s="68" t="s">
        <v>81</v>
      </c>
      <c r="C80" s="68" t="s">
        <v>82</v>
      </c>
      <c r="D80" s="67" t="s">
        <v>83</v>
      </c>
    </row>
    <row r="81" spans="1:4" ht="43.5" customHeight="1">
      <c r="A81" s="31" t="s">
        <v>77</v>
      </c>
      <c r="B81" s="69" t="s">
        <v>84</v>
      </c>
      <c r="C81" s="70" t="s">
        <v>288</v>
      </c>
      <c r="D81" s="67" t="s">
        <v>85</v>
      </c>
    </row>
    <row r="82" spans="1:4" ht="19.5" customHeight="1">
      <c r="A82" s="31" t="s">
        <v>31</v>
      </c>
      <c r="B82" s="297" t="s">
        <v>86</v>
      </c>
      <c r="C82" s="70" t="s">
        <v>87</v>
      </c>
      <c r="D82" s="249" t="s">
        <v>716</v>
      </c>
    </row>
    <row r="83" spans="1:4" ht="21" customHeight="1">
      <c r="A83" s="31" t="s">
        <v>33</v>
      </c>
      <c r="B83" s="297"/>
      <c r="C83" s="70" t="s">
        <v>89</v>
      </c>
      <c r="D83" s="249" t="s">
        <v>716</v>
      </c>
    </row>
    <row r="85" ht="12.75">
      <c r="A85" t="s">
        <v>93</v>
      </c>
    </row>
    <row r="87" ht="12.75">
      <c r="A87" t="s">
        <v>95</v>
      </c>
    </row>
  </sheetData>
  <sheetProtection selectLockedCells="1" selectUnlockedCells="1"/>
  <mergeCells count="22">
    <mergeCell ref="A77:C77"/>
    <mergeCell ref="A78:C78"/>
    <mergeCell ref="A79:D79"/>
    <mergeCell ref="B82:B83"/>
    <mergeCell ref="A71:C71"/>
    <mergeCell ref="A72:C72"/>
    <mergeCell ref="A73:C73"/>
    <mergeCell ref="A74:C74"/>
    <mergeCell ref="A75:C75"/>
    <mergeCell ref="A76:C76"/>
    <mergeCell ref="A45:D46"/>
    <mergeCell ref="A62:C62"/>
    <mergeCell ref="A65:C65"/>
    <mergeCell ref="A68:C68"/>
    <mergeCell ref="A69:C69"/>
    <mergeCell ref="A70:C70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80" zoomScaleNormal="80" zoomScalePageLayoutView="0" workbookViewId="0" topLeftCell="A1">
      <selection activeCell="D13" sqref="D13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293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294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3563.54</v>
      </c>
      <c r="C15" s="13"/>
      <c r="D15" s="14"/>
    </row>
    <row r="16" spans="1:4" ht="15.75">
      <c r="A16" s="15" t="s">
        <v>16</v>
      </c>
      <c r="B16" s="12">
        <v>3563.54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B20+B23</f>
        <v>11229.6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6469.8</v>
      </c>
      <c r="C20" s="105" t="s">
        <v>295</v>
      </c>
      <c r="D20" s="14"/>
    </row>
    <row r="21" spans="1:5" ht="15">
      <c r="A21" s="9" t="s">
        <v>147</v>
      </c>
      <c r="B21" s="16">
        <v>320.68</v>
      </c>
      <c r="C21" s="19" t="s">
        <v>296</v>
      </c>
      <c r="D21" s="20"/>
      <c r="E21" s="17">
        <f>(0.41+0.56)*6*55.1</f>
        <v>320.682</v>
      </c>
    </row>
    <row r="22" spans="1:5" ht="15.75">
      <c r="A22" s="9" t="s">
        <v>28</v>
      </c>
      <c r="B22" s="118">
        <v>0</v>
      </c>
      <c r="C22" s="119" t="s">
        <v>6</v>
      </c>
      <c r="D22" s="20"/>
      <c r="E22" s="17"/>
    </row>
    <row r="23" spans="1:5" ht="15">
      <c r="A23" s="9" t="s">
        <v>29</v>
      </c>
      <c r="B23" s="16">
        <f>B25</f>
        <v>4759.8</v>
      </c>
      <c r="C23" s="195" t="s">
        <v>19</v>
      </c>
      <c r="D23" s="20"/>
      <c r="E23" s="17"/>
    </row>
    <row r="24" spans="1:4" ht="15.75">
      <c r="A24" s="9" t="s">
        <v>20</v>
      </c>
      <c r="B24" s="120"/>
      <c r="C24" s="177"/>
      <c r="D24" s="20" t="s">
        <v>30</v>
      </c>
    </row>
    <row r="25" spans="1:4" ht="15">
      <c r="A25" s="9" t="s">
        <v>31</v>
      </c>
      <c r="B25" s="16">
        <v>4759.8</v>
      </c>
      <c r="C25" s="152" t="s">
        <v>19</v>
      </c>
      <c r="D25" s="20"/>
    </row>
    <row r="26" spans="1:5" ht="15">
      <c r="A26" s="9" t="s">
        <v>33</v>
      </c>
      <c r="B26" s="25">
        <v>0</v>
      </c>
      <c r="C26" s="152" t="s">
        <v>19</v>
      </c>
      <c r="D26" s="27" t="s">
        <v>32</v>
      </c>
      <c r="E26" s="17"/>
    </row>
    <row r="27" spans="1:5" ht="15">
      <c r="A27" s="9" t="s">
        <v>34</v>
      </c>
      <c r="B27" s="25">
        <v>0</v>
      </c>
      <c r="C27" s="152" t="s">
        <v>6</v>
      </c>
      <c r="D27" s="27" t="s">
        <v>32</v>
      </c>
      <c r="E27" s="17"/>
    </row>
    <row r="28" spans="1:5" ht="15">
      <c r="A28" s="9" t="s">
        <v>35</v>
      </c>
      <c r="B28" s="25">
        <v>0</v>
      </c>
      <c r="C28" s="152" t="s">
        <v>19</v>
      </c>
      <c r="D28" s="28"/>
      <c r="E28" s="17"/>
    </row>
    <row r="29" spans="1:5" ht="25.5">
      <c r="A29" s="11" t="s">
        <v>36</v>
      </c>
      <c r="B29" s="18">
        <v>5615.97</v>
      </c>
      <c r="C29" s="13" t="s">
        <v>19</v>
      </c>
      <c r="D29" s="14" t="s">
        <v>19</v>
      </c>
      <c r="E29" s="1">
        <f>B29/B18</f>
        <v>0.5001041889292583</v>
      </c>
    </row>
    <row r="30" spans="1:4" ht="15">
      <c r="A30" s="9" t="s">
        <v>77</v>
      </c>
      <c r="B30" s="18">
        <f>B20*E29</f>
        <v>3235.5740815345157</v>
      </c>
      <c r="C30" s="13"/>
      <c r="D30" s="14"/>
    </row>
    <row r="31" spans="1:4" ht="15">
      <c r="A31" s="9" t="s">
        <v>28</v>
      </c>
      <c r="B31" s="18">
        <f>B22*E29</f>
        <v>0</v>
      </c>
      <c r="C31" s="18" t="s">
        <v>6</v>
      </c>
      <c r="D31" s="14" t="s">
        <v>19</v>
      </c>
    </row>
    <row r="32" spans="1:4" ht="15">
      <c r="A32" s="9" t="s">
        <v>29</v>
      </c>
      <c r="B32" s="18">
        <f>B34</f>
        <v>2380.395918465484</v>
      </c>
      <c r="C32" s="13" t="s">
        <v>19</v>
      </c>
      <c r="D32" s="14" t="s">
        <v>19</v>
      </c>
    </row>
    <row r="33" spans="1:4" ht="15">
      <c r="A33" s="9" t="s">
        <v>20</v>
      </c>
      <c r="B33" s="18"/>
      <c r="C33" s="13"/>
      <c r="D33" s="14"/>
    </row>
    <row r="34" spans="1:4" ht="15">
      <c r="A34" s="9" t="s">
        <v>31</v>
      </c>
      <c r="B34" s="18">
        <f>B25*E29</f>
        <v>2380.395918465484</v>
      </c>
      <c r="C34" s="13" t="s">
        <v>19</v>
      </c>
      <c r="D34" s="14"/>
    </row>
    <row r="35" spans="1:4" ht="15">
      <c r="A35" s="9" t="s">
        <v>33</v>
      </c>
      <c r="B35" s="18">
        <v>0</v>
      </c>
      <c r="C35" s="13" t="s">
        <v>19</v>
      </c>
      <c r="D35" s="14"/>
    </row>
    <row r="36" spans="1:4" ht="15">
      <c r="A36" s="9" t="s">
        <v>34</v>
      </c>
      <c r="B36" s="18">
        <v>0</v>
      </c>
      <c r="C36" s="13"/>
      <c r="D36" s="14"/>
    </row>
    <row r="37" spans="1:4" ht="15">
      <c r="A37" s="9" t="s">
        <v>35</v>
      </c>
      <c r="B37" s="18">
        <v>0</v>
      </c>
      <c r="C37" s="13"/>
      <c r="D37" s="14"/>
    </row>
    <row r="38" spans="1:4" ht="38.25">
      <c r="A38" s="11" t="s">
        <v>40</v>
      </c>
      <c r="B38" s="18">
        <f>B40</f>
        <v>2380.395918465484</v>
      </c>
      <c r="C38" s="13" t="s">
        <v>19</v>
      </c>
      <c r="D38" s="14" t="s">
        <v>19</v>
      </c>
    </row>
    <row r="39" spans="1:4" ht="15">
      <c r="A39" s="9" t="s">
        <v>20</v>
      </c>
      <c r="B39" s="18"/>
      <c r="C39" s="13"/>
      <c r="D39" s="14"/>
    </row>
    <row r="40" spans="1:4" ht="15">
      <c r="A40" s="9" t="s">
        <v>31</v>
      </c>
      <c r="B40" s="18">
        <f>B34</f>
        <v>2380.395918465484</v>
      </c>
      <c r="C40" s="13"/>
      <c r="D40" s="14"/>
    </row>
    <row r="41" spans="1:4" ht="15">
      <c r="A41" s="9" t="s">
        <v>33</v>
      </c>
      <c r="B41" s="18">
        <v>0</v>
      </c>
      <c r="C41" s="13"/>
      <c r="D41" s="14"/>
    </row>
    <row r="42" spans="1:4" ht="15">
      <c r="A42" s="9" t="s">
        <v>34</v>
      </c>
      <c r="B42" s="18">
        <v>0</v>
      </c>
      <c r="C42" s="13"/>
      <c r="D42" s="14"/>
    </row>
    <row r="43" spans="1:4" ht="15">
      <c r="A43" s="9" t="s">
        <v>35</v>
      </c>
      <c r="B43" s="18">
        <v>0</v>
      </c>
      <c r="C43" s="13" t="s">
        <v>19</v>
      </c>
      <c r="D43" s="14"/>
    </row>
    <row r="44" ht="12.75">
      <c r="A44" s="4"/>
    </row>
    <row r="45" spans="1:10" ht="13.5" customHeight="1">
      <c r="A45" s="291" t="s">
        <v>41</v>
      </c>
      <c r="B45" s="291"/>
      <c r="C45" s="291"/>
      <c r="D45" s="291"/>
      <c r="I45" s="30"/>
      <c r="J45" s="30"/>
    </row>
    <row r="46" spans="1:10" ht="9" customHeight="1">
      <c r="A46" s="291"/>
      <c r="B46" s="291"/>
      <c r="C46" s="291"/>
      <c r="D46" s="291"/>
      <c r="I46" s="4"/>
      <c r="J46" s="4"/>
    </row>
    <row r="47" spans="1:10" ht="12.75">
      <c r="A47" s="4"/>
      <c r="C47" s="6" t="s">
        <v>10</v>
      </c>
      <c r="I47" s="4"/>
      <c r="J47" s="4"/>
    </row>
    <row r="48" spans="1:14" ht="66.75" customHeight="1">
      <c r="A48" s="8" t="s">
        <v>42</v>
      </c>
      <c r="B48" s="8" t="s">
        <v>43</v>
      </c>
      <c r="C48" s="8" t="s">
        <v>44</v>
      </c>
      <c r="D48" s="8" t="s">
        <v>45</v>
      </c>
      <c r="I48" s="3"/>
      <c r="J48" s="3"/>
      <c r="K48" s="3"/>
      <c r="L48" s="3"/>
      <c r="M48" s="3"/>
      <c r="N48" s="3"/>
    </row>
    <row r="49" spans="1:14" ht="15">
      <c r="A49" s="31" t="s">
        <v>112</v>
      </c>
      <c r="B49" s="32" t="s">
        <v>47</v>
      </c>
      <c r="C49" s="19" t="s">
        <v>48</v>
      </c>
      <c r="D49" s="33">
        <f>(0.14+0.15)*6*55.1</f>
        <v>95.87400000000001</v>
      </c>
      <c r="E49" s="34"/>
      <c r="F49" s="35"/>
      <c r="G49" s="36"/>
      <c r="I49" s="37"/>
      <c r="J49" s="37"/>
      <c r="K49" s="37"/>
      <c r="L49" s="37"/>
      <c r="M49" s="37"/>
      <c r="N49" s="37"/>
    </row>
    <row r="50" spans="1:14" ht="15">
      <c r="A50" s="31" t="s">
        <v>49</v>
      </c>
      <c r="B50" s="32" t="s">
        <v>50</v>
      </c>
      <c r="C50" s="156">
        <v>0</v>
      </c>
      <c r="D50" s="33">
        <v>0</v>
      </c>
      <c r="E50" s="34"/>
      <c r="F50" s="35"/>
      <c r="G50" s="36"/>
      <c r="I50" s="37"/>
      <c r="J50" s="37"/>
      <c r="K50" s="37"/>
      <c r="L50" s="37"/>
      <c r="M50" s="37"/>
      <c r="N50" s="37"/>
    </row>
    <row r="51" spans="1:14" ht="15">
      <c r="A51" s="31" t="s">
        <v>52</v>
      </c>
      <c r="B51" s="32" t="s">
        <v>50</v>
      </c>
      <c r="C51" s="156" t="s">
        <v>53</v>
      </c>
      <c r="D51" s="33">
        <f>(1.2+2)*6*55.1</f>
        <v>1057.92</v>
      </c>
      <c r="E51" s="34"/>
      <c r="F51" s="35"/>
      <c r="G51" s="36"/>
      <c r="I51" s="37"/>
      <c r="J51" s="37"/>
      <c r="K51" s="37"/>
      <c r="L51" s="37"/>
      <c r="M51" s="37"/>
      <c r="N51" s="37"/>
    </row>
    <row r="52" spans="1:14" ht="15">
      <c r="A52" s="31" t="s">
        <v>54</v>
      </c>
      <c r="B52" s="32" t="s">
        <v>47</v>
      </c>
      <c r="C52" s="156" t="s">
        <v>55</v>
      </c>
      <c r="D52" s="33">
        <f>(0.2+0.21)*6*55.1</f>
        <v>135.546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56</v>
      </c>
      <c r="B53" s="39" t="s">
        <v>57</v>
      </c>
      <c r="C53" s="40">
        <v>0</v>
      </c>
      <c r="D53" s="33">
        <v>0</v>
      </c>
      <c r="E53" s="34"/>
      <c r="F53" s="41"/>
      <c r="G53" s="42"/>
      <c r="H53" s="43"/>
      <c r="I53" s="37"/>
      <c r="J53" s="37"/>
      <c r="K53" s="37"/>
      <c r="L53" s="37"/>
      <c r="M53" s="37"/>
      <c r="N53" s="37"/>
    </row>
    <row r="54" spans="1:14" ht="15">
      <c r="A54" s="31" t="s">
        <v>115</v>
      </c>
      <c r="B54" s="39" t="s">
        <v>47</v>
      </c>
      <c r="C54" s="40" t="s">
        <v>55</v>
      </c>
      <c r="D54" s="33">
        <f>(0.2+0.21)*6*55.1</f>
        <v>135.546</v>
      </c>
      <c r="E54" s="34"/>
      <c r="F54" s="41"/>
      <c r="G54" s="42"/>
      <c r="I54" s="37"/>
      <c r="J54" s="37"/>
      <c r="K54" s="37"/>
      <c r="L54" s="37"/>
      <c r="M54" s="37"/>
      <c r="N54" s="37"/>
    </row>
    <row r="55" spans="1:14" ht="15">
      <c r="A55" s="31" t="s">
        <v>63</v>
      </c>
      <c r="B55" s="39" t="s">
        <v>64</v>
      </c>
      <c r="C55" s="40" t="s">
        <v>297</v>
      </c>
      <c r="D55" s="33">
        <f>(0.7+0.74)*6*55.1</f>
        <v>476.064</v>
      </c>
      <c r="E55" s="34"/>
      <c r="F55" s="41"/>
      <c r="G55" s="42"/>
      <c r="I55" s="37"/>
      <c r="J55" s="37"/>
      <c r="K55" s="37"/>
      <c r="L55" s="37"/>
      <c r="M55" s="37"/>
      <c r="N55" s="37"/>
    </row>
    <row r="56" spans="1:14" ht="15">
      <c r="A56" s="31" t="s">
        <v>66</v>
      </c>
      <c r="B56" s="39" t="s">
        <v>67</v>
      </c>
      <c r="C56" s="40">
        <v>4.88</v>
      </c>
      <c r="D56" s="33">
        <f>4.88*12*55.1-0.04</f>
        <v>3226.6160000000004</v>
      </c>
      <c r="E56" s="34"/>
      <c r="F56" s="41"/>
      <c r="H56" s="45"/>
      <c r="I56" s="37"/>
      <c r="J56" s="37"/>
      <c r="K56" s="37"/>
      <c r="L56" s="37"/>
      <c r="M56" s="37"/>
      <c r="N56" s="37"/>
    </row>
    <row r="57" spans="1:14" ht="15">
      <c r="A57" s="31" t="s">
        <v>277</v>
      </c>
      <c r="B57" s="39"/>
      <c r="C57" s="40" t="s">
        <v>298</v>
      </c>
      <c r="D57" s="33">
        <f>(1.5+1.59)*6*55.1</f>
        <v>1021.554</v>
      </c>
      <c r="E57" s="34"/>
      <c r="F57" s="41"/>
      <c r="H57" s="45"/>
      <c r="I57" s="37"/>
      <c r="J57" s="37"/>
      <c r="K57" s="37"/>
      <c r="L57" s="37"/>
      <c r="M57" s="37"/>
      <c r="N57" s="37"/>
    </row>
    <row r="58" spans="1:14" ht="15">
      <c r="A58" s="46" t="s">
        <v>68</v>
      </c>
      <c r="B58" s="47"/>
      <c r="C58" s="201"/>
      <c r="D58" s="49">
        <f>SUM(D49:D57)</f>
        <v>6149.120000000001</v>
      </c>
      <c r="E58" s="34">
        <f>D58+B21</f>
        <v>6469.800000000001</v>
      </c>
      <c r="F58" s="41"/>
      <c r="H58" s="50">
        <f>E58-B20</f>
        <v>0</v>
      </c>
      <c r="I58" s="37"/>
      <c r="J58" s="37"/>
      <c r="K58" s="37"/>
      <c r="L58" s="37"/>
      <c r="M58" s="37"/>
      <c r="N58" s="37"/>
    </row>
    <row r="59" spans="1:14" ht="15.75">
      <c r="A59" s="51" t="s">
        <v>69</v>
      </c>
      <c r="B59" s="52"/>
      <c r="C59" s="53"/>
      <c r="D59" s="122">
        <f>D60</f>
        <v>0</v>
      </c>
      <c r="E59" s="34"/>
      <c r="F59" s="41"/>
      <c r="H59" s="50"/>
      <c r="I59" s="37"/>
      <c r="J59" s="37"/>
      <c r="K59" s="37"/>
      <c r="L59" s="37"/>
      <c r="M59" s="37"/>
      <c r="N59" s="37"/>
    </row>
    <row r="60" spans="1:14" ht="15.75">
      <c r="A60" s="51"/>
      <c r="B60" s="52"/>
      <c r="C60" s="53"/>
      <c r="D60" s="122"/>
      <c r="E60" s="34"/>
      <c r="F60" s="41"/>
      <c r="H60" s="50"/>
      <c r="I60" s="37"/>
      <c r="J60" s="37"/>
      <c r="K60" s="37"/>
      <c r="L60" s="37"/>
      <c r="M60" s="37"/>
      <c r="N60" s="37"/>
    </row>
    <row r="61" spans="1:14" ht="15.75">
      <c r="A61" s="56" t="s">
        <v>71</v>
      </c>
      <c r="B61" s="57"/>
      <c r="C61" s="58"/>
      <c r="D61" s="122">
        <f>D58+D59</f>
        <v>6149.120000000001</v>
      </c>
      <c r="E61" s="34"/>
      <c r="F61" s="45"/>
      <c r="H61" s="50"/>
      <c r="I61" s="37"/>
      <c r="J61" s="37"/>
      <c r="K61" s="37"/>
      <c r="L61" s="37"/>
      <c r="M61" s="37"/>
      <c r="N61" s="37"/>
    </row>
    <row r="62" spans="1:8" ht="13.5" customHeight="1">
      <c r="A62" s="302" t="s">
        <v>72</v>
      </c>
      <c r="B62" s="302"/>
      <c r="C62" s="302"/>
      <c r="D62" s="124">
        <f>D63</f>
        <v>0</v>
      </c>
      <c r="E62" s="61"/>
      <c r="H62" s="34"/>
    </row>
    <row r="63" spans="1:8" ht="13.5" customHeight="1">
      <c r="A63" s="145"/>
      <c r="B63" s="145"/>
      <c r="C63" s="146"/>
      <c r="D63" s="124"/>
      <c r="E63" s="61"/>
      <c r="H63" s="34"/>
    </row>
    <row r="64" spans="1:5" ht="25.5" customHeight="1">
      <c r="A64" s="293" t="s">
        <v>73</v>
      </c>
      <c r="B64" s="293"/>
      <c r="C64" s="293"/>
      <c r="D64" s="124">
        <f>D65+D66</f>
        <v>3884.22</v>
      </c>
      <c r="E64" s="61"/>
    </row>
    <row r="65" spans="1:5" ht="15.75">
      <c r="A65" s="78" t="s">
        <v>74</v>
      </c>
      <c r="B65" s="114"/>
      <c r="C65" s="115"/>
      <c r="D65" s="124">
        <f>B16+B21-D59</f>
        <v>3884.22</v>
      </c>
      <c r="E65" s="61"/>
    </row>
    <row r="66" spans="1:5" ht="15.75">
      <c r="A66" s="114" t="s">
        <v>75</v>
      </c>
      <c r="B66" s="114"/>
      <c r="C66" s="115"/>
      <c r="D66" s="124">
        <f>B17+B22-D62</f>
        <v>0</v>
      </c>
      <c r="E66" s="61"/>
    </row>
    <row r="67" spans="1:5" ht="13.5" customHeight="1">
      <c r="A67" s="294" t="s">
        <v>76</v>
      </c>
      <c r="B67" s="294"/>
      <c r="C67" s="294"/>
      <c r="D67" s="160">
        <v>11705.28</v>
      </c>
      <c r="E67" s="61"/>
    </row>
    <row r="68" spans="1:4" ht="15" customHeight="1">
      <c r="A68" s="290" t="s">
        <v>20</v>
      </c>
      <c r="B68" s="290"/>
      <c r="C68" s="290"/>
      <c r="D68" s="117"/>
    </row>
    <row r="69" spans="1:4" ht="13.5" customHeight="1">
      <c r="A69" s="290" t="s">
        <v>77</v>
      </c>
      <c r="B69" s="290"/>
      <c r="C69" s="290"/>
      <c r="D69" s="117">
        <f>D67*B20/B18</f>
        <v>6743.857354135499</v>
      </c>
    </row>
    <row r="70" spans="1:4" ht="13.5" customHeight="1">
      <c r="A70" s="290" t="s">
        <v>28</v>
      </c>
      <c r="B70" s="290"/>
      <c r="C70" s="290"/>
      <c r="D70" s="117">
        <f>D67*B22/B18</f>
        <v>0</v>
      </c>
    </row>
    <row r="71" spans="1:4" ht="13.5" customHeight="1">
      <c r="A71" s="290" t="s">
        <v>29</v>
      </c>
      <c r="B71" s="290"/>
      <c r="C71" s="290"/>
      <c r="D71" s="117">
        <f>SUM(D73:D75)</f>
        <v>4961.422645864501</v>
      </c>
    </row>
    <row r="72" spans="1:4" ht="15">
      <c r="A72" s="290" t="s">
        <v>20</v>
      </c>
      <c r="B72" s="290"/>
      <c r="C72" s="290"/>
      <c r="D72" s="117"/>
    </row>
    <row r="73" spans="1:4" ht="13.5" customHeight="1">
      <c r="A73" s="290" t="s">
        <v>31</v>
      </c>
      <c r="B73" s="290"/>
      <c r="C73" s="290"/>
      <c r="D73" s="117">
        <f>D67*B25/B18</f>
        <v>4961.422645864501</v>
      </c>
    </row>
    <row r="74" spans="1:4" ht="15">
      <c r="A74" s="290" t="s">
        <v>33</v>
      </c>
      <c r="B74" s="290"/>
      <c r="C74" s="290"/>
      <c r="D74" s="117">
        <f>D67*E27</f>
        <v>0</v>
      </c>
    </row>
    <row r="75" spans="1:4" ht="15" customHeight="1">
      <c r="A75" s="290" t="s">
        <v>34</v>
      </c>
      <c r="B75" s="290"/>
      <c r="C75" s="290"/>
      <c r="D75" s="117">
        <f>D67*E28</f>
        <v>0</v>
      </c>
    </row>
    <row r="76" spans="1:4" ht="15">
      <c r="A76" s="290" t="s">
        <v>78</v>
      </c>
      <c r="B76" s="290"/>
      <c r="C76" s="290"/>
      <c r="D76" s="117"/>
    </row>
    <row r="77" spans="1:4" ht="15" customHeight="1">
      <c r="A77" s="290" t="s">
        <v>35</v>
      </c>
      <c r="B77" s="290"/>
      <c r="C77" s="290"/>
      <c r="D77" s="66"/>
    </row>
    <row r="78" spans="1:4" ht="25.5" customHeight="1">
      <c r="A78" s="295" t="s">
        <v>79</v>
      </c>
      <c r="B78" s="295"/>
      <c r="C78" s="295"/>
      <c r="D78" s="295"/>
    </row>
    <row r="79" spans="1:4" ht="38.25">
      <c r="A79" s="67" t="s">
        <v>80</v>
      </c>
      <c r="B79" s="68" t="s">
        <v>81</v>
      </c>
      <c r="C79" s="68" t="s">
        <v>82</v>
      </c>
      <c r="D79" s="67" t="s">
        <v>83</v>
      </c>
    </row>
    <row r="80" spans="1:4" ht="39.75" customHeight="1">
      <c r="A80" s="31" t="s">
        <v>77</v>
      </c>
      <c r="B80" s="69" t="s">
        <v>84</v>
      </c>
      <c r="C80" s="105" t="s">
        <v>295</v>
      </c>
      <c r="D80" s="67" t="s">
        <v>85</v>
      </c>
    </row>
    <row r="81" spans="1:4" ht="39.75" customHeight="1">
      <c r="A81" s="31" t="s">
        <v>31</v>
      </c>
      <c r="B81" s="140" t="s">
        <v>86</v>
      </c>
      <c r="C81" s="70" t="s">
        <v>87</v>
      </c>
      <c r="D81" s="71" t="s">
        <v>88</v>
      </c>
    </row>
    <row r="83" ht="12.75">
      <c r="A83" t="s">
        <v>93</v>
      </c>
    </row>
    <row r="85" ht="12.75">
      <c r="A85" t="s">
        <v>95</v>
      </c>
    </row>
  </sheetData>
  <sheetProtection selectLockedCells="1" selectUnlockedCells="1"/>
  <mergeCells count="21">
    <mergeCell ref="A76:C76"/>
    <mergeCell ref="A77:C77"/>
    <mergeCell ref="A78:D78"/>
    <mergeCell ref="A70:C70"/>
    <mergeCell ref="A71:C71"/>
    <mergeCell ref="A72:C72"/>
    <mergeCell ref="A73:C73"/>
    <mergeCell ref="A74:C74"/>
    <mergeCell ref="A75:C75"/>
    <mergeCell ref="A45:D46"/>
    <mergeCell ref="A62:C62"/>
    <mergeCell ref="A64:C64"/>
    <mergeCell ref="A67:C67"/>
    <mergeCell ref="A68:C68"/>
    <mergeCell ref="A69:C69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52">
      <selection activeCell="E70" sqref="E7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299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300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22895.2</v>
      </c>
      <c r="C15" s="13"/>
      <c r="D15" s="14"/>
    </row>
    <row r="16" spans="1:4" ht="15.75">
      <c r="A16" s="15" t="s">
        <v>16</v>
      </c>
      <c r="B16" s="12">
        <v>20078.34</v>
      </c>
      <c r="C16" s="13"/>
      <c r="D16" s="14"/>
    </row>
    <row r="17" spans="1:4" ht="15.75">
      <c r="A17" s="15" t="s">
        <v>17</v>
      </c>
      <c r="B17" s="174">
        <v>2816.86</v>
      </c>
      <c r="C17" s="175" t="s">
        <v>19</v>
      </c>
      <c r="D17" s="14"/>
    </row>
    <row r="18" spans="1:5" ht="25.5">
      <c r="A18" s="11" t="s">
        <v>18</v>
      </c>
      <c r="B18" s="204">
        <f>B20+B22+B25</f>
        <v>19947.32</v>
      </c>
      <c r="C18" s="148" t="s">
        <v>19</v>
      </c>
      <c r="D18" s="14" t="s">
        <v>19</v>
      </c>
      <c r="E18" s="17">
        <f>SUM(E19:E28)</f>
        <v>2518.043633087954</v>
      </c>
    </row>
    <row r="19" spans="1:4" ht="15">
      <c r="A19" s="9" t="s">
        <v>20</v>
      </c>
      <c r="B19" s="25"/>
      <c r="C19" s="148"/>
      <c r="D19" s="14"/>
    </row>
    <row r="20" spans="1:8" ht="15">
      <c r="A20" s="9" t="s">
        <v>77</v>
      </c>
      <c r="B20" s="16">
        <v>11919.54</v>
      </c>
      <c r="C20" s="105" t="s">
        <v>301</v>
      </c>
      <c r="D20" s="14"/>
      <c r="E20" s="1">
        <f>10.78*86.94</f>
        <v>937.2131999999999</v>
      </c>
      <c r="H20" s="1">
        <f>12.07*86.94</f>
        <v>1049.3658</v>
      </c>
    </row>
    <row r="21" spans="1:5" ht="15">
      <c r="A21" s="9" t="s">
        <v>147</v>
      </c>
      <c r="B21" s="16">
        <v>1580.57</v>
      </c>
      <c r="C21" s="21" t="s">
        <v>302</v>
      </c>
      <c r="D21" s="20"/>
      <c r="E21" s="17">
        <f>(1.37+1.66)*6*86.94</f>
        <v>1580.5692</v>
      </c>
    </row>
    <row r="22" spans="1:5" ht="15.75">
      <c r="A22" s="9" t="s">
        <v>28</v>
      </c>
      <c r="B22" s="118">
        <v>2816.88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21" t="s">
        <v>6</v>
      </c>
      <c r="D23" s="20"/>
      <c r="E23" s="17">
        <f>B23/B18*1</f>
        <v>0</v>
      </c>
    </row>
    <row r="24" spans="1:5" ht="15.75">
      <c r="A24" s="9" t="s">
        <v>167</v>
      </c>
      <c r="B24" s="120">
        <v>0</v>
      </c>
      <c r="C24" s="177"/>
      <c r="D24" s="20" t="s">
        <v>30</v>
      </c>
      <c r="E24" s="1">
        <f>B24/B18*1</f>
        <v>0</v>
      </c>
    </row>
    <row r="25" spans="1:4" ht="15">
      <c r="A25" s="9" t="s">
        <v>29</v>
      </c>
      <c r="B25" s="16">
        <f>B27</f>
        <v>5210.9</v>
      </c>
      <c r="C25" s="152" t="s">
        <v>19</v>
      </c>
      <c r="D25" s="20"/>
    </row>
    <row r="26" spans="1:5" ht="15">
      <c r="A26" s="9" t="s">
        <v>20</v>
      </c>
      <c r="B26" s="16"/>
      <c r="C26" s="152"/>
      <c r="D26" s="27" t="s">
        <v>32</v>
      </c>
      <c r="E26" s="17">
        <f>B26/B18*1</f>
        <v>0</v>
      </c>
    </row>
    <row r="27" spans="1:5" ht="15">
      <c r="A27" s="9" t="s">
        <v>31</v>
      </c>
      <c r="B27" s="16">
        <v>5210.9</v>
      </c>
      <c r="C27" s="152" t="s">
        <v>19</v>
      </c>
      <c r="D27" s="27" t="s">
        <v>32</v>
      </c>
      <c r="E27" s="17">
        <f>B27/B18*1</f>
        <v>0.26123308795366995</v>
      </c>
    </row>
    <row r="28" spans="1:5" ht="15">
      <c r="A28" s="9" t="s">
        <v>33</v>
      </c>
      <c r="B28" s="16">
        <v>0</v>
      </c>
      <c r="C28" s="152" t="s">
        <v>19</v>
      </c>
      <c r="D28" s="28"/>
      <c r="E28" s="17">
        <f>B28/B18*1</f>
        <v>0</v>
      </c>
    </row>
    <row r="29" spans="1:5" ht="15">
      <c r="A29" s="9" t="s">
        <v>34</v>
      </c>
      <c r="B29" s="16">
        <v>0</v>
      </c>
      <c r="C29" s="152" t="s">
        <v>6</v>
      </c>
      <c r="D29" s="28"/>
      <c r="E29" s="17"/>
    </row>
    <row r="30" spans="1:5" ht="15">
      <c r="A30" s="9" t="s">
        <v>35</v>
      </c>
      <c r="B30" s="16"/>
      <c r="C30" s="152" t="s">
        <v>19</v>
      </c>
      <c r="D30" s="28"/>
      <c r="E30" s="17"/>
    </row>
    <row r="31" spans="1:5" ht="25.5">
      <c r="A31" s="11" t="s">
        <v>36</v>
      </c>
      <c r="B31" s="18">
        <v>18335.52</v>
      </c>
      <c r="C31" s="13" t="s">
        <v>19</v>
      </c>
      <c r="D31" s="14" t="s">
        <v>19</v>
      </c>
      <c r="E31" s="1">
        <f>B31/B18</f>
        <v>0.9191971653334885</v>
      </c>
    </row>
    <row r="32" spans="1:4" ht="15">
      <c r="A32" s="9" t="s">
        <v>77</v>
      </c>
      <c r="B32" s="18">
        <f>B20*E31</f>
        <v>10956.40738007913</v>
      </c>
      <c r="C32" s="13"/>
      <c r="D32" s="14"/>
    </row>
    <row r="33" spans="1:4" ht="15">
      <c r="A33" s="9" t="s">
        <v>28</v>
      </c>
      <c r="B33" s="18">
        <f>B22*E31</f>
        <v>2589.268111084597</v>
      </c>
      <c r="C33" s="18" t="s">
        <v>6</v>
      </c>
      <c r="D33" s="14" t="s">
        <v>19</v>
      </c>
    </row>
    <row r="34" spans="1:4" ht="15">
      <c r="A34" s="9" t="s">
        <v>29</v>
      </c>
      <c r="B34" s="18">
        <f>B36</f>
        <v>4789.844508836275</v>
      </c>
      <c r="C34" s="13" t="s">
        <v>19</v>
      </c>
      <c r="D34" s="14" t="s">
        <v>19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31</v>
      </c>
      <c r="B36" s="18">
        <f>B27*E31</f>
        <v>4789.844508836275</v>
      </c>
      <c r="C36" s="13" t="s">
        <v>19</v>
      </c>
      <c r="D36" s="14"/>
    </row>
    <row r="37" spans="1:4" ht="15">
      <c r="A37" s="9" t="s">
        <v>33</v>
      </c>
      <c r="B37" s="18">
        <v>0</v>
      </c>
      <c r="C37" s="13" t="s">
        <v>19</v>
      </c>
      <c r="D37" s="14"/>
    </row>
    <row r="38" spans="1:4" ht="15">
      <c r="A38" s="9" t="s">
        <v>34</v>
      </c>
      <c r="B38" s="18">
        <v>0</v>
      </c>
      <c r="C38" s="13"/>
      <c r="D38" s="14"/>
    </row>
    <row r="39" spans="1:4" ht="15">
      <c r="A39" s="9" t="s">
        <v>35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</f>
        <v>4789.844508836275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B36</f>
        <v>4789.844508836275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141"/>
      <c r="J48" s="30"/>
    </row>
    <row r="49" spans="1:10" ht="9" customHeight="1">
      <c r="A49" s="291"/>
      <c r="B49" s="291"/>
      <c r="C49" s="291"/>
      <c r="D49" s="291"/>
      <c r="J49" s="4"/>
    </row>
    <row r="50" spans="1:10" ht="12.75">
      <c r="A50" s="4"/>
      <c r="C50" s="6" t="s">
        <v>10</v>
      </c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142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48</v>
      </c>
      <c r="D52" s="33">
        <f>(0.14+0.15)*6*86.94</f>
        <v>151.27560000000003</v>
      </c>
      <c r="E52" s="34"/>
      <c r="F52" s="35"/>
      <c r="G52" s="36"/>
      <c r="I52" s="45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>
        <v>0</v>
      </c>
      <c r="D53" s="33"/>
      <c r="E53" s="34"/>
      <c r="F53" s="35"/>
      <c r="G53" s="36"/>
      <c r="I53" s="45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33">
        <f>(1.2+2)*6*86.94</f>
        <v>1669.2480000000003</v>
      </c>
      <c r="E54" s="34"/>
      <c r="F54" s="35"/>
      <c r="G54" s="36"/>
      <c r="I54" s="45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55</v>
      </c>
      <c r="D55" s="33">
        <f>(0.2+0.21)*6*86.94</f>
        <v>213.8724</v>
      </c>
      <c r="E55" s="34"/>
      <c r="F55" s="35"/>
      <c r="G55" s="36"/>
      <c r="I55" s="45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0">
        <v>0</v>
      </c>
      <c r="D56" s="33"/>
      <c r="E56" s="34"/>
      <c r="F56" s="41"/>
      <c r="G56" s="42"/>
      <c r="H56" s="43"/>
      <c r="I56" s="45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0" t="s">
        <v>55</v>
      </c>
      <c r="D57" s="33">
        <f>(0.2+0.21)*6*86.94</f>
        <v>213.8724</v>
      </c>
      <c r="E57" s="34"/>
      <c r="F57" s="41"/>
      <c r="G57" s="42"/>
      <c r="I57" s="45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65</v>
      </c>
      <c r="D58" s="33">
        <f>(1.14+1.21)*6*86.94</f>
        <v>1225.8539999999998</v>
      </c>
      <c r="E58" s="34"/>
      <c r="F58" s="41"/>
      <c r="G58" s="42"/>
      <c r="I58" s="45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33">
        <f>4.88*12*86.94+0.07</f>
        <v>5091.2764</v>
      </c>
      <c r="E59" s="34"/>
      <c r="F59" s="41"/>
      <c r="H59" s="45"/>
      <c r="I59" s="45"/>
      <c r="J59" s="37"/>
      <c r="K59" s="37"/>
      <c r="L59" s="37"/>
      <c r="M59" s="37"/>
      <c r="N59" s="37"/>
    </row>
    <row r="60" spans="1:14" ht="15">
      <c r="A60" s="31" t="s">
        <v>277</v>
      </c>
      <c r="B60" s="39"/>
      <c r="C60" s="40" t="s">
        <v>303</v>
      </c>
      <c r="D60" s="33">
        <f>(1.65+1.75)*6*86.94</f>
        <v>1773.5759999999998</v>
      </c>
      <c r="E60" s="34"/>
      <c r="F60" s="41"/>
      <c r="H60" s="45"/>
      <c r="I60" s="45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10338.974799999998</v>
      </c>
      <c r="E61" s="34">
        <f>D61+B21</f>
        <v>11919.544799999998</v>
      </c>
      <c r="F61" s="41"/>
      <c r="H61" s="50">
        <f>E61-B20</f>
        <v>0.004799999996976112</v>
      </c>
      <c r="I61" s="45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0</v>
      </c>
      <c r="E62" s="34"/>
      <c r="F62" s="41"/>
      <c r="H62" s="50"/>
      <c r="I62" s="45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122">
        <v>0</v>
      </c>
      <c r="E63" s="34"/>
      <c r="F63" s="41"/>
      <c r="H63" s="50"/>
      <c r="I63" s="45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D61+D62</f>
        <v>10338.974799999998</v>
      </c>
      <c r="E64" s="34"/>
      <c r="F64" s="45"/>
      <c r="H64" s="50"/>
      <c r="I64" s="45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H65" s="34">
        <f>347.32*12</f>
        <v>4167.84</v>
      </c>
    </row>
    <row r="66" spans="1:8" ht="13.5" customHeight="1">
      <c r="A66" s="145"/>
      <c r="B66" s="145"/>
      <c r="C66" s="146"/>
      <c r="D66" s="124"/>
      <c r="E66" s="61"/>
      <c r="H66" s="34"/>
    </row>
    <row r="67" spans="1:5" ht="25.5" customHeight="1">
      <c r="A67" s="293" t="s">
        <v>73</v>
      </c>
      <c r="B67" s="293"/>
      <c r="C67" s="293"/>
      <c r="D67" s="124">
        <f>D68+D69</f>
        <v>27292.65</v>
      </c>
      <c r="E67" s="61"/>
    </row>
    <row r="68" spans="1:5" ht="15.75">
      <c r="A68" s="78" t="s">
        <v>74</v>
      </c>
      <c r="B68" s="114"/>
      <c r="C68" s="115"/>
      <c r="D68" s="124">
        <f>B16+B21-D62</f>
        <v>21658.91</v>
      </c>
      <c r="E68" s="61"/>
    </row>
    <row r="69" spans="1:5" ht="15.75">
      <c r="A69" s="114" t="s">
        <v>75</v>
      </c>
      <c r="B69" s="114"/>
      <c r="C69" s="115"/>
      <c r="D69" s="205">
        <f>B17+B22-D65</f>
        <v>5633.74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301</v>
      </c>
      <c r="D83" s="67" t="s">
        <v>85</v>
      </c>
    </row>
    <row r="84" spans="1:4" ht="21" customHeight="1">
      <c r="A84" s="31" t="s">
        <v>28</v>
      </c>
      <c r="B84" s="296"/>
      <c r="C84" s="70">
        <v>2.7</v>
      </c>
      <c r="D84" s="71" t="s">
        <v>85</v>
      </c>
    </row>
    <row r="85" spans="1:4" ht="41.2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55">
      <selection activeCell="B44" sqref="B4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304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305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-4729.120000000001</v>
      </c>
      <c r="C15" s="13"/>
      <c r="D15" s="14"/>
    </row>
    <row r="16" spans="1:4" ht="15.75">
      <c r="A16" s="15" t="s">
        <v>16</v>
      </c>
      <c r="B16" s="12">
        <v>8790.63</v>
      </c>
      <c r="C16" s="13"/>
      <c r="D16" s="14"/>
    </row>
    <row r="17" spans="1:4" ht="15.75">
      <c r="A17" s="15" t="s">
        <v>17</v>
      </c>
      <c r="B17" s="174">
        <v>-13519.75</v>
      </c>
      <c r="C17" s="175" t="s">
        <v>19</v>
      </c>
      <c r="D17" s="14"/>
    </row>
    <row r="18" spans="1:5" ht="25.5">
      <c r="A18" s="11" t="s">
        <v>18</v>
      </c>
      <c r="B18" s="16">
        <f>B20+B22+B25</f>
        <v>15028.78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25"/>
      <c r="C19" s="105"/>
      <c r="D19" s="14"/>
    </row>
    <row r="20" spans="1:4" ht="15">
      <c r="A20" s="9" t="s">
        <v>77</v>
      </c>
      <c r="B20" s="16">
        <v>10366.02</v>
      </c>
      <c r="C20" s="105" t="s">
        <v>306</v>
      </c>
      <c r="D20" s="14"/>
    </row>
    <row r="21" spans="1:5" ht="15">
      <c r="A21" s="9" t="s">
        <v>147</v>
      </c>
      <c r="B21" s="16">
        <v>703.84</v>
      </c>
      <c r="C21" s="19" t="s">
        <v>307</v>
      </c>
      <c r="D21" s="20"/>
      <c r="E21" s="17">
        <f>(0.6+0.87)*6*79.8</f>
        <v>703.836</v>
      </c>
    </row>
    <row r="22" spans="1:5" ht="15.75">
      <c r="A22" s="9" t="s">
        <v>28</v>
      </c>
      <c r="B22" s="118">
        <v>1283.04</v>
      </c>
      <c r="C22" s="119">
        <v>2.7</v>
      </c>
      <c r="D22" s="20"/>
      <c r="E22" s="17"/>
    </row>
    <row r="23" spans="1:5" ht="15">
      <c r="A23" s="9" t="s">
        <v>149</v>
      </c>
      <c r="B23" s="106">
        <v>0</v>
      </c>
      <c r="C23" s="21" t="s">
        <v>6</v>
      </c>
      <c r="D23" s="20"/>
      <c r="E23" s="17"/>
    </row>
    <row r="24" spans="1:8" ht="15.75">
      <c r="A24" s="9" t="s">
        <v>167</v>
      </c>
      <c r="B24" s="176">
        <v>0</v>
      </c>
      <c r="C24" s="177"/>
      <c r="D24" s="20" t="s">
        <v>30</v>
      </c>
      <c r="H24" s="1" t="s">
        <v>6</v>
      </c>
    </row>
    <row r="25" spans="1:4" ht="15">
      <c r="A25" s="9" t="s">
        <v>29</v>
      </c>
      <c r="B25" s="16">
        <v>3379.72</v>
      </c>
      <c r="C25" s="152" t="s">
        <v>19</v>
      </c>
      <c r="D25" s="20"/>
    </row>
    <row r="26" spans="1:5" ht="15">
      <c r="A26" s="9" t="s">
        <v>20</v>
      </c>
      <c r="B26" s="25"/>
      <c r="C26" s="153"/>
      <c r="D26" s="27" t="s">
        <v>32</v>
      </c>
      <c r="E26" s="17"/>
    </row>
    <row r="27" spans="1:5" ht="15">
      <c r="A27" s="9" t="s">
        <v>31</v>
      </c>
      <c r="B27" s="16">
        <v>3379.72</v>
      </c>
      <c r="C27" s="152" t="s">
        <v>19</v>
      </c>
      <c r="D27" s="27" t="s">
        <v>32</v>
      </c>
      <c r="E27" s="17"/>
    </row>
    <row r="28" spans="1:5" ht="15">
      <c r="A28" s="9" t="s">
        <v>33</v>
      </c>
      <c r="B28" s="25">
        <v>0</v>
      </c>
      <c r="C28" s="152" t="s">
        <v>19</v>
      </c>
      <c r="D28" s="28"/>
      <c r="E28" s="17"/>
    </row>
    <row r="29" spans="1:5" ht="15">
      <c r="A29" s="9" t="s">
        <v>34</v>
      </c>
      <c r="B29" s="25">
        <v>0</v>
      </c>
      <c r="C29" s="152" t="s">
        <v>6</v>
      </c>
      <c r="D29" s="28"/>
      <c r="E29" s="17"/>
    </row>
    <row r="30" spans="1:5" ht="15">
      <c r="A30" s="9" t="s">
        <v>35</v>
      </c>
      <c r="B30" s="25"/>
      <c r="C30" s="152" t="s">
        <v>19</v>
      </c>
      <c r="D30" s="28"/>
      <c r="E30" s="17"/>
    </row>
    <row r="31" spans="1:5" ht="25.5">
      <c r="A31" s="11" t="s">
        <v>36</v>
      </c>
      <c r="B31" s="18">
        <v>15033.87</v>
      </c>
      <c r="C31" s="13" t="s">
        <v>19</v>
      </c>
      <c r="D31" s="14" t="s">
        <v>19</v>
      </c>
      <c r="E31" s="1">
        <f>B31/B18</f>
        <v>1.0003386835125672</v>
      </c>
    </row>
    <row r="32" spans="1:4" ht="15">
      <c r="A32" s="9" t="s">
        <v>77</v>
      </c>
      <c r="B32" s="18">
        <f>B20*E31</f>
        <v>10369.530800064942</v>
      </c>
      <c r="C32" s="13"/>
      <c r="D32" s="14"/>
    </row>
    <row r="33" spans="1:4" ht="15">
      <c r="A33" s="9" t="s">
        <v>28</v>
      </c>
      <c r="B33" s="18">
        <f>B22*E31</f>
        <v>1283.4745444939642</v>
      </c>
      <c r="C33" s="18" t="s">
        <v>6</v>
      </c>
      <c r="D33" s="14" t="s">
        <v>19</v>
      </c>
    </row>
    <row r="34" spans="1:4" ht="15">
      <c r="A34" s="9" t="s">
        <v>29</v>
      </c>
      <c r="B34" s="18">
        <f>B36</f>
        <v>3380.8646554410934</v>
      </c>
      <c r="C34" s="13" t="s">
        <v>19</v>
      </c>
      <c r="D34" s="14" t="s">
        <v>19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31</v>
      </c>
      <c r="B36" s="18">
        <f>B27*E31</f>
        <v>3380.8646554410934</v>
      </c>
      <c r="C36" s="13" t="s">
        <v>19</v>
      </c>
      <c r="D36" s="14"/>
    </row>
    <row r="37" spans="1:4" ht="15">
      <c r="A37" s="9" t="s">
        <v>33</v>
      </c>
      <c r="B37" s="18">
        <v>0</v>
      </c>
      <c r="C37" s="13" t="s">
        <v>19</v>
      </c>
      <c r="D37" s="14"/>
    </row>
    <row r="38" spans="1:4" ht="15">
      <c r="A38" s="9" t="s">
        <v>34</v>
      </c>
      <c r="B38" s="18">
        <v>0</v>
      </c>
      <c r="C38" s="13"/>
      <c r="D38" s="14"/>
    </row>
    <row r="39" spans="1:4" ht="15">
      <c r="A39" s="9" t="s">
        <v>35</v>
      </c>
      <c r="B39" s="18">
        <v>0</v>
      </c>
      <c r="C39" s="13"/>
      <c r="D39" s="14"/>
    </row>
    <row r="40" spans="1:4" ht="38.25">
      <c r="A40" s="11" t="s">
        <v>40</v>
      </c>
      <c r="B40" s="18">
        <f>B42</f>
        <v>3380.8646554410934</v>
      </c>
      <c r="C40" s="13" t="s">
        <v>19</v>
      </c>
      <c r="D40" s="14" t="s">
        <v>19</v>
      </c>
    </row>
    <row r="41" spans="1:4" ht="15">
      <c r="A41" s="9" t="s">
        <v>20</v>
      </c>
      <c r="B41" s="18"/>
      <c r="C41" s="13"/>
      <c r="D41" s="14"/>
    </row>
    <row r="42" spans="1:4" ht="15">
      <c r="A42" s="9" t="s">
        <v>31</v>
      </c>
      <c r="B42" s="18">
        <f>B36</f>
        <v>3380.8646554410934</v>
      </c>
      <c r="C42" s="13"/>
      <c r="D42" s="14"/>
    </row>
    <row r="43" spans="1:4" ht="15">
      <c r="A43" s="9" t="s">
        <v>33</v>
      </c>
      <c r="B43" s="18">
        <v>0</v>
      </c>
      <c r="C43" s="13"/>
      <c r="D43" s="14"/>
    </row>
    <row r="44" spans="1:4" ht="15">
      <c r="A44" s="9" t="s">
        <v>34</v>
      </c>
      <c r="B44" s="18">
        <v>0</v>
      </c>
      <c r="C44" s="13"/>
      <c r="D44" s="14"/>
    </row>
    <row r="45" spans="1:4" ht="15">
      <c r="A45" s="9" t="s">
        <v>35</v>
      </c>
      <c r="B45" s="18">
        <v>0</v>
      </c>
      <c r="C45" s="13" t="s">
        <v>19</v>
      </c>
      <c r="D45" s="14"/>
    </row>
    <row r="46" ht="12.75">
      <c r="A46" s="4"/>
    </row>
    <row r="47" spans="1:10" ht="13.5" customHeight="1">
      <c r="A47" s="291" t="s">
        <v>41</v>
      </c>
      <c r="B47" s="291"/>
      <c r="C47" s="291"/>
      <c r="D47" s="291"/>
      <c r="I47" s="30"/>
      <c r="J47" s="30"/>
    </row>
    <row r="48" spans="1:10" ht="9" customHeight="1">
      <c r="A48" s="291"/>
      <c r="B48" s="291"/>
      <c r="C48" s="291"/>
      <c r="D48" s="291"/>
      <c r="I48" s="4"/>
      <c r="J48" s="4"/>
    </row>
    <row r="49" spans="1:10" ht="12.75">
      <c r="A49" s="4"/>
      <c r="C49" s="6" t="s">
        <v>10</v>
      </c>
      <c r="I49" s="4"/>
      <c r="J49" s="4"/>
    </row>
    <row r="50" spans="1:14" ht="66.75" customHeight="1">
      <c r="A50" s="8" t="s">
        <v>42</v>
      </c>
      <c r="B50" s="8" t="s">
        <v>43</v>
      </c>
      <c r="C50" s="8" t="s">
        <v>44</v>
      </c>
      <c r="D50" s="8" t="s">
        <v>45</v>
      </c>
      <c r="I50" s="3"/>
      <c r="J50" s="3"/>
      <c r="K50" s="3"/>
      <c r="L50" s="3"/>
      <c r="M50" s="3"/>
      <c r="N50" s="3"/>
    </row>
    <row r="51" spans="1:14" ht="15">
      <c r="A51" s="31" t="s">
        <v>112</v>
      </c>
      <c r="B51" s="32" t="s">
        <v>47</v>
      </c>
      <c r="C51" s="21" t="s">
        <v>48</v>
      </c>
      <c r="D51" s="33">
        <f>(0.14+0.15)*6*79.8</f>
        <v>138.852</v>
      </c>
      <c r="E51" s="34"/>
      <c r="F51" s="35"/>
      <c r="G51" s="36"/>
      <c r="I51" s="37"/>
      <c r="J51" s="37"/>
      <c r="K51" s="37"/>
      <c r="L51" s="37"/>
      <c r="M51" s="37"/>
      <c r="N51" s="37"/>
    </row>
    <row r="52" spans="1:14" ht="15">
      <c r="A52" s="31" t="s">
        <v>49</v>
      </c>
      <c r="B52" s="32" t="s">
        <v>50</v>
      </c>
      <c r="C52" s="38">
        <v>0</v>
      </c>
      <c r="D52" s="33">
        <v>0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52</v>
      </c>
      <c r="B53" s="32" t="s">
        <v>50</v>
      </c>
      <c r="C53" s="38" t="s">
        <v>53</v>
      </c>
      <c r="D53" s="33">
        <f>(1.2+2)*6*79.8</f>
        <v>1532.16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54</v>
      </c>
      <c r="B54" s="32" t="s">
        <v>47</v>
      </c>
      <c r="C54" s="38" t="s">
        <v>55</v>
      </c>
      <c r="D54" s="33">
        <f>(0.2+0.21)*6*79.8</f>
        <v>196.308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56</v>
      </c>
      <c r="B55" s="39" t="s">
        <v>57</v>
      </c>
      <c r="C55" s="40">
        <v>0</v>
      </c>
      <c r="D55" s="33">
        <v>0</v>
      </c>
      <c r="E55" s="34"/>
      <c r="F55" s="41"/>
      <c r="G55" s="42"/>
      <c r="H55" s="43"/>
      <c r="I55" s="37"/>
      <c r="J55" s="37"/>
      <c r="K55" s="37"/>
      <c r="L55" s="37"/>
      <c r="M55" s="37"/>
      <c r="N55" s="37"/>
    </row>
    <row r="56" spans="1:14" ht="15">
      <c r="A56" s="31" t="s">
        <v>115</v>
      </c>
      <c r="B56" s="39" t="s">
        <v>47</v>
      </c>
      <c r="C56" s="40" t="s">
        <v>308</v>
      </c>
      <c r="D56" s="33">
        <f>(0.25+0.21)*6*79.8</f>
        <v>220.24799999999996</v>
      </c>
      <c r="E56" s="34"/>
      <c r="F56" s="41"/>
      <c r="G56" s="42"/>
      <c r="I56" s="37"/>
      <c r="J56" s="37"/>
      <c r="K56" s="37"/>
      <c r="L56" s="37"/>
      <c r="M56" s="37"/>
      <c r="N56" s="37"/>
    </row>
    <row r="57" spans="1:14" ht="15">
      <c r="A57" s="31" t="s">
        <v>63</v>
      </c>
      <c r="B57" s="39" t="s">
        <v>64</v>
      </c>
      <c r="C57" s="40" t="s">
        <v>65</v>
      </c>
      <c r="D57" s="33">
        <f>(1.14+1.21)*6*79.8</f>
        <v>1125.1799999999998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66</v>
      </c>
      <c r="B58" s="39" t="s">
        <v>67</v>
      </c>
      <c r="C58" s="40">
        <v>4.88</v>
      </c>
      <c r="D58" s="33">
        <f>4.88*12*79.8</f>
        <v>4673.088</v>
      </c>
      <c r="E58" s="34"/>
      <c r="F58" s="41"/>
      <c r="H58" s="45"/>
      <c r="I58" s="37"/>
      <c r="J58" s="37"/>
      <c r="K58" s="37"/>
      <c r="L58" s="37"/>
      <c r="M58" s="37"/>
      <c r="N58" s="37"/>
    </row>
    <row r="59" spans="1:14" ht="15">
      <c r="A59" s="31" t="s">
        <v>277</v>
      </c>
      <c r="B59" s="39"/>
      <c r="C59" s="40" t="s">
        <v>309</v>
      </c>
      <c r="D59" s="33">
        <f>(1.8+1.91)*6*79.8</f>
        <v>1776.3479999999997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SUM(D51:D59)</f>
        <v>9662.184</v>
      </c>
      <c r="E60" s="34">
        <f>D60+B21</f>
        <v>10366.024</v>
      </c>
      <c r="F60" s="41"/>
      <c r="H60" s="50">
        <f>E60-B20</f>
        <v>0.003999999998995918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122">
        <f>D62</f>
        <v>0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/>
      <c r="B62" s="52"/>
      <c r="C62" s="53"/>
      <c r="D62" s="122"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122">
        <f>D60+D61</f>
        <v>9662.184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24">
        <f>D65</f>
        <v>0</v>
      </c>
      <c r="E64" s="61"/>
      <c r="H64" s="34">
        <f>347.32*12</f>
        <v>4167.84</v>
      </c>
    </row>
    <row r="65" spans="1:8" ht="13.5" customHeight="1">
      <c r="A65" s="145"/>
      <c r="B65" s="145"/>
      <c r="C65" s="146"/>
      <c r="D65" s="124"/>
      <c r="E65" s="61"/>
      <c r="H65" s="34"/>
    </row>
    <row r="66" spans="1:5" ht="25.5" customHeight="1">
      <c r="A66" s="293" t="s">
        <v>73</v>
      </c>
      <c r="B66" s="293"/>
      <c r="C66" s="293"/>
      <c r="D66" s="124">
        <f>D67+D68</f>
        <v>-2742.24</v>
      </c>
      <c r="E66" s="61"/>
    </row>
    <row r="67" spans="1:5" ht="15.75">
      <c r="A67" s="78" t="s">
        <v>74</v>
      </c>
      <c r="B67" s="114"/>
      <c r="C67" s="115"/>
      <c r="D67" s="124">
        <f>B16+B21-D61</f>
        <v>9494.47</v>
      </c>
      <c r="E67" s="61"/>
    </row>
    <row r="68" spans="1:5" ht="15.75">
      <c r="A68" s="114" t="s">
        <v>75</v>
      </c>
      <c r="B68" s="114"/>
      <c r="C68" s="115"/>
      <c r="D68" s="124">
        <f>B17+B22-D64</f>
        <v>-12236.71</v>
      </c>
      <c r="E68" s="61"/>
    </row>
    <row r="69" spans="1:5" ht="13.5" customHeight="1">
      <c r="A69" s="294" t="s">
        <v>76</v>
      </c>
      <c r="B69" s="294"/>
      <c r="C69" s="294"/>
      <c r="D69" s="65">
        <v>0</v>
      </c>
      <c r="E69" s="61"/>
    </row>
    <row r="70" spans="1:4" ht="15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D69*E21</f>
        <v>0</v>
      </c>
    </row>
    <row r="72" spans="1:4" ht="13.5" customHeight="1">
      <c r="A72" s="290" t="s">
        <v>28</v>
      </c>
      <c r="B72" s="290"/>
      <c r="C72" s="290"/>
      <c r="D72" s="66">
        <f>D69-D71-D73</f>
        <v>0</v>
      </c>
    </row>
    <row r="73" spans="1:4" ht="13.5" customHeight="1">
      <c r="A73" s="290" t="s">
        <v>29</v>
      </c>
      <c r="B73" s="290"/>
      <c r="C73" s="290"/>
      <c r="D73" s="66">
        <f>SUM(D75:D77)</f>
        <v>0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D69*E26</f>
        <v>0</v>
      </c>
    </row>
    <row r="76" spans="1:4" ht="15">
      <c r="A76" s="290" t="s">
        <v>33</v>
      </c>
      <c r="B76" s="290"/>
      <c r="C76" s="290"/>
      <c r="D76" s="66">
        <f>D69*E27</f>
        <v>0</v>
      </c>
    </row>
    <row r="77" spans="1:4" ht="15" customHeight="1">
      <c r="A77" s="290" t="s">
        <v>34</v>
      </c>
      <c r="B77" s="290"/>
      <c r="C77" s="290"/>
      <c r="D77" s="66">
        <f>D69*E28</f>
        <v>0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20.25" customHeight="1">
      <c r="A82" s="31" t="s">
        <v>77</v>
      </c>
      <c r="B82" s="296" t="s">
        <v>84</v>
      </c>
      <c r="C82" s="70" t="s">
        <v>306</v>
      </c>
      <c r="D82" s="67" t="s">
        <v>85</v>
      </c>
    </row>
    <row r="83" spans="1:4" ht="23.25" customHeight="1">
      <c r="A83" s="31" t="s">
        <v>28</v>
      </c>
      <c r="B83" s="296"/>
      <c r="C83" s="70">
        <v>2.7</v>
      </c>
      <c r="D83" s="71" t="s">
        <v>85</v>
      </c>
    </row>
    <row r="84" spans="1:4" ht="42" customHeight="1">
      <c r="A84" s="31" t="s">
        <v>31</v>
      </c>
      <c r="B84" s="140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2">
    <mergeCell ref="A78:C78"/>
    <mergeCell ref="A79:C79"/>
    <mergeCell ref="A80:D80"/>
    <mergeCell ref="B82:B83"/>
    <mergeCell ref="A72:C72"/>
    <mergeCell ref="A73:C73"/>
    <mergeCell ref="A74:C74"/>
    <mergeCell ref="A75:C75"/>
    <mergeCell ref="A76:C76"/>
    <mergeCell ref="A77:C77"/>
    <mergeCell ref="A47:D48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42">
      <selection activeCell="D70" sqref="D7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310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311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15867.12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14377.68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1489.44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25483.02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25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12656.1</v>
      </c>
      <c r="C20" s="105" t="s">
        <v>312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3604.98</v>
      </c>
      <c r="C21" s="19" t="s">
        <v>313</v>
      </c>
      <c r="D21" s="20"/>
      <c r="E21" s="17">
        <f>(3.07+3.47)*6*91.87</f>
        <v>3604.9788000000003</v>
      </c>
      <c r="F21" s="1"/>
      <c r="G21" s="1"/>
      <c r="H21" s="1"/>
    </row>
    <row r="22" spans="1:8" ht="15.75">
      <c r="A22" s="9" t="s">
        <v>28</v>
      </c>
      <c r="B22" s="118">
        <v>1489.44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149</v>
      </c>
      <c r="B23" s="106">
        <v>0</v>
      </c>
      <c r="C23" s="21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76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</f>
        <v>11337.48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25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11337.48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25">
        <v>0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25">
        <v>0</v>
      </c>
      <c r="C29" s="152" t="s">
        <v>6</v>
      </c>
      <c r="D29" s="28"/>
      <c r="E29" s="17"/>
      <c r="F29" s="1"/>
      <c r="G29" s="1"/>
      <c r="H29" s="1"/>
    </row>
    <row r="30" spans="1:8" ht="15">
      <c r="A30" s="9" t="s">
        <v>35</v>
      </c>
      <c r="B30" s="25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f>B34+B35+B36</f>
        <v>0</v>
      </c>
      <c r="C31" s="13" t="s">
        <v>19</v>
      </c>
      <c r="D31" s="14" t="s">
        <v>19</v>
      </c>
      <c r="E31" s="1"/>
      <c r="F31" s="1"/>
      <c r="G31" s="1"/>
      <c r="H31" s="1"/>
    </row>
    <row r="32" spans="1:4" ht="15">
      <c r="A32" s="9" t="s">
        <v>314</v>
      </c>
      <c r="B32" s="18">
        <v>0</v>
      </c>
      <c r="C32" s="13"/>
      <c r="D32" s="14"/>
    </row>
    <row r="33" spans="1:4" ht="15">
      <c r="A33" s="9" t="s">
        <v>20</v>
      </c>
      <c r="B33" s="18"/>
      <c r="C33" s="13"/>
      <c r="D33" s="14"/>
    </row>
    <row r="34" spans="1:4" ht="15">
      <c r="A34" s="9" t="s">
        <v>77</v>
      </c>
      <c r="B34" s="18">
        <v>0</v>
      </c>
      <c r="C34" s="13"/>
      <c r="D34" s="14"/>
    </row>
    <row r="35" spans="1:4" ht="15">
      <c r="A35" s="9" t="s">
        <v>28</v>
      </c>
      <c r="B35" s="18">
        <v>0</v>
      </c>
      <c r="C35" s="18" t="s">
        <v>6</v>
      </c>
      <c r="D35" s="14" t="s">
        <v>19</v>
      </c>
    </row>
    <row r="36" spans="1:4" ht="15">
      <c r="A36" s="9" t="s">
        <v>29</v>
      </c>
      <c r="B36" s="18">
        <f>B38+B39+B40+B41</f>
        <v>0</v>
      </c>
      <c r="C36" s="13" t="s">
        <v>19</v>
      </c>
      <c r="D36" s="14" t="s">
        <v>19</v>
      </c>
    </row>
    <row r="37" spans="1:4" ht="15">
      <c r="A37" s="9" t="s">
        <v>20</v>
      </c>
      <c r="B37" s="18"/>
      <c r="C37" s="13"/>
      <c r="D37" s="14"/>
    </row>
    <row r="38" spans="1:4" ht="15">
      <c r="A38" s="9" t="s">
        <v>31</v>
      </c>
      <c r="B38" s="18">
        <v>0</v>
      </c>
      <c r="C38" s="13" t="s">
        <v>19</v>
      </c>
      <c r="D38" s="14"/>
    </row>
    <row r="39" spans="1:4" ht="15">
      <c r="A39" s="9" t="s">
        <v>33</v>
      </c>
      <c r="B39" s="18">
        <v>0</v>
      </c>
      <c r="C39" s="13" t="s">
        <v>19</v>
      </c>
      <c r="D39" s="14"/>
    </row>
    <row r="40" spans="1:4" ht="15">
      <c r="A40" s="9" t="s">
        <v>34</v>
      </c>
      <c r="B40" s="18">
        <v>0</v>
      </c>
      <c r="C40" s="13"/>
      <c r="D40" s="14"/>
    </row>
    <row r="41" spans="1:4" ht="15">
      <c r="A41" s="9" t="s">
        <v>35</v>
      </c>
      <c r="B41" s="18">
        <v>0</v>
      </c>
      <c r="C41" s="13"/>
      <c r="D41" s="14"/>
    </row>
    <row r="42" spans="1:4" ht="38.25">
      <c r="A42" s="11" t="s">
        <v>40</v>
      </c>
      <c r="B42" s="18">
        <f>B44+B45+B46+B47</f>
        <v>0</v>
      </c>
      <c r="C42" s="13" t="s">
        <v>19</v>
      </c>
      <c r="D42" s="14" t="s">
        <v>19</v>
      </c>
    </row>
    <row r="43" spans="1:4" ht="15">
      <c r="A43" s="9" t="s">
        <v>20</v>
      </c>
      <c r="B43" s="18"/>
      <c r="C43" s="13"/>
      <c r="D43" s="14"/>
    </row>
    <row r="44" spans="1:4" ht="15">
      <c r="A44" s="9" t="s">
        <v>31</v>
      </c>
      <c r="B44" s="18">
        <v>0</v>
      </c>
      <c r="C44" s="13"/>
      <c r="D44" s="14"/>
    </row>
    <row r="45" spans="1:4" ht="15">
      <c r="A45" s="9" t="s">
        <v>33</v>
      </c>
      <c r="B45" s="18">
        <v>0</v>
      </c>
      <c r="C45" s="13"/>
      <c r="D45" s="14"/>
    </row>
    <row r="46" spans="1:4" ht="15">
      <c r="A46" s="9" t="s">
        <v>34</v>
      </c>
      <c r="B46" s="18">
        <v>0</v>
      </c>
      <c r="C46" s="13"/>
      <c r="D46" s="14"/>
    </row>
    <row r="47" spans="1:4" ht="15">
      <c r="A47" s="9" t="s">
        <v>35</v>
      </c>
      <c r="B47" s="18">
        <v>0</v>
      </c>
      <c r="C47" s="13" t="s">
        <v>19</v>
      </c>
      <c r="D47" s="14"/>
    </row>
    <row r="48" ht="12.75">
      <c r="A48" s="4"/>
    </row>
    <row r="49" spans="1:10" ht="13.5" customHeight="1">
      <c r="A49" s="291" t="s">
        <v>41</v>
      </c>
      <c r="B49" s="291"/>
      <c r="C49" s="291"/>
      <c r="D49" s="291"/>
      <c r="I49" s="30"/>
      <c r="J49" s="30"/>
    </row>
    <row r="50" spans="1:10" ht="9" customHeight="1">
      <c r="A50" s="291"/>
      <c r="B50" s="291"/>
      <c r="C50" s="291"/>
      <c r="D50" s="291"/>
      <c r="I50" s="4"/>
      <c r="J50" s="4"/>
    </row>
    <row r="51" spans="1:10" ht="12.75">
      <c r="A51" s="4"/>
      <c r="C51" s="6" t="s">
        <v>10</v>
      </c>
      <c r="I51" s="4"/>
      <c r="J51" s="4"/>
    </row>
    <row r="52" spans="1:14" ht="66.75" customHeight="1">
      <c r="A52" s="8" t="s">
        <v>42</v>
      </c>
      <c r="B52" s="8" t="s">
        <v>43</v>
      </c>
      <c r="C52" s="8" t="s">
        <v>44</v>
      </c>
      <c r="D52" s="8" t="s">
        <v>45</v>
      </c>
      <c r="E52" s="29"/>
      <c r="I52" s="3"/>
      <c r="J52" s="3"/>
      <c r="K52" s="3"/>
      <c r="L52" s="3"/>
      <c r="M52" s="3"/>
      <c r="N52" s="3"/>
    </row>
    <row r="53" spans="1:14" ht="15">
      <c r="A53" s="31" t="s">
        <v>112</v>
      </c>
      <c r="B53" s="32" t="s">
        <v>47</v>
      </c>
      <c r="C53" s="19" t="s">
        <v>48</v>
      </c>
      <c r="D53" s="155">
        <f>(0.14+0.15)*6*91.87</f>
        <v>159.85380000000004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49</v>
      </c>
      <c r="B54" s="32" t="s">
        <v>50</v>
      </c>
      <c r="C54" s="156">
        <v>0</v>
      </c>
      <c r="D54" s="155">
        <v>0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52</v>
      </c>
      <c r="B55" s="32" t="s">
        <v>50</v>
      </c>
      <c r="C55" s="156" t="s">
        <v>53</v>
      </c>
      <c r="D55" s="155">
        <f>(1.2+2)*6*91.87</f>
        <v>1763.9040000000005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54</v>
      </c>
      <c r="B56" s="32" t="s">
        <v>47</v>
      </c>
      <c r="C56" s="156" t="s">
        <v>55</v>
      </c>
      <c r="D56" s="155">
        <f>(0.2+0.21)*6*91.87</f>
        <v>226.0002</v>
      </c>
      <c r="E56" s="34"/>
      <c r="F56" s="35"/>
      <c r="G56" s="36"/>
      <c r="H56" s="1"/>
      <c r="I56" s="37"/>
      <c r="J56" s="37"/>
      <c r="K56" s="37"/>
      <c r="L56" s="37"/>
      <c r="M56" s="37"/>
      <c r="N56" s="37"/>
    </row>
    <row r="57" spans="1:14" ht="15">
      <c r="A57" s="31" t="s">
        <v>56</v>
      </c>
      <c r="B57" s="39" t="s">
        <v>57</v>
      </c>
      <c r="C57" s="40">
        <v>0</v>
      </c>
      <c r="D57" s="155">
        <v>0</v>
      </c>
      <c r="E57" s="34"/>
      <c r="F57" s="41"/>
      <c r="G57" s="42"/>
      <c r="H57" s="43"/>
      <c r="I57" s="37"/>
      <c r="J57" s="37"/>
      <c r="K57" s="37"/>
      <c r="L57" s="37"/>
      <c r="M57" s="37"/>
      <c r="N57" s="37"/>
    </row>
    <row r="58" spans="1:14" ht="15">
      <c r="A58" s="31" t="s">
        <v>115</v>
      </c>
      <c r="B58" s="39" t="s">
        <v>47</v>
      </c>
      <c r="C58" s="40" t="s">
        <v>55</v>
      </c>
      <c r="D58" s="155">
        <f>(0.2+0.21)*6*91.87</f>
        <v>226.0002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63</v>
      </c>
      <c r="B59" s="39" t="s">
        <v>64</v>
      </c>
      <c r="C59" s="40" t="s">
        <v>65</v>
      </c>
      <c r="D59" s="155">
        <f>(1.14+1.21)*6*91.87</f>
        <v>1295.367</v>
      </c>
      <c r="E59" s="34"/>
      <c r="F59" s="41"/>
      <c r="G59" s="42"/>
      <c r="H59" s="1"/>
      <c r="I59" s="37"/>
      <c r="J59" s="37"/>
      <c r="K59" s="37"/>
      <c r="L59" s="37"/>
      <c r="M59" s="37"/>
      <c r="N59" s="37"/>
    </row>
    <row r="60" spans="1:14" ht="15">
      <c r="A60" s="31" t="s">
        <v>66</v>
      </c>
      <c r="B60" s="39" t="s">
        <v>67</v>
      </c>
      <c r="C60" s="40">
        <v>4.88</v>
      </c>
      <c r="D60" s="155">
        <f>4.88*12*91.87+0.09</f>
        <v>5379.997200000001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157"/>
      <c r="C61" s="158"/>
      <c r="D61" s="159">
        <f>SUM(D53:D60)</f>
        <v>9051.1224</v>
      </c>
      <c r="E61" s="34">
        <f>D61+B21</f>
        <v>12656.1024</v>
      </c>
      <c r="F61" s="41"/>
      <c r="G61" s="1"/>
      <c r="H61" s="50">
        <f>E61-B20</f>
        <v>0.0023999999993975507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122">
        <v>0</v>
      </c>
      <c r="E63" s="34"/>
      <c r="F63" s="41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D61+D62</f>
        <v>9051.1224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F65" s="1"/>
      <c r="G65" s="1"/>
      <c r="H65" s="34"/>
    </row>
    <row r="66" spans="1:8" ht="13.5" customHeight="1">
      <c r="A66" s="145"/>
      <c r="B66" s="145"/>
      <c r="C66" s="146"/>
      <c r="D66" s="124"/>
      <c r="E66" s="61"/>
      <c r="F66" s="1"/>
      <c r="G66" s="1"/>
      <c r="H66" s="34"/>
    </row>
    <row r="67" spans="1:5" ht="25.5" customHeight="1">
      <c r="A67" s="293" t="s">
        <v>73</v>
      </c>
      <c r="B67" s="293"/>
      <c r="C67" s="293"/>
      <c r="D67" s="124">
        <f>D68+D69</f>
        <v>20961.54</v>
      </c>
      <c r="E67" s="173"/>
    </row>
    <row r="68" spans="1:5" ht="15.75">
      <c r="A68" s="78" t="s">
        <v>74</v>
      </c>
      <c r="B68" s="114"/>
      <c r="C68" s="115"/>
      <c r="D68" s="124">
        <f>B16+B21-D62</f>
        <v>17982.66</v>
      </c>
      <c r="E68" s="173"/>
    </row>
    <row r="69" spans="1:5" ht="15.75">
      <c r="A69" s="114" t="s">
        <v>75</v>
      </c>
      <c r="B69" s="114"/>
      <c r="C69" s="115"/>
      <c r="D69" s="124">
        <f>B17+B22-D65</f>
        <v>2978.88</v>
      </c>
      <c r="E69" s="173"/>
    </row>
    <row r="70" spans="1:5" ht="13.5" customHeight="1">
      <c r="A70" s="294" t="s">
        <v>76</v>
      </c>
      <c r="B70" s="294"/>
      <c r="C70" s="294"/>
      <c r="D70" s="125">
        <v>124553.85</v>
      </c>
      <c r="E70" s="173"/>
    </row>
    <row r="71" spans="1:4" ht="15" customHeight="1">
      <c r="A71" s="290" t="s">
        <v>20</v>
      </c>
      <c r="B71" s="290"/>
      <c r="C71" s="290"/>
      <c r="D71" s="126"/>
    </row>
    <row r="72" spans="1:4" ht="13.5" customHeight="1">
      <c r="A72" s="290" t="s">
        <v>77</v>
      </c>
      <c r="B72" s="290"/>
      <c r="C72" s="290"/>
      <c r="D72" s="126">
        <f>D70*B20/B18</f>
        <v>61859.46489015039</v>
      </c>
    </row>
    <row r="73" spans="1:4" ht="13.5" customHeight="1">
      <c r="A73" s="290" t="s">
        <v>28</v>
      </c>
      <c r="B73" s="290"/>
      <c r="C73" s="290"/>
      <c r="D73" s="126">
        <f>D70*B22/B18</f>
        <v>7279.964711560875</v>
      </c>
    </row>
    <row r="74" spans="1:4" ht="13.5" customHeight="1">
      <c r="A74" s="290" t="s">
        <v>29</v>
      </c>
      <c r="B74" s="290"/>
      <c r="C74" s="290"/>
      <c r="D74" s="126">
        <f>SUM(D76:D78)</f>
        <v>55414.42039828875</v>
      </c>
    </row>
    <row r="75" spans="1:4" ht="15">
      <c r="A75" s="290" t="s">
        <v>20</v>
      </c>
      <c r="B75" s="290"/>
      <c r="C75" s="290"/>
      <c r="D75" s="126"/>
    </row>
    <row r="76" spans="1:4" ht="13.5" customHeight="1">
      <c r="A76" s="290" t="s">
        <v>31</v>
      </c>
      <c r="B76" s="290"/>
      <c r="C76" s="290"/>
      <c r="D76" s="126">
        <f>D70*B27/B18</f>
        <v>55414.42039828875</v>
      </c>
    </row>
    <row r="77" spans="1:4" ht="15">
      <c r="A77" s="290" t="s">
        <v>33</v>
      </c>
      <c r="B77" s="290"/>
      <c r="C77" s="290"/>
      <c r="D77" s="126">
        <f>D70*E27</f>
        <v>0</v>
      </c>
    </row>
    <row r="78" spans="1:4" ht="15" customHeight="1">
      <c r="A78" s="290" t="s">
        <v>34</v>
      </c>
      <c r="B78" s="290"/>
      <c r="C78" s="290"/>
      <c r="D78" s="126">
        <f>D70*E28</f>
        <v>0</v>
      </c>
    </row>
    <row r="79" spans="1:4" ht="15">
      <c r="A79" s="290" t="s">
        <v>78</v>
      </c>
      <c r="B79" s="290"/>
      <c r="C79" s="290"/>
      <c r="D79" s="126"/>
    </row>
    <row r="80" spans="1:4" ht="15" customHeight="1">
      <c r="A80" s="290" t="s">
        <v>35</v>
      </c>
      <c r="B80" s="290"/>
      <c r="C80" s="290"/>
      <c r="D80" s="12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84</v>
      </c>
      <c r="C83" s="70" t="s">
        <v>312</v>
      </c>
      <c r="D83" s="67" t="s">
        <v>85</v>
      </c>
    </row>
    <row r="84" spans="1:4" ht="24" customHeight="1">
      <c r="A84" s="31" t="s">
        <v>28</v>
      </c>
      <c r="B84" s="296"/>
      <c r="C84" s="70">
        <v>2.7</v>
      </c>
      <c r="D84" s="71" t="s">
        <v>85</v>
      </c>
    </row>
    <row r="85" spans="1:4" ht="37.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9:D50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6">
      <selection activeCell="H72" sqref="H72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315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316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5224.42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5224.42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0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14412.57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8366.82</v>
      </c>
      <c r="C20" s="105" t="s">
        <v>317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441.5</v>
      </c>
      <c r="C21" s="19" t="s">
        <v>318</v>
      </c>
      <c r="D21" s="20"/>
      <c r="E21" s="17">
        <f>(0.44+0.58)*6*72.14</f>
        <v>441.4968</v>
      </c>
      <c r="F21" s="1"/>
      <c r="G21" s="1"/>
      <c r="H21" s="1"/>
    </row>
    <row r="22" spans="1:8" ht="15.75">
      <c r="A22" s="9" t="s">
        <v>28</v>
      </c>
      <c r="B22" s="118">
        <v>0</v>
      </c>
      <c r="C22" s="119">
        <v>0</v>
      </c>
      <c r="D22" s="20"/>
      <c r="E22" s="17"/>
      <c r="F22" s="1"/>
      <c r="G22" s="1"/>
      <c r="H22" s="1"/>
    </row>
    <row r="23" spans="1:8" ht="15">
      <c r="A23" s="9" t="s">
        <v>149</v>
      </c>
      <c r="B23" s="106">
        <v>0</v>
      </c>
      <c r="C23" s="21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76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B27+B28</f>
        <v>6045.75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25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2809.44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3236.31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25">
        <v>0</v>
      </c>
      <c r="C29" s="152" t="s">
        <v>6</v>
      </c>
      <c r="D29" s="28"/>
      <c r="E29" s="17"/>
      <c r="F29" s="1"/>
      <c r="G29" s="1"/>
      <c r="H29" s="1"/>
    </row>
    <row r="30" spans="1:8" ht="15">
      <c r="A30" s="9" t="s">
        <v>35</v>
      </c>
      <c r="B30" s="25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14412.57</v>
      </c>
      <c r="C31" s="13" t="s">
        <v>19</v>
      </c>
      <c r="D31" s="14" t="s">
        <v>19</v>
      </c>
      <c r="E31" s="1">
        <f>B31/B18</f>
        <v>1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8366.82</v>
      </c>
      <c r="C33" s="13"/>
      <c r="D33" s="14"/>
    </row>
    <row r="34" spans="1:4" ht="15">
      <c r="A34" s="9" t="s">
        <v>28</v>
      </c>
      <c r="B34" s="18">
        <v>0</v>
      </c>
      <c r="C34" s="18" t="s">
        <v>6</v>
      </c>
      <c r="D34" s="14" t="s">
        <v>19</v>
      </c>
    </row>
    <row r="35" spans="1:4" ht="15">
      <c r="A35" s="9" t="s">
        <v>29</v>
      </c>
      <c r="B35" s="18">
        <f>B37+B38+B39+B40</f>
        <v>6045.75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2809.44</v>
      </c>
      <c r="C37" s="13" t="s">
        <v>19</v>
      </c>
      <c r="D37" s="14"/>
    </row>
    <row r="38" spans="1:4" ht="15">
      <c r="A38" s="9" t="s">
        <v>33</v>
      </c>
      <c r="B38" s="18">
        <f>B28*E31</f>
        <v>3236.31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B43+B44+B45+B46</f>
        <v>6045.75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2809.44</v>
      </c>
      <c r="C43" s="13"/>
      <c r="D43" s="14"/>
    </row>
    <row r="44" spans="1:4" ht="15">
      <c r="A44" s="9" t="s">
        <v>33</v>
      </c>
      <c r="B44" s="18">
        <f>B38</f>
        <v>3236.31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48</v>
      </c>
      <c r="D52" s="33">
        <f>(0.14+0.15)*6*72.14</f>
        <v>125.52360000000002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>
        <v>0</v>
      </c>
      <c r="D53" s="33">
        <v>0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33">
        <f>(1.2+2)*6*72.14</f>
        <v>1385.0880000000002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55</v>
      </c>
      <c r="D55" s="33">
        <f>(0.2+0.21)*6*72.14</f>
        <v>177.4644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0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0" t="s">
        <v>55</v>
      </c>
      <c r="D57" s="33">
        <f>(0.2+0.21)*6*72.14</f>
        <v>177.4644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319</v>
      </c>
      <c r="D58" s="33">
        <f>(0.91+0.96)*6*72.14</f>
        <v>809.4108000000001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33">
        <f>4.88*12*72.14+0.02</f>
        <v>4224.5384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277</v>
      </c>
      <c r="B60" s="39"/>
      <c r="C60" s="40" t="s">
        <v>320</v>
      </c>
      <c r="D60" s="121">
        <f>(1.15+1.22)*6*72.14</f>
        <v>1025.8308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7925.3204000000005</v>
      </c>
      <c r="E61" s="34">
        <f>D61+B21</f>
        <v>8366.8204</v>
      </c>
      <c r="F61" s="41"/>
      <c r="G61" s="1"/>
      <c r="H61" s="50">
        <f>E61-B20</f>
        <v>0.0004000000008090865</v>
      </c>
      <c r="I61" s="45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122">
        <v>0</v>
      </c>
      <c r="E63" s="34"/>
      <c r="F63" s="41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D61+D62</f>
        <v>7925.3204000000005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F65" s="1"/>
      <c r="G65" s="1"/>
      <c r="H65" s="34">
        <f>347.32*12</f>
        <v>4167.84</v>
      </c>
    </row>
    <row r="66" spans="1:8" ht="13.5" customHeight="1">
      <c r="A66" s="145"/>
      <c r="B66" s="145"/>
      <c r="C66" s="146"/>
      <c r="D66" s="124"/>
      <c r="E66" s="61"/>
      <c r="F66" s="1"/>
      <c r="G66" s="1"/>
      <c r="H66" s="34"/>
    </row>
    <row r="67" spans="1:5" ht="25.5" customHeight="1">
      <c r="A67" s="293" t="s">
        <v>73</v>
      </c>
      <c r="B67" s="293"/>
      <c r="C67" s="293"/>
      <c r="D67" s="124">
        <f>D68+D69</f>
        <v>5665.92</v>
      </c>
      <c r="E67" s="173"/>
    </row>
    <row r="68" spans="1:5" ht="15.75">
      <c r="A68" s="78" t="s">
        <v>74</v>
      </c>
      <c r="B68" s="114"/>
      <c r="C68" s="115"/>
      <c r="D68" s="124">
        <f>B16+B21-D62</f>
        <v>5665.92</v>
      </c>
      <c r="E68" s="173"/>
    </row>
    <row r="69" spans="1:5" ht="15.75">
      <c r="A69" s="114" t="s">
        <v>75</v>
      </c>
      <c r="B69" s="114"/>
      <c r="C69" s="115"/>
      <c r="D69" s="124">
        <f>B17+B23-D65</f>
        <v>0</v>
      </c>
      <c r="E69" s="173"/>
    </row>
    <row r="70" spans="1:5" ht="13.5" customHeight="1">
      <c r="A70" s="294" t="s">
        <v>76</v>
      </c>
      <c r="B70" s="294"/>
      <c r="C70" s="294"/>
      <c r="D70" s="192">
        <v>0</v>
      </c>
      <c r="E70" s="173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4.25" customHeight="1">
      <c r="A83" s="72" t="s">
        <v>77</v>
      </c>
      <c r="B83" s="69" t="s">
        <v>84</v>
      </c>
      <c r="C83" s="147" t="s">
        <v>317</v>
      </c>
      <c r="D83" s="67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71" t="s">
        <v>88</v>
      </c>
    </row>
    <row r="85" spans="1:4" ht="21" customHeight="1">
      <c r="A85" s="31" t="s">
        <v>33</v>
      </c>
      <c r="B85" s="297"/>
      <c r="C85" s="70" t="s">
        <v>89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4:B85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37">
      <selection activeCell="E69" sqref="E69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321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322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-6640.38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1118.93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-7759.31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27204.8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10927.8</v>
      </c>
      <c r="C20" s="105" t="s">
        <v>323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571.61</v>
      </c>
      <c r="C21" s="19" t="s">
        <v>318</v>
      </c>
      <c r="D21" s="20"/>
      <c r="E21" s="17">
        <f>(0.44+0.58)*6*93.4</f>
        <v>571.6080000000001</v>
      </c>
      <c r="F21" s="1"/>
      <c r="G21" s="1"/>
      <c r="H21" s="1"/>
    </row>
    <row r="22" spans="1:8" ht="15.75">
      <c r="A22" s="9" t="s">
        <v>28</v>
      </c>
      <c r="B22" s="118">
        <v>2650.32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149</v>
      </c>
      <c r="B23" s="106">
        <v>0</v>
      </c>
      <c r="C23" s="21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76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B27+B28</f>
        <v>13626.68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25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6703.81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6922.87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25">
        <v>0</v>
      </c>
      <c r="C29" s="152" t="s">
        <v>6</v>
      </c>
      <c r="D29" s="28"/>
      <c r="E29" s="17"/>
      <c r="F29" s="1"/>
      <c r="G29" s="1"/>
      <c r="H29" s="1"/>
    </row>
    <row r="30" spans="1:8" ht="15">
      <c r="A30" s="9" t="s">
        <v>35</v>
      </c>
      <c r="B30" s="25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26295.56</v>
      </c>
      <c r="C31" s="13" t="s">
        <v>19</v>
      </c>
      <c r="D31" s="14" t="s">
        <v>19</v>
      </c>
      <c r="E31" s="1">
        <f>B31/B18</f>
        <v>0.9665779568311476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10562.570596659414</v>
      </c>
      <c r="C33" s="13"/>
      <c r="D33" s="14"/>
    </row>
    <row r="34" spans="1:4" ht="15">
      <c r="A34" s="9" t="s">
        <v>28</v>
      </c>
      <c r="B34" s="18">
        <f>B22*E31</f>
        <v>2561.7408905487273</v>
      </c>
      <c r="C34" s="18" t="s">
        <v>6</v>
      </c>
      <c r="D34" s="14" t="s">
        <v>19</v>
      </c>
    </row>
    <row r="35" spans="1:4" ht="15">
      <c r="A35" s="9" t="s">
        <v>29</v>
      </c>
      <c r="B35" s="18">
        <f>B37+B38</f>
        <v>13171.248512791863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6479.754972784216</v>
      </c>
      <c r="C37" s="13" t="s">
        <v>19</v>
      </c>
      <c r="D37" s="14"/>
    </row>
    <row r="38" spans="1:4" ht="15">
      <c r="A38" s="9" t="s">
        <v>33</v>
      </c>
      <c r="B38" s="18">
        <f>B28*E31</f>
        <v>6691.4935400076465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B43+B44+B45+B46</f>
        <v>13171.248512791863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6479.754972784216</v>
      </c>
      <c r="C43" s="13"/>
      <c r="D43" s="14"/>
    </row>
    <row r="44" spans="1:4" ht="15">
      <c r="A44" s="9" t="s">
        <v>33</v>
      </c>
      <c r="B44" s="18">
        <f>B38</f>
        <v>6691.4935400076465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(0.14+0.15)*6*93.4</f>
        <v>162.51600000000002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33">
        <v>0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(1.2+2)*6*93.4</f>
        <v>1793.2800000000004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(0.2+0.21)*6*93.4</f>
        <v>229.764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33">
        <f>(0.2+0.21)*6*93.4</f>
        <v>229.764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243</v>
      </c>
      <c r="D58" s="33">
        <f>(0.6+0.64)*6*93.4</f>
        <v>694.896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33">
        <f>4.88*12*93.4</f>
        <v>5469.504000000001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277</v>
      </c>
      <c r="B60" s="39"/>
      <c r="C60" s="44" t="s">
        <v>324</v>
      </c>
      <c r="D60" s="33">
        <f>(1.54+1.63)*6*93.4</f>
        <v>1776.468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206"/>
      <c r="D61" s="49">
        <f>SUM(D52:D60)</f>
        <v>10356.192000000003</v>
      </c>
      <c r="E61" s="34">
        <f>D61+B21</f>
        <v>10927.802000000003</v>
      </c>
      <c r="F61" s="41"/>
      <c r="G61" s="1"/>
      <c r="H61" s="50">
        <f>E61-B20</f>
        <v>0.0020000000040454324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122">
        <v>0</v>
      </c>
      <c r="E63" s="34"/>
      <c r="F63" s="41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D61+D62</f>
        <v>10356.192000000003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F65" s="1"/>
      <c r="G65" s="1"/>
      <c r="H65" s="34">
        <f>347.32*12</f>
        <v>4167.84</v>
      </c>
    </row>
    <row r="66" spans="1:8" ht="13.5" customHeight="1">
      <c r="A66" s="145"/>
      <c r="B66" s="145"/>
      <c r="C66" s="146"/>
      <c r="D66" s="124"/>
      <c r="E66" s="61"/>
      <c r="F66" s="1"/>
      <c r="G66" s="1"/>
      <c r="H66" s="34"/>
    </row>
    <row r="67" spans="1:5" ht="25.5" customHeight="1">
      <c r="A67" s="291" t="s">
        <v>73</v>
      </c>
      <c r="B67" s="291"/>
      <c r="C67" s="291"/>
      <c r="D67" s="124">
        <f>D68+D69</f>
        <v>-3418.45</v>
      </c>
      <c r="E67" s="173"/>
    </row>
    <row r="68" spans="1:5" ht="15.75">
      <c r="A68" s="78" t="s">
        <v>74</v>
      </c>
      <c r="B68" s="114"/>
      <c r="C68" s="115"/>
      <c r="D68" s="124">
        <f>B16+B21-D62</f>
        <v>1690.54</v>
      </c>
      <c r="E68" s="173"/>
    </row>
    <row r="69" spans="1:5" ht="15.75">
      <c r="A69" s="114" t="s">
        <v>75</v>
      </c>
      <c r="B69" s="114"/>
      <c r="C69" s="115"/>
      <c r="D69" s="124">
        <f>B17+B22-D65</f>
        <v>-5108.99</v>
      </c>
      <c r="E69" s="173"/>
    </row>
    <row r="70" spans="1:5" ht="13.5" customHeight="1">
      <c r="A70" s="294" t="s">
        <v>76</v>
      </c>
      <c r="B70" s="294"/>
      <c r="C70" s="294"/>
      <c r="D70" s="65">
        <v>0</v>
      </c>
      <c r="E70" s="173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323</v>
      </c>
      <c r="D83" s="67" t="s">
        <v>85</v>
      </c>
    </row>
    <row r="84" spans="1:4" ht="24" customHeight="1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1">
      <selection activeCell="E68" sqref="E68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325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326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8295.3</v>
      </c>
      <c r="C15" s="13"/>
      <c r="D15" s="14"/>
    </row>
    <row r="16" spans="1:4" ht="15.75">
      <c r="A16" s="15" t="s">
        <v>16</v>
      </c>
      <c r="B16" s="12">
        <v>5000.22</v>
      </c>
      <c r="C16" s="13"/>
      <c r="D16" s="14"/>
    </row>
    <row r="17" spans="1:4" ht="15.75">
      <c r="A17" s="15" t="s">
        <v>17</v>
      </c>
      <c r="B17" s="174">
        <v>3295.08</v>
      </c>
      <c r="C17" s="175" t="s">
        <v>19</v>
      </c>
      <c r="D17" s="14"/>
    </row>
    <row r="18" spans="1:5" ht="25.5">
      <c r="A18" s="11" t="s">
        <v>18</v>
      </c>
      <c r="B18" s="16">
        <f>B20+B22+B25</f>
        <v>21874.45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13430.46</v>
      </c>
      <c r="C20" s="105" t="s">
        <v>327</v>
      </c>
      <c r="D20" s="14"/>
    </row>
    <row r="21" spans="1:5" ht="15">
      <c r="A21" s="9" t="s">
        <v>147</v>
      </c>
      <c r="B21" s="16">
        <v>1641.438</v>
      </c>
      <c r="C21" s="19" t="s">
        <v>328</v>
      </c>
      <c r="D21" s="20"/>
      <c r="E21" s="17">
        <f>(1.21+1.48)*6*101.7</f>
        <v>1641.438</v>
      </c>
    </row>
    <row r="22" spans="1:5" ht="15.75">
      <c r="A22" s="9" t="s">
        <v>28</v>
      </c>
      <c r="B22" s="118">
        <v>3295.08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</f>
        <v>5148.91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3259.67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1889.24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21573.83</v>
      </c>
      <c r="C31" s="13" t="s">
        <v>19</v>
      </c>
      <c r="D31" s="14" t="s">
        <v>19</v>
      </c>
      <c r="E31" s="1">
        <f>B31/B18</f>
        <v>0.9862570258909368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13245.885535947189</v>
      </c>
      <c r="C33" s="13"/>
      <c r="D33" s="14"/>
    </row>
    <row r="34" spans="1:4" ht="15">
      <c r="A34" s="9" t="s">
        <v>28</v>
      </c>
      <c r="B34" s="18">
        <f>B22*E31</f>
        <v>3249.795800872708</v>
      </c>
      <c r="C34" s="18" t="s">
        <v>6</v>
      </c>
      <c r="D34" s="14" t="s">
        <v>19</v>
      </c>
    </row>
    <row r="35" spans="1:4" ht="15">
      <c r="A35" s="9" t="s">
        <v>29</v>
      </c>
      <c r="B35" s="18">
        <f>B37+B38</f>
        <v>5078.1486631801035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3214.87243958591</v>
      </c>
      <c r="C37" s="13" t="s">
        <v>19</v>
      </c>
      <c r="D37" s="14"/>
    </row>
    <row r="38" spans="1:4" ht="15">
      <c r="A38" s="9" t="s">
        <v>33</v>
      </c>
      <c r="B38" s="18">
        <f>B28*E31</f>
        <v>1863.2762235941934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</f>
        <v>5078.1486631801035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3214.87243958591</v>
      </c>
      <c r="C43" s="13"/>
      <c r="D43" s="14"/>
    </row>
    <row r="44" spans="1:4" ht="15">
      <c r="A44" s="9" t="s">
        <v>33</v>
      </c>
      <c r="B44" s="18">
        <f>B38</f>
        <v>1863.2762235941934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(0.14+0.15)*6*101.7</f>
        <v>176.95800000000003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(1.2+2)*6*101.7</f>
        <v>1952.6400000000003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(0.2+0.21)*6*101.7</f>
        <v>250.18200000000002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(0.2+0.21)*6*101.7</f>
        <v>250.18200000000002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(1.14+1.21)*6*101.7</f>
        <v>1433.9699999999998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4.88*12*101.7-0.04</f>
        <v>5955.512000000001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277</v>
      </c>
      <c r="B60" s="47"/>
      <c r="C60" s="206" t="s">
        <v>329</v>
      </c>
      <c r="D60" s="207">
        <f>(1.41+1.49)*6*101.7</f>
        <v>1769.58</v>
      </c>
      <c r="E60" s="34"/>
      <c r="F60" s="41"/>
      <c r="H60" s="50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208"/>
      <c r="C61" s="209"/>
      <c r="D61" s="210">
        <f>SUM(D52:D60)</f>
        <v>11789.024000000001</v>
      </c>
      <c r="E61" s="34">
        <f>D61+B21</f>
        <v>13430.462000000001</v>
      </c>
      <c r="F61" s="41"/>
      <c r="H61" s="50">
        <f>E61-B20</f>
        <v>0.002000000002226443</v>
      </c>
      <c r="I61" s="45" t="s">
        <v>330</v>
      </c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122">
        <v>0</v>
      </c>
      <c r="E63" s="34"/>
      <c r="F63" s="4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D60+D62</f>
        <v>1769.58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H65" s="34"/>
    </row>
    <row r="66" spans="1:8" ht="13.5" customHeight="1">
      <c r="A66" s="145"/>
      <c r="B66" s="145"/>
      <c r="C66" s="146"/>
      <c r="D66" s="124"/>
      <c r="E66" s="61"/>
      <c r="H66" s="34"/>
    </row>
    <row r="67" spans="1:5" ht="25.5" customHeight="1">
      <c r="A67" s="291" t="s">
        <v>73</v>
      </c>
      <c r="B67" s="291"/>
      <c r="C67" s="291"/>
      <c r="D67" s="124">
        <f>D68+D69</f>
        <v>13231.818</v>
      </c>
      <c r="E67" s="61"/>
    </row>
    <row r="68" spans="1:8" ht="15.75">
      <c r="A68" s="78" t="s">
        <v>74</v>
      </c>
      <c r="B68" s="114"/>
      <c r="C68" s="115"/>
      <c r="D68" s="124">
        <f>B16+B21-D62</f>
        <v>6641.658</v>
      </c>
      <c r="E68" s="61"/>
      <c r="H68" s="1" t="s">
        <v>6</v>
      </c>
    </row>
    <row r="69" spans="1:5" ht="15.75">
      <c r="A69" s="114" t="s">
        <v>75</v>
      </c>
      <c r="B69" s="114"/>
      <c r="C69" s="115"/>
      <c r="D69" s="124">
        <f>B17+B22-D65</f>
        <v>6590.16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4" customHeight="1">
      <c r="A83" s="31" t="s">
        <v>77</v>
      </c>
      <c r="B83" s="296" t="s">
        <v>84</v>
      </c>
      <c r="C83" s="70" t="s">
        <v>327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64" zoomScaleNormal="64" zoomScalePageLayoutView="0" workbookViewId="0" topLeftCell="A53">
      <selection activeCell="D72" sqref="D72"/>
    </sheetView>
  </sheetViews>
  <sheetFormatPr defaultColWidth="11.57421875" defaultRowHeight="12.75"/>
  <cols>
    <col min="1" max="1" width="53.851562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331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332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26.25">
      <c r="A15" s="11" t="s">
        <v>15</v>
      </c>
      <c r="B15" s="12">
        <f>B16+B17</f>
        <v>-179979.88</v>
      </c>
      <c r="C15" s="13"/>
      <c r="D15" s="14"/>
    </row>
    <row r="16" spans="1:4" ht="15.75">
      <c r="A16" s="15" t="s">
        <v>16</v>
      </c>
      <c r="B16" s="12">
        <v>-6990.49</v>
      </c>
      <c r="C16" s="13"/>
      <c r="D16" s="14"/>
    </row>
    <row r="17" spans="1:4" ht="15.75">
      <c r="A17" s="15" t="s">
        <v>17</v>
      </c>
      <c r="B17" s="174">
        <v>-172989.39</v>
      </c>
      <c r="C17" s="175" t="s">
        <v>19</v>
      </c>
      <c r="D17" s="14"/>
    </row>
    <row r="18" spans="1:5" ht="25.5">
      <c r="A18" s="11" t="s">
        <v>18</v>
      </c>
      <c r="B18" s="16">
        <f>B20+B24+B27+B25+B26</f>
        <v>688251.6799999999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333</v>
      </c>
      <c r="B20" s="16">
        <v>198438.44</v>
      </c>
      <c r="C20" s="105" t="s">
        <v>6</v>
      </c>
      <c r="D20" s="14"/>
    </row>
    <row r="21" spans="1:5" ht="15">
      <c r="A21" s="9" t="s">
        <v>334</v>
      </c>
      <c r="B21" s="16"/>
      <c r="C21" s="19" t="s">
        <v>335</v>
      </c>
      <c r="D21" s="20"/>
      <c r="E21" s="17"/>
    </row>
    <row r="22" spans="1:5" ht="15.75">
      <c r="A22" s="9" t="s">
        <v>201</v>
      </c>
      <c r="B22" s="120"/>
      <c r="C22" s="19" t="s">
        <v>336</v>
      </c>
      <c r="D22" s="20"/>
      <c r="E22" s="17"/>
    </row>
    <row r="23" spans="1:5" ht="15">
      <c r="A23" s="9" t="s">
        <v>147</v>
      </c>
      <c r="B23" s="16">
        <v>9633.2</v>
      </c>
      <c r="C23" s="19" t="s">
        <v>337</v>
      </c>
      <c r="D23" s="20"/>
      <c r="E23" s="17">
        <f>(0.65+0.62)*6*1264.2</f>
        <v>9633.204</v>
      </c>
    </row>
    <row r="24" spans="1:4" ht="15.75">
      <c r="A24" s="9" t="s">
        <v>28</v>
      </c>
      <c r="B24" s="171">
        <v>35471.52</v>
      </c>
      <c r="C24" s="172">
        <v>2.7</v>
      </c>
      <c r="D24" s="20" t="s">
        <v>30</v>
      </c>
    </row>
    <row r="25" spans="1:4" ht="15">
      <c r="A25" s="9" t="s">
        <v>149</v>
      </c>
      <c r="B25" s="16">
        <v>294.7</v>
      </c>
      <c r="C25" s="19">
        <v>0.13</v>
      </c>
      <c r="D25" s="20"/>
    </row>
    <row r="26" spans="1:5" ht="15">
      <c r="A26" s="9" t="s">
        <v>167</v>
      </c>
      <c r="B26" s="16">
        <v>2456.4</v>
      </c>
      <c r="C26" s="19"/>
      <c r="D26" s="27" t="s">
        <v>32</v>
      </c>
      <c r="E26" s="17"/>
    </row>
    <row r="27" spans="1:5" ht="15">
      <c r="A27" s="9" t="s">
        <v>29</v>
      </c>
      <c r="B27" s="16">
        <f>B29+B30+B31</f>
        <v>451590.62</v>
      </c>
      <c r="C27" s="19" t="s">
        <v>19</v>
      </c>
      <c r="D27" s="27" t="s">
        <v>32</v>
      </c>
      <c r="E27" s="17"/>
    </row>
    <row r="28" spans="1:5" ht="15">
      <c r="A28" s="9" t="s">
        <v>20</v>
      </c>
      <c r="B28" s="16"/>
      <c r="C28" s="19"/>
      <c r="D28" s="28"/>
      <c r="E28" s="17"/>
    </row>
    <row r="29" spans="1:5" ht="15">
      <c r="A29" s="9" t="s">
        <v>31</v>
      </c>
      <c r="B29" s="16">
        <v>114501.69</v>
      </c>
      <c r="C29" s="19" t="s">
        <v>19</v>
      </c>
      <c r="D29" s="28"/>
      <c r="E29" s="17"/>
    </row>
    <row r="30" spans="1:5" ht="15">
      <c r="A30" s="9" t="s">
        <v>33</v>
      </c>
      <c r="B30" s="16">
        <v>131898.07</v>
      </c>
      <c r="C30" s="19" t="s">
        <v>19</v>
      </c>
      <c r="D30" s="28"/>
      <c r="E30" s="17"/>
    </row>
    <row r="31" spans="1:5" ht="15">
      <c r="A31" s="9" t="s">
        <v>34</v>
      </c>
      <c r="B31" s="16">
        <v>205190.86</v>
      </c>
      <c r="C31" s="19"/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660979.02</v>
      </c>
      <c r="C33" s="13" t="s">
        <v>19</v>
      </c>
      <c r="D33" s="14" t="s">
        <v>19</v>
      </c>
      <c r="E33" s="1">
        <f>B33/B18</f>
        <v>0.960374001557105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190575.11868554947</v>
      </c>
      <c r="C35" s="13"/>
      <c r="D35" s="14"/>
    </row>
    <row r="36" spans="1:4" ht="15">
      <c r="A36" s="9" t="s">
        <v>28</v>
      </c>
      <c r="B36" s="18">
        <f>B24*E33</f>
        <v>34065.92560371288</v>
      </c>
      <c r="C36" s="18" t="s">
        <v>6</v>
      </c>
      <c r="D36" s="14" t="s">
        <v>19</v>
      </c>
    </row>
    <row r="37" spans="1:4" ht="15">
      <c r="A37" s="9" t="s">
        <v>29</v>
      </c>
      <c r="B37" s="18">
        <f>B39+B40+B41</f>
        <v>433695.890795054</v>
      </c>
      <c r="C37" s="13" t="s">
        <v>19</v>
      </c>
      <c r="D37" s="14" t="s">
        <v>19</v>
      </c>
    </row>
    <row r="38" spans="1:4" ht="15">
      <c r="A38" s="9" t="s">
        <v>20</v>
      </c>
      <c r="B38" s="18"/>
      <c r="C38" s="13"/>
      <c r="D38" s="14"/>
    </row>
    <row r="39" spans="1:4" ht="15">
      <c r="A39" s="9" t="s">
        <v>31</v>
      </c>
      <c r="B39" s="18">
        <f>B29*E33</f>
        <v>109964.44621035115</v>
      </c>
      <c r="C39" s="13" t="s">
        <v>19</v>
      </c>
      <c r="D39" s="14"/>
    </row>
    <row r="40" spans="1:4" ht="15">
      <c r="A40" s="9" t="s">
        <v>33</v>
      </c>
      <c r="B40" s="18">
        <f>B30*E33</f>
        <v>126671.47728355914</v>
      </c>
      <c r="C40" s="13" t="s">
        <v>19</v>
      </c>
      <c r="D40" s="14"/>
    </row>
    <row r="41" spans="1:4" ht="15">
      <c r="A41" s="9" t="s">
        <v>34</v>
      </c>
      <c r="B41" s="18">
        <f>B31*E33</f>
        <v>197059.96730114368</v>
      </c>
      <c r="C41" s="13"/>
      <c r="D41" s="14"/>
    </row>
    <row r="42" spans="1:4" ht="15">
      <c r="A42" s="9" t="s">
        <v>35</v>
      </c>
      <c r="B42" s="18">
        <v>0</v>
      </c>
      <c r="C42" s="13"/>
      <c r="D42" s="14"/>
    </row>
    <row r="43" spans="1:4" ht="38.25">
      <c r="A43" s="11" t="s">
        <v>40</v>
      </c>
      <c r="B43" s="18">
        <f>B45+B46+B47</f>
        <v>433695.890795054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109964.44621035115</v>
      </c>
      <c r="C45" s="13"/>
      <c r="D45" s="14"/>
    </row>
    <row r="46" spans="1:4" ht="15">
      <c r="A46" s="9" t="s">
        <v>33</v>
      </c>
      <c r="B46" s="18">
        <f>B40</f>
        <v>126671.47728355914</v>
      </c>
      <c r="C46" s="13"/>
      <c r="D46" s="14"/>
    </row>
    <row r="47" spans="1:4" ht="15">
      <c r="A47" s="9" t="s">
        <v>34</v>
      </c>
      <c r="B47" s="18">
        <f>B41</f>
        <v>197059.96730114368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H51" s="1" t="s">
        <v>6</v>
      </c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248" t="s">
        <v>715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204</v>
      </c>
      <c r="D54" s="207">
        <f>(0.21+0.39)*6*1264.2</f>
        <v>4551.12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 t="s">
        <v>51</v>
      </c>
      <c r="D55" s="207">
        <f>(2.1+2.23)*6*1264.2</f>
        <v>32843.916000000005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(1.2+2)*6*1264.2</f>
        <v>24272.640000000003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(0.2+0.21)*6*1264.2</f>
        <v>3109.9320000000002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338</v>
      </c>
      <c r="B58" s="251" t="s">
        <v>47</v>
      </c>
      <c r="C58" s="44" t="s">
        <v>339</v>
      </c>
      <c r="D58" s="207">
        <f>(0.78+0.54)*6*227.3</f>
        <v>1800.2160000000001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207</v>
      </c>
      <c r="B59" s="39"/>
      <c r="C59" s="44" t="s">
        <v>340</v>
      </c>
      <c r="D59" s="207">
        <f>(1.25+0.54)*6*1036.9-5047.92+26.16</f>
        <v>6114.546</v>
      </c>
      <c r="E59" s="34"/>
      <c r="F59" s="41"/>
      <c r="G59" s="42"/>
      <c r="H59" s="43"/>
      <c r="I59" s="37"/>
      <c r="J59" s="37"/>
      <c r="K59" s="37"/>
      <c r="L59" s="37"/>
      <c r="M59" s="37"/>
      <c r="N59" s="37"/>
    </row>
    <row r="60" spans="1:14" ht="15">
      <c r="A60" s="31" t="s">
        <v>341</v>
      </c>
      <c r="B60" s="39" t="s">
        <v>47</v>
      </c>
      <c r="C60" s="44" t="s">
        <v>210</v>
      </c>
      <c r="D60" s="207">
        <f>(0.25+0.26)*6*227.3</f>
        <v>695.538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342</v>
      </c>
      <c r="B61" s="39"/>
      <c r="C61" s="44" t="s">
        <v>343</v>
      </c>
      <c r="D61" s="207">
        <f>(0.69+1.89)*6*1036.9</f>
        <v>16051.212000000001</v>
      </c>
      <c r="E61" s="34"/>
      <c r="F61" s="41"/>
      <c r="G61" s="42"/>
      <c r="I61" s="37"/>
      <c r="J61" s="37"/>
      <c r="K61" s="37"/>
      <c r="L61" s="37"/>
      <c r="M61" s="37"/>
      <c r="N61" s="37"/>
    </row>
    <row r="62" spans="1:14" ht="15">
      <c r="A62" s="31" t="s">
        <v>63</v>
      </c>
      <c r="B62" s="39" t="s">
        <v>64</v>
      </c>
      <c r="C62" s="44" t="s">
        <v>65</v>
      </c>
      <c r="D62" s="207">
        <f>(1.14+1.21)*6*1264.2</f>
        <v>17825.219999999998</v>
      </c>
      <c r="E62" s="34"/>
      <c r="F62" s="41"/>
      <c r="G62" s="42"/>
      <c r="I62" s="37"/>
      <c r="J62" s="37"/>
      <c r="K62" s="37"/>
      <c r="L62" s="37"/>
      <c r="M62" s="37"/>
      <c r="N62" s="37"/>
    </row>
    <row r="63" spans="1:14" ht="15">
      <c r="A63" s="31" t="s">
        <v>66</v>
      </c>
      <c r="B63" s="39" t="s">
        <v>67</v>
      </c>
      <c r="C63" s="44">
        <v>4.88</v>
      </c>
      <c r="D63" s="207">
        <f>4.88*12*1264.2</f>
        <v>74031.55200000001</v>
      </c>
      <c r="E63" s="34"/>
      <c r="F63" s="41"/>
      <c r="H63" s="45"/>
      <c r="I63" s="37"/>
      <c r="J63" s="37"/>
      <c r="K63" s="37"/>
      <c r="L63" s="37"/>
      <c r="M63" s="37"/>
      <c r="N63" s="37"/>
    </row>
    <row r="64" spans="1:14" ht="15">
      <c r="A64" s="31" t="s">
        <v>277</v>
      </c>
      <c r="B64" s="47"/>
      <c r="C64" s="206" t="s">
        <v>344</v>
      </c>
      <c r="D64" s="207">
        <f>(0.48+0.51)*6*1264.2</f>
        <v>7509.348</v>
      </c>
      <c r="E64" s="34"/>
      <c r="F64" s="41"/>
      <c r="H64" s="45"/>
      <c r="I64" s="37"/>
      <c r="J64" s="37"/>
      <c r="K64" s="37"/>
      <c r="L64" s="37"/>
      <c r="M64" s="37"/>
      <c r="N64" s="37"/>
    </row>
    <row r="65" spans="1:14" ht="15">
      <c r="A65" s="46" t="s">
        <v>68</v>
      </c>
      <c r="B65" s="47"/>
      <c r="C65" s="48"/>
      <c r="D65" s="49">
        <f>SUM(D54:D64)</f>
        <v>188805.24000000002</v>
      </c>
      <c r="E65" s="34">
        <f>D65+B23</f>
        <v>198438.44000000003</v>
      </c>
      <c r="F65" s="41"/>
      <c r="H65" s="50">
        <f>E65-B20</f>
        <v>0</v>
      </c>
      <c r="I65" s="37"/>
      <c r="J65" s="37"/>
      <c r="K65" s="37"/>
      <c r="L65" s="37"/>
      <c r="M65" s="37"/>
      <c r="N65" s="37"/>
    </row>
    <row r="66" spans="1:14" ht="15.75">
      <c r="A66" s="51" t="s">
        <v>69</v>
      </c>
      <c r="B66" s="52"/>
      <c r="C66" s="53"/>
      <c r="D66" s="211">
        <f>D67+D68</f>
        <v>4280.13</v>
      </c>
      <c r="E66" s="34"/>
      <c r="F66" s="41"/>
      <c r="H66" s="50"/>
      <c r="I66" s="37"/>
      <c r="J66" s="37"/>
      <c r="K66" s="37"/>
      <c r="L66" s="37"/>
      <c r="M66" s="37"/>
      <c r="N66" s="37"/>
    </row>
    <row r="67" spans="1:14" ht="15.75">
      <c r="A67" s="51" t="s">
        <v>345</v>
      </c>
      <c r="B67" s="52"/>
      <c r="C67" s="53"/>
      <c r="D67" s="122">
        <v>2595.8</v>
      </c>
      <c r="E67" s="34"/>
      <c r="F67" s="41"/>
      <c r="H67" s="50"/>
      <c r="I67" s="37"/>
      <c r="J67" s="37"/>
      <c r="K67" s="37"/>
      <c r="L67" s="37"/>
      <c r="M67" s="37"/>
      <c r="N67" s="37"/>
    </row>
    <row r="68" spans="1:14" ht="15.75">
      <c r="A68" s="51" t="s">
        <v>346</v>
      </c>
      <c r="B68" s="52"/>
      <c r="C68" s="53"/>
      <c r="D68" s="122">
        <v>1684.33</v>
      </c>
      <c r="E68" s="34"/>
      <c r="F68" s="45"/>
      <c r="H68" s="50"/>
      <c r="I68" s="37"/>
      <c r="J68" s="37"/>
      <c r="K68" s="37"/>
      <c r="L68" s="37"/>
      <c r="M68" s="37"/>
      <c r="N68" s="37"/>
    </row>
    <row r="69" spans="1:14" ht="15.75">
      <c r="A69" s="56" t="s">
        <v>71</v>
      </c>
      <c r="B69" s="57"/>
      <c r="C69" s="58"/>
      <c r="D69" s="122">
        <f>D65+D66</f>
        <v>193085.37000000002</v>
      </c>
      <c r="E69" s="34" t="s">
        <v>6</v>
      </c>
      <c r="F69" s="45"/>
      <c r="H69" s="50"/>
      <c r="I69" s="37"/>
      <c r="J69" s="37"/>
      <c r="K69" s="37"/>
      <c r="L69" s="37"/>
      <c r="M69" s="37"/>
      <c r="N69" s="37"/>
    </row>
    <row r="70" spans="1:8" ht="13.5" customHeight="1">
      <c r="A70" s="302" t="s">
        <v>72</v>
      </c>
      <c r="B70" s="302"/>
      <c r="C70" s="302"/>
      <c r="D70" s="124">
        <f>D71</f>
        <v>-146629.02</v>
      </c>
      <c r="E70" s="61"/>
      <c r="H70" s="34"/>
    </row>
    <row r="71" spans="1:8" ht="27.75" customHeight="1">
      <c r="A71" s="250" t="s">
        <v>717</v>
      </c>
      <c r="B71" s="145"/>
      <c r="C71" s="146"/>
      <c r="D71" s="124">
        <v>-146629.02</v>
      </c>
      <c r="E71" s="61"/>
      <c r="H71" s="34"/>
    </row>
    <row r="72" spans="1:5" ht="25.5" customHeight="1">
      <c r="A72" s="293" t="s">
        <v>73</v>
      </c>
      <c r="B72" s="293"/>
      <c r="C72" s="293"/>
      <c r="D72" s="124">
        <f>D73+D74</f>
        <v>7473.729999999966</v>
      </c>
      <c r="E72" s="61"/>
    </row>
    <row r="73" spans="1:5" ht="15.75">
      <c r="A73" s="78" t="s">
        <v>74</v>
      </c>
      <c r="B73" s="114"/>
      <c r="C73" s="115"/>
      <c r="D73" s="124">
        <f>B16+B23-D66</f>
        <v>-1637.4199999999992</v>
      </c>
      <c r="E73" s="61"/>
    </row>
    <row r="74" spans="1:5" ht="15.75">
      <c r="A74" s="114" t="s">
        <v>75</v>
      </c>
      <c r="B74" s="114"/>
      <c r="C74" s="115"/>
      <c r="D74" s="124">
        <f>B17+B24-D70</f>
        <v>9111.149999999965</v>
      </c>
      <c r="E74" s="61"/>
    </row>
    <row r="75" spans="1:5" ht="13.5" customHeight="1">
      <c r="A75" s="294" t="s">
        <v>76</v>
      </c>
      <c r="B75" s="294"/>
      <c r="C75" s="294"/>
      <c r="D75" s="192">
        <v>22533.08</v>
      </c>
      <c r="E75" s="61"/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77</v>
      </c>
      <c r="B77" s="290"/>
      <c r="C77" s="290"/>
      <c r="D77" s="66">
        <f>D75*B20/B18</f>
        <v>6496.793794379406</v>
      </c>
    </row>
    <row r="78" spans="1:4" ht="13.5" customHeight="1">
      <c r="A78" s="290" t="s">
        <v>28</v>
      </c>
      <c r="B78" s="290"/>
      <c r="C78" s="290"/>
      <c r="D78" s="66">
        <f>D75*B24/B18</f>
        <v>1161.3231338303456</v>
      </c>
    </row>
    <row r="79" spans="1:4" ht="13.5" customHeight="1">
      <c r="A79" s="290" t="s">
        <v>29</v>
      </c>
      <c r="B79" s="290"/>
      <c r="C79" s="290"/>
      <c r="D79" s="66">
        <f>SUM(D81:D83)</f>
        <v>14784.893177027338</v>
      </c>
    </row>
    <row r="80" spans="1:4" ht="15">
      <c r="A80" s="290" t="s">
        <v>20</v>
      </c>
      <c r="B80" s="290"/>
      <c r="C80" s="290"/>
      <c r="D80" s="66"/>
    </row>
    <row r="81" spans="1:4" ht="13.5" customHeight="1">
      <c r="A81" s="290" t="s">
        <v>31</v>
      </c>
      <c r="B81" s="290"/>
      <c r="C81" s="290"/>
      <c r="D81" s="66">
        <f>D75*B29/B18</f>
        <v>3748.7387475831524</v>
      </c>
    </row>
    <row r="82" spans="1:4" ht="15" customHeight="1">
      <c r="A82" s="290" t="s">
        <v>33</v>
      </c>
      <c r="B82" s="290"/>
      <c r="C82" s="290"/>
      <c r="D82" s="66">
        <f>D75*B30/B18</f>
        <v>4318.289151369163</v>
      </c>
    </row>
    <row r="83" spans="1:4" ht="15" customHeight="1">
      <c r="A83" s="290" t="s">
        <v>34</v>
      </c>
      <c r="B83" s="290"/>
      <c r="C83" s="290"/>
      <c r="D83" s="66">
        <f>D75*B31/B18</f>
        <v>6717.865278075021</v>
      </c>
    </row>
    <row r="84" spans="1:4" ht="15">
      <c r="A84" s="290" t="s">
        <v>78</v>
      </c>
      <c r="B84" s="290"/>
      <c r="C84" s="290"/>
      <c r="D84" s="66"/>
    </row>
    <row r="85" spans="1:4" ht="15" customHeight="1">
      <c r="A85" s="290" t="s">
        <v>35</v>
      </c>
      <c r="B85" s="290"/>
      <c r="C85" s="290"/>
      <c r="D85" s="66"/>
    </row>
    <row r="86" spans="1:4" ht="25.5" customHeight="1">
      <c r="A86" s="295" t="s">
        <v>79</v>
      </c>
      <c r="B86" s="295"/>
      <c r="C86" s="295"/>
      <c r="D86" s="295"/>
    </row>
    <row r="87" spans="1:4" ht="38.25">
      <c r="A87" s="67" t="s">
        <v>80</v>
      </c>
      <c r="B87" s="68" t="s">
        <v>81</v>
      </c>
      <c r="C87" s="68" t="s">
        <v>82</v>
      </c>
      <c r="D87" s="67" t="s">
        <v>83</v>
      </c>
    </row>
    <row r="88" spans="1:4" ht="12.75" customHeight="1">
      <c r="A88" s="31" t="s">
        <v>347</v>
      </c>
      <c r="B88" s="296" t="s">
        <v>84</v>
      </c>
      <c r="C88" s="19" t="s">
        <v>335</v>
      </c>
      <c r="D88" s="67" t="s">
        <v>85</v>
      </c>
    </row>
    <row r="89" spans="1:4" ht="12.75" customHeight="1">
      <c r="A89" s="31" t="s">
        <v>348</v>
      </c>
      <c r="B89" s="296"/>
      <c r="C89" s="19" t="s">
        <v>336</v>
      </c>
      <c r="D89" s="67"/>
    </row>
    <row r="90" spans="1:4" ht="12.75" customHeight="1">
      <c r="A90" s="31" t="s">
        <v>28</v>
      </c>
      <c r="B90" s="296"/>
      <c r="C90" s="70">
        <v>2.7</v>
      </c>
      <c r="D90" s="71" t="s">
        <v>85</v>
      </c>
    </row>
    <row r="91" spans="1:4" ht="19.5" customHeight="1">
      <c r="A91" s="31" t="s">
        <v>31</v>
      </c>
      <c r="B91" s="297" t="s">
        <v>86</v>
      </c>
      <c r="C91" s="70" t="s">
        <v>87</v>
      </c>
      <c r="D91" s="249" t="s">
        <v>716</v>
      </c>
    </row>
    <row r="92" spans="1:4" ht="21" customHeight="1">
      <c r="A92" s="31" t="s">
        <v>33</v>
      </c>
      <c r="B92" s="297"/>
      <c r="C92" s="70" t="s">
        <v>89</v>
      </c>
      <c r="D92" s="249" t="s">
        <v>716</v>
      </c>
    </row>
    <row r="93" spans="1:4" ht="39.75" customHeight="1">
      <c r="A93" s="31" t="s">
        <v>34</v>
      </c>
      <c r="B93" s="73" t="s">
        <v>90</v>
      </c>
      <c r="C93" s="147" t="s">
        <v>91</v>
      </c>
      <c r="D93" s="71" t="s">
        <v>92</v>
      </c>
    </row>
    <row r="95" ht="12.75">
      <c r="A95" t="s">
        <v>93</v>
      </c>
    </row>
    <row r="97" ht="12.75">
      <c r="A97" t="s">
        <v>95</v>
      </c>
    </row>
  </sheetData>
  <sheetProtection selectLockedCells="1" selectUnlockedCells="1"/>
  <mergeCells count="23">
    <mergeCell ref="A84:C84"/>
    <mergeCell ref="A85:C85"/>
    <mergeCell ref="A86:D86"/>
    <mergeCell ref="B88:B90"/>
    <mergeCell ref="B91:B92"/>
    <mergeCell ref="A78:C78"/>
    <mergeCell ref="A79:C79"/>
    <mergeCell ref="A80:C80"/>
    <mergeCell ref="A81:C81"/>
    <mergeCell ref="A82:C82"/>
    <mergeCell ref="A83:C83"/>
    <mergeCell ref="A50:D51"/>
    <mergeCell ref="A70:C70"/>
    <mergeCell ref="A72:C72"/>
    <mergeCell ref="A75:C75"/>
    <mergeCell ref="A76:C76"/>
    <mergeCell ref="A77:C77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107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108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-20794.280000000002</v>
      </c>
      <c r="C15" s="13"/>
      <c r="D15" s="14"/>
    </row>
    <row r="16" spans="1:4" ht="15.75">
      <c r="A16" s="15" t="s">
        <v>16</v>
      </c>
      <c r="B16" s="12">
        <v>-24261.08</v>
      </c>
      <c r="C16" s="13"/>
      <c r="D16" s="14"/>
    </row>
    <row r="17" spans="1:4" ht="15.75">
      <c r="A17" s="15" t="s">
        <v>17</v>
      </c>
      <c r="B17" s="12">
        <v>3466.8</v>
      </c>
      <c r="C17" s="13"/>
      <c r="D17" s="14"/>
    </row>
    <row r="18" spans="1:5" ht="25.5">
      <c r="A18" s="11" t="s">
        <v>18</v>
      </c>
      <c r="B18" s="16">
        <f>B20+B22+B23+B24+B25</f>
        <v>329497.45999999996</v>
      </c>
      <c r="C18" s="13" t="s">
        <v>19</v>
      </c>
      <c r="D18" s="14" t="s">
        <v>19</v>
      </c>
      <c r="E18" s="17"/>
    </row>
    <row r="19" spans="1:4" ht="15">
      <c r="A19" s="9" t="s">
        <v>20</v>
      </c>
      <c r="B19" s="18"/>
      <c r="C19" s="13"/>
      <c r="D19" s="14"/>
    </row>
    <row r="20" spans="1:4" ht="15">
      <c r="A20" s="9" t="s">
        <v>77</v>
      </c>
      <c r="B20" s="16">
        <v>53197.86</v>
      </c>
      <c r="C20" s="105" t="s">
        <v>109</v>
      </c>
      <c r="D20" s="14"/>
    </row>
    <row r="21" spans="1:5" ht="15">
      <c r="A21" s="9" t="s">
        <v>110</v>
      </c>
      <c r="B21" s="16">
        <v>6015.75</v>
      </c>
      <c r="C21" s="21" t="s">
        <v>111</v>
      </c>
      <c r="D21" s="20"/>
      <c r="E21" s="17">
        <f>(1.28+1.97)*6*308.5</f>
        <v>6015.75</v>
      </c>
    </row>
    <row r="22" spans="1:5" ht="15">
      <c r="A22" s="9" t="s">
        <v>28</v>
      </c>
      <c r="B22" s="106">
        <v>0</v>
      </c>
      <c r="C22" s="107"/>
      <c r="D22" s="20"/>
      <c r="E22" s="17"/>
    </row>
    <row r="23" spans="1:5" ht="15.75">
      <c r="A23" s="9" t="s">
        <v>38</v>
      </c>
      <c r="B23" s="22"/>
      <c r="C23" s="23" t="s">
        <v>6</v>
      </c>
      <c r="D23" s="20"/>
      <c r="E23" s="17"/>
    </row>
    <row r="24" spans="1:4" ht="15">
      <c r="A24" s="9" t="s">
        <v>37</v>
      </c>
      <c r="B24" s="16">
        <v>1174.8</v>
      </c>
      <c r="C24" s="24"/>
      <c r="D24" s="20" t="s">
        <v>30</v>
      </c>
    </row>
    <row r="25" spans="1:4" ht="15">
      <c r="A25" s="9" t="s">
        <v>29</v>
      </c>
      <c r="B25" s="16">
        <f>B27+B28+B29+B30</f>
        <v>275124.8</v>
      </c>
      <c r="C25" s="24" t="s">
        <v>19</v>
      </c>
      <c r="D25" s="20"/>
    </row>
    <row r="26" spans="1:5" ht="15">
      <c r="A26" s="9" t="s">
        <v>20</v>
      </c>
      <c r="B26" s="16"/>
      <c r="C26" s="26"/>
      <c r="D26" s="27" t="s">
        <v>32</v>
      </c>
      <c r="E26" s="17"/>
    </row>
    <row r="27" spans="1:5" ht="15">
      <c r="A27" s="9" t="s">
        <v>31</v>
      </c>
      <c r="B27" s="16">
        <v>32809.98</v>
      </c>
      <c r="C27" s="26" t="s">
        <v>19</v>
      </c>
      <c r="D27" s="27" t="s">
        <v>32</v>
      </c>
      <c r="E27" s="17"/>
    </row>
    <row r="28" spans="1:5" ht="15">
      <c r="A28" s="9" t="s">
        <v>33</v>
      </c>
      <c r="B28" s="16">
        <v>37794.96</v>
      </c>
      <c r="C28" s="26" t="s">
        <v>19</v>
      </c>
      <c r="D28" s="28"/>
      <c r="E28" s="17"/>
    </row>
    <row r="29" spans="1:5" ht="15">
      <c r="A29" s="9" t="s">
        <v>34</v>
      </c>
      <c r="B29" s="16">
        <v>103809.1</v>
      </c>
      <c r="C29" s="24">
        <v>24.74</v>
      </c>
      <c r="D29" s="20" t="s">
        <v>6</v>
      </c>
      <c r="E29" s="17"/>
    </row>
    <row r="30" spans="1:5" ht="15">
      <c r="A30" s="9" t="s">
        <v>35</v>
      </c>
      <c r="B30" s="16">
        <v>100710.76</v>
      </c>
      <c r="C30" s="24" t="s">
        <v>19</v>
      </c>
      <c r="D30" s="20"/>
      <c r="E30" s="17"/>
    </row>
    <row r="31" spans="1:5" ht="25.5">
      <c r="A31" s="11" t="s">
        <v>36</v>
      </c>
      <c r="B31" s="18">
        <v>231853.22</v>
      </c>
      <c r="C31" s="13" t="s">
        <v>19</v>
      </c>
      <c r="D31" s="14" t="s">
        <v>19</v>
      </c>
      <c r="E31" s="1">
        <f>B31/B18</f>
        <v>0.7036570782670071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37433.050737657286</v>
      </c>
      <c r="C33" s="13"/>
      <c r="D33" s="14"/>
    </row>
    <row r="34" spans="1:4" ht="15">
      <c r="A34" s="9" t="s">
        <v>28</v>
      </c>
      <c r="B34" s="18">
        <f>B22*E31</f>
        <v>0</v>
      </c>
      <c r="C34" s="13"/>
      <c r="D34" s="14"/>
    </row>
    <row r="35" spans="1:4" ht="15">
      <c r="A35" s="9" t="s">
        <v>29</v>
      </c>
      <c r="B35" s="18">
        <f>B37+B38+B39+B41</f>
        <v>193593.51292679468</v>
      </c>
      <c r="C35" s="18" t="s">
        <v>6</v>
      </c>
      <c r="D35" s="14" t="s">
        <v>19</v>
      </c>
    </row>
    <row r="36" spans="1:4" ht="15">
      <c r="A36" s="9" t="s">
        <v>20</v>
      </c>
      <c r="B36" s="18"/>
      <c r="C36" s="13" t="s">
        <v>19</v>
      </c>
      <c r="D36" s="14" t="s">
        <v>19</v>
      </c>
    </row>
    <row r="37" spans="1:4" ht="15">
      <c r="A37" s="9" t="s">
        <v>31</v>
      </c>
      <c r="B37" s="18">
        <f>B27*E31</f>
        <v>23086.974664798938</v>
      </c>
      <c r="C37" s="13"/>
      <c r="D37" s="14"/>
    </row>
    <row r="38" spans="1:4" ht="15">
      <c r="A38" s="9" t="s">
        <v>33</v>
      </c>
      <c r="B38" s="18">
        <f>B28*E31</f>
        <v>26594.6911268184</v>
      </c>
      <c r="C38" s="13" t="s">
        <v>19</v>
      </c>
      <c r="D38" s="14"/>
    </row>
    <row r="39" spans="1:4" ht="15">
      <c r="A39" s="9" t="s">
        <v>34</v>
      </c>
      <c r="B39" s="18">
        <f>B29*E31</f>
        <v>73046.00800352758</v>
      </c>
      <c r="C39" s="13" t="s">
        <v>19</v>
      </c>
      <c r="D39" s="14"/>
    </row>
    <row r="40" spans="1:9" ht="15">
      <c r="A40" s="9" t="s">
        <v>78</v>
      </c>
      <c r="B40" s="18">
        <v>0</v>
      </c>
      <c r="C40" s="13"/>
      <c r="D40" s="14"/>
      <c r="I40" s="29"/>
    </row>
    <row r="41" spans="1:4" ht="15">
      <c r="A41" s="9" t="s">
        <v>35</v>
      </c>
      <c r="B41" s="18">
        <f>B30*E31</f>
        <v>70865.83913164976</v>
      </c>
      <c r="C41" s="13" t="s">
        <v>19</v>
      </c>
      <c r="D41" s="14"/>
    </row>
    <row r="42" spans="1:4" ht="38.25">
      <c r="A42" s="11" t="s">
        <v>40</v>
      </c>
      <c r="B42" s="18">
        <f>B44+B45+B46+B47</f>
        <v>193593.51292679468</v>
      </c>
      <c r="C42" s="13" t="s">
        <v>19</v>
      </c>
      <c r="D42" s="14" t="s">
        <v>19</v>
      </c>
    </row>
    <row r="43" spans="1:4" ht="15">
      <c r="A43" s="9" t="s">
        <v>20</v>
      </c>
      <c r="B43" s="18"/>
      <c r="C43" s="13"/>
      <c r="D43" s="14"/>
    </row>
    <row r="44" spans="1:4" ht="15">
      <c r="A44" s="9" t="s">
        <v>31</v>
      </c>
      <c r="B44" s="18">
        <f>B37</f>
        <v>23086.974664798938</v>
      </c>
      <c r="C44" s="13" t="s">
        <v>19</v>
      </c>
      <c r="D44" s="14"/>
    </row>
    <row r="45" spans="1:4" ht="15">
      <c r="A45" s="9" t="s">
        <v>33</v>
      </c>
      <c r="B45" s="18">
        <f>B38</f>
        <v>26594.6911268184</v>
      </c>
      <c r="C45" s="13" t="s">
        <v>19</v>
      </c>
      <c r="D45" s="14"/>
    </row>
    <row r="46" spans="1:4" ht="15">
      <c r="A46" s="9" t="s">
        <v>34</v>
      </c>
      <c r="B46" s="18">
        <f>B39</f>
        <v>73046.00800352758</v>
      </c>
      <c r="C46" s="13"/>
      <c r="D46" s="14"/>
    </row>
    <row r="47" spans="1:4" ht="15">
      <c r="A47" s="9" t="s">
        <v>35</v>
      </c>
      <c r="B47" s="18">
        <f>B41</f>
        <v>70865.83913164976</v>
      </c>
      <c r="C47" s="13" t="s">
        <v>19</v>
      </c>
      <c r="D47" s="14"/>
    </row>
    <row r="48" ht="12.75">
      <c r="A48" s="4"/>
    </row>
    <row r="49" spans="1:10" ht="13.5" customHeight="1">
      <c r="A49" s="291" t="s">
        <v>41</v>
      </c>
      <c r="B49" s="291"/>
      <c r="C49" s="291"/>
      <c r="D49" s="291"/>
      <c r="I49" s="30"/>
      <c r="J49" s="30"/>
    </row>
    <row r="50" spans="1:10" ht="9" customHeight="1">
      <c r="A50" s="291"/>
      <c r="B50" s="291"/>
      <c r="C50" s="291"/>
      <c r="D50" s="291"/>
      <c r="I50" s="4"/>
      <c r="J50" s="4"/>
    </row>
    <row r="51" spans="1:10" ht="12.75">
      <c r="A51" s="4"/>
      <c r="C51" s="6" t="s">
        <v>10</v>
      </c>
      <c r="I51" s="4"/>
      <c r="J51" s="4"/>
    </row>
    <row r="52" spans="1:14" ht="66.75" customHeight="1">
      <c r="A52" s="8" t="s">
        <v>42</v>
      </c>
      <c r="B52" s="8" t="s">
        <v>43</v>
      </c>
      <c r="C52" s="8" t="s">
        <v>44</v>
      </c>
      <c r="D52" s="8" t="s">
        <v>45</v>
      </c>
      <c r="I52" s="3"/>
      <c r="J52" s="3"/>
      <c r="K52" s="3"/>
      <c r="L52" s="3"/>
      <c r="M52" s="3"/>
      <c r="N52" s="3"/>
    </row>
    <row r="53" spans="1:14" ht="15">
      <c r="A53" s="31" t="s">
        <v>112</v>
      </c>
      <c r="B53" s="32" t="s">
        <v>47</v>
      </c>
      <c r="C53" s="21" t="s">
        <v>48</v>
      </c>
      <c r="D53" s="33">
        <f>(0.14+0.15)*6*308.5</f>
        <v>536.7900000000001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49</v>
      </c>
      <c r="B54" s="32" t="s">
        <v>50</v>
      </c>
      <c r="C54" s="38" t="s">
        <v>51</v>
      </c>
      <c r="D54" s="33">
        <f>(2.1+2.23)*6*308.5</f>
        <v>8014.83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52</v>
      </c>
      <c r="B55" s="32" t="s">
        <v>50</v>
      </c>
      <c r="C55" s="38" t="s">
        <v>53</v>
      </c>
      <c r="D55" s="33">
        <f>(1.2+2)*6*308.5</f>
        <v>5923.200000000001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54</v>
      </c>
      <c r="B56" s="32" t="s">
        <v>47</v>
      </c>
      <c r="C56" s="38" t="s">
        <v>113</v>
      </c>
      <c r="D56" s="33">
        <f>(0.1+0.11)*6*308.5</f>
        <v>388.7100000000001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56</v>
      </c>
      <c r="B57" s="39" t="s">
        <v>57</v>
      </c>
      <c r="C57" s="44" t="s">
        <v>114</v>
      </c>
      <c r="D57" s="33">
        <f>(2.13+2.02)*6*308.5-0.22*6*308.5+0.12</f>
        <v>7274.55</v>
      </c>
      <c r="E57" s="34">
        <f>(2.13+2.02)*6*308.5-0.22*6*308.5</f>
        <v>7274.43</v>
      </c>
      <c r="F57" s="41"/>
      <c r="G57" s="42"/>
      <c r="H57" s="43"/>
      <c r="I57" s="37"/>
      <c r="J57" s="37"/>
      <c r="K57" s="37"/>
      <c r="L57" s="37"/>
      <c r="M57" s="37"/>
      <c r="N57" s="37"/>
    </row>
    <row r="58" spans="1:14" ht="15">
      <c r="A58" s="31" t="s">
        <v>115</v>
      </c>
      <c r="B58" s="39" t="s">
        <v>47</v>
      </c>
      <c r="C58" s="44" t="s">
        <v>60</v>
      </c>
      <c r="D58" s="33">
        <f>(0.69+0.73)*6*308.5</f>
        <v>2628.42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63</v>
      </c>
      <c r="B59" s="39" t="s">
        <v>64</v>
      </c>
      <c r="C59" s="40" t="s">
        <v>65</v>
      </c>
      <c r="D59" s="33">
        <f>(1.14+1.21)*6*308.5</f>
        <v>4349.849999999999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66</v>
      </c>
      <c r="B60" s="39" t="s">
        <v>67</v>
      </c>
      <c r="C60" s="44">
        <v>4.88</v>
      </c>
      <c r="D60" s="33">
        <f>4.88*12*308.5</f>
        <v>18065.760000000002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SUM(D53:D60)</f>
        <v>47182.11</v>
      </c>
      <c r="E61" s="34">
        <f>D61+B21</f>
        <v>53197.86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08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">
      <c r="A63" s="51"/>
      <c r="B63" s="52"/>
      <c r="C63" s="53"/>
      <c r="D63" s="109">
        <v>0</v>
      </c>
      <c r="E63" s="34"/>
      <c r="F63" s="4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08">
        <f>D61+D62</f>
        <v>47182.11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0">
        <f>D66</f>
        <v>2711.64</v>
      </c>
      <c r="E65" s="61"/>
      <c r="H65" s="34">
        <f>347.32*12</f>
        <v>4167.84</v>
      </c>
    </row>
    <row r="66" spans="1:8" ht="13.5" customHeight="1">
      <c r="A66" s="111" t="s">
        <v>116</v>
      </c>
      <c r="B66" s="111"/>
      <c r="C66" s="112"/>
      <c r="D66" s="110">
        <v>2711.64</v>
      </c>
      <c r="E66" s="61"/>
      <c r="H66" s="34"/>
    </row>
    <row r="67" spans="1:5" ht="25.5" customHeight="1">
      <c r="A67" s="293" t="s">
        <v>73</v>
      </c>
      <c r="B67" s="293"/>
      <c r="C67" s="293"/>
      <c r="D67" s="113">
        <f>D68+D69</f>
        <v>-17490.170000000002</v>
      </c>
      <c r="E67" s="61"/>
    </row>
    <row r="68" spans="1:5" ht="15.75">
      <c r="A68" s="78" t="s">
        <v>74</v>
      </c>
      <c r="B68" s="114"/>
      <c r="C68" s="115"/>
      <c r="D68" s="113">
        <f>B16+B21-D62</f>
        <v>-18245.33</v>
      </c>
      <c r="E68" s="61"/>
    </row>
    <row r="69" spans="1:5" ht="15.75">
      <c r="A69" s="114" t="s">
        <v>75</v>
      </c>
      <c r="B69" s="114"/>
      <c r="C69" s="115"/>
      <c r="D69" s="113">
        <f>B17+B22-D65</f>
        <v>755.1600000000003</v>
      </c>
      <c r="E69" s="61"/>
    </row>
    <row r="70" spans="1:5" ht="14.25" customHeight="1">
      <c r="A70" s="294" t="s">
        <v>76</v>
      </c>
      <c r="B70" s="294"/>
      <c r="C70" s="294"/>
      <c r="D70" s="116">
        <v>285946.27</v>
      </c>
      <c r="E70" s="61"/>
    </row>
    <row r="71" spans="1:4" ht="15" customHeight="1">
      <c r="A71" s="290" t="s">
        <v>20</v>
      </c>
      <c r="B71" s="290"/>
      <c r="C71" s="290"/>
      <c r="D71" s="117"/>
    </row>
    <row r="72" spans="1:4" ht="13.5" customHeight="1">
      <c r="A72" s="290" t="s">
        <v>77</v>
      </c>
      <c r="B72" s="290"/>
      <c r="C72" s="290"/>
      <c r="D72" s="117">
        <f>D70*B20/B18</f>
        <v>46166.45493710999</v>
      </c>
    </row>
    <row r="73" spans="1:4" ht="13.5" customHeight="1">
      <c r="A73" s="290" t="s">
        <v>28</v>
      </c>
      <c r="B73" s="290"/>
      <c r="C73" s="290"/>
      <c r="D73" s="117">
        <f>D70*B22/B18</f>
        <v>0</v>
      </c>
    </row>
    <row r="74" spans="1:4" ht="13.5" customHeight="1">
      <c r="A74" s="290" t="s">
        <v>29</v>
      </c>
      <c r="B74" s="290"/>
      <c r="C74" s="290"/>
      <c r="D74" s="117">
        <f>SUM(D76:D78)</f>
        <v>151360.93666285262</v>
      </c>
    </row>
    <row r="75" spans="1:4" ht="15">
      <c r="A75" s="290" t="s">
        <v>20</v>
      </c>
      <c r="B75" s="290"/>
      <c r="C75" s="290"/>
      <c r="D75" s="117"/>
    </row>
    <row r="76" spans="1:4" ht="13.5" customHeight="1">
      <c r="A76" s="290" t="s">
        <v>31</v>
      </c>
      <c r="B76" s="290"/>
      <c r="C76" s="290"/>
      <c r="D76" s="117">
        <f>D70*B27/B18</f>
        <v>28473.33451303267</v>
      </c>
    </row>
    <row r="77" spans="1:4" ht="15">
      <c r="A77" s="290" t="s">
        <v>33</v>
      </c>
      <c r="B77" s="290"/>
      <c r="C77" s="290"/>
      <c r="D77" s="117">
        <f>D70*B28/B18</f>
        <v>32799.426850814576</v>
      </c>
    </row>
    <row r="78" spans="1:4" ht="15" customHeight="1">
      <c r="A78" s="290" t="s">
        <v>34</v>
      </c>
      <c r="B78" s="290"/>
      <c r="C78" s="290"/>
      <c r="D78" s="117">
        <f>D70*B29/B18</f>
        <v>90088.17529900536</v>
      </c>
    </row>
    <row r="79" spans="1:4" ht="15">
      <c r="A79" s="290" t="s">
        <v>78</v>
      </c>
      <c r="B79" s="290"/>
      <c r="C79" s="290"/>
      <c r="D79" s="117"/>
    </row>
    <row r="80" spans="1:4" ht="15" customHeight="1">
      <c r="A80" s="290" t="s">
        <v>35</v>
      </c>
      <c r="B80" s="290"/>
      <c r="C80" s="290"/>
      <c r="D80" s="117">
        <f>D70*B30/B18</f>
        <v>87399.35710237404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4.75" customHeight="1">
      <c r="A83" s="72" t="s">
        <v>77</v>
      </c>
      <c r="B83" s="296" t="s">
        <v>84</v>
      </c>
      <c r="C83" s="105" t="s">
        <v>109</v>
      </c>
      <c r="D83" s="67" t="s">
        <v>85</v>
      </c>
    </row>
    <row r="84" spans="1:4" ht="12.75">
      <c r="A84" s="31" t="s">
        <v>28</v>
      </c>
      <c r="B84" s="296"/>
      <c r="C84" s="70" t="s">
        <v>6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7" spans="1:4" ht="39.75" customHeight="1">
      <c r="A87" s="72" t="s">
        <v>34</v>
      </c>
      <c r="B87" s="73" t="s">
        <v>90</v>
      </c>
      <c r="C87" s="70" t="s">
        <v>91</v>
      </c>
      <c r="D87" s="71" t="s">
        <v>92</v>
      </c>
    </row>
    <row r="90" spans="1:3" ht="12.75">
      <c r="A90" t="s">
        <v>93</v>
      </c>
      <c r="C90" s="74" t="s">
        <v>94</v>
      </c>
    </row>
    <row r="92" ht="12.75">
      <c r="A92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9:D50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3">
      <selection activeCell="H62" sqref="H62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349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350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-11881.9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-5822.92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-6058.98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17758.74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12195.54</v>
      </c>
      <c r="C20" s="105" t="s">
        <v>351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1491.11</v>
      </c>
      <c r="C21" s="19" t="s">
        <v>352</v>
      </c>
      <c r="D21" s="20"/>
      <c r="E21" s="17">
        <f>(1.23+1.51)*6*90.7</f>
        <v>1491.1080000000002</v>
      </c>
      <c r="F21" s="1"/>
      <c r="G21" s="1"/>
      <c r="H21" s="1"/>
    </row>
    <row r="22" spans="1:8" ht="15.75">
      <c r="A22" s="9" t="s">
        <v>28</v>
      </c>
      <c r="B22" s="118">
        <v>1464.48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149</v>
      </c>
      <c r="B23" s="16">
        <v>0</v>
      </c>
      <c r="C23" s="21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20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</f>
        <v>4098.72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16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4098.72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0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16">
        <v>0</v>
      </c>
      <c r="C29" s="152" t="s">
        <v>6</v>
      </c>
      <c r="D29" s="28"/>
      <c r="E29" s="17"/>
      <c r="F29" s="1"/>
      <c r="G29" s="1"/>
      <c r="H29" s="1"/>
    </row>
    <row r="30" spans="1:8" ht="15">
      <c r="A30" s="9" t="s">
        <v>35</v>
      </c>
      <c r="B30" s="16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17759.63</v>
      </c>
      <c r="C31" s="13" t="s">
        <v>19</v>
      </c>
      <c r="D31" s="14" t="s">
        <v>19</v>
      </c>
      <c r="E31" s="1">
        <f>B31/B18</f>
        <v>1.0000501161681514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12196.151193733338</v>
      </c>
      <c r="C33" s="13"/>
      <c r="D33" s="14"/>
    </row>
    <row r="34" spans="1:4" ht="15">
      <c r="A34" s="9" t="s">
        <v>28</v>
      </c>
      <c r="B34" s="18">
        <f>B22*E31</f>
        <v>1464.5533941259343</v>
      </c>
      <c r="C34" s="18" t="s">
        <v>6</v>
      </c>
      <c r="D34" s="14" t="s">
        <v>19</v>
      </c>
    </row>
    <row r="35" spans="1:4" ht="15">
      <c r="A35" s="9" t="s">
        <v>29</v>
      </c>
      <c r="B35" s="18">
        <f>B37</f>
        <v>4098.925412140726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4098.925412140726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</f>
        <v>4098.925412140726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4098.925412140726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(0.14+0.15)*6*90.7</f>
        <v>157.818</v>
      </c>
      <c r="E52" s="34">
        <f>347.32*12</f>
        <v>4167.84</v>
      </c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>
        <f aca="true" t="shared" si="0" ref="E53:E59">347.32*12</f>
        <v>4167.84</v>
      </c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(1.2+2)*6*90.7</f>
        <v>1741.4400000000003</v>
      </c>
      <c r="E54" s="34">
        <f t="shared" si="0"/>
        <v>4167.84</v>
      </c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(0.2+0.21)*6*90.7</f>
        <v>223.122</v>
      </c>
      <c r="E55" s="34">
        <f t="shared" si="0"/>
        <v>4167.84</v>
      </c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>
        <f t="shared" si="0"/>
        <v>4167.84</v>
      </c>
      <c r="F56" s="41"/>
      <c r="G56" s="42"/>
      <c r="H56" s="43">
        <f>347.18*12</f>
        <v>4166.16</v>
      </c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(0.2+0.21)*6*90.7</f>
        <v>223.122</v>
      </c>
      <c r="E57" s="34">
        <f t="shared" si="0"/>
        <v>4167.84</v>
      </c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(1.14+1.21)*6*90.7</f>
        <v>1278.87</v>
      </c>
      <c r="E58" s="34">
        <f t="shared" si="0"/>
        <v>4167.84</v>
      </c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4.88*12*90.7+0.02</f>
        <v>5311.412000000001</v>
      </c>
      <c r="E59" s="34">
        <f t="shared" si="0"/>
        <v>4167.84</v>
      </c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277</v>
      </c>
      <c r="B60" s="47"/>
      <c r="C60" s="206" t="s">
        <v>353</v>
      </c>
      <c r="D60" s="207">
        <f>(1.58+1.67)*6*90.7</f>
        <v>1768.65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10704.434000000001</v>
      </c>
      <c r="E61" s="34">
        <f>D61+B21</f>
        <v>12195.544000000002</v>
      </c>
      <c r="F61" s="41"/>
      <c r="G61" s="1"/>
      <c r="H61" s="50">
        <f>E61-B20</f>
        <v>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>
        <v>0</v>
      </c>
      <c r="E63" s="34"/>
      <c r="F63" s="41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10704.434000000001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F65" s="1"/>
      <c r="G65" s="1"/>
      <c r="H65" s="34">
        <f>347.32*12</f>
        <v>4167.84</v>
      </c>
    </row>
    <row r="66" spans="1:8" ht="13.5" customHeight="1">
      <c r="A66" s="145"/>
      <c r="B66" s="145"/>
      <c r="C66" s="146"/>
      <c r="D66" s="113"/>
      <c r="E66" s="61"/>
      <c r="F66" s="1"/>
      <c r="G66" s="1"/>
      <c r="H66" s="34"/>
    </row>
    <row r="67" spans="1:5" ht="25.5" customHeight="1">
      <c r="A67" s="291" t="s">
        <v>73</v>
      </c>
      <c r="B67" s="291"/>
      <c r="C67" s="291"/>
      <c r="D67" s="113">
        <f>D68+D69</f>
        <v>-8926.310000000001</v>
      </c>
      <c r="E67" s="173"/>
    </row>
    <row r="68" spans="1:5" ht="15.75">
      <c r="A68" s="78" t="s">
        <v>74</v>
      </c>
      <c r="B68" s="114"/>
      <c r="C68" s="115"/>
      <c r="D68" s="113">
        <f>B16+B21-D62</f>
        <v>-4331.81</v>
      </c>
      <c r="E68" s="173"/>
    </row>
    <row r="69" spans="1:5" ht="15.75">
      <c r="A69" s="114" t="s">
        <v>75</v>
      </c>
      <c r="B69" s="114"/>
      <c r="C69" s="115"/>
      <c r="D69" s="113">
        <f>B17+B22-D65</f>
        <v>-4594.5</v>
      </c>
      <c r="E69" s="173"/>
    </row>
    <row r="70" spans="1:5" ht="13.5" customHeight="1">
      <c r="A70" s="294" t="s">
        <v>76</v>
      </c>
      <c r="B70" s="294"/>
      <c r="C70" s="294"/>
      <c r="D70" s="65">
        <v>0</v>
      </c>
      <c r="E70" s="173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84</v>
      </c>
      <c r="C83" s="70" t="s">
        <v>351</v>
      </c>
      <c r="D83" s="67" t="s">
        <v>85</v>
      </c>
    </row>
    <row r="84" spans="1:4" ht="24.75" customHeight="1">
      <c r="A84" s="31" t="s">
        <v>28</v>
      </c>
      <c r="B84" s="296"/>
      <c r="C84" s="70">
        <v>2.7</v>
      </c>
      <c r="D84" s="71" t="s">
        <v>85</v>
      </c>
    </row>
    <row r="85" spans="1:4" ht="43.5" customHeight="1">
      <c r="A85" s="31" t="s">
        <v>31</v>
      </c>
      <c r="B85" s="21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40">
      <selection activeCell="E73" sqref="E73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354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355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-2431.02</v>
      </c>
      <c r="C15" s="13"/>
      <c r="D15" s="14"/>
    </row>
    <row r="16" spans="1:4" ht="15.75">
      <c r="A16" s="15" t="s">
        <v>16</v>
      </c>
      <c r="B16" s="12">
        <v>-2431.02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B20+B27</f>
        <v>6148.62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5123.94</v>
      </c>
      <c r="C20" s="105" t="s">
        <v>356</v>
      </c>
      <c r="D20" s="14"/>
    </row>
    <row r="21" spans="1:5" ht="15">
      <c r="A21" s="9" t="s">
        <v>147</v>
      </c>
      <c r="B21" s="16">
        <v>312.5</v>
      </c>
      <c r="C21" s="19" t="s">
        <v>357</v>
      </c>
      <c r="D21" s="20"/>
      <c r="E21" s="17">
        <f>(0.51+0.65)*6*44.9</f>
        <v>312.504</v>
      </c>
    </row>
    <row r="22" spans="1:5" ht="15.75">
      <c r="A22" s="9" t="s">
        <v>28</v>
      </c>
      <c r="B22" s="118">
        <v>0</v>
      </c>
      <c r="C22" s="119">
        <v>0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1024.68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1024.68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5609.86</v>
      </c>
      <c r="C31" s="13" t="s">
        <v>19</v>
      </c>
      <c r="D31" s="14" t="s">
        <v>19</v>
      </c>
      <c r="E31" s="1">
        <f>B31/B18</f>
        <v>0.9123770862404897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4674.9654472710945</v>
      </c>
      <c r="C33" s="13"/>
      <c r="D33" s="14"/>
    </row>
    <row r="34" spans="1:4" ht="15">
      <c r="A34" s="9" t="s">
        <v>28</v>
      </c>
      <c r="B34" s="18">
        <v>0</v>
      </c>
      <c r="C34" s="18" t="s">
        <v>6</v>
      </c>
      <c r="D34" s="14" t="s">
        <v>19</v>
      </c>
    </row>
    <row r="35" spans="1:4" ht="15">
      <c r="A35" s="9" t="s">
        <v>29</v>
      </c>
      <c r="B35" s="18">
        <f>B37</f>
        <v>934.8945527289051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934.8945527289051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B43+B44+B45+B46</f>
        <v>934.8945527289051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934.8945527289051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(0.14+0.15)*6*44.9</f>
        <v>78.126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(1.2+2)*6*44.9</f>
        <v>862.0800000000002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(0.2+0.21)*6*44.9</f>
        <v>110.454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(0.2+0.21)*6*44.9</f>
        <v>110.454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>
        <v>0</v>
      </c>
      <c r="D58" s="207">
        <v>0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4.88*12*44.9-0.04</f>
        <v>2629.304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277</v>
      </c>
      <c r="B60" s="47"/>
      <c r="C60" s="206" t="s">
        <v>358</v>
      </c>
      <c r="D60" s="207">
        <f>(1.84+1.95)*6*44.9</f>
        <v>1021.0260000000001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4811.444</v>
      </c>
      <c r="E61" s="34">
        <f>D61+B21</f>
        <v>5123.944</v>
      </c>
      <c r="F61" s="41"/>
      <c r="H61" s="50">
        <f>E61-B20</f>
        <v>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>
        <v>0</v>
      </c>
      <c r="E63" s="34"/>
      <c r="F63" s="4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4811.444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3.5" customHeight="1">
      <c r="A66" s="215"/>
      <c r="B66" s="215"/>
      <c r="C66" s="215"/>
      <c r="D66" s="113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-2118.52</v>
      </c>
      <c r="E67" s="61"/>
    </row>
    <row r="68" spans="1:5" ht="15.75">
      <c r="A68" s="78" t="s">
        <v>74</v>
      </c>
      <c r="B68" s="114"/>
      <c r="C68" s="115"/>
      <c r="D68" s="113">
        <f>B16+B21-D62</f>
        <v>-2118.52</v>
      </c>
      <c r="E68" s="61"/>
    </row>
    <row r="69" spans="1:5" ht="15.75">
      <c r="A69" s="114" t="s">
        <v>75</v>
      </c>
      <c r="B69" s="114"/>
      <c r="C69" s="115"/>
      <c r="D69" s="205">
        <f>B17+B23-D65</f>
        <v>0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5.75" customHeight="1">
      <c r="A83" s="31" t="s">
        <v>77</v>
      </c>
      <c r="B83" s="69" t="s">
        <v>84</v>
      </c>
      <c r="C83" s="70" t="s">
        <v>356</v>
      </c>
      <c r="D83" s="67" t="s">
        <v>85</v>
      </c>
    </row>
    <row r="84" spans="1:4" ht="48.75" customHeight="1">
      <c r="A84" s="31" t="s">
        <v>31</v>
      </c>
      <c r="B84" s="216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64" zoomScaleNormal="64" zoomScalePageLayoutView="0" workbookViewId="0" topLeftCell="A50">
      <selection activeCell="D86" sqref="D86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359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360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6633.470000000001</v>
      </c>
      <c r="C15" s="13"/>
      <c r="D15" s="14"/>
    </row>
    <row r="16" spans="1:4" ht="15.75">
      <c r="A16" s="15" t="s">
        <v>16</v>
      </c>
      <c r="B16" s="12">
        <v>-20857.52</v>
      </c>
      <c r="C16" s="13"/>
      <c r="D16" s="14"/>
    </row>
    <row r="17" spans="1:4" ht="15.75">
      <c r="A17" s="15" t="s">
        <v>17</v>
      </c>
      <c r="B17" s="174">
        <v>27490.99</v>
      </c>
      <c r="C17" s="175" t="s">
        <v>19</v>
      </c>
      <c r="D17" s="14"/>
    </row>
    <row r="18" spans="1:5" ht="25.5">
      <c r="A18" s="11" t="s">
        <v>18</v>
      </c>
      <c r="B18" s="16">
        <f>B20+B22+B25+B23+B24</f>
        <v>627546.68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182408.88</v>
      </c>
      <c r="C20" s="105" t="s">
        <v>361</v>
      </c>
      <c r="D20" s="14"/>
    </row>
    <row r="21" spans="1:5" ht="15">
      <c r="A21" s="9" t="s">
        <v>147</v>
      </c>
      <c r="B21" s="16">
        <v>13571.49</v>
      </c>
      <c r="C21" s="19" t="s">
        <v>362</v>
      </c>
      <c r="D21" s="20"/>
      <c r="E21" s="17">
        <f>(0.7+1.32)*6*1119.76</f>
        <v>13571.4912</v>
      </c>
    </row>
    <row r="22" spans="1:5" ht="15.75">
      <c r="A22" s="9" t="s">
        <v>28</v>
      </c>
      <c r="B22" s="118">
        <v>29500.08</v>
      </c>
      <c r="C22" s="119">
        <v>2.7</v>
      </c>
      <c r="D22" s="20"/>
      <c r="E22" s="17"/>
    </row>
    <row r="23" spans="1:5" ht="15">
      <c r="A23" s="9" t="s">
        <v>149</v>
      </c>
      <c r="B23" s="16">
        <v>362.91</v>
      </c>
      <c r="C23" s="21">
        <v>0.14</v>
      </c>
      <c r="D23" s="20"/>
      <c r="E23" s="17"/>
    </row>
    <row r="24" spans="1:4" ht="15.75">
      <c r="A24" s="9" t="s">
        <v>167</v>
      </c>
      <c r="B24" s="120">
        <v>5526.9</v>
      </c>
      <c r="C24" s="177"/>
      <c r="D24" s="20" t="s">
        <v>30</v>
      </c>
    </row>
    <row r="25" spans="1:4" ht="15">
      <c r="A25" s="9" t="s">
        <v>29</v>
      </c>
      <c r="B25" s="16">
        <f>B27+B28+B29</f>
        <v>409747.91</v>
      </c>
      <c r="C25" s="152" t="s">
        <v>19</v>
      </c>
      <c r="D25" s="20"/>
    </row>
    <row r="26" spans="1:5" ht="15">
      <c r="A26" s="9" t="s">
        <v>20</v>
      </c>
      <c r="B26" s="16"/>
      <c r="C26" s="153"/>
      <c r="D26" s="27" t="s">
        <v>32</v>
      </c>
      <c r="E26" s="17"/>
    </row>
    <row r="27" spans="1:5" ht="15">
      <c r="A27" s="9" t="s">
        <v>31</v>
      </c>
      <c r="B27" s="16">
        <v>72671.05</v>
      </c>
      <c r="C27" s="152" t="s">
        <v>19</v>
      </c>
      <c r="D27" s="27" t="s">
        <v>32</v>
      </c>
      <c r="E27" s="17"/>
    </row>
    <row r="28" spans="1:5" ht="15">
      <c r="A28" s="9" t="s">
        <v>33</v>
      </c>
      <c r="B28" s="16">
        <v>121093.68</v>
      </c>
      <c r="C28" s="152" t="s">
        <v>19</v>
      </c>
      <c r="D28" s="28"/>
      <c r="E28" s="17"/>
    </row>
    <row r="29" spans="1:5" ht="15">
      <c r="A29" s="9" t="s">
        <v>34</v>
      </c>
      <c r="B29" s="16">
        <v>215983.18</v>
      </c>
      <c r="C29" s="152"/>
      <c r="D29" s="28"/>
      <c r="E29" s="17"/>
    </row>
    <row r="30" spans="1:5" ht="15">
      <c r="A30" s="9" t="s">
        <v>35</v>
      </c>
      <c r="B30" s="25"/>
      <c r="C30" s="152" t="s">
        <v>19</v>
      </c>
      <c r="D30" s="28"/>
      <c r="E30" s="17"/>
    </row>
    <row r="31" spans="1:5" ht="25.5">
      <c r="A31" s="11" t="s">
        <v>36</v>
      </c>
      <c r="B31" s="18">
        <v>617225.25</v>
      </c>
      <c r="C31" s="13" t="s">
        <v>19</v>
      </c>
      <c r="D31" s="14" t="s">
        <v>19</v>
      </c>
      <c r="E31" s="1">
        <f>B31/B18</f>
        <v>0.9835527294957563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179408.75180826389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29014.884204343172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403008.6752856815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71475.80958282259</v>
      </c>
      <c r="C37" s="13" t="s">
        <v>19</v>
      </c>
      <c r="D37" s="14"/>
    </row>
    <row r="38" spans="1:4" ht="15">
      <c r="A38" s="9" t="s">
        <v>33</v>
      </c>
      <c r="B38" s="18">
        <f>B28*E31</f>
        <v>119102.01948868568</v>
      </c>
      <c r="C38" s="13"/>
      <c r="D38" s="14"/>
    </row>
    <row r="39" spans="1:4" ht="15">
      <c r="A39" s="9" t="s">
        <v>34</v>
      </c>
      <c r="B39" s="18">
        <f>B29*E31</f>
        <v>212430.84621417325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</f>
        <v>403008.6752856815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71475.80958282259</v>
      </c>
      <c r="C43" s="13"/>
      <c r="D43" s="14"/>
    </row>
    <row r="44" spans="1:4" ht="15">
      <c r="A44" s="9" t="s">
        <v>33</v>
      </c>
      <c r="B44" s="18">
        <f>B38</f>
        <v>119102.01948868568</v>
      </c>
      <c r="C44" s="13"/>
      <c r="D44" s="14"/>
    </row>
    <row r="45" spans="1:4" ht="15">
      <c r="A45" s="9" t="s">
        <v>34</v>
      </c>
      <c r="B45" s="18">
        <f>B39</f>
        <v>212430.84621417325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720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363</v>
      </c>
      <c r="D52" s="207">
        <f>(0.4+0.7)*6*1119.76</f>
        <v>7390.416</v>
      </c>
      <c r="E52" s="34">
        <f>347.32*12</f>
        <v>4167.84</v>
      </c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 t="s">
        <v>51</v>
      </c>
      <c r="D53" s="207">
        <f>(2.1+2.23)*6*1119.76</f>
        <v>29091.3648</v>
      </c>
      <c r="E53" s="34">
        <f aca="true" t="shared" si="0" ref="E53:E59">347.32*12</f>
        <v>4167.84</v>
      </c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(1.2+2)*6*1119.76</f>
        <v>21499.392000000003</v>
      </c>
      <c r="E54" s="34">
        <f t="shared" si="0"/>
        <v>4167.84</v>
      </c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136</v>
      </c>
      <c r="D55" s="207">
        <f>(0.41+0.43)*6*1119.76</f>
        <v>5643.5904</v>
      </c>
      <c r="E55" s="34">
        <f t="shared" si="0"/>
        <v>4167.84</v>
      </c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251" t="s">
        <v>47</v>
      </c>
      <c r="C56" s="44" t="s">
        <v>364</v>
      </c>
      <c r="D56" s="207">
        <f>(0.82+0.54)*6*1119.76-2082.72-0.06</f>
        <v>7054.4616</v>
      </c>
      <c r="E56" s="34">
        <f t="shared" si="0"/>
        <v>4167.84</v>
      </c>
      <c r="F56" s="41"/>
      <c r="G56" s="42"/>
      <c r="H56" s="43">
        <f>347.18*12</f>
        <v>4166.16</v>
      </c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365</v>
      </c>
      <c r="D57" s="207">
        <f>(1.23+1.27)*6*1119.76</f>
        <v>16796.4</v>
      </c>
      <c r="E57" s="34">
        <f t="shared" si="0"/>
        <v>4167.84</v>
      </c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(1.14+1.21)*6*1119.76</f>
        <v>15788.615999999998</v>
      </c>
      <c r="E58" s="34">
        <f t="shared" si="0"/>
        <v>4167.84</v>
      </c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4.88*12*1119.76</f>
        <v>65573.1456</v>
      </c>
      <c r="E59" s="34">
        <f t="shared" si="0"/>
        <v>4167.84</v>
      </c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SUM(D52:D59)</f>
        <v>168837.3864</v>
      </c>
      <c r="E60" s="34">
        <f>D60+B21</f>
        <v>182408.87639999998</v>
      </c>
      <c r="F60" s="41"/>
      <c r="H60" s="50">
        <f>E60-B20</f>
        <v>-0.0036000000254716724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</f>
        <v>0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/>
      <c r="B62" s="52"/>
      <c r="C62" s="53"/>
      <c r="D62" s="212">
        <v>0</v>
      </c>
      <c r="E62" s="34"/>
      <c r="F62" s="45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212">
        <f>D60+D61</f>
        <v>168837.3864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13">
        <f>D65+D66</f>
        <v>15669.1</v>
      </c>
      <c r="E64" s="61"/>
      <c r="H64" s="34">
        <f>347.32*12</f>
        <v>4167.84</v>
      </c>
    </row>
    <row r="65" spans="1:8" ht="17.25" customHeight="1">
      <c r="A65" s="111" t="s">
        <v>366</v>
      </c>
      <c r="B65" s="145"/>
      <c r="C65" s="146"/>
      <c r="D65" s="217">
        <v>11793.17</v>
      </c>
      <c r="E65" s="61"/>
      <c r="H65" s="34"/>
    </row>
    <row r="66" spans="1:8" ht="21.75" customHeight="1">
      <c r="A66" s="111" t="s">
        <v>367</v>
      </c>
      <c r="B66" s="145"/>
      <c r="C66" s="146"/>
      <c r="D66" s="217">
        <v>3875.93</v>
      </c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34035.94000000001</v>
      </c>
      <c r="E67" s="61"/>
    </row>
    <row r="68" spans="1:5" ht="15.75">
      <c r="A68" s="78" t="s">
        <v>74</v>
      </c>
      <c r="B68" s="114"/>
      <c r="C68" s="115"/>
      <c r="D68" s="113">
        <f>B16+B21-D61</f>
        <v>-7286.030000000001</v>
      </c>
      <c r="E68" s="61"/>
    </row>
    <row r="69" spans="1:5" ht="15.75">
      <c r="A69" s="114" t="s">
        <v>75</v>
      </c>
      <c r="B69" s="114"/>
      <c r="C69" s="115"/>
      <c r="D69" s="113">
        <f>B17+B22-D64</f>
        <v>41321.97000000001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17.25" customHeight="1">
      <c r="A83" s="31" t="s">
        <v>77</v>
      </c>
      <c r="B83" s="296" t="s">
        <v>84</v>
      </c>
      <c r="C83" s="70" t="s">
        <v>361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249" t="s">
        <v>716</v>
      </c>
    </row>
    <row r="86" spans="1:4" ht="21" customHeight="1">
      <c r="A86" s="31" t="s">
        <v>33</v>
      </c>
      <c r="B86" s="297"/>
      <c r="C86" s="70" t="s">
        <v>89</v>
      </c>
      <c r="D86" s="249" t="s">
        <v>716</v>
      </c>
    </row>
    <row r="87" spans="1:4" ht="39.75" customHeight="1">
      <c r="A87" s="31" t="s">
        <v>34</v>
      </c>
      <c r="B87" s="73" t="s">
        <v>90</v>
      </c>
      <c r="C87" s="147" t="s">
        <v>91</v>
      </c>
      <c r="D87" s="71" t="s">
        <v>92</v>
      </c>
    </row>
    <row r="89" ht="12.75">
      <c r="A89" t="s">
        <v>93</v>
      </c>
    </row>
    <row r="91" ht="12.75">
      <c r="A91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4:C64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64" zoomScaleNormal="64" zoomScalePageLayoutView="0" workbookViewId="0" topLeftCell="A1">
      <selection activeCell="A6" sqref="A6"/>
    </sheetView>
  </sheetViews>
  <sheetFormatPr defaultColWidth="11.57421875" defaultRowHeight="12.75"/>
  <cols>
    <col min="1" max="1" width="62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313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368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369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61001.03</v>
      </c>
      <c r="C15" s="13"/>
      <c r="D15" s="14"/>
    </row>
    <row r="16" spans="1:4" ht="15.75">
      <c r="A16" s="15" t="s">
        <v>16</v>
      </c>
      <c r="B16" s="12">
        <v>47542.07</v>
      </c>
      <c r="C16" s="13"/>
      <c r="D16" s="14"/>
    </row>
    <row r="17" spans="1:4" ht="15.75">
      <c r="A17" s="15" t="s">
        <v>17</v>
      </c>
      <c r="B17" s="174">
        <v>13458.96</v>
      </c>
      <c r="C17" s="175" t="s">
        <v>19</v>
      </c>
      <c r="D17" s="14"/>
    </row>
    <row r="18" spans="1:5" ht="25.5">
      <c r="A18" s="11" t="s">
        <v>18</v>
      </c>
      <c r="B18" s="16">
        <f>B20+B25+B26</f>
        <v>174427.76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370</v>
      </c>
      <c r="B20" s="16">
        <v>71640.89</v>
      </c>
      <c r="C20" s="105"/>
      <c r="D20" s="14"/>
    </row>
    <row r="21" spans="1:5" ht="15">
      <c r="A21" s="9" t="s">
        <v>371</v>
      </c>
      <c r="B21" s="16"/>
      <c r="C21" s="19" t="s">
        <v>372</v>
      </c>
      <c r="D21" s="20"/>
      <c r="E21" s="17"/>
    </row>
    <row r="22" spans="1:5" ht="15">
      <c r="A22" s="9" t="s">
        <v>373</v>
      </c>
      <c r="B22" s="16"/>
      <c r="C22" s="19" t="s">
        <v>374</v>
      </c>
      <c r="D22" s="20"/>
      <c r="E22" s="17"/>
    </row>
    <row r="23" spans="1:5" ht="15.75">
      <c r="A23" s="59" t="s">
        <v>375</v>
      </c>
      <c r="B23" s="120"/>
      <c r="C23" s="19" t="s">
        <v>376</v>
      </c>
      <c r="D23" s="20"/>
      <c r="E23" s="17"/>
    </row>
    <row r="24" spans="1:5" ht="15">
      <c r="A24" s="9" t="s">
        <v>147</v>
      </c>
      <c r="B24" s="16">
        <v>4234.64</v>
      </c>
      <c r="C24" s="19" t="s">
        <v>377</v>
      </c>
      <c r="D24" s="20"/>
      <c r="E24" s="17">
        <f>(0.33+1.18)*6*467.4</f>
        <v>4234.644</v>
      </c>
    </row>
    <row r="25" spans="1:4" ht="15.75">
      <c r="A25" s="9" t="s">
        <v>28</v>
      </c>
      <c r="B25" s="171">
        <v>13433.04</v>
      </c>
      <c r="C25" s="172">
        <v>2.7</v>
      </c>
      <c r="D25" s="20" t="s">
        <v>30</v>
      </c>
    </row>
    <row r="26" spans="1:4" ht="15">
      <c r="A26" s="9" t="s">
        <v>29</v>
      </c>
      <c r="B26" s="16">
        <f>B28+B29+B30</f>
        <v>89353.83</v>
      </c>
      <c r="C26" s="218" t="s">
        <v>19</v>
      </c>
      <c r="D26" s="20"/>
    </row>
    <row r="27" spans="1:5" ht="15">
      <c r="A27" s="9" t="s">
        <v>20</v>
      </c>
      <c r="B27" s="16"/>
      <c r="C27" s="218"/>
      <c r="D27" s="27" t="s">
        <v>32</v>
      </c>
      <c r="E27" s="17"/>
    </row>
    <row r="28" spans="1:5" ht="15">
      <c r="A28" s="9" t="s">
        <v>31</v>
      </c>
      <c r="B28" s="16">
        <v>20199.43</v>
      </c>
      <c r="C28" s="218" t="s">
        <v>19</v>
      </c>
      <c r="D28" s="27" t="s">
        <v>32</v>
      </c>
      <c r="E28" s="17"/>
    </row>
    <row r="29" spans="1:5" ht="15">
      <c r="A29" s="9" t="s">
        <v>33</v>
      </c>
      <c r="B29" s="16">
        <v>23268.32</v>
      </c>
      <c r="C29" s="218" t="s">
        <v>19</v>
      </c>
      <c r="D29" s="28"/>
      <c r="E29" s="17"/>
    </row>
    <row r="30" spans="1:5" ht="15">
      <c r="A30" s="9" t="s">
        <v>34</v>
      </c>
      <c r="B30" s="16">
        <v>45886.08</v>
      </c>
      <c r="C30" s="218"/>
      <c r="D30" s="28"/>
      <c r="E30" s="17"/>
    </row>
    <row r="31" spans="1:5" ht="15">
      <c r="A31" s="9" t="s">
        <v>35</v>
      </c>
      <c r="B31" s="219"/>
      <c r="C31" s="218" t="s">
        <v>19</v>
      </c>
      <c r="D31" s="28"/>
      <c r="E31" s="17"/>
    </row>
    <row r="32" spans="1:5" ht="25.5">
      <c r="A32" s="11" t="s">
        <v>36</v>
      </c>
      <c r="B32" s="18">
        <v>171024.92</v>
      </c>
      <c r="C32" s="13" t="s">
        <v>19</v>
      </c>
      <c r="D32" s="14" t="s">
        <v>19</v>
      </c>
      <c r="E32" s="1">
        <f>B32/B18</f>
        <v>0.9804914080189988</v>
      </c>
    </row>
    <row r="33" spans="1:4" ht="15">
      <c r="A33" s="9" t="s">
        <v>20</v>
      </c>
      <c r="B33" s="18"/>
      <c r="C33" s="13"/>
      <c r="D33" s="14"/>
    </row>
    <row r="34" spans="1:4" ht="15">
      <c r="A34" s="9" t="s">
        <v>77</v>
      </c>
      <c r="B34" s="18">
        <f>B20*E32</f>
        <v>70243.2771078342</v>
      </c>
      <c r="C34" s="18" t="s">
        <v>6</v>
      </c>
      <c r="D34" s="14" t="s">
        <v>19</v>
      </c>
    </row>
    <row r="35" spans="1:4" ht="15">
      <c r="A35" s="9" t="s">
        <v>28</v>
      </c>
      <c r="B35" s="18">
        <f>B25*E32</f>
        <v>13170.980303575532</v>
      </c>
      <c r="C35" s="13" t="s">
        <v>19</v>
      </c>
      <c r="D35" s="14" t="s">
        <v>19</v>
      </c>
    </row>
    <row r="36" spans="1:4" ht="15">
      <c r="A36" s="9" t="s">
        <v>29</v>
      </c>
      <c r="B36" s="18">
        <f>B38+B39+B40</f>
        <v>87610.66258859026</v>
      </c>
      <c r="C36" s="13"/>
      <c r="D36" s="14"/>
    </row>
    <row r="37" spans="1:4" ht="15">
      <c r="A37" s="9" t="s">
        <v>20</v>
      </c>
      <c r="B37" s="18"/>
      <c r="C37" s="13" t="s">
        <v>19</v>
      </c>
      <c r="D37" s="14"/>
    </row>
    <row r="38" spans="1:4" ht="15">
      <c r="A38" s="9" t="s">
        <v>31</v>
      </c>
      <c r="B38" s="18">
        <f>B28*E32</f>
        <v>19805.367561881205</v>
      </c>
      <c r="C38" s="13" t="s">
        <v>19</v>
      </c>
      <c r="D38" s="14"/>
    </row>
    <row r="39" spans="1:4" ht="15">
      <c r="A39" s="9" t="s">
        <v>33</v>
      </c>
      <c r="B39" s="18">
        <f>B29*E32</f>
        <v>22814.38783903663</v>
      </c>
      <c r="C39" s="13"/>
      <c r="D39" s="14"/>
    </row>
    <row r="40" spans="1:4" ht="15">
      <c r="A40" s="9" t="s">
        <v>34</v>
      </c>
      <c r="B40" s="18">
        <f>B30*E32</f>
        <v>44990.90718767242</v>
      </c>
      <c r="C40" s="13"/>
      <c r="D40" s="14"/>
    </row>
    <row r="41" spans="1:4" ht="15">
      <c r="A41" s="9" t="s">
        <v>35</v>
      </c>
      <c r="B41" s="18">
        <v>0</v>
      </c>
      <c r="C41" s="13"/>
      <c r="D41" s="14"/>
    </row>
    <row r="42" spans="1:4" ht="38.25">
      <c r="A42" s="11" t="s">
        <v>40</v>
      </c>
      <c r="B42" s="18">
        <f>B44+B45+B46</f>
        <v>87610.66258859026</v>
      </c>
      <c r="C42" s="13" t="s">
        <v>19</v>
      </c>
      <c r="D42" s="14" t="s">
        <v>19</v>
      </c>
    </row>
    <row r="43" spans="1:4" ht="15">
      <c r="A43" s="9" t="s">
        <v>20</v>
      </c>
      <c r="B43" s="18"/>
      <c r="C43" s="13"/>
      <c r="D43" s="14"/>
    </row>
    <row r="44" spans="1:4" ht="15">
      <c r="A44" s="9" t="s">
        <v>31</v>
      </c>
      <c r="B44" s="18">
        <f>B38</f>
        <v>19805.367561881205</v>
      </c>
      <c r="C44" s="13"/>
      <c r="D44" s="14"/>
    </row>
    <row r="45" spans="1:4" ht="15">
      <c r="A45" s="9" t="s">
        <v>33</v>
      </c>
      <c r="B45" s="18">
        <f>B39</f>
        <v>22814.38783903663</v>
      </c>
      <c r="C45" s="13"/>
      <c r="D45" s="14"/>
    </row>
    <row r="46" spans="1:4" ht="15">
      <c r="A46" s="9" t="s">
        <v>34</v>
      </c>
      <c r="B46" s="18">
        <f>B40</f>
        <v>44990.90718767242</v>
      </c>
      <c r="C46" s="13"/>
      <c r="D46" s="14"/>
    </row>
    <row r="47" spans="1:4" ht="15">
      <c r="A47" s="9" t="s">
        <v>35</v>
      </c>
      <c r="B47" s="18">
        <v>0</v>
      </c>
      <c r="C47" s="13" t="s">
        <v>19</v>
      </c>
      <c r="D47" s="14"/>
    </row>
    <row r="48" ht="12.75">
      <c r="A48" s="4"/>
    </row>
    <row r="49" spans="1:10" ht="13.5" customHeight="1">
      <c r="A49" s="291" t="s">
        <v>41</v>
      </c>
      <c r="B49" s="291"/>
      <c r="C49" s="291"/>
      <c r="D49" s="291"/>
      <c r="I49" s="30"/>
      <c r="J49" s="30"/>
    </row>
    <row r="50" spans="1:10" ht="9" customHeight="1">
      <c r="A50" s="291"/>
      <c r="B50" s="291"/>
      <c r="C50" s="291"/>
      <c r="D50" s="291"/>
      <c r="I50" s="4"/>
      <c r="J50" s="4"/>
    </row>
    <row r="51" spans="1:10" ht="12.75">
      <c r="A51" s="4"/>
      <c r="C51" s="6" t="s">
        <v>10</v>
      </c>
      <c r="I51" s="4"/>
      <c r="J51" s="4"/>
    </row>
    <row r="52" spans="1:14" ht="66.75" customHeight="1">
      <c r="A52" s="8" t="s">
        <v>42</v>
      </c>
      <c r="B52" s="8" t="s">
        <v>43</v>
      </c>
      <c r="C52" s="8" t="s">
        <v>44</v>
      </c>
      <c r="D52" s="248" t="s">
        <v>715</v>
      </c>
      <c r="I52" s="3"/>
      <c r="J52" s="3"/>
      <c r="K52" s="3"/>
      <c r="L52" s="3"/>
      <c r="M52" s="3"/>
      <c r="N52" s="3"/>
    </row>
    <row r="53" spans="1:14" ht="15">
      <c r="A53" s="31" t="s">
        <v>112</v>
      </c>
      <c r="B53" s="32" t="s">
        <v>47</v>
      </c>
      <c r="C53" s="21" t="s">
        <v>48</v>
      </c>
      <c r="D53" s="207">
        <f>(0.14+0.15)*6*467.4</f>
        <v>813.2760000000001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49</v>
      </c>
      <c r="B54" s="32" t="s">
        <v>50</v>
      </c>
      <c r="C54" s="38" t="s">
        <v>51</v>
      </c>
      <c r="D54" s="207">
        <f>(2.1+2.23)*6*467.4</f>
        <v>12143.052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52</v>
      </c>
      <c r="B55" s="32" t="s">
        <v>50</v>
      </c>
      <c r="C55" s="38" t="s">
        <v>53</v>
      </c>
      <c r="D55" s="207">
        <f>(1.2+2)*6*467.4</f>
        <v>8974.080000000002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54</v>
      </c>
      <c r="B56" s="32" t="s">
        <v>47</v>
      </c>
      <c r="C56" s="156" t="s">
        <v>55</v>
      </c>
      <c r="D56" s="207">
        <f>(0.2+0.21)*6*467.4</f>
        <v>1149.8039999999999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56</v>
      </c>
      <c r="B57" s="251" t="s">
        <v>47</v>
      </c>
      <c r="C57" s="40" t="s">
        <v>378</v>
      </c>
      <c r="D57" s="207">
        <f>(1.07+0.61)*6*467.4-1759.03+0.69*52.3*6-41.84</f>
        <v>3127.044000000001</v>
      </c>
      <c r="E57" s="34"/>
      <c r="F57" s="41"/>
      <c r="G57" s="42"/>
      <c r="H57" s="43"/>
      <c r="I57" s="37"/>
      <c r="J57" s="37"/>
      <c r="K57" s="37"/>
      <c r="L57" s="37"/>
      <c r="M57" s="37"/>
      <c r="N57" s="37"/>
    </row>
    <row r="58" spans="1:14" ht="15">
      <c r="A58" s="31" t="s">
        <v>379</v>
      </c>
      <c r="B58" s="39"/>
      <c r="C58" s="40" t="s">
        <v>210</v>
      </c>
      <c r="D58" s="207">
        <f>(0.25+0.26)*6*51.5</f>
        <v>157.59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380</v>
      </c>
      <c r="B59" s="39" t="s">
        <v>47</v>
      </c>
      <c r="C59" s="40" t="s">
        <v>60</v>
      </c>
      <c r="D59" s="207">
        <f>(0.69+0.73)*6*(467.4-51.5)</f>
        <v>3543.468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63</v>
      </c>
      <c r="B60" s="39" t="s">
        <v>64</v>
      </c>
      <c r="C60" s="40" t="s">
        <v>65</v>
      </c>
      <c r="D60" s="207">
        <f>(1.14+1.21)*6*467.4</f>
        <v>6590.339999999998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0">
        <v>4.88</v>
      </c>
      <c r="D61" s="207">
        <f>4.88*12*467.4</f>
        <v>27370.944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31" t="s">
        <v>381</v>
      </c>
      <c r="B62" s="47"/>
      <c r="C62" s="201" t="s">
        <v>60</v>
      </c>
      <c r="D62" s="220">
        <f>(0.69+0.73)*6*(467.4-52.3)</f>
        <v>3536.6519999999996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/>
      <c r="D63" s="214">
        <f>SUM(D53:D62)</f>
        <v>67406.25</v>
      </c>
      <c r="E63" s="34">
        <f>D63+B24</f>
        <v>71640.89</v>
      </c>
      <c r="F63" s="41"/>
      <c r="H63" s="50">
        <f>E63-B20</f>
        <v>0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D65+D66</f>
        <v>46097.37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 t="s">
        <v>382</v>
      </c>
      <c r="B65" s="52"/>
      <c r="C65" s="53"/>
      <c r="D65" s="212">
        <v>45442.47</v>
      </c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51" t="s">
        <v>383</v>
      </c>
      <c r="B66" s="52"/>
      <c r="C66" s="53"/>
      <c r="D66" s="212">
        <v>654.9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14" ht="15.75">
      <c r="A67" s="221" t="s">
        <v>71</v>
      </c>
      <c r="B67" s="222"/>
      <c r="C67" s="223"/>
      <c r="D67" s="212">
        <f>D63+D64</f>
        <v>113503.62</v>
      </c>
      <c r="E67" s="34"/>
      <c r="F67" s="45"/>
      <c r="H67" s="50"/>
      <c r="I67" s="37"/>
      <c r="J67" s="37"/>
      <c r="K67" s="37"/>
      <c r="L67" s="37"/>
      <c r="M67" s="37"/>
      <c r="N67" s="37"/>
    </row>
    <row r="68" spans="1:8" ht="13.5" customHeight="1">
      <c r="A68" s="308" t="s">
        <v>72</v>
      </c>
      <c r="B68" s="308"/>
      <c r="C68" s="308"/>
      <c r="D68" s="113">
        <f>D69</f>
        <v>17958</v>
      </c>
      <c r="E68" s="61"/>
      <c r="H68" s="34"/>
    </row>
    <row r="69" spans="1:8" ht="17.25" customHeight="1">
      <c r="A69" s="114" t="s">
        <v>384</v>
      </c>
      <c r="B69" s="215"/>
      <c r="C69" s="215"/>
      <c r="D69" s="217">
        <v>17958</v>
      </c>
      <c r="E69" s="61"/>
      <c r="H69" s="34"/>
    </row>
    <row r="70" spans="1:5" ht="39.75" customHeight="1">
      <c r="A70" s="312" t="s">
        <v>73</v>
      </c>
      <c r="B70" s="312"/>
      <c r="C70" s="312"/>
      <c r="D70" s="60">
        <f>D71+D72</f>
        <v>14613.339999999997</v>
      </c>
      <c r="E70" s="61"/>
    </row>
    <row r="71" spans="1:5" ht="15.75">
      <c r="A71" s="62" t="s">
        <v>74</v>
      </c>
      <c r="B71" s="63"/>
      <c r="C71" s="64"/>
      <c r="D71" s="60">
        <f>B16+B24-D64</f>
        <v>5679.3399999999965</v>
      </c>
      <c r="E71" s="61"/>
    </row>
    <row r="72" spans="1:5" ht="15.75">
      <c r="A72" s="63" t="s">
        <v>75</v>
      </c>
      <c r="B72" s="63"/>
      <c r="C72" s="64"/>
      <c r="D72" s="60">
        <f>B17+B25-D68</f>
        <v>8934</v>
      </c>
      <c r="E72" s="61"/>
    </row>
    <row r="73" spans="1:5" ht="13.5" customHeight="1">
      <c r="A73" s="294" t="s">
        <v>76</v>
      </c>
      <c r="B73" s="294"/>
      <c r="C73" s="294"/>
      <c r="D73" s="65">
        <v>39529.341</v>
      </c>
      <c r="E73" s="61"/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77</v>
      </c>
      <c r="B75" s="290"/>
      <c r="C75" s="290"/>
      <c r="D75" s="66">
        <f>D73*B20/B18</f>
        <v>16235.472899230544</v>
      </c>
    </row>
    <row r="76" spans="1:4" ht="13.5" customHeight="1">
      <c r="A76" s="290" t="s">
        <v>28</v>
      </c>
      <c r="B76" s="290"/>
      <c r="C76" s="290"/>
      <c r="D76" s="66">
        <f>D73*B25/B18</f>
        <v>3044.2357273099187</v>
      </c>
    </row>
    <row r="77" spans="1:4" ht="13.5" customHeight="1">
      <c r="A77" s="290" t="s">
        <v>29</v>
      </c>
      <c r="B77" s="290"/>
      <c r="C77" s="290"/>
      <c r="D77" s="66">
        <f>SUM(D79:D81)</f>
        <v>20249.632373459535</v>
      </c>
    </row>
    <row r="78" spans="1:4" ht="15">
      <c r="A78" s="290" t="s">
        <v>20</v>
      </c>
      <c r="B78" s="290"/>
      <c r="C78" s="290"/>
      <c r="D78" s="66"/>
    </row>
    <row r="79" spans="1:4" ht="13.5" customHeight="1">
      <c r="A79" s="290" t="s">
        <v>31</v>
      </c>
      <c r="B79" s="290"/>
      <c r="C79" s="290"/>
      <c r="D79" s="66">
        <f>D73*B28/B18</f>
        <v>4577.655279616215</v>
      </c>
    </row>
    <row r="80" spans="1:4" ht="15">
      <c r="A80" s="290" t="s">
        <v>33</v>
      </c>
      <c r="B80" s="290"/>
      <c r="C80" s="290"/>
      <c r="D80" s="66">
        <f>D73*B29/B18</f>
        <v>5273.136316014836</v>
      </c>
    </row>
    <row r="81" spans="1:4" ht="15" customHeight="1">
      <c r="A81" s="290" t="s">
        <v>34</v>
      </c>
      <c r="B81" s="290"/>
      <c r="C81" s="290"/>
      <c r="D81" s="66">
        <f>D73*B30/B18</f>
        <v>10398.840777828484</v>
      </c>
    </row>
    <row r="82" spans="1:4" ht="15" customHeight="1">
      <c r="A82" s="290" t="s">
        <v>78</v>
      </c>
      <c r="B82" s="290"/>
      <c r="C82" s="290"/>
      <c r="D82" s="66"/>
    </row>
    <row r="83" spans="1:4" ht="15" customHeight="1">
      <c r="A83" s="290" t="s">
        <v>35</v>
      </c>
      <c r="B83" s="290"/>
      <c r="C83" s="290"/>
      <c r="D83" s="66"/>
    </row>
    <row r="84" spans="1:4" ht="25.5" customHeight="1">
      <c r="A84" s="295" t="s">
        <v>79</v>
      </c>
      <c r="B84" s="295"/>
      <c r="C84" s="295"/>
      <c r="D84" s="295"/>
    </row>
    <row r="85" spans="1:4" ht="38.25">
      <c r="A85" s="67" t="s">
        <v>80</v>
      </c>
      <c r="B85" s="68" t="s">
        <v>81</v>
      </c>
      <c r="C85" s="68" t="s">
        <v>82</v>
      </c>
      <c r="D85" s="67" t="s">
        <v>83</v>
      </c>
    </row>
    <row r="86" spans="1:4" ht="12.75" customHeight="1">
      <c r="A86" s="31" t="s">
        <v>385</v>
      </c>
      <c r="B86" s="306" t="s">
        <v>84</v>
      </c>
      <c r="C86" s="224" t="s">
        <v>372</v>
      </c>
      <c r="D86" s="67" t="s">
        <v>85</v>
      </c>
    </row>
    <row r="87" spans="1:4" ht="12.75" customHeight="1">
      <c r="A87" s="31" t="s">
        <v>386</v>
      </c>
      <c r="B87" s="306"/>
      <c r="C87" s="70" t="s">
        <v>374</v>
      </c>
      <c r="D87" s="67" t="s">
        <v>85</v>
      </c>
    </row>
    <row r="88" spans="1:4" ht="12.75" customHeight="1">
      <c r="A88" s="31" t="s">
        <v>387</v>
      </c>
      <c r="B88" s="306"/>
      <c r="C88" s="70" t="s">
        <v>376</v>
      </c>
      <c r="D88" s="67" t="s">
        <v>85</v>
      </c>
    </row>
    <row r="89" spans="1:4" ht="12.75">
      <c r="A89" s="31" t="s">
        <v>28</v>
      </c>
      <c r="B89" s="306"/>
      <c r="C89" s="70">
        <v>2.7</v>
      </c>
      <c r="D89" s="71" t="s">
        <v>85</v>
      </c>
    </row>
    <row r="90" spans="1:4" ht="19.5" customHeight="1">
      <c r="A90" s="31" t="s">
        <v>31</v>
      </c>
      <c r="B90" s="297" t="s">
        <v>86</v>
      </c>
      <c r="C90" s="70" t="s">
        <v>87</v>
      </c>
      <c r="D90" s="249" t="s">
        <v>716</v>
      </c>
    </row>
    <row r="91" spans="1:4" ht="21" customHeight="1">
      <c r="A91" s="31" t="s">
        <v>33</v>
      </c>
      <c r="B91" s="297"/>
      <c r="C91" s="70" t="s">
        <v>89</v>
      </c>
      <c r="D91" s="249" t="s">
        <v>716</v>
      </c>
    </row>
    <row r="92" spans="1:4" ht="39.75" customHeight="1">
      <c r="A92" s="31" t="s">
        <v>34</v>
      </c>
      <c r="B92" s="73" t="s">
        <v>90</v>
      </c>
      <c r="C92" s="147" t="s">
        <v>91</v>
      </c>
      <c r="D92" s="71" t="s">
        <v>92</v>
      </c>
    </row>
    <row r="94" ht="12.75">
      <c r="A94" t="s">
        <v>93</v>
      </c>
    </row>
    <row r="96" ht="12.75">
      <c r="A96" t="s">
        <v>95</v>
      </c>
    </row>
  </sheetData>
  <sheetProtection selectLockedCells="1" selectUnlockedCells="1"/>
  <mergeCells count="23">
    <mergeCell ref="A82:C82"/>
    <mergeCell ref="A83:C83"/>
    <mergeCell ref="A84:D84"/>
    <mergeCell ref="B86:B89"/>
    <mergeCell ref="B90:B91"/>
    <mergeCell ref="A76:C76"/>
    <mergeCell ref="A77:C77"/>
    <mergeCell ref="A78:C78"/>
    <mergeCell ref="A79:C79"/>
    <mergeCell ref="A80:C80"/>
    <mergeCell ref="A81:C81"/>
    <mergeCell ref="A49:D50"/>
    <mergeCell ref="A68:C68"/>
    <mergeCell ref="A70:C70"/>
    <mergeCell ref="A73:C73"/>
    <mergeCell ref="A74:C74"/>
    <mergeCell ref="A75:C75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64" zoomScaleNormal="64" zoomScalePageLayoutView="0" workbookViewId="0" topLeftCell="A52">
      <selection activeCell="D64" sqref="D6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388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389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314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723.3000000000002</v>
      </c>
      <c r="C15" s="13"/>
      <c r="D15" s="14"/>
    </row>
    <row r="16" spans="1:4" ht="15.75">
      <c r="A16" s="15" t="s">
        <v>16</v>
      </c>
      <c r="B16" s="12">
        <v>-6670.38</v>
      </c>
      <c r="C16" s="13"/>
      <c r="D16" s="14"/>
    </row>
    <row r="17" spans="1:4" ht="15.75">
      <c r="A17" s="15" t="s">
        <v>17</v>
      </c>
      <c r="B17" s="174">
        <v>7393.68</v>
      </c>
      <c r="C17" s="175" t="s">
        <v>19</v>
      </c>
      <c r="D17" s="14"/>
    </row>
    <row r="18" spans="1:5" ht="25.5">
      <c r="A18" s="11" t="s">
        <v>18</v>
      </c>
      <c r="B18" s="16">
        <f>B20+B24+B25</f>
        <v>174812.27000000002</v>
      </c>
      <c r="C18" s="105" t="s">
        <v>19</v>
      </c>
      <c r="D18" s="14" t="s">
        <v>19</v>
      </c>
      <c r="E18" s="17"/>
    </row>
    <row r="19" spans="1:8" ht="15">
      <c r="A19" s="9" t="s">
        <v>20</v>
      </c>
      <c r="B19" s="16"/>
      <c r="C19" s="105"/>
      <c r="D19" s="14"/>
      <c r="E19" s="1">
        <f>12.25*228.2</f>
        <v>2795.45</v>
      </c>
      <c r="H19" s="1">
        <f>13.72*228.2</f>
        <v>3130.904</v>
      </c>
    </row>
    <row r="20" spans="1:8" ht="15">
      <c r="A20" s="9" t="s">
        <v>21</v>
      </c>
      <c r="B20" s="16">
        <v>43319.23</v>
      </c>
      <c r="C20" s="105" t="s">
        <v>6</v>
      </c>
      <c r="D20" s="14"/>
      <c r="E20" s="1">
        <f>12.25*51.5</f>
        <v>630.875</v>
      </c>
      <c r="H20" s="1">
        <f>13.25*51.5</f>
        <v>682.375</v>
      </c>
    </row>
    <row r="21" spans="1:8" ht="15">
      <c r="A21" s="9" t="s">
        <v>390</v>
      </c>
      <c r="B21" s="16"/>
      <c r="C21" s="105" t="s">
        <v>391</v>
      </c>
      <c r="D21" s="14"/>
      <c r="E21" s="1">
        <f>SUM(E19:E20)</f>
        <v>3426.325</v>
      </c>
      <c r="H21" s="1">
        <f>SUM(H19:H20)</f>
        <v>3813.279</v>
      </c>
    </row>
    <row r="22" spans="1:4" ht="15">
      <c r="A22" s="9" t="s">
        <v>392</v>
      </c>
      <c r="B22" s="16"/>
      <c r="C22" s="105" t="s">
        <v>393</v>
      </c>
      <c r="D22" s="14"/>
    </row>
    <row r="23" spans="1:5" ht="15">
      <c r="A23" s="9" t="s">
        <v>147</v>
      </c>
      <c r="B23" s="16">
        <v>3255.71</v>
      </c>
      <c r="C23" s="19" t="s">
        <v>394</v>
      </c>
      <c r="D23" s="20"/>
      <c r="E23" s="17">
        <f>(0.8+1.14)*6*279.7</f>
        <v>3255.708</v>
      </c>
    </row>
    <row r="24" spans="1:5" ht="15.75">
      <c r="A24" s="9" t="s">
        <v>28</v>
      </c>
      <c r="B24" s="118">
        <v>7393.68</v>
      </c>
      <c r="C24" s="119">
        <v>2.7</v>
      </c>
      <c r="D24" s="20"/>
      <c r="E24" s="17"/>
    </row>
    <row r="25" spans="1:5" ht="15">
      <c r="A25" s="9" t="s">
        <v>29</v>
      </c>
      <c r="B25" s="16">
        <f>B27+B28+B29</f>
        <v>124099.36</v>
      </c>
      <c r="C25" s="21" t="s">
        <v>19</v>
      </c>
      <c r="D25" s="20"/>
      <c r="E25" s="17"/>
    </row>
    <row r="26" spans="1:4" ht="15.75">
      <c r="A26" s="9" t="s">
        <v>20</v>
      </c>
      <c r="B26" s="120"/>
      <c r="C26" s="177"/>
      <c r="D26" s="20" t="s">
        <v>30</v>
      </c>
    </row>
    <row r="27" spans="1:4" ht="15">
      <c r="A27" s="9" t="s">
        <v>31</v>
      </c>
      <c r="B27" s="16">
        <v>13932.34</v>
      </c>
      <c r="C27" s="152" t="s">
        <v>19</v>
      </c>
      <c r="D27" s="20"/>
    </row>
    <row r="28" spans="1:5" ht="15">
      <c r="A28" s="9" t="s">
        <v>33</v>
      </c>
      <c r="B28" s="16">
        <v>16049.08</v>
      </c>
      <c r="C28" s="152" t="s">
        <v>19</v>
      </c>
      <c r="D28" s="27" t="s">
        <v>32</v>
      </c>
      <c r="E28" s="17"/>
    </row>
    <row r="29" spans="1:5" ht="15">
      <c r="A29" s="9" t="s">
        <v>34</v>
      </c>
      <c r="B29" s="16">
        <v>94117.94</v>
      </c>
      <c r="C29" s="152"/>
      <c r="D29" s="27" t="s">
        <v>32</v>
      </c>
      <c r="E29" s="17"/>
    </row>
    <row r="30" spans="1:5" ht="15">
      <c r="A30" s="9" t="s">
        <v>35</v>
      </c>
      <c r="B30" s="16"/>
      <c r="C30" s="152" t="s">
        <v>19</v>
      </c>
      <c r="D30" s="28"/>
      <c r="E30" s="17"/>
    </row>
    <row r="31" spans="1:5" ht="25.5">
      <c r="A31" s="11" t="s">
        <v>36</v>
      </c>
      <c r="B31" s="18">
        <v>177166.2</v>
      </c>
      <c r="C31" s="13" t="s">
        <v>19</v>
      </c>
      <c r="D31" s="14" t="s">
        <v>19</v>
      </c>
      <c r="E31" s="1">
        <f>B31/B18</f>
        <v>1.0134654735620103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43902.54394629165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B24*E31</f>
        <v>7493.239402565965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125770.4166511424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14119.945555926939</v>
      </c>
      <c r="C37" s="13" t="s">
        <v>19</v>
      </c>
      <c r="D37" s="14"/>
    </row>
    <row r="38" spans="1:4" ht="15">
      <c r="A38" s="9" t="s">
        <v>33</v>
      </c>
      <c r="B38" s="18">
        <f>B28*E31</f>
        <v>16265.18846243459</v>
      </c>
      <c r="C38" s="13"/>
      <c r="D38" s="14"/>
    </row>
    <row r="39" spans="1:4" ht="15">
      <c r="A39" s="9" t="s">
        <v>34</v>
      </c>
      <c r="B39" s="18">
        <f>B29*E31</f>
        <v>95385.28263278087</v>
      </c>
      <c r="C39" s="13"/>
      <c r="D39" s="14"/>
    </row>
    <row r="40" spans="1:4" ht="15">
      <c r="A40" s="9" t="s">
        <v>35</v>
      </c>
      <c r="B40" s="18">
        <v>0</v>
      </c>
      <c r="C40" s="13"/>
      <c r="D40" s="14"/>
    </row>
    <row r="41" spans="1:4" ht="38.25">
      <c r="A41" s="11" t="s">
        <v>40</v>
      </c>
      <c r="B41" s="18">
        <f>B43+B44+B45</f>
        <v>125770.4166511424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14119.945555926939</v>
      </c>
      <c r="C43" s="13"/>
      <c r="D43" s="14"/>
    </row>
    <row r="44" spans="1:4" ht="15">
      <c r="A44" s="9" t="s">
        <v>33</v>
      </c>
      <c r="B44" s="18">
        <f>B38</f>
        <v>16265.18846243459</v>
      </c>
      <c r="C44" s="13"/>
      <c r="D44" s="14"/>
    </row>
    <row r="45" spans="1:4" ht="15">
      <c r="A45" s="9" t="s">
        <v>34</v>
      </c>
      <c r="B45" s="18">
        <f>B39</f>
        <v>95385.28263278087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(0.14+0.15)*6*279.7</f>
        <v>486.67800000000005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 t="s">
        <v>395</v>
      </c>
      <c r="D53" s="33">
        <f>(2.1+2.23)*6*279.7</f>
        <v>7266.606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(1.2+2)*6*279.7</f>
        <v>5370.240000000001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(0.2+0.21)*6*279.7</f>
        <v>688.062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396</v>
      </c>
      <c r="B56" s="39" t="s">
        <v>719</v>
      </c>
      <c r="C56" s="44" t="s">
        <v>397</v>
      </c>
      <c r="D56" s="33">
        <f>(0.66+0.7)*6*228.2-118.43+0.03</f>
        <v>1743.7119999999998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398</v>
      </c>
      <c r="B57" s="39"/>
      <c r="C57" s="44" t="s">
        <v>399</v>
      </c>
      <c r="D57" s="33">
        <f>(0.89+0.7)*6*51.5</f>
        <v>491.30999999999995</v>
      </c>
      <c r="E57" s="34"/>
      <c r="F57" s="41"/>
      <c r="G57" s="42"/>
      <c r="H57" s="43"/>
      <c r="I57" s="37"/>
      <c r="J57" s="37"/>
      <c r="K57" s="37"/>
      <c r="L57" s="37"/>
      <c r="M57" s="37"/>
      <c r="N57" s="37"/>
    </row>
    <row r="58" spans="1:14" ht="15">
      <c r="A58" s="31" t="s">
        <v>115</v>
      </c>
      <c r="B58" s="39" t="s">
        <v>47</v>
      </c>
      <c r="C58" s="44" t="s">
        <v>60</v>
      </c>
      <c r="D58" s="33">
        <f>(0.69+0.73)*6*279.7</f>
        <v>2383.044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63</v>
      </c>
      <c r="B59" s="39" t="s">
        <v>64</v>
      </c>
      <c r="C59" s="44" t="s">
        <v>65</v>
      </c>
      <c r="D59" s="33">
        <f>(1.14+1.21)*6*279.7</f>
        <v>3943.769999999999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66</v>
      </c>
      <c r="B60" s="39" t="s">
        <v>67</v>
      </c>
      <c r="C60" s="44">
        <v>4.88</v>
      </c>
      <c r="D60" s="33">
        <f>4.88*12*279.7+0.21*51.5*6</f>
        <v>16444.122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31" t="s">
        <v>400</v>
      </c>
      <c r="B61" s="47"/>
      <c r="C61" s="201" t="s">
        <v>60</v>
      </c>
      <c r="D61" s="33">
        <f>(0.44+0.47)*6*228.2</f>
        <v>1245.9719999999998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46" t="s">
        <v>68</v>
      </c>
      <c r="B62" s="47"/>
      <c r="C62" s="206"/>
      <c r="D62" s="214">
        <f>SUM(D52:D61)</f>
        <v>40063.516</v>
      </c>
      <c r="E62" s="34">
        <f>D62+B23</f>
        <v>43319.226</v>
      </c>
      <c r="F62" s="41"/>
      <c r="H62" s="50">
        <f>E62-B20</f>
        <v>-0.004000000000814907</v>
      </c>
      <c r="I62" s="37"/>
      <c r="J62" s="37"/>
      <c r="K62" s="37"/>
      <c r="L62" s="37"/>
      <c r="M62" s="37"/>
      <c r="N62" s="37"/>
    </row>
    <row r="63" spans="1:14" ht="15.75">
      <c r="A63" s="51" t="s">
        <v>69</v>
      </c>
      <c r="B63" s="52"/>
      <c r="C63" s="53"/>
      <c r="D63" s="212">
        <f>D64</f>
        <v>0</v>
      </c>
      <c r="E63" s="34"/>
      <c r="F63" s="41"/>
      <c r="H63" s="50"/>
      <c r="I63" s="37"/>
      <c r="J63" s="37"/>
      <c r="K63" s="37"/>
      <c r="L63" s="37"/>
      <c r="M63" s="37"/>
      <c r="N63" s="37"/>
    </row>
    <row r="64" spans="1:14" ht="15.75">
      <c r="A64" s="51"/>
      <c r="B64" s="52"/>
      <c r="C64" s="53"/>
      <c r="D64" s="212"/>
      <c r="E64" s="34"/>
      <c r="F64" s="45"/>
      <c r="H64" s="50"/>
      <c r="I64" s="37"/>
      <c r="J64" s="37"/>
      <c r="K64" s="37"/>
      <c r="L64" s="37"/>
      <c r="M64" s="37"/>
      <c r="N64" s="37"/>
    </row>
    <row r="65" spans="1:14" ht="15.75">
      <c r="A65" s="56" t="s">
        <v>71</v>
      </c>
      <c r="B65" s="57"/>
      <c r="C65" s="58"/>
      <c r="D65" s="212">
        <f>D62+D63</f>
        <v>40063.516</v>
      </c>
      <c r="E65" s="34"/>
      <c r="F65" s="45"/>
      <c r="H65" s="50"/>
      <c r="I65" s="37"/>
      <c r="J65" s="37"/>
      <c r="K65" s="37"/>
      <c r="L65" s="37"/>
      <c r="M65" s="37"/>
      <c r="N65" s="37"/>
    </row>
    <row r="66" spans="1:8" ht="13.5" customHeight="1">
      <c r="A66" s="302" t="s">
        <v>72</v>
      </c>
      <c r="B66" s="302"/>
      <c r="C66" s="302"/>
      <c r="D66" s="113">
        <f>D67</f>
        <v>0</v>
      </c>
      <c r="E66" s="61"/>
      <c r="H66" s="34"/>
    </row>
    <row r="67" spans="1:8" ht="17.25" customHeight="1">
      <c r="A67" s="114"/>
      <c r="B67" s="215"/>
      <c r="C67" s="215"/>
      <c r="D67" s="217"/>
      <c r="E67" s="61"/>
      <c r="H67" s="34"/>
    </row>
    <row r="68" spans="1:5" ht="25.5" customHeight="1">
      <c r="A68" s="291" t="s">
        <v>73</v>
      </c>
      <c r="B68" s="291"/>
      <c r="C68" s="291"/>
      <c r="D68" s="113">
        <f>D69+D70</f>
        <v>11372.69</v>
      </c>
      <c r="E68" s="61"/>
    </row>
    <row r="69" spans="1:5" ht="15.75">
      <c r="A69" s="78" t="s">
        <v>74</v>
      </c>
      <c r="B69" s="114"/>
      <c r="C69" s="115"/>
      <c r="D69" s="113">
        <f>B16+B23-D63</f>
        <v>-3414.67</v>
      </c>
      <c r="E69" s="61"/>
    </row>
    <row r="70" spans="1:5" ht="15.75">
      <c r="A70" s="63" t="s">
        <v>75</v>
      </c>
      <c r="B70" s="63"/>
      <c r="C70" s="64"/>
      <c r="D70" s="60">
        <f>B17+B24-D66</f>
        <v>14787.36</v>
      </c>
      <c r="E70" s="61"/>
    </row>
    <row r="71" spans="1:5" ht="13.5" customHeight="1">
      <c r="A71" s="294" t="s">
        <v>76</v>
      </c>
      <c r="B71" s="294"/>
      <c r="C71" s="294"/>
      <c r="D71" s="65">
        <v>0</v>
      </c>
      <c r="E71" s="61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D71*E23</f>
        <v>0</v>
      </c>
    </row>
    <row r="74" spans="1:4" ht="13.5" customHeight="1">
      <c r="A74" s="290" t="s">
        <v>28</v>
      </c>
      <c r="B74" s="290"/>
      <c r="C74" s="290"/>
      <c r="D74" s="66">
        <f>D71-D73-D75</f>
        <v>0</v>
      </c>
    </row>
    <row r="75" spans="1:4" ht="13.5" customHeight="1">
      <c r="A75" s="290" t="s">
        <v>29</v>
      </c>
      <c r="B75" s="290"/>
      <c r="C75" s="290"/>
      <c r="D75" s="66">
        <f>SUM(D77:D79)</f>
        <v>0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D71*E28</f>
        <v>0</v>
      </c>
    </row>
    <row r="78" spans="1:4" ht="15">
      <c r="A78" s="290" t="s">
        <v>33</v>
      </c>
      <c r="B78" s="290"/>
      <c r="C78" s="290"/>
      <c r="D78" s="66">
        <f>D71*E29</f>
        <v>0</v>
      </c>
    </row>
    <row r="79" spans="1:4" ht="15" customHeight="1">
      <c r="A79" s="290" t="s">
        <v>34</v>
      </c>
      <c r="B79" s="290"/>
      <c r="C79" s="290"/>
      <c r="D79" s="66">
        <f>D71*E30</f>
        <v>0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/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12.75" customHeight="1">
      <c r="A84" s="31" t="s">
        <v>390</v>
      </c>
      <c r="B84" s="296" t="s">
        <v>84</v>
      </c>
      <c r="C84" s="70" t="s">
        <v>391</v>
      </c>
      <c r="D84" s="67" t="s">
        <v>85</v>
      </c>
    </row>
    <row r="85" spans="1:4" ht="12.75" customHeight="1">
      <c r="A85" s="31" t="s">
        <v>392</v>
      </c>
      <c r="B85" s="296"/>
      <c r="C85" s="70" t="s">
        <v>393</v>
      </c>
      <c r="D85" s="67" t="s">
        <v>85</v>
      </c>
    </row>
    <row r="86" spans="1:4" ht="15.75" customHeight="1">
      <c r="A86" s="31" t="s">
        <v>28</v>
      </c>
      <c r="B86" s="296"/>
      <c r="C86" s="70">
        <v>2.7</v>
      </c>
      <c r="D86" s="71" t="s">
        <v>85</v>
      </c>
    </row>
    <row r="87" spans="1:4" ht="19.5" customHeight="1">
      <c r="A87" s="31" t="s">
        <v>31</v>
      </c>
      <c r="B87" s="297" t="s">
        <v>86</v>
      </c>
      <c r="C87" s="70" t="s">
        <v>87</v>
      </c>
      <c r="D87" s="249" t="s">
        <v>716</v>
      </c>
    </row>
    <row r="88" spans="1:4" ht="21" customHeight="1">
      <c r="A88" s="31" t="s">
        <v>33</v>
      </c>
      <c r="B88" s="297"/>
      <c r="C88" s="70" t="s">
        <v>89</v>
      </c>
      <c r="D88" s="249" t="s">
        <v>716</v>
      </c>
    </row>
    <row r="89" spans="1:4" ht="39.75" customHeight="1">
      <c r="A89" s="31" t="s">
        <v>34</v>
      </c>
      <c r="B89" s="73" t="s">
        <v>90</v>
      </c>
      <c r="C89" s="147" t="s">
        <v>91</v>
      </c>
      <c r="D89" s="71" t="s">
        <v>92</v>
      </c>
    </row>
    <row r="91" ht="12.75">
      <c r="A91" t="s">
        <v>93</v>
      </c>
    </row>
    <row r="93" ht="12.75">
      <c r="A93" t="s">
        <v>95</v>
      </c>
    </row>
  </sheetData>
  <sheetProtection selectLockedCells="1" selectUnlockedCells="1"/>
  <mergeCells count="23">
    <mergeCell ref="A80:C80"/>
    <mergeCell ref="A81:C81"/>
    <mergeCell ref="A82:D82"/>
    <mergeCell ref="B84:B86"/>
    <mergeCell ref="B87:B88"/>
    <mergeCell ref="A74:C74"/>
    <mergeCell ref="A75:C75"/>
    <mergeCell ref="A76:C76"/>
    <mergeCell ref="A77:C77"/>
    <mergeCell ref="A78:C78"/>
    <mergeCell ref="A79:C79"/>
    <mergeCell ref="A48:D49"/>
    <mergeCell ref="A66:C66"/>
    <mergeCell ref="A68:C68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13">
      <selection activeCell="B46" sqref="B46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401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402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2169.38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-35.5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2204.88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38767.78</v>
      </c>
      <c r="C18" s="105" t="s">
        <v>19</v>
      </c>
      <c r="D18" s="14" t="s">
        <v>19</v>
      </c>
      <c r="E18" s="194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10650.36</v>
      </c>
      <c r="C20" s="105" t="s">
        <v>403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12.27</v>
      </c>
      <c r="C21" s="19" t="s">
        <v>404</v>
      </c>
      <c r="D21" s="20"/>
      <c r="E21" s="17">
        <f>(0.01+0.01)*6*102.25</f>
        <v>12.27</v>
      </c>
      <c r="F21" s="1"/>
      <c r="G21" s="1"/>
      <c r="H21" s="1"/>
    </row>
    <row r="22" spans="1:8" ht="15.75">
      <c r="A22" s="9" t="s">
        <v>28</v>
      </c>
      <c r="B22" s="118">
        <v>2204.88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149</v>
      </c>
      <c r="B23" s="16">
        <v>0</v>
      </c>
      <c r="C23" s="21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20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B27+B28+B29</f>
        <v>25912.54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16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3013.98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0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16">
        <v>22898.56</v>
      </c>
      <c r="C29" s="152"/>
      <c r="D29" s="28"/>
      <c r="E29" s="17"/>
      <c r="F29" s="1"/>
      <c r="G29" s="1"/>
      <c r="H29" s="1"/>
    </row>
    <row r="30" spans="1:8" ht="15">
      <c r="A30" s="9" t="s">
        <v>35</v>
      </c>
      <c r="B30" s="16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35209.4</v>
      </c>
      <c r="C31" s="13" t="s">
        <v>19</v>
      </c>
      <c r="D31" s="14" t="s">
        <v>19</v>
      </c>
      <c r="E31" s="1">
        <f>B31/B18</f>
        <v>0.9082129541593561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9672.79491846064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2002.5005783668812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B37+B39</f>
        <v>23534.104503172483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2737.335679577216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20796.768823595266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23534.104503172483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2737.335679577216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20796.768823595266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(0.14+0.15)*6*102.25</f>
        <v>177.91500000000002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(1.2+2)*6*102.25</f>
        <v>1963.2000000000003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(0.2+0.21)*6*102.25</f>
        <v>251.535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245</v>
      </c>
      <c r="D57" s="207">
        <f>(0.64+0.68)*6*102.25</f>
        <v>809.8199999999999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405</v>
      </c>
      <c r="D58" s="207">
        <f>(0.54+0.03)*6*102.25</f>
        <v>349.69500000000005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 t="s">
        <v>406</v>
      </c>
      <c r="D59" s="207">
        <f>(4.32+4.88)*6*102.25</f>
        <v>5644.2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407</v>
      </c>
      <c r="B60" s="47"/>
      <c r="C60" s="201" t="s">
        <v>65</v>
      </c>
      <c r="D60" s="207">
        <f>(1.14+1.21)*6*102.25</f>
        <v>1441.7249999999997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206"/>
      <c r="D61" s="49">
        <f>SUM(D52:D60)</f>
        <v>10638.09</v>
      </c>
      <c r="E61" s="34">
        <f>D61+B21</f>
        <v>10650.36</v>
      </c>
      <c r="F61" s="41"/>
      <c r="G61" s="1"/>
      <c r="H61" s="50">
        <f>E61-B20</f>
        <v>0</v>
      </c>
      <c r="I61" s="45" t="s">
        <v>408</v>
      </c>
      <c r="J61" s="45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10638.09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1457.63</v>
      </c>
      <c r="E65" s="61"/>
      <c r="F65" s="1"/>
      <c r="G65" s="1"/>
      <c r="H65" s="34">
        <f>347.32*12</f>
        <v>4167.84</v>
      </c>
    </row>
    <row r="66" spans="1:8" ht="17.25" customHeight="1">
      <c r="A66" s="51" t="s">
        <v>409</v>
      </c>
      <c r="B66" s="145"/>
      <c r="C66" s="146"/>
      <c r="D66" s="212">
        <v>1457.63</v>
      </c>
      <c r="E66" s="61"/>
      <c r="F66" s="1"/>
      <c r="G66" s="1"/>
      <c r="H66" s="34"/>
    </row>
    <row r="67" spans="1:5" ht="25.5" customHeight="1">
      <c r="A67" s="291" t="s">
        <v>73</v>
      </c>
      <c r="B67" s="291"/>
      <c r="C67" s="291"/>
      <c r="D67" s="113">
        <f>D68+D69</f>
        <v>2928.9</v>
      </c>
      <c r="E67" s="173"/>
    </row>
    <row r="68" spans="1:5" ht="15.75">
      <c r="A68" s="78" t="s">
        <v>74</v>
      </c>
      <c r="B68" s="114"/>
      <c r="C68" s="115"/>
      <c r="D68" s="113">
        <f>B16+B21-D62</f>
        <v>-23.23</v>
      </c>
      <c r="E68" s="173"/>
    </row>
    <row r="69" spans="1:5" ht="15.75">
      <c r="A69" s="114" t="s">
        <v>75</v>
      </c>
      <c r="B69" s="114"/>
      <c r="C69" s="115"/>
      <c r="D69" s="113">
        <f>B17+B22-D65</f>
        <v>2952.13</v>
      </c>
      <c r="E69" s="173"/>
    </row>
    <row r="70" spans="1:5" ht="13.5" customHeight="1">
      <c r="A70" s="294" t="s">
        <v>76</v>
      </c>
      <c r="B70" s="294"/>
      <c r="C70" s="294"/>
      <c r="D70" s="65">
        <v>43873.44</v>
      </c>
      <c r="E70" s="173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12052.996855595035</v>
      </c>
    </row>
    <row r="73" spans="1:4" ht="13.5" customHeight="1">
      <c r="A73" s="290" t="s">
        <v>28</v>
      </c>
      <c r="B73" s="290"/>
      <c r="C73" s="290"/>
      <c r="D73" s="66">
        <f>D70*B22/B18</f>
        <v>2495.2594754510064</v>
      </c>
    </row>
    <row r="74" spans="1:4" ht="13.5" customHeight="1">
      <c r="A74" s="290" t="s">
        <v>29</v>
      </c>
      <c r="B74" s="290"/>
      <c r="C74" s="290"/>
      <c r="D74" s="66">
        <f>SUM(D76:D78)</f>
        <v>29325.183668953963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3410.916763642386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D70*B29/B18</f>
        <v>25914.26690531158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84</v>
      </c>
      <c r="C83" s="70" t="s">
        <v>403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39.7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6" spans="1:4" ht="39.75" customHeight="1">
      <c r="A86" s="31" t="s">
        <v>34</v>
      </c>
      <c r="B86" s="213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64" zoomScaleNormal="64" zoomScalePageLayoutView="0" workbookViewId="0" topLeftCell="A40">
      <selection activeCell="D83" sqref="D83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410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411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18425.63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14975.03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3450.6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B20+B24+B27</f>
        <v>22946.11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105</v>
      </c>
      <c r="B20" s="16">
        <v>13689</v>
      </c>
      <c r="C20" s="105" t="s">
        <v>6</v>
      </c>
      <c r="D20" s="14"/>
      <c r="E20" s="1"/>
      <c r="F20" s="1"/>
      <c r="G20" s="1"/>
      <c r="H20" s="1"/>
    </row>
    <row r="21" spans="1:8" ht="15">
      <c r="A21" s="9" t="s">
        <v>412</v>
      </c>
      <c r="B21" s="16"/>
      <c r="C21" s="105" t="s">
        <v>413</v>
      </c>
      <c r="D21" s="14"/>
      <c r="E21" s="1"/>
      <c r="F21" s="1"/>
      <c r="G21" s="1"/>
      <c r="H21" s="1"/>
    </row>
    <row r="22" spans="1:8" ht="15">
      <c r="A22" s="9" t="s">
        <v>414</v>
      </c>
      <c r="B22" s="16"/>
      <c r="C22" s="105" t="s">
        <v>415</v>
      </c>
      <c r="D22" s="14"/>
      <c r="E22" s="1"/>
      <c r="F22" s="1"/>
      <c r="G22" s="1"/>
      <c r="H22" s="1"/>
    </row>
    <row r="23" spans="1:8" ht="15">
      <c r="A23" s="9" t="s">
        <v>147</v>
      </c>
      <c r="B23" s="16">
        <v>4355.592000000001</v>
      </c>
      <c r="C23" s="19" t="s">
        <v>416</v>
      </c>
      <c r="D23" s="20"/>
      <c r="E23" s="17">
        <f>(2.32+2.76)*6*142.9</f>
        <v>4355.592000000001</v>
      </c>
      <c r="F23" s="1"/>
      <c r="G23" s="1"/>
      <c r="H23" s="1"/>
    </row>
    <row r="24" spans="1:8" ht="15.75">
      <c r="A24" s="9" t="s">
        <v>28</v>
      </c>
      <c r="B24" s="118">
        <v>3450.6</v>
      </c>
      <c r="C24" s="119">
        <v>2.7</v>
      </c>
      <c r="D24" s="20"/>
      <c r="E24" s="17"/>
      <c r="F24" s="1"/>
      <c r="G24" s="1"/>
      <c r="H24" s="1"/>
    </row>
    <row r="25" spans="1:8" ht="15">
      <c r="A25" s="9" t="s">
        <v>149</v>
      </c>
      <c r="B25" s="16">
        <v>0</v>
      </c>
      <c r="C25" s="21" t="s">
        <v>6</v>
      </c>
      <c r="D25" s="20"/>
      <c r="E25" s="17"/>
      <c r="F25" s="1"/>
      <c r="G25" s="1"/>
      <c r="H25" s="1"/>
    </row>
    <row r="26" spans="1:8" ht="15.75">
      <c r="A26" s="9" t="s">
        <v>167</v>
      </c>
      <c r="B26" s="120">
        <v>0</v>
      </c>
      <c r="C26" s="177"/>
      <c r="D26" s="20" t="s">
        <v>30</v>
      </c>
      <c r="E26" s="1"/>
      <c r="F26" s="1"/>
      <c r="G26" s="1"/>
      <c r="H26" s="1"/>
    </row>
    <row r="27" spans="1:8" ht="15">
      <c r="A27" s="9" t="s">
        <v>29</v>
      </c>
      <c r="B27" s="16">
        <f>B29</f>
        <v>5806.51</v>
      </c>
      <c r="C27" s="152" t="s">
        <v>19</v>
      </c>
      <c r="D27" s="20"/>
      <c r="E27" s="1"/>
      <c r="F27" s="1"/>
      <c r="G27" s="1"/>
      <c r="H27" s="1"/>
    </row>
    <row r="28" spans="1:8" ht="15">
      <c r="A28" s="9" t="s">
        <v>20</v>
      </c>
      <c r="B28" s="16"/>
      <c r="C28" s="153"/>
      <c r="D28" s="27" t="s">
        <v>32</v>
      </c>
      <c r="E28" s="17"/>
      <c r="F28" s="1"/>
      <c r="G28" s="1"/>
      <c r="H28" s="1"/>
    </row>
    <row r="29" spans="1:8" ht="15">
      <c r="A29" s="9" t="s">
        <v>31</v>
      </c>
      <c r="B29" s="16">
        <v>5806.51</v>
      </c>
      <c r="C29" s="152" t="s">
        <v>19</v>
      </c>
      <c r="D29" s="27" t="s">
        <v>32</v>
      </c>
      <c r="E29" s="17"/>
      <c r="F29" s="1"/>
      <c r="G29" s="1"/>
      <c r="H29" s="1"/>
    </row>
    <row r="30" spans="1:8" ht="15">
      <c r="A30" s="9" t="s">
        <v>33</v>
      </c>
      <c r="B30" s="16">
        <v>0</v>
      </c>
      <c r="C30" s="152" t="s">
        <v>19</v>
      </c>
      <c r="D30" s="28"/>
      <c r="E30" s="17"/>
      <c r="F30" s="1"/>
      <c r="G30" s="1"/>
      <c r="H30" s="1"/>
    </row>
    <row r="31" spans="1:8" ht="15">
      <c r="A31" s="9" t="s">
        <v>34</v>
      </c>
      <c r="B31" s="16">
        <v>0</v>
      </c>
      <c r="C31" s="152"/>
      <c r="D31" s="28"/>
      <c r="E31" s="17"/>
      <c r="F31" s="1"/>
      <c r="G31" s="1"/>
      <c r="H31" s="1"/>
    </row>
    <row r="32" spans="1:8" ht="15">
      <c r="A32" s="9" t="s">
        <v>35</v>
      </c>
      <c r="B32" s="25"/>
      <c r="C32" s="152" t="s">
        <v>19</v>
      </c>
      <c r="D32" s="28"/>
      <c r="E32" s="17"/>
      <c r="F32" s="1"/>
      <c r="G32" s="1"/>
      <c r="H32" s="1"/>
    </row>
    <row r="33" spans="1:8" ht="25.5">
      <c r="A33" s="11" t="s">
        <v>36</v>
      </c>
      <c r="B33" s="18">
        <v>34441.86</v>
      </c>
      <c r="C33" s="13" t="s">
        <v>19</v>
      </c>
      <c r="D33" s="14" t="s">
        <v>19</v>
      </c>
      <c r="E33" s="1">
        <f>B33/B18</f>
        <v>1.5009890565328938</v>
      </c>
      <c r="F33" s="1"/>
      <c r="G33" s="1"/>
      <c r="H33" s="1"/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20547.039194878784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5179.312838472403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</f>
        <v>8715.507966648815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8715.507966648815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v>0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</f>
        <v>8715.507966648815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8715.507966648815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v>0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E53" s="128"/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(0.14+0.15)*6*142.9</f>
        <v>248.64600000000004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v>0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(1.2+2)*6*142.9</f>
        <v>2743.6800000000003</v>
      </c>
      <c r="E56" s="34"/>
      <c r="F56" s="35"/>
      <c r="G56" s="36"/>
      <c r="H56" s="1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(0.2+0.21)*6*142.9</f>
        <v>351.534</v>
      </c>
      <c r="E57" s="34"/>
      <c r="F57" s="35"/>
      <c r="G57" s="36"/>
      <c r="H57" s="1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417</v>
      </c>
      <c r="B59" s="39" t="s">
        <v>47</v>
      </c>
      <c r="C59" s="44" t="s">
        <v>308</v>
      </c>
      <c r="D59" s="207">
        <f>(0.25+0.21)*6*70.4</f>
        <v>194.304</v>
      </c>
      <c r="E59" s="34"/>
      <c r="F59" s="41"/>
      <c r="G59" s="42"/>
      <c r="H59" s="1"/>
      <c r="I59" s="37"/>
      <c r="J59" s="37"/>
      <c r="K59" s="37"/>
      <c r="L59" s="37"/>
      <c r="M59" s="37"/>
      <c r="N59" s="37"/>
    </row>
    <row r="60" spans="1:14" ht="15">
      <c r="A60" s="31" t="s">
        <v>418</v>
      </c>
      <c r="B60" s="39"/>
      <c r="C60" s="44" t="s">
        <v>419</v>
      </c>
      <c r="D60" s="207">
        <f>0.05*6*72.5</f>
        <v>21.750000000000004</v>
      </c>
      <c r="E60" s="34"/>
      <c r="F60" s="41"/>
      <c r="G60" s="42"/>
      <c r="H60" s="1"/>
      <c r="I60" s="37"/>
      <c r="J60" s="37"/>
      <c r="K60" s="37"/>
      <c r="L60" s="37"/>
      <c r="M60" s="37"/>
      <c r="N60" s="37"/>
    </row>
    <row r="61" spans="1:14" ht="15">
      <c r="A61" s="31" t="s">
        <v>63</v>
      </c>
      <c r="B61" s="39" t="s">
        <v>64</v>
      </c>
      <c r="C61" s="44" t="s">
        <v>65</v>
      </c>
      <c r="D61" s="220">
        <f>(1.14+1.21)*6*142.9</f>
        <v>2014.8899999999999</v>
      </c>
      <c r="E61" s="34"/>
      <c r="F61" s="41"/>
      <c r="G61" s="42"/>
      <c r="H61" s="1"/>
      <c r="I61" s="37"/>
      <c r="J61" s="37"/>
      <c r="K61" s="37"/>
      <c r="L61" s="37"/>
      <c r="M61" s="37"/>
      <c r="N61" s="37"/>
    </row>
    <row r="62" spans="1:14" ht="15">
      <c r="A62" s="31" t="s">
        <v>66</v>
      </c>
      <c r="B62" s="39" t="s">
        <v>67</v>
      </c>
      <c r="C62" s="44">
        <v>4.88</v>
      </c>
      <c r="D62" s="220">
        <f>4.88*12*142.9-84.36+0.2*72.5*6+2.76</f>
        <v>8373.624</v>
      </c>
      <c r="E62" s="34"/>
      <c r="F62" s="41"/>
      <c r="G62" s="1"/>
      <c r="H62" s="45"/>
      <c r="I62" s="37"/>
      <c r="J62" s="37"/>
      <c r="K62" s="37"/>
      <c r="L62" s="37"/>
      <c r="M62" s="37"/>
      <c r="N62" s="37"/>
    </row>
    <row r="63" spans="1:14" ht="15">
      <c r="A63" s="31" t="s">
        <v>407</v>
      </c>
      <c r="B63" s="39"/>
      <c r="C63" s="44" t="s">
        <v>420</v>
      </c>
      <c r="D63" s="220">
        <f>(1.31+1.39)*6*142.9</f>
        <v>2314.9800000000005</v>
      </c>
      <c r="E63" s="34"/>
      <c r="F63" s="41"/>
      <c r="G63" s="1"/>
      <c r="H63" s="45"/>
      <c r="I63" s="37"/>
      <c r="J63" s="37"/>
      <c r="K63" s="37"/>
      <c r="L63" s="37"/>
      <c r="M63" s="37"/>
      <c r="N63" s="37"/>
    </row>
    <row r="64" spans="1:14" ht="15">
      <c r="A64" s="46" t="s">
        <v>68</v>
      </c>
      <c r="B64" s="47"/>
      <c r="C64" s="206"/>
      <c r="D64" s="214">
        <f>SUM(D54:D63)</f>
        <v>16263.408</v>
      </c>
      <c r="E64" s="34">
        <f>D64+B23</f>
        <v>20619</v>
      </c>
      <c r="F64" s="41"/>
      <c r="G64" s="1"/>
      <c r="H64" s="50">
        <f>E64-B20</f>
        <v>6930</v>
      </c>
      <c r="I64" s="45" t="s">
        <v>421</v>
      </c>
      <c r="J64" s="37"/>
      <c r="K64" s="37"/>
      <c r="L64" s="37"/>
      <c r="M64" s="37"/>
      <c r="N64" s="37"/>
    </row>
    <row r="65" spans="1:14" ht="15.75">
      <c r="A65" s="51" t="s">
        <v>69</v>
      </c>
      <c r="B65" s="52"/>
      <c r="C65" s="53"/>
      <c r="D65" s="212">
        <f>D66</f>
        <v>0</v>
      </c>
      <c r="E65" s="34"/>
      <c r="F65" s="41"/>
      <c r="G65" s="1"/>
      <c r="H65" s="50">
        <v>6930</v>
      </c>
      <c r="I65" s="45"/>
      <c r="J65" s="37"/>
      <c r="K65" s="37"/>
      <c r="L65" s="37"/>
      <c r="M65" s="37"/>
      <c r="N65" s="37"/>
    </row>
    <row r="66" spans="1:14" ht="15.75">
      <c r="A66" s="225"/>
      <c r="B66" s="226"/>
      <c r="C66" s="227"/>
      <c r="D66" s="212"/>
      <c r="E66" s="34"/>
      <c r="F66" s="45"/>
      <c r="G66" s="1"/>
      <c r="H66" s="50">
        <f>H65-H64</f>
        <v>0</v>
      </c>
      <c r="I66" s="45"/>
      <c r="J66" s="37"/>
      <c r="K66" s="37"/>
      <c r="L66" s="37"/>
      <c r="M66" s="37"/>
      <c r="N66" s="37"/>
    </row>
    <row r="67" spans="1:14" ht="15.75">
      <c r="A67" s="221" t="s">
        <v>71</v>
      </c>
      <c r="B67" s="222"/>
      <c r="C67" s="223"/>
      <c r="D67" s="212">
        <f>D64+D65</f>
        <v>16263.408</v>
      </c>
      <c r="E67" s="34"/>
      <c r="F67" s="45"/>
      <c r="G67" s="1"/>
      <c r="H67" s="50"/>
      <c r="I67" s="37"/>
      <c r="J67" s="37"/>
      <c r="K67" s="37"/>
      <c r="L67" s="37"/>
      <c r="M67" s="37"/>
      <c r="N67" s="37"/>
    </row>
    <row r="68" spans="1:8" ht="13.5" customHeight="1">
      <c r="A68" s="308" t="s">
        <v>72</v>
      </c>
      <c r="B68" s="308"/>
      <c r="C68" s="308"/>
      <c r="D68" s="113">
        <f>D69</f>
        <v>6931</v>
      </c>
      <c r="E68" s="61"/>
      <c r="F68" s="1"/>
      <c r="G68" s="1"/>
      <c r="H68" s="34"/>
    </row>
    <row r="69" spans="1:8" ht="17.25" customHeight="1">
      <c r="A69" s="111" t="s">
        <v>422</v>
      </c>
      <c r="B69" s="145"/>
      <c r="C69" s="146"/>
      <c r="D69" s="228">
        <v>6931</v>
      </c>
      <c r="E69" s="61"/>
      <c r="F69" s="1"/>
      <c r="G69" s="1"/>
      <c r="H69" s="34"/>
    </row>
    <row r="70" spans="1:5" ht="25.5" customHeight="1">
      <c r="A70" s="293" t="s">
        <v>73</v>
      </c>
      <c r="B70" s="293"/>
      <c r="C70" s="293"/>
      <c r="D70" s="60">
        <f>D71+D72</f>
        <v>19300.822000000004</v>
      </c>
      <c r="E70" s="173"/>
    </row>
    <row r="71" spans="1:5" ht="15.75">
      <c r="A71" s="62" t="s">
        <v>74</v>
      </c>
      <c r="B71" s="63"/>
      <c r="C71" s="64"/>
      <c r="D71" s="60">
        <f>B16+B23-D65</f>
        <v>19330.622000000003</v>
      </c>
      <c r="E71" s="173"/>
    </row>
    <row r="72" spans="1:5" ht="15.75">
      <c r="A72" s="63" t="s">
        <v>75</v>
      </c>
      <c r="B72" s="63"/>
      <c r="C72" s="64"/>
      <c r="D72" s="60">
        <f>B17+B24-D68</f>
        <v>-29.800000000000182</v>
      </c>
      <c r="E72" s="173"/>
    </row>
    <row r="73" spans="1:5" ht="13.5" customHeight="1">
      <c r="A73" s="294" t="s">
        <v>76</v>
      </c>
      <c r="B73" s="294"/>
      <c r="C73" s="294"/>
      <c r="D73" s="65">
        <v>0</v>
      </c>
      <c r="E73" s="173"/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77</v>
      </c>
      <c r="B75" s="290"/>
      <c r="C75" s="290"/>
      <c r="D75" s="66">
        <f>D73*E23</f>
        <v>0</v>
      </c>
    </row>
    <row r="76" spans="1:4" ht="13.5" customHeight="1">
      <c r="A76" s="290" t="s">
        <v>28</v>
      </c>
      <c r="B76" s="290"/>
      <c r="C76" s="290"/>
      <c r="D76" s="66">
        <f>D73-D75-D77</f>
        <v>0</v>
      </c>
    </row>
    <row r="77" spans="1:4" ht="13.5" customHeight="1">
      <c r="A77" s="290" t="s">
        <v>29</v>
      </c>
      <c r="B77" s="290"/>
      <c r="C77" s="290"/>
      <c r="D77" s="66">
        <f>SUM(D79:D81)</f>
        <v>0</v>
      </c>
    </row>
    <row r="78" spans="1:4" ht="15">
      <c r="A78" s="290" t="s">
        <v>20</v>
      </c>
      <c r="B78" s="290"/>
      <c r="C78" s="290"/>
      <c r="D78" s="66"/>
    </row>
    <row r="79" spans="1:4" ht="13.5" customHeight="1">
      <c r="A79" s="290" t="s">
        <v>31</v>
      </c>
      <c r="B79" s="290"/>
      <c r="C79" s="290"/>
      <c r="D79" s="66">
        <f>D73*E28</f>
        <v>0</v>
      </c>
    </row>
    <row r="80" spans="1:4" ht="15">
      <c r="A80" s="290" t="s">
        <v>33</v>
      </c>
      <c r="B80" s="290"/>
      <c r="C80" s="290"/>
      <c r="D80" s="66">
        <f>D73*E29</f>
        <v>0</v>
      </c>
    </row>
    <row r="81" spans="1:4" ht="15" customHeight="1">
      <c r="A81" s="290" t="s">
        <v>34</v>
      </c>
      <c r="B81" s="290"/>
      <c r="C81" s="290"/>
      <c r="D81" s="66">
        <f>D73*E30</f>
        <v>0</v>
      </c>
    </row>
    <row r="82" spans="1:4" ht="15">
      <c r="A82" s="290" t="s">
        <v>78</v>
      </c>
      <c r="B82" s="290"/>
      <c r="C82" s="290"/>
      <c r="D82" s="66"/>
    </row>
    <row r="83" spans="1:4" ht="15" customHeight="1">
      <c r="A83" s="290" t="s">
        <v>35</v>
      </c>
      <c r="B83" s="290"/>
      <c r="C83" s="290"/>
      <c r="D83" s="66"/>
    </row>
    <row r="84" spans="1:4" ht="25.5" customHeight="1">
      <c r="A84" s="295" t="s">
        <v>79</v>
      </c>
      <c r="B84" s="295"/>
      <c r="C84" s="295"/>
      <c r="D84" s="295"/>
    </row>
    <row r="85" spans="1:4" ht="38.25">
      <c r="A85" s="67" t="s">
        <v>80</v>
      </c>
      <c r="B85" s="68" t="s">
        <v>81</v>
      </c>
      <c r="C85" s="68" t="s">
        <v>82</v>
      </c>
      <c r="D85" s="67" t="s">
        <v>83</v>
      </c>
    </row>
    <row r="86" spans="1:4" ht="12.75" customHeight="1">
      <c r="A86" s="31" t="s">
        <v>423</v>
      </c>
      <c r="B86" s="296" t="s">
        <v>84</v>
      </c>
      <c r="C86" s="70" t="s">
        <v>413</v>
      </c>
      <c r="D86" s="67" t="s">
        <v>85</v>
      </c>
    </row>
    <row r="87" spans="1:4" ht="12.75" customHeight="1">
      <c r="A87" s="31" t="s">
        <v>414</v>
      </c>
      <c r="B87" s="296"/>
      <c r="C87" s="70" t="s">
        <v>415</v>
      </c>
      <c r="D87" s="67" t="s">
        <v>85</v>
      </c>
    </row>
    <row r="88" spans="1:4" ht="19.5" customHeight="1">
      <c r="A88" s="31" t="s">
        <v>28</v>
      </c>
      <c r="B88" s="296"/>
      <c r="C88" s="70">
        <v>2.7</v>
      </c>
      <c r="D88" s="71" t="s">
        <v>85</v>
      </c>
    </row>
    <row r="89" spans="1:4" ht="42" customHeight="1">
      <c r="A89" s="31" t="s">
        <v>31</v>
      </c>
      <c r="B89" s="140" t="s">
        <v>86</v>
      </c>
      <c r="C89" s="70" t="s">
        <v>87</v>
      </c>
      <c r="D89" s="71" t="s">
        <v>88</v>
      </c>
    </row>
    <row r="90" ht="12.75">
      <c r="D90" s="229"/>
    </row>
    <row r="91" ht="12.75">
      <c r="A91" t="s">
        <v>93</v>
      </c>
    </row>
    <row r="93" ht="12.75">
      <c r="A93" t="s">
        <v>95</v>
      </c>
    </row>
  </sheetData>
  <sheetProtection selectLockedCells="1" selectUnlockedCells="1"/>
  <mergeCells count="22">
    <mergeCell ref="A82:C82"/>
    <mergeCell ref="A83:C83"/>
    <mergeCell ref="A84:D84"/>
    <mergeCell ref="B86:B88"/>
    <mergeCell ref="A76:C76"/>
    <mergeCell ref="A77:C77"/>
    <mergeCell ref="A78:C78"/>
    <mergeCell ref="A79:C79"/>
    <mergeCell ref="A80:C80"/>
    <mergeCell ref="A81:C81"/>
    <mergeCell ref="A50:D51"/>
    <mergeCell ref="A68:C68"/>
    <mergeCell ref="A70:C70"/>
    <mergeCell ref="A73:C73"/>
    <mergeCell ref="A74:C74"/>
    <mergeCell ref="A75:C75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37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424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425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10313.6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8032.64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2280.96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22216.399999999998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17629.92</v>
      </c>
      <c r="C20" s="105" t="s">
        <v>426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4043.42</v>
      </c>
      <c r="C21" s="19" t="s">
        <v>427</v>
      </c>
      <c r="D21" s="20"/>
      <c r="E21" s="17">
        <f>(2.54+2.93)*6*123.2</f>
        <v>4043.424000000001</v>
      </c>
      <c r="F21" s="1"/>
      <c r="G21" s="1"/>
      <c r="H21" s="1"/>
    </row>
    <row r="22" spans="1:8" ht="15.75">
      <c r="A22" s="9" t="s">
        <v>28</v>
      </c>
      <c r="B22" s="118">
        <v>2280.96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149</v>
      </c>
      <c r="B23" s="16">
        <v>0</v>
      </c>
      <c r="C23" s="19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20">
        <v>0</v>
      </c>
      <c r="C24" s="196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</f>
        <v>2305.52</v>
      </c>
      <c r="C25" s="19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16"/>
      <c r="C26" s="19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2305.52</v>
      </c>
      <c r="C27" s="19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0</v>
      </c>
      <c r="C28" s="19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16">
        <v>0</v>
      </c>
      <c r="C29" s="19"/>
      <c r="D29" s="28"/>
      <c r="E29" s="17"/>
      <c r="F29" s="1"/>
      <c r="G29" s="1"/>
      <c r="H29" s="1"/>
    </row>
    <row r="30" spans="1:8" ht="15">
      <c r="A30" s="9" t="s">
        <v>35</v>
      </c>
      <c r="B30" s="16"/>
      <c r="C30" s="19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20935.91</v>
      </c>
      <c r="C31" s="13" t="s">
        <v>19</v>
      </c>
      <c r="D31" s="14" t="s">
        <v>19</v>
      </c>
      <c r="E31" s="1">
        <f>B31/B18</f>
        <v>0.9423628490664555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16613.781640013684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2149.4919642066225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2172.6363957796943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2172.6363957796943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2172.6363957796943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2172.6363957796943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(0.14+0.15)*6*123.2</f>
        <v>214.36800000000002</v>
      </c>
      <c r="E52" s="34">
        <f>347.32*12</f>
        <v>4167.84</v>
      </c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>
        <f aca="true" t="shared" si="0" ref="E53:E59">347.32*12</f>
        <v>4167.84</v>
      </c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(1.2+2)*6*123.2</f>
        <v>2365.4400000000005</v>
      </c>
      <c r="E54" s="34">
        <f t="shared" si="0"/>
        <v>4167.84</v>
      </c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(0.2+0.21)*6*123.2</f>
        <v>303.072</v>
      </c>
      <c r="E55" s="34">
        <f t="shared" si="0"/>
        <v>4167.84</v>
      </c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>
        <f t="shared" si="0"/>
        <v>4167.84</v>
      </c>
      <c r="F56" s="41"/>
      <c r="G56" s="42"/>
      <c r="H56" s="43">
        <f>347.18*12</f>
        <v>4166.16</v>
      </c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(0.2+0.21)*6*123.2</f>
        <v>303.072</v>
      </c>
      <c r="E57" s="34">
        <f t="shared" si="0"/>
        <v>4167.84</v>
      </c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428</v>
      </c>
      <c r="D58" s="207">
        <f>(1.14+1.21)*6*123.2</f>
        <v>1737.12</v>
      </c>
      <c r="E58" s="34">
        <f t="shared" si="0"/>
        <v>4167.84</v>
      </c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4.88*12*123.2</f>
        <v>7214.592000000001</v>
      </c>
      <c r="E59" s="34">
        <f t="shared" si="0"/>
        <v>4167.84</v>
      </c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407</v>
      </c>
      <c r="B60" s="39"/>
      <c r="C60" s="44" t="s">
        <v>429</v>
      </c>
      <c r="D60" s="207">
        <f>(0.95+1.01)*6*123.2</f>
        <v>1448.832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13586.496000000001</v>
      </c>
      <c r="E61" s="34">
        <f>D61+B21</f>
        <v>17629.916</v>
      </c>
      <c r="F61" s="41"/>
      <c r="G61" s="1"/>
      <c r="H61" s="50">
        <f>E61-B20</f>
        <v>-0.0039999999971769284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13586.496000000001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16031</v>
      </c>
      <c r="E65" s="61"/>
      <c r="F65" s="1"/>
      <c r="G65" s="1"/>
      <c r="H65" s="34">
        <f>347.32*12</f>
        <v>4167.84</v>
      </c>
    </row>
    <row r="66" spans="1:8" ht="17.25" customHeight="1">
      <c r="A66" s="111" t="s">
        <v>430</v>
      </c>
      <c r="B66" s="145"/>
      <c r="C66" s="146"/>
      <c r="D66" s="217">
        <v>16031</v>
      </c>
      <c r="E66" s="61"/>
      <c r="F66" s="1"/>
      <c r="G66" s="1"/>
      <c r="H66" s="34"/>
    </row>
    <row r="67" spans="1:5" ht="25.5" customHeight="1">
      <c r="A67" s="291" t="s">
        <v>73</v>
      </c>
      <c r="B67" s="291"/>
      <c r="C67" s="291"/>
      <c r="D67" s="113">
        <f>D68+D69</f>
        <v>606.9800000000014</v>
      </c>
      <c r="E67" s="173"/>
    </row>
    <row r="68" spans="1:5" ht="15.75">
      <c r="A68" s="78" t="s">
        <v>74</v>
      </c>
      <c r="B68" s="114"/>
      <c r="C68" s="115"/>
      <c r="D68" s="113">
        <f>B16+B21-D62</f>
        <v>12076.060000000001</v>
      </c>
      <c r="E68" s="173"/>
    </row>
    <row r="69" spans="1:5" ht="15.75">
      <c r="A69" s="114" t="s">
        <v>75</v>
      </c>
      <c r="B69" s="114"/>
      <c r="C69" s="115"/>
      <c r="D69" s="113">
        <f>B17+B22-D65</f>
        <v>-11469.08</v>
      </c>
      <c r="E69" s="173"/>
    </row>
    <row r="70" spans="1:5" ht="13.5" customHeight="1">
      <c r="A70" s="294" t="s">
        <v>76</v>
      </c>
      <c r="B70" s="294"/>
      <c r="C70" s="294"/>
      <c r="D70" s="65">
        <v>0</v>
      </c>
      <c r="E70" s="173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84</v>
      </c>
      <c r="C83" s="70" t="s">
        <v>426</v>
      </c>
      <c r="D83" s="67" t="s">
        <v>85</v>
      </c>
    </row>
    <row r="84" spans="1:4" ht="21" customHeight="1">
      <c r="A84" s="31" t="s">
        <v>28</v>
      </c>
      <c r="B84" s="296"/>
      <c r="C84" s="70">
        <v>2.7</v>
      </c>
      <c r="D84" s="71" t="s">
        <v>85</v>
      </c>
    </row>
    <row r="85" spans="1:4" ht="51.7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37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431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432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-26955.36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-26955.36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0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31107.93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15279.48</v>
      </c>
      <c r="C20" s="105" t="s">
        <v>433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3680.669999999999</v>
      </c>
      <c r="C21" s="19" t="s">
        <v>434</v>
      </c>
      <c r="D21" s="20"/>
      <c r="E21" s="17">
        <f>(2.76+3.19)*6*103.1</f>
        <v>3680.669999999999</v>
      </c>
      <c r="F21" s="1"/>
      <c r="G21" s="1"/>
      <c r="H21" s="1"/>
    </row>
    <row r="22" spans="1:8" ht="15.75">
      <c r="A22" s="9" t="s">
        <v>28</v>
      </c>
      <c r="B22" s="118">
        <v>0</v>
      </c>
      <c r="C22" s="119">
        <v>0</v>
      </c>
      <c r="D22" s="20"/>
      <c r="E22" s="17"/>
      <c r="F22" s="1"/>
      <c r="G22" s="1"/>
      <c r="H22" s="1"/>
    </row>
    <row r="23" spans="1:8" ht="15">
      <c r="A23" s="9" t="s">
        <v>149</v>
      </c>
      <c r="B23" s="16">
        <v>0</v>
      </c>
      <c r="C23" s="21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20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</f>
        <v>15828.45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16"/>
      <c r="C26" s="153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15828.45</v>
      </c>
      <c r="C27" s="178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0</v>
      </c>
      <c r="C28" s="178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16">
        <v>0</v>
      </c>
      <c r="C29" s="178"/>
      <c r="D29" s="28"/>
      <c r="E29" s="17"/>
      <c r="F29" s="1"/>
      <c r="G29" s="1"/>
      <c r="H29" s="1"/>
    </row>
    <row r="30" spans="1:8" ht="15">
      <c r="A30" s="9" t="s">
        <v>35</v>
      </c>
      <c r="B30" s="16"/>
      <c r="C30" s="178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31836.93</v>
      </c>
      <c r="C31" s="13" t="s">
        <v>19</v>
      </c>
      <c r="D31" s="14" t="s">
        <v>19</v>
      </c>
      <c r="E31" s="1">
        <f>B31/B18</f>
        <v>1.0234345390387596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15637.547570551946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16199.382429448055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16199.382429448055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16199.382429448055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16199.382429448055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(0.14+0.15)*6*103.1</f>
        <v>179.394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(1.2+2)*6*103.1</f>
        <v>1979.5200000000002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(0.2+0.21)*6*103.1</f>
        <v>253.62599999999998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(0.2+0.21)*6*103.1</f>
        <v>253.62599999999998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(1.14+1.21)*6*103.1</f>
        <v>1453.7099999999998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4.88*12*103.1+0.06</f>
        <v>6037.5960000000005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407</v>
      </c>
      <c r="B60" s="39"/>
      <c r="C60" s="44" t="s">
        <v>435</v>
      </c>
      <c r="D60" s="207">
        <f>(1.13+1.2)*6*103.1</f>
        <v>1441.338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11598.810000000001</v>
      </c>
      <c r="E61" s="34">
        <f>D61+B21</f>
        <v>15279.48</v>
      </c>
      <c r="F61" s="41"/>
      <c r="G61" s="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3150.6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 t="s">
        <v>154</v>
      </c>
      <c r="B63" s="52"/>
      <c r="C63" s="53"/>
      <c r="D63" s="212">
        <v>3150.6</v>
      </c>
      <c r="E63" s="34"/>
      <c r="F63" s="45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14749.410000000002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F65" s="1"/>
      <c r="G65" s="1"/>
      <c r="H65" s="34"/>
    </row>
    <row r="66" spans="1:8" ht="17.25" customHeight="1">
      <c r="A66" s="114"/>
      <c r="B66" s="215"/>
      <c r="C66" s="215"/>
      <c r="D66" s="217"/>
      <c r="E66" s="61"/>
      <c r="F66" s="1"/>
      <c r="G66" s="1"/>
      <c r="H66" s="34"/>
    </row>
    <row r="67" spans="1:5" ht="25.5" customHeight="1">
      <c r="A67" s="291" t="s">
        <v>73</v>
      </c>
      <c r="B67" s="291"/>
      <c r="C67" s="291"/>
      <c r="D67" s="113">
        <f>D68+D69</f>
        <v>-26425.29</v>
      </c>
      <c r="E67" s="173"/>
    </row>
    <row r="68" spans="1:5" ht="15.75">
      <c r="A68" s="78" t="s">
        <v>74</v>
      </c>
      <c r="B68" s="114"/>
      <c r="C68" s="115"/>
      <c r="D68" s="113">
        <f>B16+B21-D62</f>
        <v>-26425.29</v>
      </c>
      <c r="E68" s="173"/>
    </row>
    <row r="69" spans="1:5" ht="15.75">
      <c r="A69" s="63" t="s">
        <v>75</v>
      </c>
      <c r="B69" s="63"/>
      <c r="C69" s="64"/>
      <c r="D69" s="60">
        <f>B17+B23-D65</f>
        <v>0</v>
      </c>
      <c r="E69" s="173"/>
    </row>
    <row r="70" spans="1:5" ht="13.5" customHeight="1">
      <c r="A70" s="294" t="s">
        <v>76</v>
      </c>
      <c r="B70" s="294"/>
      <c r="C70" s="294"/>
      <c r="D70" s="65">
        <v>0</v>
      </c>
      <c r="E70" s="173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3.5" customHeight="1">
      <c r="A83" s="31" t="s">
        <v>77</v>
      </c>
      <c r="B83" s="69" t="s">
        <v>84</v>
      </c>
      <c r="C83" s="70" t="s">
        <v>433</v>
      </c>
      <c r="D83" s="67" t="s">
        <v>85</v>
      </c>
    </row>
    <row r="84" spans="1:4" ht="47.25" customHeight="1">
      <c r="A84" s="31" t="s">
        <v>31</v>
      </c>
      <c r="B84" s="140" t="s">
        <v>86</v>
      </c>
      <c r="C84" s="70" t="s">
        <v>87</v>
      </c>
      <c r="D84" s="71" t="s">
        <v>88</v>
      </c>
    </row>
    <row r="85" ht="12.75">
      <c r="D85" s="229"/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0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436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437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39">
      <c r="A15" s="11" t="s">
        <v>15</v>
      </c>
      <c r="B15" s="12">
        <f>B16+B17</f>
        <v>9264.13</v>
      </c>
      <c r="C15" s="13"/>
      <c r="D15" s="14"/>
      <c r="E15" s="1"/>
      <c r="F15" s="1"/>
      <c r="G15" s="1"/>
      <c r="H15" s="1"/>
    </row>
    <row r="16" spans="1:8" ht="15.75">
      <c r="A16" s="15" t="s">
        <v>16</v>
      </c>
      <c r="B16" s="12">
        <v>6286.57</v>
      </c>
      <c r="C16" s="13"/>
      <c r="D16" s="14"/>
      <c r="E16" s="1"/>
      <c r="F16" s="1"/>
      <c r="G16" s="1"/>
      <c r="H16" s="1"/>
    </row>
    <row r="17" spans="1:8" ht="15.75">
      <c r="A17" s="15" t="s">
        <v>17</v>
      </c>
      <c r="B17" s="174">
        <v>2977.56</v>
      </c>
      <c r="C17" s="175" t="s">
        <v>19</v>
      </c>
      <c r="D17" s="14"/>
      <c r="E17" s="1"/>
      <c r="F17" s="1"/>
      <c r="G17" s="1"/>
      <c r="H17" s="1"/>
    </row>
    <row r="18" spans="1:8" ht="25.5">
      <c r="A18" s="11" t="s">
        <v>18</v>
      </c>
      <c r="B18" s="16">
        <f>B20+B22+B25</f>
        <v>26989.36</v>
      </c>
      <c r="C18" s="105" t="s">
        <v>19</v>
      </c>
      <c r="D18" s="14" t="s">
        <v>19</v>
      </c>
      <c r="E18" s="17"/>
      <c r="F18" s="1"/>
      <c r="G18" s="1"/>
      <c r="H18" s="1"/>
    </row>
    <row r="19" spans="1:8" ht="15">
      <c r="A19" s="9" t="s">
        <v>20</v>
      </c>
      <c r="B19" s="16"/>
      <c r="C19" s="105"/>
      <c r="D19" s="14"/>
      <c r="E19" s="1"/>
      <c r="F19" s="1"/>
      <c r="G19" s="1"/>
      <c r="H19" s="1"/>
    </row>
    <row r="20" spans="1:8" ht="15">
      <c r="A20" s="9" t="s">
        <v>77</v>
      </c>
      <c r="B20" s="16">
        <v>16012.72</v>
      </c>
      <c r="C20" s="105" t="s">
        <v>438</v>
      </c>
      <c r="D20" s="14"/>
      <c r="E20" s="1"/>
      <c r="F20" s="1"/>
      <c r="G20" s="1"/>
      <c r="H20" s="1"/>
    </row>
    <row r="21" spans="1:8" ht="15">
      <c r="A21" s="9" t="s">
        <v>147</v>
      </c>
      <c r="B21" s="16">
        <v>630.8399999999998</v>
      </c>
      <c r="C21" s="19" t="s">
        <v>439</v>
      </c>
      <c r="D21" s="20"/>
      <c r="E21" s="17">
        <f>(0.3+0.4)*6*150.2</f>
        <v>630.8399999999998</v>
      </c>
      <c r="F21" s="1"/>
      <c r="G21" s="1"/>
      <c r="H21" s="1"/>
    </row>
    <row r="22" spans="1:8" ht="15.75">
      <c r="A22" s="9" t="s">
        <v>28</v>
      </c>
      <c r="B22" s="118">
        <v>2977.56</v>
      </c>
      <c r="C22" s="119">
        <v>2.7</v>
      </c>
      <c r="D22" s="20"/>
      <c r="E22" s="17"/>
      <c r="F22" s="1"/>
      <c r="G22" s="1"/>
      <c r="H22" s="1"/>
    </row>
    <row r="23" spans="1:8" ht="15">
      <c r="A23" s="9" t="s">
        <v>149</v>
      </c>
      <c r="B23" s="16">
        <v>0</v>
      </c>
      <c r="C23" s="195" t="s">
        <v>6</v>
      </c>
      <c r="D23" s="20"/>
      <c r="E23" s="17"/>
      <c r="F23" s="1"/>
      <c r="G23" s="1"/>
      <c r="H23" s="1"/>
    </row>
    <row r="24" spans="1:8" ht="15.75">
      <c r="A24" s="9" t="s">
        <v>167</v>
      </c>
      <c r="B24" s="120">
        <v>0</v>
      </c>
      <c r="C24" s="177"/>
      <c r="D24" s="20" t="s">
        <v>30</v>
      </c>
      <c r="E24" s="1"/>
      <c r="F24" s="1"/>
      <c r="G24" s="1"/>
      <c r="H24" s="1"/>
    </row>
    <row r="25" spans="1:8" ht="15">
      <c r="A25" s="9" t="s">
        <v>29</v>
      </c>
      <c r="B25" s="16">
        <f>B27</f>
        <v>7999.08</v>
      </c>
      <c r="C25" s="152" t="s">
        <v>19</v>
      </c>
      <c r="D25" s="20"/>
      <c r="E25" s="1"/>
      <c r="F25" s="1"/>
      <c r="G25" s="1"/>
      <c r="H25" s="1"/>
    </row>
    <row r="26" spans="1:8" ht="15">
      <c r="A26" s="9" t="s">
        <v>20</v>
      </c>
      <c r="B26" s="16"/>
      <c r="C26" s="152"/>
      <c r="D26" s="27" t="s">
        <v>32</v>
      </c>
      <c r="E26" s="17"/>
      <c r="F26" s="1"/>
      <c r="G26" s="1"/>
      <c r="H26" s="1"/>
    </row>
    <row r="27" spans="1:8" ht="15">
      <c r="A27" s="9" t="s">
        <v>31</v>
      </c>
      <c r="B27" s="16">
        <v>7999.08</v>
      </c>
      <c r="C27" s="152" t="s">
        <v>19</v>
      </c>
      <c r="D27" s="27" t="s">
        <v>32</v>
      </c>
      <c r="E27" s="17"/>
      <c r="F27" s="1"/>
      <c r="G27" s="1"/>
      <c r="H27" s="1"/>
    </row>
    <row r="28" spans="1:8" ht="15">
      <c r="A28" s="9" t="s">
        <v>33</v>
      </c>
      <c r="B28" s="16">
        <v>0</v>
      </c>
      <c r="C28" s="152" t="s">
        <v>19</v>
      </c>
      <c r="D28" s="28"/>
      <c r="E28" s="17"/>
      <c r="F28" s="1"/>
      <c r="G28" s="1"/>
      <c r="H28" s="1"/>
    </row>
    <row r="29" spans="1:8" ht="15">
      <c r="A29" s="9" t="s">
        <v>34</v>
      </c>
      <c r="B29" s="16">
        <v>0</v>
      </c>
      <c r="C29" s="152"/>
      <c r="D29" s="28"/>
      <c r="E29" s="17"/>
      <c r="F29" s="1"/>
      <c r="G29" s="1"/>
      <c r="H29" s="1"/>
    </row>
    <row r="30" spans="1:8" ht="15">
      <c r="A30" s="9" t="s">
        <v>35</v>
      </c>
      <c r="B30" s="16"/>
      <c r="C30" s="152" t="s">
        <v>19</v>
      </c>
      <c r="D30" s="28"/>
      <c r="E30" s="17"/>
      <c r="F30" s="1"/>
      <c r="G30" s="1"/>
      <c r="H30" s="1"/>
    </row>
    <row r="31" spans="1:8" ht="25.5">
      <c r="A31" s="11" t="s">
        <v>36</v>
      </c>
      <c r="B31" s="18">
        <v>27655.89</v>
      </c>
      <c r="C31" s="13" t="s">
        <v>19</v>
      </c>
      <c r="D31" s="14" t="s">
        <v>19</v>
      </c>
      <c r="E31" s="1">
        <f>B31/B18</f>
        <v>1.0246960283608058</v>
      </c>
      <c r="F31" s="1"/>
      <c r="G31" s="1"/>
      <c r="H31" s="1"/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16408.17058725364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3051.0939062060006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8196.625506540355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8196.625506540355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8196.625506540355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8" ht="15">
      <c r="A43" s="9" t="s">
        <v>31</v>
      </c>
      <c r="B43" s="18">
        <f>B37</f>
        <v>8196.625506540355</v>
      </c>
      <c r="C43" s="13"/>
      <c r="D43" s="14"/>
      <c r="H43" t="s">
        <v>6</v>
      </c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E51" s="29"/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30">
        <f>(0.14+0.15)*6*150.2</f>
        <v>261.348</v>
      </c>
      <c r="E52" s="34"/>
      <c r="F52" s="35"/>
      <c r="G52" s="36"/>
      <c r="H52" s="1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30">
        <v>0</v>
      </c>
      <c r="E53" s="34"/>
      <c r="F53" s="35"/>
      <c r="G53" s="36"/>
      <c r="H53" s="1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30">
        <f>(1.2+2)*6*150.2</f>
        <v>2883.84</v>
      </c>
      <c r="E54" s="34"/>
      <c r="F54" s="35"/>
      <c r="G54" s="36"/>
      <c r="H54" s="1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30">
        <f>(0.2+0.21)*6*150.2</f>
        <v>369.49199999999996</v>
      </c>
      <c r="E55" s="34"/>
      <c r="F55" s="35"/>
      <c r="G55" s="36"/>
      <c r="H55" s="1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30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30">
        <f>(0.2+0.21)*6*150.2</f>
        <v>369.49199999999996</v>
      </c>
      <c r="E57" s="34"/>
      <c r="F57" s="41"/>
      <c r="G57" s="42"/>
      <c r="H57" s="1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397</v>
      </c>
      <c r="D58" s="230">
        <f>(0.66+0.7)*6*150.2</f>
        <v>1225.6319999999998</v>
      </c>
      <c r="E58" s="34"/>
      <c r="F58" s="41"/>
      <c r="G58" s="42"/>
      <c r="H58" s="1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30">
        <f>4.88*12*150.2-154.81</f>
        <v>8640.902</v>
      </c>
      <c r="E59" s="34"/>
      <c r="F59" s="41"/>
      <c r="G59" s="1"/>
      <c r="H59" s="45"/>
      <c r="I59" s="37"/>
      <c r="J59" s="37"/>
      <c r="K59" s="37"/>
      <c r="L59" s="37"/>
      <c r="M59" s="37"/>
      <c r="N59" s="37"/>
    </row>
    <row r="60" spans="1:14" ht="15">
      <c r="A60" s="31" t="s">
        <v>407</v>
      </c>
      <c r="B60" s="39"/>
      <c r="C60" s="44" t="s">
        <v>440</v>
      </c>
      <c r="D60" s="230">
        <f>(0.88+0.93)*6*150.2</f>
        <v>1631.1719999999998</v>
      </c>
      <c r="E60" s="34"/>
      <c r="F60" s="41"/>
      <c r="G60" s="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31">
        <f>SUM(D52:D60)</f>
        <v>15381.878</v>
      </c>
      <c r="E61" s="34">
        <f>D61+B21</f>
        <v>16012.718</v>
      </c>
      <c r="F61" s="41"/>
      <c r="G61" s="1"/>
      <c r="H61" s="50">
        <f>E61-B20</f>
        <v>-0.0019999999985884642</v>
      </c>
      <c r="I61" s="45" t="s">
        <v>441</v>
      </c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G62" s="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G63" s="1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15381.878</v>
      </c>
      <c r="E64" s="34"/>
      <c r="F64" s="45"/>
      <c r="G64" s="1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F65" s="1"/>
      <c r="G65" s="1"/>
      <c r="H65" s="34"/>
    </row>
    <row r="66" spans="1:8" ht="17.25" customHeight="1">
      <c r="A66" s="114"/>
      <c r="B66" s="215"/>
      <c r="C66" s="215"/>
      <c r="D66" s="217"/>
      <c r="E66" s="61"/>
      <c r="F66" s="1"/>
      <c r="G66" s="1"/>
      <c r="H66" s="34"/>
    </row>
    <row r="67" spans="1:5" ht="25.5" customHeight="1">
      <c r="A67" s="291" t="s">
        <v>73</v>
      </c>
      <c r="B67" s="291"/>
      <c r="C67" s="291"/>
      <c r="D67" s="113">
        <f>D68+D69</f>
        <v>12872.529999999999</v>
      </c>
      <c r="E67" s="173"/>
    </row>
    <row r="68" spans="1:5" ht="15.75">
      <c r="A68" s="78" t="s">
        <v>74</v>
      </c>
      <c r="B68" s="114"/>
      <c r="C68" s="115"/>
      <c r="D68" s="113">
        <f>B16+B21-D62</f>
        <v>6917.41</v>
      </c>
      <c r="E68" s="173"/>
    </row>
    <row r="69" spans="1:5" ht="15.75">
      <c r="A69" s="63" t="s">
        <v>75</v>
      </c>
      <c r="B69" s="63"/>
      <c r="C69" s="64"/>
      <c r="D69" s="60">
        <f>B17+B22-D65</f>
        <v>5955.12</v>
      </c>
      <c r="E69" s="173"/>
    </row>
    <row r="70" spans="1:5" ht="13.5" customHeight="1">
      <c r="A70" s="294" t="s">
        <v>76</v>
      </c>
      <c r="B70" s="294"/>
      <c r="C70" s="294"/>
      <c r="D70" s="65">
        <v>0</v>
      </c>
      <c r="E70" s="173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438</v>
      </c>
      <c r="D83" s="67" t="s">
        <v>85</v>
      </c>
    </row>
    <row r="84" spans="1:4" ht="18.75" customHeight="1">
      <c r="A84" s="31" t="s">
        <v>28</v>
      </c>
      <c r="B84" s="296"/>
      <c r="C84" s="70">
        <v>2.7</v>
      </c>
      <c r="D84" s="71" t="s">
        <v>85</v>
      </c>
    </row>
    <row r="85" spans="1:4" ht="43.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2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PageLayoutView="0" workbookViewId="0" topLeftCell="A7">
      <selection activeCell="A1" sqref="A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117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118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-5744.280000000001</v>
      </c>
      <c r="C15" s="13"/>
      <c r="D15" s="14"/>
    </row>
    <row r="16" spans="1:4" ht="15.75">
      <c r="A16" s="15" t="s">
        <v>16</v>
      </c>
      <c r="B16" s="12">
        <v>11252.13</v>
      </c>
      <c r="C16" s="13"/>
      <c r="D16" s="14"/>
    </row>
    <row r="17" spans="1:4" ht="15.75">
      <c r="A17" s="15" t="s">
        <v>17</v>
      </c>
      <c r="B17" s="12">
        <v>-16996.41</v>
      </c>
      <c r="C17" s="13"/>
      <c r="D17" s="14"/>
    </row>
    <row r="18" spans="1:5" ht="25.5">
      <c r="A18" s="11" t="s">
        <v>18</v>
      </c>
      <c r="B18" s="16">
        <f>B20+B22+B23+B24+B25</f>
        <v>254094.47</v>
      </c>
      <c r="C18" s="13" t="s">
        <v>19</v>
      </c>
      <c r="D18" s="14" t="s">
        <v>19</v>
      </c>
      <c r="E18" s="17"/>
    </row>
    <row r="19" spans="1:4" ht="15">
      <c r="A19" s="9" t="s">
        <v>20</v>
      </c>
      <c r="B19" s="18"/>
      <c r="C19" s="13"/>
      <c r="D19" s="14"/>
    </row>
    <row r="20" spans="1:4" ht="15">
      <c r="A20" s="9" t="s">
        <v>77</v>
      </c>
      <c r="B20" s="16">
        <v>59686.44</v>
      </c>
      <c r="C20" s="105" t="s">
        <v>119</v>
      </c>
      <c r="D20" s="14"/>
    </row>
    <row r="21" spans="1:5" ht="15">
      <c r="A21" s="9" t="s">
        <v>120</v>
      </c>
      <c r="B21" s="16">
        <v>3400.15</v>
      </c>
      <c r="C21" s="21" t="s">
        <v>121</v>
      </c>
      <c r="D21" s="20"/>
      <c r="E21" s="17">
        <f>(0.46+1.02)*6*382.9</f>
        <v>3400.1519999999996</v>
      </c>
    </row>
    <row r="22" spans="1:5" ht="15.75">
      <c r="A22" s="9" t="s">
        <v>28</v>
      </c>
      <c r="B22" s="118">
        <v>4685.04</v>
      </c>
      <c r="C22" s="119">
        <v>2.7</v>
      </c>
      <c r="D22" s="20"/>
      <c r="E22" s="17"/>
    </row>
    <row r="23" spans="1:5" ht="15.75">
      <c r="A23" s="9" t="s">
        <v>38</v>
      </c>
      <c r="B23" s="120"/>
      <c r="C23" s="23" t="s">
        <v>6</v>
      </c>
      <c r="D23" s="20"/>
      <c r="E23" s="17"/>
    </row>
    <row r="24" spans="1:4" ht="15">
      <c r="A24" s="9" t="s">
        <v>37</v>
      </c>
      <c r="B24" s="16"/>
      <c r="C24" s="24"/>
      <c r="D24" s="20" t="s">
        <v>30</v>
      </c>
    </row>
    <row r="25" spans="1:4" ht="15">
      <c r="A25" s="9" t="s">
        <v>29</v>
      </c>
      <c r="B25" s="16">
        <f>B27+B28+B29</f>
        <v>189722.99</v>
      </c>
      <c r="C25" s="24" t="s">
        <v>19</v>
      </c>
      <c r="D25" s="20"/>
    </row>
    <row r="26" spans="1:5" ht="15">
      <c r="A26" s="9" t="s">
        <v>20</v>
      </c>
      <c r="B26" s="16"/>
      <c r="C26" s="26"/>
      <c r="D26" s="27" t="s">
        <v>32</v>
      </c>
      <c r="E26" s="17"/>
    </row>
    <row r="27" spans="1:5" ht="15">
      <c r="A27" s="9" t="s">
        <v>31</v>
      </c>
      <c r="B27" s="16">
        <v>28289.91</v>
      </c>
      <c r="C27" s="26" t="s">
        <v>19</v>
      </c>
      <c r="D27" s="27" t="s">
        <v>32</v>
      </c>
      <c r="E27" s="17"/>
    </row>
    <row r="28" spans="1:5" ht="15">
      <c r="A28" s="9" t="s">
        <v>33</v>
      </c>
      <c r="B28" s="16">
        <v>32588.75</v>
      </c>
      <c r="C28" s="26" t="s">
        <v>19</v>
      </c>
      <c r="D28" s="28"/>
      <c r="E28" s="17"/>
    </row>
    <row r="29" spans="1:5" ht="15">
      <c r="A29" s="9" t="s">
        <v>34</v>
      </c>
      <c r="B29" s="16">
        <v>128844.33</v>
      </c>
      <c r="C29" s="24"/>
      <c r="D29" s="20" t="s">
        <v>6</v>
      </c>
      <c r="E29" s="17"/>
    </row>
    <row r="30" spans="1:5" ht="25.5">
      <c r="A30" s="11" t="s">
        <v>36</v>
      </c>
      <c r="B30" s="18">
        <v>222375.96</v>
      </c>
      <c r="C30" s="13" t="s">
        <v>19</v>
      </c>
      <c r="D30" s="14" t="s">
        <v>19</v>
      </c>
      <c r="E30" s="1">
        <f>B30/B18</f>
        <v>0.8751704041414203</v>
      </c>
    </row>
    <row r="31" spans="1:4" ht="15">
      <c r="A31" s="9" t="s">
        <v>20</v>
      </c>
      <c r="B31" s="18"/>
      <c r="C31" s="13"/>
      <c r="D31" s="14"/>
    </row>
    <row r="32" spans="1:4" ht="15">
      <c r="A32" s="9" t="s">
        <v>77</v>
      </c>
      <c r="B32" s="18">
        <f>B20*E30</f>
        <v>52235.805816562635</v>
      </c>
      <c r="C32" s="13"/>
      <c r="D32" s="14"/>
    </row>
    <row r="33" spans="1:4" ht="15">
      <c r="A33" s="9" t="s">
        <v>28</v>
      </c>
      <c r="B33" s="18">
        <f>B22*E30</f>
        <v>4100.20835021872</v>
      </c>
      <c r="C33" s="13">
        <v>0</v>
      </c>
      <c r="D33" s="14" t="s">
        <v>19</v>
      </c>
    </row>
    <row r="34" spans="1:4" ht="15">
      <c r="A34" s="9" t="s">
        <v>29</v>
      </c>
      <c r="B34" s="18">
        <f>B36+B37+B38</f>
        <v>166039.94583321866</v>
      </c>
      <c r="C34" s="13"/>
      <c r="D34" s="14"/>
    </row>
    <row r="35" spans="1:4" ht="15">
      <c r="A35" s="9" t="s">
        <v>20</v>
      </c>
      <c r="B35" s="18"/>
      <c r="C35" s="18" t="s">
        <v>6</v>
      </c>
      <c r="D35" s="14" t="s">
        <v>19</v>
      </c>
    </row>
    <row r="36" spans="1:4" ht="15">
      <c r="A36" s="9" t="s">
        <v>31</v>
      </c>
      <c r="B36" s="18">
        <f>B27*E30</f>
        <v>24758.491967824408</v>
      </c>
      <c r="C36" s="13" t="s">
        <v>19</v>
      </c>
      <c r="D36" s="14" t="s">
        <v>19</v>
      </c>
    </row>
    <row r="37" spans="1:4" ht="15">
      <c r="A37" s="9" t="s">
        <v>33</v>
      </c>
      <c r="B37" s="18">
        <f>B28*E30</f>
        <v>28520.70950796371</v>
      </c>
      <c r="C37" s="13"/>
      <c r="D37" s="14"/>
    </row>
    <row r="38" spans="1:4" ht="15">
      <c r="A38" s="9" t="s">
        <v>34</v>
      </c>
      <c r="B38" s="18">
        <f>B29*E30</f>
        <v>112760.74435743054</v>
      </c>
      <c r="C38" s="13" t="s">
        <v>19</v>
      </c>
      <c r="D38" s="14"/>
    </row>
    <row r="39" spans="1:4" ht="15">
      <c r="A39" s="9" t="s">
        <v>35</v>
      </c>
      <c r="B39" s="18"/>
      <c r="C39" s="13" t="s">
        <v>19</v>
      </c>
      <c r="D39" s="14"/>
    </row>
    <row r="40" spans="1:4" ht="38.25">
      <c r="A40" s="11" t="s">
        <v>40</v>
      </c>
      <c r="B40" s="18">
        <f>B42+B43+B44</f>
        <v>166293.77864567528</v>
      </c>
      <c r="C40" s="13" t="s">
        <v>19</v>
      </c>
      <c r="D40" s="14" t="s">
        <v>19</v>
      </c>
    </row>
    <row r="41" spans="1:4" ht="15">
      <c r="A41" s="9" t="s">
        <v>20</v>
      </c>
      <c r="B41" s="18"/>
      <c r="C41" s="13"/>
      <c r="D41" s="14"/>
    </row>
    <row r="42" spans="1:4" ht="15">
      <c r="A42" s="9" t="s">
        <v>31</v>
      </c>
      <c r="B42" s="18">
        <v>25004.197906120695</v>
      </c>
      <c r="C42" s="13" t="s">
        <v>19</v>
      </c>
      <c r="D42" s="14"/>
    </row>
    <row r="43" spans="1:4" ht="15">
      <c r="A43" s="9" t="s">
        <v>33</v>
      </c>
      <c r="B43" s="18">
        <v>28804.742884547413</v>
      </c>
      <c r="C43" s="13" t="s">
        <v>19</v>
      </c>
      <c r="D43" s="14"/>
    </row>
    <row r="44" spans="1:4" ht="15">
      <c r="A44" s="9" t="s">
        <v>34</v>
      </c>
      <c r="B44" s="18">
        <v>112484.83785500716</v>
      </c>
      <c r="C44" s="13"/>
      <c r="D44" s="14"/>
    </row>
    <row r="45" spans="1:4" ht="15">
      <c r="A45" s="9" t="s">
        <v>35</v>
      </c>
      <c r="B45" s="18">
        <v>0</v>
      </c>
      <c r="C45" s="13" t="s">
        <v>19</v>
      </c>
      <c r="D45" s="14"/>
    </row>
    <row r="46" ht="12.75">
      <c r="A46" s="4"/>
    </row>
    <row r="47" spans="1:10" ht="13.5" customHeight="1">
      <c r="A47" s="291" t="s">
        <v>41</v>
      </c>
      <c r="B47" s="291"/>
      <c r="C47" s="291"/>
      <c r="D47" s="291"/>
      <c r="I47" s="30"/>
      <c r="J47" s="30"/>
    </row>
    <row r="48" spans="1:10" ht="9" customHeight="1">
      <c r="A48" s="291"/>
      <c r="B48" s="291"/>
      <c r="C48" s="291"/>
      <c r="D48" s="291"/>
      <c r="I48" s="4"/>
      <c r="J48" s="4"/>
    </row>
    <row r="49" spans="1:10" ht="12.75">
      <c r="A49" s="4"/>
      <c r="C49" s="6" t="s">
        <v>10</v>
      </c>
      <c r="I49" s="4"/>
      <c r="J49" s="4"/>
    </row>
    <row r="50" spans="1:14" ht="66.75" customHeight="1">
      <c r="A50" s="8" t="s">
        <v>42</v>
      </c>
      <c r="B50" s="8" t="s">
        <v>43</v>
      </c>
      <c r="C50" s="8" t="s">
        <v>44</v>
      </c>
      <c r="D50" s="8" t="s">
        <v>45</v>
      </c>
      <c r="I50" s="3"/>
      <c r="J50" s="3"/>
      <c r="K50" s="3"/>
      <c r="L50" s="3"/>
      <c r="M50" s="3"/>
      <c r="N50" s="3"/>
    </row>
    <row r="51" spans="1:14" ht="15">
      <c r="A51" s="31" t="s">
        <v>112</v>
      </c>
      <c r="B51" s="32" t="s">
        <v>47</v>
      </c>
      <c r="C51" s="21" t="s">
        <v>48</v>
      </c>
      <c r="D51" s="33">
        <f>(0.14+0.15)*6*382.9</f>
        <v>666.2460000000001</v>
      </c>
      <c r="E51" s="34">
        <f>347.32*12</f>
        <v>4167.84</v>
      </c>
      <c r="F51" s="35"/>
      <c r="G51" s="36"/>
      <c r="I51" s="37"/>
      <c r="J51" s="37"/>
      <c r="K51" s="37"/>
      <c r="L51" s="37"/>
      <c r="M51" s="37"/>
      <c r="N51" s="37"/>
    </row>
    <row r="52" spans="1:14" ht="15">
      <c r="A52" s="31" t="s">
        <v>49</v>
      </c>
      <c r="B52" s="32" t="s">
        <v>50</v>
      </c>
      <c r="C52" s="38" t="s">
        <v>51</v>
      </c>
      <c r="D52" s="33">
        <f>(2.1+2.23)*6*382.9</f>
        <v>9947.742</v>
      </c>
      <c r="E52" s="34">
        <f aca="true" t="shared" si="0" ref="E52:E58">347.32*12</f>
        <v>4167.84</v>
      </c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52</v>
      </c>
      <c r="B53" s="32" t="s">
        <v>50</v>
      </c>
      <c r="C53" s="38" t="s">
        <v>53</v>
      </c>
      <c r="D53" s="33">
        <f>(1.2+2)*6*382.9</f>
        <v>7351.68</v>
      </c>
      <c r="E53" s="34">
        <f t="shared" si="0"/>
        <v>4167.84</v>
      </c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54</v>
      </c>
      <c r="B54" s="32" t="s">
        <v>47</v>
      </c>
      <c r="C54" s="38" t="s">
        <v>55</v>
      </c>
      <c r="D54" s="33">
        <f>(0.2+0.21)*6*382.9</f>
        <v>941.934</v>
      </c>
      <c r="E54" s="34">
        <f t="shared" si="0"/>
        <v>4167.84</v>
      </c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56</v>
      </c>
      <c r="B55" s="39" t="s">
        <v>57</v>
      </c>
      <c r="C55" s="40" t="s">
        <v>122</v>
      </c>
      <c r="D55" s="33">
        <f>(0.83+0.65)*6*382.9-0.22*6*382.9-0.01</f>
        <v>2894.7139999999995</v>
      </c>
      <c r="E55" s="34">
        <f>(0.83+0.65)*6*382.9-0.22*6*382.9</f>
        <v>2894.7239999999997</v>
      </c>
      <c r="F55" s="41"/>
      <c r="G55" s="42"/>
      <c r="H55" s="43">
        <f>0.22*6*382.9</f>
        <v>505.428</v>
      </c>
      <c r="I55" s="37"/>
      <c r="J55" s="37"/>
      <c r="K55" s="37"/>
      <c r="L55" s="37"/>
      <c r="M55" s="37"/>
      <c r="N55" s="37"/>
    </row>
    <row r="56" spans="1:14" ht="15">
      <c r="A56" s="31" t="s">
        <v>115</v>
      </c>
      <c r="B56" s="39" t="s">
        <v>47</v>
      </c>
      <c r="C56" s="44" t="s">
        <v>60</v>
      </c>
      <c r="D56" s="33">
        <f>(0.69+0.73)*6*382.9</f>
        <v>3262.3079999999995</v>
      </c>
      <c r="E56" s="34">
        <f t="shared" si="0"/>
        <v>4167.84</v>
      </c>
      <c r="F56" s="41"/>
      <c r="G56" s="42"/>
      <c r="I56" s="37"/>
      <c r="J56" s="37"/>
      <c r="K56" s="37"/>
      <c r="L56" s="37"/>
      <c r="M56" s="37"/>
      <c r="N56" s="37"/>
    </row>
    <row r="57" spans="1:14" ht="15">
      <c r="A57" s="31" t="s">
        <v>63</v>
      </c>
      <c r="B57" s="39" t="s">
        <v>64</v>
      </c>
      <c r="C57" s="40" t="s">
        <v>65</v>
      </c>
      <c r="D57" s="33">
        <f>(1.14+1.21)*6*382.9</f>
        <v>5398.8899999999985</v>
      </c>
      <c r="E57" s="34">
        <f t="shared" si="0"/>
        <v>4167.84</v>
      </c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66</v>
      </c>
      <c r="B58" s="39" t="s">
        <v>67</v>
      </c>
      <c r="C58" s="44">
        <v>4.88</v>
      </c>
      <c r="D58" s="33">
        <f>4.88*12*382.9</f>
        <v>22422.624</v>
      </c>
      <c r="E58" s="34">
        <f t="shared" si="0"/>
        <v>4167.84</v>
      </c>
      <c r="F58" s="41"/>
      <c r="H58" s="45"/>
      <c r="I58" s="37"/>
      <c r="J58" s="37"/>
      <c r="K58" s="37"/>
      <c r="L58" s="37"/>
      <c r="M58" s="37"/>
      <c r="N58" s="37"/>
    </row>
    <row r="59" spans="1:14" ht="15">
      <c r="A59" s="31" t="s">
        <v>102</v>
      </c>
      <c r="B59" s="39"/>
      <c r="C59" s="44" t="s">
        <v>123</v>
      </c>
      <c r="D59" s="121">
        <f>(0.72+0.76)*6*382.9</f>
        <v>3400.1519999999996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SUM(D51:D59)</f>
        <v>56286.29000000001</v>
      </c>
      <c r="E60" s="34">
        <f>D60+B21</f>
        <v>59686.44000000001</v>
      </c>
      <c r="F60" s="41"/>
      <c r="H60" s="50">
        <f>E60-B20</f>
        <v>0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122">
        <f>D62</f>
        <v>974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">
      <c r="A62" s="51" t="s">
        <v>124</v>
      </c>
      <c r="B62" s="52"/>
      <c r="C62" s="53"/>
      <c r="D62" s="123">
        <v>974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122">
        <f>D60+D61</f>
        <v>57260.29000000001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24">
        <v>0</v>
      </c>
      <c r="E64" s="61"/>
      <c r="H64" s="34">
        <f>347.32*12</f>
        <v>4167.84</v>
      </c>
    </row>
    <row r="65" spans="1:5" ht="25.5" customHeight="1">
      <c r="A65" s="293" t="s">
        <v>73</v>
      </c>
      <c r="B65" s="293"/>
      <c r="C65" s="293"/>
      <c r="D65" s="124">
        <f>D66+D67</f>
        <v>1366.9099999999999</v>
      </c>
      <c r="E65" s="61"/>
    </row>
    <row r="66" spans="1:5" ht="15.75">
      <c r="A66" s="78" t="s">
        <v>74</v>
      </c>
      <c r="B66" s="114"/>
      <c r="C66" s="115"/>
      <c r="D66" s="124">
        <f>B16+B21-D61</f>
        <v>13678.279999999999</v>
      </c>
      <c r="E66" s="61"/>
    </row>
    <row r="67" spans="1:5" ht="15.75">
      <c r="A67" s="114" t="s">
        <v>75</v>
      </c>
      <c r="B67" s="114"/>
      <c r="C67" s="115"/>
      <c r="D67" s="124">
        <f>B17+B22-D64</f>
        <v>-12311.369999999999</v>
      </c>
      <c r="E67" s="61"/>
    </row>
    <row r="68" spans="1:5" ht="13.5" customHeight="1">
      <c r="A68" s="294" t="s">
        <v>76</v>
      </c>
      <c r="B68" s="294"/>
      <c r="C68" s="294"/>
      <c r="D68" s="125">
        <v>136025.7</v>
      </c>
      <c r="E68" s="61"/>
    </row>
    <row r="69" spans="1:4" ht="15" customHeight="1">
      <c r="A69" s="290" t="s">
        <v>20</v>
      </c>
      <c r="B69" s="290"/>
      <c r="C69" s="290"/>
      <c r="D69" s="126"/>
    </row>
    <row r="70" spans="1:4" ht="13.5" customHeight="1">
      <c r="A70" s="290" t="s">
        <v>77</v>
      </c>
      <c r="B70" s="290"/>
      <c r="C70" s="290"/>
      <c r="D70" s="126">
        <f>D68*B20/B18</f>
        <v>31952.249025758025</v>
      </c>
    </row>
    <row r="71" spans="1:4" ht="13.5" customHeight="1">
      <c r="A71" s="290" t="s">
        <v>28</v>
      </c>
      <c r="B71" s="290"/>
      <c r="C71" s="290"/>
      <c r="D71" s="126">
        <f>D68*B22/B18</f>
        <v>2508.066568815921</v>
      </c>
    </row>
    <row r="72" spans="1:4" ht="13.5" customHeight="1">
      <c r="A72" s="290" t="s">
        <v>29</v>
      </c>
      <c r="B72" s="290"/>
      <c r="C72" s="290"/>
      <c r="D72" s="126">
        <f>SUM(D74:D76)</f>
        <v>101565.38440542607</v>
      </c>
    </row>
    <row r="73" spans="1:4" ht="15">
      <c r="A73" s="290" t="s">
        <v>20</v>
      </c>
      <c r="B73" s="290"/>
      <c r="C73" s="290"/>
      <c r="D73" s="126"/>
    </row>
    <row r="74" spans="1:4" ht="13.5" customHeight="1">
      <c r="A74" s="290" t="s">
        <v>31</v>
      </c>
      <c r="B74" s="290"/>
      <c r="C74" s="290"/>
      <c r="D74" s="126">
        <f>D68*B27/B18</f>
        <v>15144.583078439291</v>
      </c>
    </row>
    <row r="75" spans="1:4" ht="15">
      <c r="A75" s="290" t="s">
        <v>33</v>
      </c>
      <c r="B75" s="290"/>
      <c r="C75" s="290"/>
      <c r="D75" s="126">
        <f>D68*B28/B18</f>
        <v>17445.903214166763</v>
      </c>
    </row>
    <row r="76" spans="1:4" ht="15" customHeight="1">
      <c r="A76" s="290" t="s">
        <v>34</v>
      </c>
      <c r="B76" s="290"/>
      <c r="C76" s="290"/>
      <c r="D76" s="126">
        <f>D68*B29/B18</f>
        <v>68974.89811282001</v>
      </c>
    </row>
    <row r="77" spans="1:4" ht="15">
      <c r="A77" s="290" t="s">
        <v>78</v>
      </c>
      <c r="B77" s="290"/>
      <c r="C77" s="290"/>
      <c r="D77" s="126"/>
    </row>
    <row r="78" spans="1:4" ht="15" customHeight="1">
      <c r="A78" s="290" t="s">
        <v>35</v>
      </c>
      <c r="B78" s="290"/>
      <c r="C78" s="290"/>
      <c r="D78" s="126">
        <f>D68*E29</f>
        <v>0</v>
      </c>
    </row>
    <row r="79" spans="1:4" ht="25.5" customHeight="1">
      <c r="A79" s="295" t="s">
        <v>79</v>
      </c>
      <c r="B79" s="295"/>
      <c r="C79" s="295"/>
      <c r="D79" s="295"/>
    </row>
    <row r="80" spans="1:4" ht="38.25">
      <c r="A80" s="67" t="s">
        <v>80</v>
      </c>
      <c r="B80" s="68" t="s">
        <v>81</v>
      </c>
      <c r="C80" s="68" t="s">
        <v>82</v>
      </c>
      <c r="D80" s="67" t="s">
        <v>83</v>
      </c>
    </row>
    <row r="81" spans="1:4" ht="24.75" customHeight="1">
      <c r="A81" s="72" t="s">
        <v>77</v>
      </c>
      <c r="B81" s="296" t="s">
        <v>84</v>
      </c>
      <c r="C81" s="105" t="s">
        <v>119</v>
      </c>
      <c r="D81" s="67" t="s">
        <v>85</v>
      </c>
    </row>
    <row r="82" spans="1:4" ht="12.75">
      <c r="A82" s="31" t="s">
        <v>28</v>
      </c>
      <c r="B82" s="296"/>
      <c r="C82" s="70">
        <v>2.7</v>
      </c>
      <c r="D82" s="71" t="s">
        <v>85</v>
      </c>
    </row>
    <row r="83" spans="1:4" ht="19.5" customHeight="1">
      <c r="A83" s="31" t="s">
        <v>31</v>
      </c>
      <c r="B83" s="297" t="s">
        <v>86</v>
      </c>
      <c r="C83" s="70" t="s">
        <v>87</v>
      </c>
      <c r="D83" s="71" t="s">
        <v>88</v>
      </c>
    </row>
    <row r="84" spans="1:4" ht="21" customHeight="1">
      <c r="A84" s="31" t="s">
        <v>33</v>
      </c>
      <c r="B84" s="297"/>
      <c r="C84" s="70" t="s">
        <v>89</v>
      </c>
      <c r="D84" s="71" t="s">
        <v>88</v>
      </c>
    </row>
    <row r="85" spans="1:4" ht="39.75" customHeight="1">
      <c r="A85" s="72" t="s">
        <v>34</v>
      </c>
      <c r="B85" s="73" t="s">
        <v>90</v>
      </c>
      <c r="C85" s="70" t="s">
        <v>91</v>
      </c>
      <c r="D85" s="71" t="s">
        <v>92</v>
      </c>
    </row>
    <row r="87" spans="1:3" ht="12.75">
      <c r="A87" t="s">
        <v>93</v>
      </c>
      <c r="C87" s="74" t="s">
        <v>94</v>
      </c>
    </row>
    <row r="89" ht="12.75">
      <c r="A89" t="s">
        <v>95</v>
      </c>
    </row>
    <row r="113" ht="12.75">
      <c r="B113" s="127"/>
    </row>
  </sheetData>
  <sheetProtection selectLockedCells="1" selectUnlockedCells="1"/>
  <mergeCells count="23">
    <mergeCell ref="A77:C77"/>
    <mergeCell ref="A78:C78"/>
    <mergeCell ref="A79:D79"/>
    <mergeCell ref="B81:B82"/>
    <mergeCell ref="B83:B84"/>
    <mergeCell ref="A71:C71"/>
    <mergeCell ref="A72:C72"/>
    <mergeCell ref="A73:C73"/>
    <mergeCell ref="A74:C74"/>
    <mergeCell ref="A75:C75"/>
    <mergeCell ref="A76:C76"/>
    <mergeCell ref="A47:D48"/>
    <mergeCell ref="A64:C64"/>
    <mergeCell ref="A65:C65"/>
    <mergeCell ref="A68:C68"/>
    <mergeCell ref="A69:C69"/>
    <mergeCell ref="A70:C70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64" zoomScaleNormal="64" zoomScalePageLayoutView="0" workbookViewId="0" topLeftCell="A46">
      <selection activeCell="D82" sqref="D82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36" customHeight="1">
      <c r="A4" s="309" t="s">
        <v>442</v>
      </c>
      <c r="B4" s="309"/>
      <c r="C4" s="309"/>
      <c r="D4" s="309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443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16410.87</v>
      </c>
      <c r="C15" s="13"/>
      <c r="D15" s="14"/>
    </row>
    <row r="16" spans="1:4" ht="15.75">
      <c r="A16" s="15" t="s">
        <v>16</v>
      </c>
      <c r="B16" s="12">
        <v>13153.6</v>
      </c>
      <c r="C16" s="13"/>
      <c r="D16" s="14"/>
    </row>
    <row r="17" spans="1:4" ht="15.75">
      <c r="A17" s="15" t="s">
        <v>17</v>
      </c>
      <c r="B17" s="174">
        <v>3257.27</v>
      </c>
      <c r="C17" s="175" t="s">
        <v>19</v>
      </c>
      <c r="D17" s="14"/>
    </row>
    <row r="18" spans="1:5" ht="25.5">
      <c r="A18" s="11" t="s">
        <v>18</v>
      </c>
      <c r="B18" s="16">
        <f>B20+B24+B27</f>
        <v>22941.66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14166.9</v>
      </c>
      <c r="C20" s="105"/>
      <c r="D20" s="14"/>
    </row>
    <row r="21" spans="1:4" ht="15">
      <c r="A21" s="9" t="s">
        <v>262</v>
      </c>
      <c r="B21" s="16"/>
      <c r="C21" s="105" t="s">
        <v>444</v>
      </c>
      <c r="D21" s="14"/>
    </row>
    <row r="22" spans="1:4" ht="15">
      <c r="A22" s="9" t="s">
        <v>445</v>
      </c>
      <c r="B22" s="16"/>
      <c r="C22" s="105" t="s">
        <v>446</v>
      </c>
      <c r="D22" s="14"/>
    </row>
    <row r="23" spans="1:5" ht="15">
      <c r="A23" s="9" t="s">
        <v>147</v>
      </c>
      <c r="B23" s="16">
        <v>1435.39</v>
      </c>
      <c r="C23" s="19" t="s">
        <v>447</v>
      </c>
      <c r="D23" s="20"/>
      <c r="E23" s="17">
        <f>(0.84+1.08)*6*124.6</f>
        <v>1435.3919999999998</v>
      </c>
    </row>
    <row r="24" spans="1:5" ht="15.75">
      <c r="A24" s="9" t="s">
        <v>28</v>
      </c>
      <c r="B24" s="118">
        <v>4037.04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19" t="s">
        <v>6</v>
      </c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B29+B30+B31</f>
        <v>4737.72</v>
      </c>
      <c r="C27" s="19" t="s">
        <v>19</v>
      </c>
      <c r="D27" s="20"/>
    </row>
    <row r="28" spans="1:5" ht="15">
      <c r="A28" s="9" t="s">
        <v>20</v>
      </c>
      <c r="B28" s="16"/>
      <c r="C28" s="19"/>
      <c r="D28" s="27" t="s">
        <v>32</v>
      </c>
      <c r="E28" s="17"/>
    </row>
    <row r="29" spans="1:5" ht="15">
      <c r="A29" s="9" t="s">
        <v>31</v>
      </c>
      <c r="B29" s="16">
        <v>4737.72</v>
      </c>
      <c r="C29" s="19" t="s">
        <v>19</v>
      </c>
      <c r="D29" s="27" t="s">
        <v>32</v>
      </c>
      <c r="E29" s="17"/>
    </row>
    <row r="30" spans="1:5" ht="15">
      <c r="A30" s="9" t="s">
        <v>33</v>
      </c>
      <c r="B30" s="16">
        <v>0</v>
      </c>
      <c r="C30" s="19" t="s">
        <v>19</v>
      </c>
      <c r="D30" s="28"/>
      <c r="E30" s="17"/>
    </row>
    <row r="31" spans="1:5" ht="15">
      <c r="A31" s="9" t="s">
        <v>34</v>
      </c>
      <c r="B31" s="16">
        <v>0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7680.62</v>
      </c>
      <c r="C33" s="13" t="s">
        <v>19</v>
      </c>
      <c r="D33" s="14" t="s">
        <v>19</v>
      </c>
      <c r="E33" s="1">
        <f>B33/B18</f>
        <v>0.33478920008403923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4742.925118670575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1351.5573923072698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B39+B40+B41</f>
        <v>1586.1374890221543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1586.1374890221543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v>0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B45+B46+B47+B48</f>
        <v>1586.1374890221543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1586.1374890221543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v>0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448</v>
      </c>
      <c r="D54" s="207">
        <f>(0.14+0.15)*6*124.6</f>
        <v>216.80400000000003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f>C55:C63*E55:E63</f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(1.2+2)*6*124.6</f>
        <v>2392.32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(0.2+0.21)*6*124.6</f>
        <v>306.51599999999996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449</v>
      </c>
      <c r="B59" s="39" t="s">
        <v>47</v>
      </c>
      <c r="C59" s="44" t="s">
        <v>308</v>
      </c>
      <c r="D59" s="207">
        <f>(0.25+0.21)*6*63.4</f>
        <v>174.98399999999998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450</v>
      </c>
      <c r="B60" s="39" t="s">
        <v>64</v>
      </c>
      <c r="C60" s="44" t="s">
        <v>65</v>
      </c>
      <c r="D60" s="207">
        <f>(1.14+1.21)*6*63.4</f>
        <v>893.9399999999998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4">
        <v>4.88</v>
      </c>
      <c r="D61" s="220">
        <f>4.88*12*124.6+0.03</f>
        <v>7296.606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31" t="s">
        <v>407</v>
      </c>
      <c r="B62" s="39"/>
      <c r="C62" s="44" t="s">
        <v>451</v>
      </c>
      <c r="D62" s="220">
        <f>(0.94+1)*6*124.6</f>
        <v>1450.344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/>
      <c r="D63" s="214">
        <f>SUM(D54:D62)</f>
        <v>12731.514</v>
      </c>
      <c r="E63" s="34">
        <f>D63+B23</f>
        <v>14166.903999999999</v>
      </c>
      <c r="F63" s="41"/>
      <c r="H63" s="50">
        <f>E63-B20</f>
        <v>0.003999999998995918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</f>
        <v>0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/>
      <c r="B65" s="52"/>
      <c r="C65" s="53"/>
      <c r="D65" s="212"/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221" t="s">
        <v>71</v>
      </c>
      <c r="B66" s="222"/>
      <c r="C66" s="223"/>
      <c r="D66" s="212">
        <f>D63+D64</f>
        <v>12731.514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8" ht="13.5" customHeight="1">
      <c r="A67" s="308" t="s">
        <v>72</v>
      </c>
      <c r="B67" s="308"/>
      <c r="C67" s="308"/>
      <c r="D67" s="113">
        <f>D68</f>
        <v>0</v>
      </c>
      <c r="E67" s="61"/>
      <c r="H67" s="34"/>
    </row>
    <row r="68" spans="1:8" ht="17.25" customHeight="1">
      <c r="A68" s="114"/>
      <c r="B68" s="215"/>
      <c r="C68" s="215"/>
      <c r="D68" s="217"/>
      <c r="E68" s="61"/>
      <c r="H68" s="34"/>
    </row>
    <row r="69" spans="1:5" ht="25.5" customHeight="1">
      <c r="A69" s="293" t="s">
        <v>73</v>
      </c>
      <c r="B69" s="293"/>
      <c r="C69" s="293"/>
      <c r="D69" s="60">
        <f>D70+D71</f>
        <v>21883.3</v>
      </c>
      <c r="E69" s="61"/>
    </row>
    <row r="70" spans="1:5" ht="15.75">
      <c r="A70" s="62" t="s">
        <v>74</v>
      </c>
      <c r="B70" s="63"/>
      <c r="C70" s="64"/>
      <c r="D70" s="60">
        <f>B16+B23-D64</f>
        <v>14588.99</v>
      </c>
      <c r="E70" s="61"/>
    </row>
    <row r="71" spans="1:5" ht="15.75">
      <c r="A71" s="63" t="s">
        <v>75</v>
      </c>
      <c r="B71" s="63"/>
      <c r="C71" s="64"/>
      <c r="D71" s="60">
        <f>B17+B24-D67</f>
        <v>7294.3099999999995</v>
      </c>
      <c r="E71" s="61"/>
    </row>
    <row r="72" spans="1:5" ht="13.5" customHeight="1">
      <c r="A72" s="294" t="s">
        <v>76</v>
      </c>
      <c r="B72" s="294"/>
      <c r="C72" s="294"/>
      <c r="D72" s="65">
        <v>25202.04</v>
      </c>
      <c r="E72" s="61"/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77</v>
      </c>
      <c r="B74" s="290"/>
      <c r="C74" s="290"/>
      <c r="D74" s="66">
        <f>D72*B20/B18</f>
        <v>15562.72651917952</v>
      </c>
    </row>
    <row r="75" spans="1:4" ht="13.5" customHeight="1">
      <c r="A75" s="290" t="s">
        <v>28</v>
      </c>
      <c r="B75" s="290"/>
      <c r="C75" s="290"/>
      <c r="D75" s="66">
        <f>D72*B24/B18</f>
        <v>4434.79868333852</v>
      </c>
    </row>
    <row r="76" spans="1:4" ht="13.5" customHeight="1">
      <c r="A76" s="290" t="s">
        <v>29</v>
      </c>
      <c r="B76" s="290"/>
      <c r="C76" s="290"/>
      <c r="D76" s="66">
        <f>SUM(D78:D80)</f>
        <v>5204.514797481961</v>
      </c>
    </row>
    <row r="77" spans="1:4" ht="15">
      <c r="A77" s="290" t="s">
        <v>20</v>
      </c>
      <c r="B77" s="290"/>
      <c r="C77" s="290"/>
      <c r="D77" s="66"/>
    </row>
    <row r="78" spans="1:4" ht="13.5" customHeight="1">
      <c r="A78" s="290" t="s">
        <v>31</v>
      </c>
      <c r="B78" s="290"/>
      <c r="C78" s="290"/>
      <c r="D78" s="66">
        <f>D72*B29/B18</f>
        <v>5204.514797481961</v>
      </c>
    </row>
    <row r="79" spans="1:4" ht="15">
      <c r="A79" s="290" t="s">
        <v>33</v>
      </c>
      <c r="B79" s="290"/>
      <c r="C79" s="290"/>
      <c r="D79" s="66">
        <f>D72*E29</f>
        <v>0</v>
      </c>
    </row>
    <row r="80" spans="1:4" ht="15" customHeight="1">
      <c r="A80" s="290" t="s">
        <v>34</v>
      </c>
      <c r="B80" s="290"/>
      <c r="C80" s="290"/>
      <c r="D80" s="66">
        <f>D72*E30</f>
        <v>0</v>
      </c>
    </row>
    <row r="81" spans="1:4" ht="15" customHeight="1">
      <c r="A81" s="290" t="s">
        <v>78</v>
      </c>
      <c r="B81" s="290"/>
      <c r="C81" s="290"/>
      <c r="D81" s="66"/>
    </row>
    <row r="82" spans="1:4" ht="15" customHeight="1">
      <c r="A82" s="290" t="s">
        <v>35</v>
      </c>
      <c r="B82" s="290"/>
      <c r="C82" s="290"/>
      <c r="D82" s="66"/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82</v>
      </c>
      <c r="D84" s="67" t="s">
        <v>83</v>
      </c>
    </row>
    <row r="85" spans="1:4" ht="12.75" customHeight="1">
      <c r="A85" s="31" t="s">
        <v>262</v>
      </c>
      <c r="B85" s="296" t="s">
        <v>84</v>
      </c>
      <c r="C85" s="70" t="s">
        <v>444</v>
      </c>
      <c r="D85" s="67" t="s">
        <v>85</v>
      </c>
    </row>
    <row r="86" spans="1:4" ht="12.75" customHeight="1">
      <c r="A86" s="31" t="s">
        <v>445</v>
      </c>
      <c r="B86" s="296"/>
      <c r="C86" s="70" t="s">
        <v>446</v>
      </c>
      <c r="D86" s="67" t="s">
        <v>85</v>
      </c>
    </row>
    <row r="87" spans="1:4" ht="18.75" customHeight="1">
      <c r="A87" s="31" t="s">
        <v>28</v>
      </c>
      <c r="B87" s="296"/>
      <c r="C87" s="70">
        <v>2.7</v>
      </c>
      <c r="D87" s="71" t="s">
        <v>85</v>
      </c>
    </row>
    <row r="88" spans="1:4" ht="46.5" customHeight="1">
      <c r="A88" s="31" t="s">
        <v>31</v>
      </c>
      <c r="B88" s="140" t="s">
        <v>86</v>
      </c>
      <c r="C88" s="70" t="s">
        <v>87</v>
      </c>
      <c r="D88" s="71" t="s">
        <v>88</v>
      </c>
    </row>
    <row r="90" ht="12.75">
      <c r="A90" t="s">
        <v>93</v>
      </c>
    </row>
    <row r="92" ht="12.75">
      <c r="A92" t="s">
        <v>95</v>
      </c>
    </row>
  </sheetData>
  <sheetProtection selectLockedCells="1" selectUnlockedCells="1"/>
  <mergeCells count="22">
    <mergeCell ref="A81:C81"/>
    <mergeCell ref="A82:C82"/>
    <mergeCell ref="A83:D83"/>
    <mergeCell ref="B85:B87"/>
    <mergeCell ref="A75:C75"/>
    <mergeCell ref="A76:C76"/>
    <mergeCell ref="A77:C77"/>
    <mergeCell ref="A78:C78"/>
    <mergeCell ref="A79:C79"/>
    <mergeCell ref="A80:C80"/>
    <mergeCell ref="A50:D51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64" zoomScaleNormal="64" zoomScalePageLayoutView="0" workbookViewId="0" topLeftCell="A7">
      <selection activeCell="B46" sqref="B46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452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453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-1057.7</v>
      </c>
      <c r="C15" s="13"/>
      <c r="D15" s="14"/>
    </row>
    <row r="16" spans="1:4" ht="15.75">
      <c r="A16" s="15" t="s">
        <v>16</v>
      </c>
      <c r="B16" s="12">
        <v>-2823.5</v>
      </c>
      <c r="C16" s="13"/>
      <c r="D16" s="14"/>
    </row>
    <row r="17" spans="1:4" ht="15.75">
      <c r="A17" s="15" t="s">
        <v>17</v>
      </c>
      <c r="B17" s="174">
        <v>1765.8</v>
      </c>
      <c r="C17" s="175" t="s">
        <v>19</v>
      </c>
      <c r="D17" s="14"/>
    </row>
    <row r="18" spans="1:5" ht="25.5">
      <c r="A18" s="11" t="s">
        <v>18</v>
      </c>
      <c r="B18" s="16">
        <f>B20+B24+B27</f>
        <v>22015.44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12019.14</v>
      </c>
      <c r="C20" s="105" t="s">
        <v>6</v>
      </c>
      <c r="D20" s="14"/>
    </row>
    <row r="21" spans="1:4" ht="15">
      <c r="A21" s="9" t="s">
        <v>454</v>
      </c>
      <c r="B21" s="16"/>
      <c r="C21" s="105" t="s">
        <v>455</v>
      </c>
      <c r="D21" s="14"/>
    </row>
    <row r="22" spans="1:4" ht="15">
      <c r="A22" s="9" t="s">
        <v>445</v>
      </c>
      <c r="B22" s="16"/>
      <c r="C22" s="105" t="s">
        <v>456</v>
      </c>
      <c r="D22" s="14"/>
    </row>
    <row r="23" spans="1:5" ht="15">
      <c r="A23" s="9" t="s">
        <v>147</v>
      </c>
      <c r="B23" s="16">
        <v>347.65</v>
      </c>
      <c r="C23" s="19" t="s">
        <v>457</v>
      </c>
      <c r="D23" s="20"/>
      <c r="E23" s="17">
        <f>(0.21+0.33)*6*107.3</f>
        <v>347.652</v>
      </c>
    </row>
    <row r="24" spans="1:5" ht="15.75">
      <c r="A24" s="9" t="s">
        <v>28</v>
      </c>
      <c r="B24" s="118">
        <v>1765.8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21" t="s">
        <v>6</v>
      </c>
      <c r="D25" s="20"/>
      <c r="E25" s="17"/>
    </row>
    <row r="26" spans="1:4" ht="15.75">
      <c r="A26" s="9" t="s">
        <v>167</v>
      </c>
      <c r="B26" s="120">
        <v>0</v>
      </c>
      <c r="C26" s="177"/>
      <c r="D26" s="20" t="s">
        <v>30</v>
      </c>
    </row>
    <row r="27" spans="1:4" ht="15">
      <c r="A27" s="9" t="s">
        <v>29</v>
      </c>
      <c r="B27" s="16">
        <f>B29</f>
        <v>8230.5</v>
      </c>
      <c r="C27" s="152" t="s">
        <v>19</v>
      </c>
      <c r="D27" s="20"/>
    </row>
    <row r="28" spans="1:5" ht="15">
      <c r="A28" s="9" t="s">
        <v>20</v>
      </c>
      <c r="B28" s="16"/>
      <c r="C28" s="178"/>
      <c r="D28" s="27" t="s">
        <v>32</v>
      </c>
      <c r="E28" s="17"/>
    </row>
    <row r="29" spans="1:5" ht="15">
      <c r="A29" s="9" t="s">
        <v>31</v>
      </c>
      <c r="B29" s="16">
        <v>8230.5</v>
      </c>
      <c r="C29" s="178" t="s">
        <v>19</v>
      </c>
      <c r="D29" s="27" t="s">
        <v>32</v>
      </c>
      <c r="E29" s="17"/>
    </row>
    <row r="30" spans="1:5" ht="15">
      <c r="A30" s="9" t="s">
        <v>33</v>
      </c>
      <c r="B30" s="16">
        <v>0</v>
      </c>
      <c r="C30" s="178" t="s">
        <v>19</v>
      </c>
      <c r="D30" s="28"/>
      <c r="E30" s="17"/>
    </row>
    <row r="31" spans="1:5" ht="15">
      <c r="A31" s="9" t="s">
        <v>34</v>
      </c>
      <c r="B31" s="16">
        <v>0</v>
      </c>
      <c r="C31" s="178" t="s">
        <v>6</v>
      </c>
      <c r="D31" s="28"/>
      <c r="E31" s="17"/>
    </row>
    <row r="32" spans="1:5" ht="15">
      <c r="A32" s="9" t="s">
        <v>35</v>
      </c>
      <c r="B32" s="25"/>
      <c r="C32" s="178" t="s">
        <v>19</v>
      </c>
      <c r="D32" s="28"/>
      <c r="E32" s="17"/>
    </row>
    <row r="33" spans="1:5" ht="25.5">
      <c r="A33" s="11" t="s">
        <v>36</v>
      </c>
      <c r="B33" s="18">
        <v>19153.98</v>
      </c>
      <c r="C33" s="13" t="s">
        <v>19</v>
      </c>
      <c r="D33" s="14" t="s">
        <v>19</v>
      </c>
      <c r="E33" s="1">
        <f>B33/B18</f>
        <v>0.8700248552833829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10456.950539130718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1536.2898894593975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</f>
        <v>7160.739571409883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7160.739571409883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v>0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</f>
        <v>7160.739571409883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7160.739571409883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v>0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(0.14+0.15)*6*107.3</f>
        <v>186.70200000000003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(1.2+2)*6*107.3</f>
        <v>2060.1600000000003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(0.2+0.21)*6*107.3</f>
        <v>263.95799999999997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115</v>
      </c>
      <c r="B59" s="39" t="s">
        <v>47</v>
      </c>
      <c r="C59" s="44" t="s">
        <v>458</v>
      </c>
      <c r="D59" s="207">
        <f>(0.2+0.21)*6*107.3</f>
        <v>263.95799999999997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63</v>
      </c>
      <c r="B60" s="39" t="s">
        <v>64</v>
      </c>
      <c r="C60" s="44" t="s">
        <v>459</v>
      </c>
      <c r="D60" s="207">
        <f>(1.14+1.21)*6*107.3</f>
        <v>1512.9299999999998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4">
        <v>4.88</v>
      </c>
      <c r="D61" s="220">
        <f>4.88*12*107.3+0.04</f>
        <v>6283.528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31" t="s">
        <v>460</v>
      </c>
      <c r="B62" s="39"/>
      <c r="C62" s="44" t="s">
        <v>461</v>
      </c>
      <c r="D62" s="220">
        <f>(1.09+1.16)*6*81.5</f>
        <v>1100.25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/>
      <c r="D63" s="214">
        <f>SUM(D54:D62)</f>
        <v>11671.486</v>
      </c>
      <c r="E63" s="34">
        <f>D63+B23</f>
        <v>12019.136</v>
      </c>
      <c r="F63" s="41"/>
      <c r="H63" s="50">
        <f>E63-B20</f>
        <v>-0.003999999998995918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</f>
        <v>0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/>
      <c r="B65" s="52"/>
      <c r="C65" s="53"/>
      <c r="D65" s="212"/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221" t="s">
        <v>71</v>
      </c>
      <c r="B66" s="222"/>
      <c r="C66" s="223"/>
      <c r="D66" s="212">
        <f>D63+D64</f>
        <v>11671.486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8" ht="13.5" customHeight="1">
      <c r="A67" s="308" t="s">
        <v>72</v>
      </c>
      <c r="B67" s="308"/>
      <c r="C67" s="308"/>
      <c r="D67" s="113">
        <f>D68</f>
        <v>0</v>
      </c>
      <c r="E67" s="61" t="s">
        <v>6</v>
      </c>
      <c r="H67" s="34">
        <f>347.32*12</f>
        <v>4167.84</v>
      </c>
    </row>
    <row r="68" spans="1:8" ht="17.25" customHeight="1">
      <c r="A68" s="114"/>
      <c r="B68" s="215"/>
      <c r="C68" s="215"/>
      <c r="D68" s="217"/>
      <c r="E68" s="61"/>
      <c r="H68" s="34"/>
    </row>
    <row r="69" spans="1:5" ht="25.5" customHeight="1">
      <c r="A69" s="293" t="s">
        <v>73</v>
      </c>
      <c r="B69" s="293"/>
      <c r="C69" s="293"/>
      <c r="D69" s="60">
        <f>D70+D71</f>
        <v>1055.75</v>
      </c>
      <c r="E69" s="61"/>
    </row>
    <row r="70" spans="1:5" ht="15.75">
      <c r="A70" s="62" t="s">
        <v>74</v>
      </c>
      <c r="B70" s="63"/>
      <c r="C70" s="64"/>
      <c r="D70" s="60">
        <f>B16+B23-D64</f>
        <v>-2475.85</v>
      </c>
      <c r="E70" s="61"/>
    </row>
    <row r="71" spans="1:5" ht="15.75">
      <c r="A71" s="63" t="s">
        <v>75</v>
      </c>
      <c r="B71" s="63"/>
      <c r="C71" s="64"/>
      <c r="D71" s="60">
        <f>B17+B24-D67</f>
        <v>3531.6</v>
      </c>
      <c r="E71" s="61"/>
    </row>
    <row r="72" spans="1:5" ht="13.5" customHeight="1">
      <c r="A72" s="294" t="s">
        <v>76</v>
      </c>
      <c r="B72" s="294"/>
      <c r="C72" s="294"/>
      <c r="D72" s="65">
        <v>10426.02</v>
      </c>
      <c r="E72" s="61"/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77</v>
      </c>
      <c r="B74" s="290"/>
      <c r="C74" s="290"/>
      <c r="D74" s="66">
        <f>D72*B20/B18</f>
        <v>5691.995891192727</v>
      </c>
    </row>
    <row r="75" spans="1:4" ht="13.5" customHeight="1">
      <c r="A75" s="290" t="s">
        <v>28</v>
      </c>
      <c r="B75" s="290"/>
      <c r="C75" s="290"/>
      <c r="D75" s="66">
        <f>D72*B24/B18</f>
        <v>836.2433871864474</v>
      </c>
    </row>
    <row r="76" spans="1:4" ht="13.5" customHeight="1">
      <c r="A76" s="290" t="s">
        <v>29</v>
      </c>
      <c r="B76" s="290"/>
      <c r="C76" s="290"/>
      <c r="D76" s="66">
        <f>SUM(D78:D80)</f>
        <v>3897.780721620826</v>
      </c>
    </row>
    <row r="77" spans="1:4" ht="15">
      <c r="A77" s="290" t="s">
        <v>20</v>
      </c>
      <c r="B77" s="290"/>
      <c r="C77" s="290"/>
      <c r="D77" s="66"/>
    </row>
    <row r="78" spans="1:4" ht="13.5" customHeight="1">
      <c r="A78" s="290" t="s">
        <v>31</v>
      </c>
      <c r="B78" s="290"/>
      <c r="C78" s="290"/>
      <c r="D78" s="66">
        <f>D72*B29/B18</f>
        <v>3897.780721620826</v>
      </c>
    </row>
    <row r="79" spans="1:4" ht="15">
      <c r="A79" s="290" t="s">
        <v>33</v>
      </c>
      <c r="B79" s="290"/>
      <c r="C79" s="290"/>
      <c r="D79" s="66">
        <f>D72*E29</f>
        <v>0</v>
      </c>
    </row>
    <row r="80" spans="1:4" ht="15" customHeight="1">
      <c r="A80" s="290" t="s">
        <v>34</v>
      </c>
      <c r="B80" s="290"/>
      <c r="C80" s="290"/>
      <c r="D80" s="66">
        <f>D72*E30</f>
        <v>0</v>
      </c>
    </row>
    <row r="81" spans="1:4" ht="15" customHeight="1">
      <c r="A81" s="290" t="s">
        <v>78</v>
      </c>
      <c r="B81" s="290"/>
      <c r="C81" s="290"/>
      <c r="D81" s="66"/>
    </row>
    <row r="82" spans="1:4" ht="15" customHeight="1">
      <c r="A82" s="290" t="s">
        <v>35</v>
      </c>
      <c r="B82" s="290"/>
      <c r="C82" s="290"/>
      <c r="D82" s="66"/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82</v>
      </c>
      <c r="D84" s="67" t="s">
        <v>83</v>
      </c>
    </row>
    <row r="85" spans="1:4" ht="12.75" customHeight="1">
      <c r="A85" s="31" t="s">
        <v>454</v>
      </c>
      <c r="B85" s="296" t="s">
        <v>84</v>
      </c>
      <c r="C85" s="70" t="s">
        <v>455</v>
      </c>
      <c r="D85" s="67" t="s">
        <v>85</v>
      </c>
    </row>
    <row r="86" spans="1:4" ht="12.75" customHeight="1">
      <c r="A86" s="31" t="s">
        <v>445</v>
      </c>
      <c r="B86" s="296"/>
      <c r="C86" s="70" t="s">
        <v>456</v>
      </c>
      <c r="D86" s="67" t="s">
        <v>85</v>
      </c>
    </row>
    <row r="87" spans="1:4" ht="20.25" customHeight="1">
      <c r="A87" s="31" t="s">
        <v>28</v>
      </c>
      <c r="B87" s="296"/>
      <c r="C87" s="70">
        <v>2.7</v>
      </c>
      <c r="D87" s="71" t="s">
        <v>85</v>
      </c>
    </row>
    <row r="88" spans="1:4" ht="42" customHeight="1">
      <c r="A88" s="31" t="s">
        <v>31</v>
      </c>
      <c r="B88" s="140" t="s">
        <v>86</v>
      </c>
      <c r="C88" s="70" t="s">
        <v>87</v>
      </c>
      <c r="D88" s="71" t="s">
        <v>88</v>
      </c>
    </row>
    <row r="90" ht="12.75">
      <c r="A90" t="s">
        <v>93</v>
      </c>
    </row>
    <row r="92" ht="12.75">
      <c r="A92" t="s">
        <v>95</v>
      </c>
    </row>
  </sheetData>
  <sheetProtection selectLockedCells="1" selectUnlockedCells="1"/>
  <mergeCells count="22">
    <mergeCell ref="A81:C81"/>
    <mergeCell ref="A82:C82"/>
    <mergeCell ref="A83:D83"/>
    <mergeCell ref="B85:B87"/>
    <mergeCell ref="A75:C75"/>
    <mergeCell ref="A76:C76"/>
    <mergeCell ref="A77:C77"/>
    <mergeCell ref="A78:C78"/>
    <mergeCell ref="A79:C79"/>
    <mergeCell ref="A80:C80"/>
    <mergeCell ref="A50:D51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52">
      <selection activeCell="D86" sqref="D86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462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463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-9304.199999999999</v>
      </c>
      <c r="C15" s="13"/>
      <c r="D15" s="14"/>
    </row>
    <row r="16" spans="1:4" ht="15.75">
      <c r="A16" s="15" t="s">
        <v>16</v>
      </c>
      <c r="B16" s="12">
        <v>-9400.82</v>
      </c>
      <c r="C16" s="13"/>
      <c r="D16" s="14"/>
    </row>
    <row r="17" spans="1:4" ht="15.75">
      <c r="A17" s="15" t="s">
        <v>17</v>
      </c>
      <c r="B17" s="174">
        <v>96.62</v>
      </c>
      <c r="C17" s="175" t="s">
        <v>19</v>
      </c>
      <c r="D17" s="14"/>
    </row>
    <row r="18" spans="1:5" ht="25.5">
      <c r="A18" s="11" t="s">
        <v>18</v>
      </c>
      <c r="B18" s="16">
        <f>B20+B22+B23+B24+B25</f>
        <v>94586.42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19609.56</v>
      </c>
      <c r="C20" s="105" t="s">
        <v>464</v>
      </c>
      <c r="D20" s="14"/>
    </row>
    <row r="21" spans="1:5" ht="15">
      <c r="A21" s="9" t="s">
        <v>147</v>
      </c>
      <c r="B21" s="16">
        <v>3073.14</v>
      </c>
      <c r="C21" s="19" t="s">
        <v>465</v>
      </c>
      <c r="D21" s="20"/>
      <c r="E21" s="17">
        <f>(1.46+1.69)*6*162.6</f>
        <v>3073.14</v>
      </c>
    </row>
    <row r="22" spans="1:5" ht="15.75">
      <c r="A22" s="9" t="s">
        <v>28</v>
      </c>
      <c r="B22" s="118">
        <v>5268.24</v>
      </c>
      <c r="C22" s="119">
        <v>2.7</v>
      </c>
      <c r="D22" s="20"/>
      <c r="E22" s="17"/>
    </row>
    <row r="23" spans="1:8" ht="15">
      <c r="A23" s="9" t="s">
        <v>149</v>
      </c>
      <c r="B23" s="16">
        <v>0</v>
      </c>
      <c r="C23" s="19">
        <v>0</v>
      </c>
      <c r="D23" s="20"/>
      <c r="E23" s="17"/>
      <c r="H23" s="1" t="s">
        <v>6</v>
      </c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</f>
        <v>69708.62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6967.84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8026.45</v>
      </c>
      <c r="C28" s="19" t="s">
        <v>19</v>
      </c>
      <c r="D28" s="28"/>
      <c r="E28" s="17"/>
    </row>
    <row r="29" spans="1:5" ht="15">
      <c r="A29" s="9" t="s">
        <v>34</v>
      </c>
      <c r="B29" s="16">
        <v>54714.33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94940.96</v>
      </c>
      <c r="C31" s="13" t="s">
        <v>19</v>
      </c>
      <c r="D31" s="14" t="s">
        <v>19</v>
      </c>
      <c r="E31" s="1">
        <f>B31/B18</f>
        <v>1.003748318204664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19683.062870733454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5287.9870398985395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69969.910089368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6993.957681519187</v>
      </c>
      <c r="C37" s="13" t="s">
        <v>19</v>
      </c>
      <c r="D37" s="14"/>
    </row>
    <row r="38" spans="1:4" ht="15">
      <c r="A38" s="9" t="s">
        <v>33</v>
      </c>
      <c r="B38" s="18">
        <f>B28*E31</f>
        <v>8056.535688653826</v>
      </c>
      <c r="C38" s="13"/>
      <c r="D38" s="14"/>
    </row>
    <row r="39" spans="1:4" ht="15">
      <c r="A39" s="9" t="s">
        <v>34</v>
      </c>
      <c r="B39" s="18">
        <f>B29*E31</f>
        <v>54919.416719195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69969.910089368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6993.957681519187</v>
      </c>
      <c r="C43" s="13"/>
      <c r="D43" s="14"/>
    </row>
    <row r="44" spans="1:4" ht="15">
      <c r="A44" s="9" t="s">
        <v>33</v>
      </c>
      <c r="B44" s="18">
        <f>B38</f>
        <v>8056.535688653826</v>
      </c>
      <c r="C44" s="13"/>
      <c r="D44" s="14"/>
    </row>
    <row r="45" spans="1:4" ht="15">
      <c r="A45" s="9" t="s">
        <v>34</v>
      </c>
      <c r="B45" s="18">
        <f>B39</f>
        <v>54919.416719195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720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(0.14+0.15)*6*162.6</f>
        <v>282.92400000000004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(1.2+2)*6*162.6</f>
        <v>3121.9200000000005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136</v>
      </c>
      <c r="D55" s="207">
        <f>(0.41+0.43)*6*162.6</f>
        <v>819.504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251" t="s">
        <v>47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210</v>
      </c>
      <c r="D57" s="207">
        <f>(0.25+0.26)*6*162.6</f>
        <v>497.556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(1.14+1.21)*6*162.6</f>
        <v>2292.6599999999994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4.88*12*162.6</f>
        <v>9521.856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SUM(D52:D59)</f>
        <v>16536.42</v>
      </c>
      <c r="E60" s="34">
        <f>D60+B21</f>
        <v>19609.559999999998</v>
      </c>
      <c r="F60" s="41"/>
      <c r="H60" s="50">
        <f>E60-B20</f>
        <v>0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</f>
        <v>1263.23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 t="s">
        <v>466</v>
      </c>
      <c r="B62" s="52"/>
      <c r="C62" s="53"/>
      <c r="D62" s="212">
        <v>1263.23</v>
      </c>
      <c r="E62" s="34"/>
      <c r="F62" s="45"/>
      <c r="H62" s="50"/>
      <c r="I62" s="37"/>
      <c r="J62" s="37"/>
      <c r="K62" s="37"/>
      <c r="L62" s="37"/>
      <c r="M62" s="37"/>
      <c r="N62" s="37"/>
    </row>
    <row r="63" spans="1:14" ht="20.25" customHeight="1">
      <c r="A63" s="56" t="s">
        <v>71</v>
      </c>
      <c r="B63" s="57"/>
      <c r="C63" s="58"/>
      <c r="D63" s="212">
        <f>D60+D61</f>
        <v>17799.649999999998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21" customHeight="1">
      <c r="A64" s="302" t="s">
        <v>72</v>
      </c>
      <c r="B64" s="302"/>
      <c r="C64" s="302"/>
      <c r="D64" s="113">
        <f>D65</f>
        <v>4225.58</v>
      </c>
      <c r="E64" s="61"/>
      <c r="H64" s="34">
        <f>347.32*12</f>
        <v>4167.84</v>
      </c>
    </row>
    <row r="65" spans="1:8" ht="17.25" customHeight="1">
      <c r="A65" s="111" t="s">
        <v>467</v>
      </c>
      <c r="B65" s="145"/>
      <c r="C65" s="146"/>
      <c r="D65" s="217">
        <v>4225.58</v>
      </c>
      <c r="E65" s="61"/>
      <c r="H65" s="34"/>
    </row>
    <row r="66" spans="1:5" ht="25.5" customHeight="1">
      <c r="A66" s="293" t="s">
        <v>73</v>
      </c>
      <c r="B66" s="293"/>
      <c r="C66" s="293"/>
      <c r="D66" s="113">
        <f>D67+D68</f>
        <v>-6451.63</v>
      </c>
      <c r="E66" s="61"/>
    </row>
    <row r="67" spans="1:5" ht="15.75">
      <c r="A67" s="78" t="s">
        <v>74</v>
      </c>
      <c r="B67" s="114"/>
      <c r="C67" s="115"/>
      <c r="D67" s="113">
        <f>B16+B21-D61</f>
        <v>-7590.91</v>
      </c>
      <c r="E67" s="61"/>
    </row>
    <row r="68" spans="1:5" ht="15.75">
      <c r="A68" s="114" t="s">
        <v>75</v>
      </c>
      <c r="B68" s="114"/>
      <c r="C68" s="115"/>
      <c r="D68" s="113">
        <f>B17+B22-D64</f>
        <v>1139.2799999999997</v>
      </c>
      <c r="E68" s="61"/>
    </row>
    <row r="69" spans="1:5" ht="13.5" customHeight="1">
      <c r="A69" s="291" t="s">
        <v>76</v>
      </c>
      <c r="B69" s="291"/>
      <c r="C69" s="291"/>
      <c r="D69" s="232">
        <v>0</v>
      </c>
      <c r="E69" s="61"/>
    </row>
    <row r="70" spans="1:4" ht="15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D69*E21</f>
        <v>0</v>
      </c>
    </row>
    <row r="72" spans="1:4" ht="13.5" customHeight="1">
      <c r="A72" s="290" t="s">
        <v>28</v>
      </c>
      <c r="B72" s="290"/>
      <c r="C72" s="290"/>
      <c r="D72" s="66">
        <f>D69-D71-D73</f>
        <v>0</v>
      </c>
    </row>
    <row r="73" spans="1:4" ht="13.5" customHeight="1">
      <c r="A73" s="290" t="s">
        <v>29</v>
      </c>
      <c r="B73" s="290"/>
      <c r="C73" s="290"/>
      <c r="D73" s="66">
        <f>SUM(D75:D77)</f>
        <v>0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D69*E26</f>
        <v>0</v>
      </c>
    </row>
    <row r="76" spans="1:4" ht="15">
      <c r="A76" s="290" t="s">
        <v>33</v>
      </c>
      <c r="B76" s="290"/>
      <c r="C76" s="290"/>
      <c r="D76" s="66">
        <f>D69*E27</f>
        <v>0</v>
      </c>
    </row>
    <row r="77" spans="1:4" ht="15" customHeight="1">
      <c r="A77" s="290" t="s">
        <v>34</v>
      </c>
      <c r="B77" s="290"/>
      <c r="C77" s="290"/>
      <c r="D77" s="66">
        <f>D69*E28</f>
        <v>0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21" customHeight="1">
      <c r="A82" s="31" t="s">
        <v>77</v>
      </c>
      <c r="B82" s="296" t="s">
        <v>84</v>
      </c>
      <c r="C82" s="70" t="s">
        <v>464</v>
      </c>
      <c r="D82" s="67" t="s">
        <v>85</v>
      </c>
    </row>
    <row r="83" spans="1:4" ht="19.5" customHeight="1">
      <c r="A83" s="31" t="s">
        <v>28</v>
      </c>
      <c r="B83" s="296"/>
      <c r="C83" s="70">
        <v>2.7</v>
      </c>
      <c r="D83" s="71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31" t="s">
        <v>33</v>
      </c>
      <c r="B85" s="297"/>
      <c r="C85" s="70" t="s">
        <v>89</v>
      </c>
      <c r="D85" s="249" t="s">
        <v>716</v>
      </c>
    </row>
    <row r="86" spans="1:4" ht="39.75" customHeight="1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8:C78"/>
    <mergeCell ref="A79:C79"/>
    <mergeCell ref="A80:D80"/>
    <mergeCell ref="B82:B83"/>
    <mergeCell ref="B84:B85"/>
    <mergeCell ref="A72:C72"/>
    <mergeCell ref="A73:C73"/>
    <mergeCell ref="A74:C74"/>
    <mergeCell ref="A75:C75"/>
    <mergeCell ref="A76:C76"/>
    <mergeCell ref="A77:C77"/>
    <mergeCell ref="A48:D49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43">
      <selection activeCell="D85" sqref="D85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468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469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3115.77</v>
      </c>
      <c r="C15" s="13"/>
      <c r="D15" s="14"/>
    </row>
    <row r="16" spans="1:4" ht="15.75">
      <c r="A16" s="15" t="s">
        <v>16</v>
      </c>
      <c r="B16" s="12">
        <v>1997.97</v>
      </c>
      <c r="C16" s="13"/>
      <c r="D16" s="14"/>
    </row>
    <row r="17" spans="1:4" ht="15.75">
      <c r="A17" s="15" t="s">
        <v>17</v>
      </c>
      <c r="B17" s="174">
        <v>1117.8</v>
      </c>
      <c r="C17" s="175" t="s">
        <v>19</v>
      </c>
      <c r="D17" s="14"/>
    </row>
    <row r="18" spans="1:5" ht="25.5">
      <c r="A18" s="11" t="s">
        <v>18</v>
      </c>
      <c r="B18" s="16">
        <f>B20+B22+B25</f>
        <v>98805.72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19718.1</v>
      </c>
      <c r="C20" s="105" t="s">
        <v>464</v>
      </c>
      <c r="D20" s="14"/>
    </row>
    <row r="21" spans="1:5" ht="15">
      <c r="A21" s="9" t="s">
        <v>147</v>
      </c>
      <c r="B21" s="16">
        <v>3090.1499999999996</v>
      </c>
      <c r="C21" s="19" t="s">
        <v>465</v>
      </c>
      <c r="D21" s="20"/>
      <c r="E21" s="17">
        <f>(1.46+1.69)*6*163.5</f>
        <v>3090.1499999999996</v>
      </c>
    </row>
    <row r="22" spans="1:5" ht="15.75">
      <c r="A22" s="9" t="s">
        <v>28</v>
      </c>
      <c r="B22" s="118">
        <v>5297.4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>
        <v>0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</f>
        <v>73790.22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8723.83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10049.27</v>
      </c>
      <c r="C28" s="19" t="s">
        <v>19</v>
      </c>
      <c r="D28" s="28"/>
      <c r="E28" s="17"/>
    </row>
    <row r="29" spans="1:5" ht="15">
      <c r="A29" s="9" t="s">
        <v>34</v>
      </c>
      <c r="B29" s="16">
        <v>55017.12</v>
      </c>
      <c r="C29" s="19" t="s">
        <v>6</v>
      </c>
      <c r="D29" s="28"/>
      <c r="E29" s="17"/>
    </row>
    <row r="30" spans="1:8" ht="15">
      <c r="A30" s="9" t="s">
        <v>35</v>
      </c>
      <c r="B30" s="16"/>
      <c r="C30" s="19" t="s">
        <v>19</v>
      </c>
      <c r="D30" s="28"/>
      <c r="E30" s="17"/>
      <c r="H30" s="1" t="s">
        <v>6</v>
      </c>
    </row>
    <row r="31" spans="1:5" ht="25.5">
      <c r="A31" s="11" t="s">
        <v>36</v>
      </c>
      <c r="B31" s="18">
        <v>102539.4</v>
      </c>
      <c r="C31" s="13" t="s">
        <v>19</v>
      </c>
      <c r="D31" s="14" t="s">
        <v>19</v>
      </c>
      <c r="E31" s="1">
        <f>B31/B18</f>
        <v>1.0377880956689551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20463.209449210022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5497.5786579967225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76578.61189279325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9053.4869226397</v>
      </c>
      <c r="C37" s="13" t="s">
        <v>19</v>
      </c>
      <c r="D37" s="14"/>
    </row>
    <row r="38" spans="1:4" ht="15">
      <c r="A38" s="9" t="s">
        <v>33</v>
      </c>
      <c r="B38" s="18">
        <f>B28*E31</f>
        <v>10429.012776163161</v>
      </c>
      <c r="C38" s="13"/>
      <c r="D38" s="14"/>
    </row>
    <row r="39" spans="1:4" ht="15">
      <c r="A39" s="9" t="s">
        <v>34</v>
      </c>
      <c r="B39" s="18">
        <f>B29*E31</f>
        <v>57096.11219399039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76578.61189279325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9053.4869226397</v>
      </c>
      <c r="C43" s="13"/>
      <c r="D43" s="14"/>
    </row>
    <row r="44" spans="1:4" ht="15">
      <c r="A44" s="9" t="s">
        <v>33</v>
      </c>
      <c r="B44" s="18">
        <f>B38</f>
        <v>10429.012776163161</v>
      </c>
      <c r="C44" s="13"/>
      <c r="D44" s="14"/>
    </row>
    <row r="45" spans="1:4" ht="15">
      <c r="A45" s="9" t="s">
        <v>34</v>
      </c>
      <c r="B45" s="18">
        <f>B39</f>
        <v>57096.11219399039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48</v>
      </c>
      <c r="D52" s="207">
        <f>(0.14+0.15)*6*163.5</f>
        <v>284.49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>
        <v>0</v>
      </c>
      <c r="D53" s="207">
        <f>C53:C60*E53:E60</f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207">
        <f>(1.2+2)*6*163.5</f>
        <v>3139.2000000000003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136</v>
      </c>
      <c r="D55" s="207">
        <f>(0.41+0.43)*6*163.5</f>
        <v>824.04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719</v>
      </c>
      <c r="C56" s="40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0" t="s">
        <v>210</v>
      </c>
      <c r="D57" s="207">
        <f>(0.25+0.26)*6*163.5</f>
        <v>500.31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65</v>
      </c>
      <c r="D58" s="207">
        <f>(1.14+1.21)*6*163.5</f>
        <v>2305.3499999999995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207">
        <f>4.88*12*163.5</f>
        <v>9574.56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SUM(D52:D59)</f>
        <v>16627.95</v>
      </c>
      <c r="E60" s="34">
        <f>D60+B21</f>
        <v>19718.1</v>
      </c>
      <c r="F60" s="41"/>
      <c r="H60" s="50">
        <f>E60-B20</f>
        <v>0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</f>
        <v>1886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 t="s">
        <v>470</v>
      </c>
      <c r="B62" s="52"/>
      <c r="C62" s="53"/>
      <c r="D62" s="212">
        <v>1886</v>
      </c>
      <c r="E62" s="34"/>
      <c r="F62" s="45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212">
        <f>D60+D61</f>
        <v>18513.95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13">
        <f>D65</f>
        <v>8329.62</v>
      </c>
      <c r="E64" s="61"/>
      <c r="H64" s="34">
        <f>347.32*12</f>
        <v>4167.84</v>
      </c>
    </row>
    <row r="65" spans="1:8" ht="17.25" customHeight="1">
      <c r="A65" s="111" t="s">
        <v>471</v>
      </c>
      <c r="B65" s="145"/>
      <c r="C65" s="146"/>
      <c r="D65" s="217">
        <v>8329.62</v>
      </c>
      <c r="E65" s="61"/>
      <c r="H65" s="34"/>
    </row>
    <row r="66" spans="1:5" ht="25.5" customHeight="1">
      <c r="A66" s="293" t="s">
        <v>73</v>
      </c>
      <c r="B66" s="293"/>
      <c r="C66" s="293"/>
      <c r="D66" s="113">
        <f>D67+D68</f>
        <v>1287.699999999999</v>
      </c>
      <c r="E66" s="61"/>
    </row>
    <row r="67" spans="1:5" ht="15.75">
      <c r="A67" s="78" t="s">
        <v>74</v>
      </c>
      <c r="B67" s="114"/>
      <c r="C67" s="115"/>
      <c r="D67" s="113">
        <f>B16+B21-D61</f>
        <v>3202.12</v>
      </c>
      <c r="E67" s="61"/>
    </row>
    <row r="68" spans="1:5" ht="15.75">
      <c r="A68" s="114" t="s">
        <v>75</v>
      </c>
      <c r="B68" s="114"/>
      <c r="C68" s="115"/>
      <c r="D68" s="113">
        <f>B17+B22-D64</f>
        <v>-1914.420000000001</v>
      </c>
      <c r="E68" s="61"/>
    </row>
    <row r="69" spans="1:5" ht="13.5" customHeight="1">
      <c r="A69" s="291" t="s">
        <v>76</v>
      </c>
      <c r="B69" s="291"/>
      <c r="C69" s="291"/>
      <c r="D69" s="232">
        <v>0</v>
      </c>
      <c r="E69" s="61"/>
    </row>
    <row r="70" spans="1:4" ht="15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D69*E21</f>
        <v>0</v>
      </c>
    </row>
    <row r="72" spans="1:4" ht="13.5" customHeight="1">
      <c r="A72" s="290" t="s">
        <v>28</v>
      </c>
      <c r="B72" s="290"/>
      <c r="C72" s="290"/>
      <c r="D72" s="66">
        <f>D69-D71-D73</f>
        <v>0</v>
      </c>
    </row>
    <row r="73" spans="1:4" ht="13.5" customHeight="1">
      <c r="A73" s="290" t="s">
        <v>29</v>
      </c>
      <c r="B73" s="290"/>
      <c r="C73" s="290"/>
      <c r="D73" s="66">
        <f>SUM(D75:D77)</f>
        <v>0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D69*E26</f>
        <v>0</v>
      </c>
    </row>
    <row r="76" spans="1:4" ht="15">
      <c r="A76" s="290" t="s">
        <v>33</v>
      </c>
      <c r="B76" s="290"/>
      <c r="C76" s="290"/>
      <c r="D76" s="66">
        <f>D69*E27</f>
        <v>0</v>
      </c>
    </row>
    <row r="77" spans="1:4" ht="15" customHeight="1">
      <c r="A77" s="290" t="s">
        <v>34</v>
      </c>
      <c r="B77" s="290"/>
      <c r="C77" s="290"/>
      <c r="D77" s="66">
        <f>D69*E28</f>
        <v>0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12.75" customHeight="1">
      <c r="A82" s="31" t="s">
        <v>77</v>
      </c>
      <c r="B82" s="296" t="s">
        <v>84</v>
      </c>
      <c r="C82" s="70" t="s">
        <v>464</v>
      </c>
      <c r="D82" s="67" t="s">
        <v>85</v>
      </c>
    </row>
    <row r="83" spans="1:4" ht="12.75">
      <c r="A83" s="31" t="s">
        <v>28</v>
      </c>
      <c r="B83" s="296"/>
      <c r="C83" s="70">
        <v>2.7</v>
      </c>
      <c r="D83" s="71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31" t="s">
        <v>33</v>
      </c>
      <c r="B85" s="297"/>
      <c r="C85" s="70" t="s">
        <v>89</v>
      </c>
      <c r="D85" s="249" t="s">
        <v>716</v>
      </c>
    </row>
    <row r="86" spans="1:4" ht="39.75" customHeight="1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8:C78"/>
    <mergeCell ref="A79:C79"/>
    <mergeCell ref="A80:D80"/>
    <mergeCell ref="B82:B83"/>
    <mergeCell ref="B84:B85"/>
    <mergeCell ref="A72:C72"/>
    <mergeCell ref="A73:C73"/>
    <mergeCell ref="A74:C74"/>
    <mergeCell ref="A75:C75"/>
    <mergeCell ref="A76:C76"/>
    <mergeCell ref="A77:C77"/>
    <mergeCell ref="A48:D49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64" zoomScaleNormal="64" zoomScalePageLayoutView="0" workbookViewId="0" topLeftCell="A49">
      <selection activeCell="C87" sqref="C87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472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473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8" ht="38.25">
      <c r="A13" s="7" t="s">
        <v>11</v>
      </c>
      <c r="B13" s="7" t="s">
        <v>12</v>
      </c>
      <c r="C13" s="7" t="s">
        <v>13</v>
      </c>
      <c r="D13" s="8"/>
      <c r="H13" s="1" t="s">
        <v>6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10064.41</v>
      </c>
      <c r="C15" s="13"/>
      <c r="D15" s="14"/>
    </row>
    <row r="16" spans="1:4" ht="15.75">
      <c r="A16" s="15" t="s">
        <v>16</v>
      </c>
      <c r="B16" s="12">
        <v>7226.17</v>
      </c>
      <c r="C16" s="13"/>
      <c r="D16" s="14"/>
    </row>
    <row r="17" spans="1:4" ht="15.75">
      <c r="A17" s="15" t="s">
        <v>17</v>
      </c>
      <c r="B17" s="174">
        <v>2838.24</v>
      </c>
      <c r="C17" s="175" t="s">
        <v>19</v>
      </c>
      <c r="D17" s="14"/>
    </row>
    <row r="18" spans="1:5" ht="25.5">
      <c r="A18" s="11" t="s">
        <v>18</v>
      </c>
      <c r="B18" s="16">
        <f>B20+B22+B25</f>
        <v>52612.85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11789.22</v>
      </c>
      <c r="C20" s="105" t="s">
        <v>474</v>
      </c>
      <c r="D20" s="14"/>
    </row>
    <row r="21" spans="1:5" ht="15">
      <c r="A21" s="9" t="s">
        <v>147</v>
      </c>
      <c r="B21" s="16">
        <v>2906.57</v>
      </c>
      <c r="C21" s="19" t="s">
        <v>475</v>
      </c>
      <c r="D21" s="20"/>
      <c r="E21" s="17">
        <f>(2.56+2.97)*6*87.6</f>
        <v>2906.5679999999998</v>
      </c>
    </row>
    <row r="22" spans="1:5" ht="15.75">
      <c r="A22" s="9" t="s">
        <v>28</v>
      </c>
      <c r="B22" s="118">
        <v>2838.24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233"/>
      <c r="D24" s="20" t="s">
        <v>30</v>
      </c>
    </row>
    <row r="25" spans="1:4" ht="15">
      <c r="A25" s="9" t="s">
        <v>29</v>
      </c>
      <c r="B25" s="16">
        <f>B27+B28+B29</f>
        <v>37985.39</v>
      </c>
      <c r="C25" s="178" t="s">
        <v>19</v>
      </c>
      <c r="D25" s="20"/>
    </row>
    <row r="26" spans="1:5" ht="15">
      <c r="A26" s="9" t="s">
        <v>20</v>
      </c>
      <c r="B26" s="16"/>
      <c r="C26" s="178"/>
      <c r="D26" s="27" t="s">
        <v>32</v>
      </c>
      <c r="E26" s="17"/>
    </row>
    <row r="27" spans="1:5" ht="15">
      <c r="A27" s="9" t="s">
        <v>31</v>
      </c>
      <c r="B27" s="16">
        <v>3953.81</v>
      </c>
      <c r="C27" s="178" t="s">
        <v>19</v>
      </c>
      <c r="D27" s="27" t="s">
        <v>32</v>
      </c>
      <c r="E27" s="17"/>
    </row>
    <row r="28" spans="1:5" ht="15">
      <c r="A28" s="9" t="s">
        <v>33</v>
      </c>
      <c r="B28" s="16">
        <v>4554.56</v>
      </c>
      <c r="C28" s="178" t="s">
        <v>19</v>
      </c>
      <c r="D28" s="28"/>
      <c r="E28" s="17"/>
    </row>
    <row r="29" spans="1:5" ht="15">
      <c r="A29" s="9" t="s">
        <v>34</v>
      </c>
      <c r="B29" s="16">
        <v>29477.02</v>
      </c>
      <c r="C29" s="178" t="s">
        <v>6</v>
      </c>
      <c r="D29" s="28"/>
      <c r="E29" s="17"/>
    </row>
    <row r="30" spans="1:5" ht="15">
      <c r="A30" s="9" t="s">
        <v>35</v>
      </c>
      <c r="B30" s="16"/>
      <c r="C30" s="178" t="s">
        <v>19</v>
      </c>
      <c r="D30" s="28"/>
      <c r="E30" s="17"/>
    </row>
    <row r="31" spans="1:5" ht="25.5">
      <c r="A31" s="11" t="s">
        <v>36</v>
      </c>
      <c r="B31" s="18">
        <v>52284.93</v>
      </c>
      <c r="C31" s="13" t="s">
        <v>19</v>
      </c>
      <c r="D31" s="14" t="s">
        <v>19</v>
      </c>
      <c r="E31" s="1">
        <f>B31/B18</f>
        <v>0.9937673020944503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11715.741353197935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2820.5501074965523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37748.63853930551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3929.1670966940583</v>
      </c>
      <c r="C37" s="13" t="s">
        <v>19</v>
      </c>
      <c r="D37" s="14"/>
    </row>
    <row r="38" spans="1:4" ht="15">
      <c r="A38" s="9" t="s">
        <v>33</v>
      </c>
      <c r="B38" s="18">
        <f>B28*E31</f>
        <v>4526.1728034273</v>
      </c>
      <c r="C38" s="13"/>
      <c r="D38" s="14"/>
    </row>
    <row r="39" spans="1:4" ht="15">
      <c r="A39" s="9" t="s">
        <v>34</v>
      </c>
      <c r="B39" s="18">
        <f>B29*E31</f>
        <v>29293.298639184155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37748.63853930551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3929.1670966940583</v>
      </c>
      <c r="C43" s="13"/>
      <c r="D43" s="14"/>
    </row>
    <row r="44" spans="1:4" ht="15">
      <c r="A44" s="9" t="s">
        <v>33</v>
      </c>
      <c r="B44" s="18">
        <f>B38</f>
        <v>4526.1728034273</v>
      </c>
      <c r="C44" s="13"/>
      <c r="D44" s="14"/>
    </row>
    <row r="45" spans="1:4" ht="15">
      <c r="A45" s="9" t="s">
        <v>34</v>
      </c>
      <c r="B45" s="18">
        <f>B39</f>
        <v>29293.298639184155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48</v>
      </c>
      <c r="D52" s="207">
        <f>(0.14+0.15)*6*87.6</f>
        <v>152.424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207">
        <f>(1.2+2)*6*87.6</f>
        <v>1681.92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136</v>
      </c>
      <c r="D55" s="207">
        <f>(0.41+0.43)*6*87.6</f>
        <v>441.50399999999996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251" t="s">
        <v>47</v>
      </c>
      <c r="C56" s="40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0" t="s">
        <v>308</v>
      </c>
      <c r="D57" s="207">
        <f>(0.25+0.21)*6*87.6</f>
        <v>241.77599999999995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65</v>
      </c>
      <c r="D58" s="207">
        <f>(1.14+1.21)*6*87.6</f>
        <v>1235.1599999999996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207">
        <f>4.88*12*87.6+0.01</f>
        <v>5129.866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SUM(D52:D59)</f>
        <v>8882.65</v>
      </c>
      <c r="E60" s="34">
        <f>D60+B21</f>
        <v>11789.22</v>
      </c>
      <c r="F60" s="41"/>
      <c r="H60" s="50">
        <f>E60-B20</f>
        <v>0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54">
        <f>D62</f>
        <v>0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/>
      <c r="B62" s="52"/>
      <c r="C62" s="53"/>
      <c r="D62" s="212"/>
      <c r="E62" s="34"/>
      <c r="F62" s="45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212">
        <f>D60+D61</f>
        <v>8882.65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13">
        <f>D65</f>
        <v>3456</v>
      </c>
      <c r="E64" s="61"/>
      <c r="H64" s="34">
        <f>347.32*12</f>
        <v>4167.84</v>
      </c>
    </row>
    <row r="65" spans="1:8" ht="17.25" customHeight="1">
      <c r="A65" s="111" t="s">
        <v>154</v>
      </c>
      <c r="B65" s="145"/>
      <c r="C65" s="146"/>
      <c r="D65" s="217">
        <v>3456</v>
      </c>
      <c r="E65" s="61"/>
      <c r="H65" s="34"/>
    </row>
    <row r="66" spans="1:8" ht="17.25" customHeight="1">
      <c r="A66" s="111" t="s">
        <v>292</v>
      </c>
      <c r="B66" s="145"/>
      <c r="C66" s="146"/>
      <c r="D66" s="217">
        <v>62879.84</v>
      </c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12353.22</v>
      </c>
      <c r="E67" s="61"/>
    </row>
    <row r="68" spans="1:5" ht="15.75">
      <c r="A68" s="78" t="s">
        <v>74</v>
      </c>
      <c r="B68" s="114"/>
      <c r="C68" s="115"/>
      <c r="D68" s="113">
        <f>B16+B21-D61</f>
        <v>10132.74</v>
      </c>
      <c r="E68" s="61"/>
    </row>
    <row r="69" spans="1:5" ht="15.75">
      <c r="A69" s="114" t="s">
        <v>75</v>
      </c>
      <c r="B69" s="114"/>
      <c r="C69" s="115"/>
      <c r="D69" s="113">
        <f>B17+B22-D64</f>
        <v>2220.4799999999996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12.75" customHeight="1">
      <c r="A83" s="31" t="s">
        <v>77</v>
      </c>
      <c r="B83" s="296" t="s">
        <v>84</v>
      </c>
      <c r="C83" s="70" t="s">
        <v>474</v>
      </c>
      <c r="D83" s="67" t="s">
        <v>85</v>
      </c>
    </row>
    <row r="84" spans="1:4" ht="12.75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249" t="s">
        <v>716</v>
      </c>
    </row>
    <row r="86" spans="1:4" ht="21" customHeight="1">
      <c r="A86" s="31" t="s">
        <v>33</v>
      </c>
      <c r="B86" s="297"/>
      <c r="C86" s="70" t="s">
        <v>89</v>
      </c>
      <c r="D86" s="249" t="s">
        <v>716</v>
      </c>
    </row>
    <row r="87" spans="1:4" ht="39.75" customHeight="1">
      <c r="A87" s="31" t="s">
        <v>34</v>
      </c>
      <c r="B87" s="170" t="s">
        <v>90</v>
      </c>
      <c r="C87" s="147" t="s">
        <v>91</v>
      </c>
      <c r="D87" s="71" t="s">
        <v>92</v>
      </c>
    </row>
    <row r="89" ht="12.75">
      <c r="A89" t="s">
        <v>93</v>
      </c>
    </row>
    <row r="91" ht="12.75">
      <c r="A91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4:C64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zoomScale="64" zoomScaleNormal="64" zoomScalePageLayoutView="0" workbookViewId="0" topLeftCell="A53">
      <selection activeCell="B58" sqref="B58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476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477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-3486.3099999999995</v>
      </c>
      <c r="C15" s="13"/>
      <c r="D15" s="14"/>
    </row>
    <row r="16" spans="1:4" ht="15.75">
      <c r="A16" s="15" t="s">
        <v>16</v>
      </c>
      <c r="B16" s="12">
        <v>10473.27</v>
      </c>
      <c r="C16" s="13"/>
      <c r="D16" s="14"/>
    </row>
    <row r="17" spans="1:4" ht="15.75">
      <c r="A17" s="15" t="s">
        <v>17</v>
      </c>
      <c r="B17" s="174">
        <v>-13959.58</v>
      </c>
      <c r="C17" s="175" t="s">
        <v>19</v>
      </c>
      <c r="D17" s="14"/>
    </row>
    <row r="18" spans="1:5" ht="25.5">
      <c r="A18" s="11" t="s">
        <v>18</v>
      </c>
      <c r="B18" s="16">
        <f>B20+B24+B25+B26+B27</f>
        <v>699899.2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333</v>
      </c>
      <c r="B20" s="16">
        <v>147032.89</v>
      </c>
      <c r="C20" s="105"/>
      <c r="D20" s="14"/>
    </row>
    <row r="21" spans="1:5" ht="15">
      <c r="A21" s="9" t="s">
        <v>478</v>
      </c>
      <c r="B21" s="16"/>
      <c r="C21" s="19" t="s">
        <v>479</v>
      </c>
      <c r="D21" s="20"/>
      <c r="E21" s="17"/>
    </row>
    <row r="22" spans="1:5" ht="15.75">
      <c r="A22" s="9" t="s">
        <v>480</v>
      </c>
      <c r="B22" s="120" t="s">
        <v>6</v>
      </c>
      <c r="C22" s="19" t="s">
        <v>481</v>
      </c>
      <c r="D22" s="20"/>
      <c r="E22" s="17"/>
    </row>
    <row r="23" spans="1:5" ht="15">
      <c r="A23" s="9" t="s">
        <v>147</v>
      </c>
      <c r="B23" s="16">
        <v>3777.9300000000007</v>
      </c>
      <c r="C23" s="19" t="s">
        <v>482</v>
      </c>
      <c r="D23" s="20"/>
      <c r="E23" s="17">
        <f>(0.23+0.42)*6*968.7</f>
        <v>3777.9300000000007</v>
      </c>
    </row>
    <row r="24" spans="1:4" ht="15.75">
      <c r="A24" s="9" t="s">
        <v>28</v>
      </c>
      <c r="B24" s="171">
        <v>29331.72</v>
      </c>
      <c r="C24" s="172">
        <v>2.7</v>
      </c>
      <c r="D24" s="20" t="s">
        <v>30</v>
      </c>
    </row>
    <row r="25" spans="1:4" ht="15">
      <c r="A25" s="9" t="s">
        <v>149</v>
      </c>
      <c r="B25" s="16">
        <v>110.34</v>
      </c>
      <c r="C25" s="19">
        <v>0.14</v>
      </c>
      <c r="D25" s="20"/>
    </row>
    <row r="26" spans="1:5" ht="15">
      <c r="A26" s="9" t="s">
        <v>167</v>
      </c>
      <c r="B26" s="16">
        <v>2063.76</v>
      </c>
      <c r="C26" s="19"/>
      <c r="D26" s="27" t="s">
        <v>32</v>
      </c>
      <c r="E26" s="17"/>
    </row>
    <row r="27" spans="1:5" ht="15">
      <c r="A27" s="9" t="s">
        <v>29</v>
      </c>
      <c r="B27" s="16">
        <f>B29+B30+B31</f>
        <v>521360.49</v>
      </c>
      <c r="C27" s="19" t="s">
        <v>19</v>
      </c>
      <c r="D27" s="27" t="s">
        <v>32</v>
      </c>
      <c r="E27" s="17"/>
    </row>
    <row r="28" spans="1:5" ht="15">
      <c r="A28" s="9" t="s">
        <v>20</v>
      </c>
      <c r="B28" s="16"/>
      <c r="C28" s="19"/>
      <c r="D28" s="28"/>
      <c r="E28" s="17"/>
    </row>
    <row r="29" spans="1:5" ht="15">
      <c r="A29" s="9" t="s">
        <v>31</v>
      </c>
      <c r="B29" s="16">
        <v>56847.59</v>
      </c>
      <c r="C29" s="19" t="s">
        <v>19</v>
      </c>
      <c r="D29" s="28"/>
      <c r="E29" s="17"/>
    </row>
    <row r="30" spans="1:5" ht="15">
      <c r="A30" s="9" t="s">
        <v>33</v>
      </c>
      <c r="B30" s="16">
        <v>65484.61</v>
      </c>
      <c r="C30" s="19" t="s">
        <v>19</v>
      </c>
      <c r="D30" s="28"/>
      <c r="E30" s="17"/>
    </row>
    <row r="31" spans="1:5" ht="15">
      <c r="A31" s="9" t="s">
        <v>34</v>
      </c>
      <c r="B31" s="16">
        <v>399028.29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681741.94</v>
      </c>
      <c r="C33" s="13" t="s">
        <v>19</v>
      </c>
      <c r="D33" s="14" t="s">
        <v>19</v>
      </c>
      <c r="E33" s="1">
        <f>B33/B18</f>
        <v>0.9740573213971383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143218.4629906801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28570.77661517087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B39+B40+B41</f>
        <v>507835.0023716995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55372.81124328274</v>
      </c>
      <c r="C39" s="13" t="s">
        <v>19</v>
      </c>
      <c r="D39" s="14"/>
    </row>
    <row r="40" spans="1:4" ht="15">
      <c r="A40" s="9" t="s">
        <v>33</v>
      </c>
      <c r="B40" s="18">
        <f>B30*E33</f>
        <v>63785.763809336255</v>
      </c>
      <c r="C40" s="13"/>
      <c r="D40" s="14"/>
    </row>
    <row r="41" spans="1:4" ht="15">
      <c r="A41" s="9" t="s">
        <v>34</v>
      </c>
      <c r="B41" s="18">
        <f>B31*E33</f>
        <v>388676.4273190805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B45+B46+B47</f>
        <v>507835.0023716995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55372.81124328274</v>
      </c>
      <c r="C45" s="13"/>
      <c r="D45" s="14"/>
    </row>
    <row r="46" spans="1:4" ht="15">
      <c r="A46" s="9" t="s">
        <v>33</v>
      </c>
      <c r="B46" s="18">
        <f>B40</f>
        <v>63785.763809336255</v>
      </c>
      <c r="C46" s="13"/>
      <c r="D46" s="14"/>
    </row>
    <row r="47" spans="1:4" ht="15">
      <c r="A47" s="9" t="s">
        <v>34</v>
      </c>
      <c r="B47" s="18">
        <f>B41</f>
        <v>388676.4273190805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248" t="s">
        <v>715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19" t="s">
        <v>483</v>
      </c>
      <c r="D54" s="207">
        <f>(0.14+0.36)*6*968.7</f>
        <v>2906.1000000000004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156" t="s">
        <v>51</v>
      </c>
      <c r="D55" s="207">
        <f>(2.1+2.23)*6*968.7</f>
        <v>25166.826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156" t="s">
        <v>53</v>
      </c>
      <c r="D56" s="207">
        <f>(1.2+2)*6*968.7</f>
        <v>18599.040000000005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156" t="s">
        <v>136</v>
      </c>
      <c r="D57" s="207">
        <f>(0.41+0.43)*6*968.7</f>
        <v>4882.2480000000005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484</v>
      </c>
      <c r="B58" s="251" t="s">
        <v>47</v>
      </c>
      <c r="C58" s="40" t="s">
        <v>485</v>
      </c>
      <c r="D58" s="207">
        <f>(0.73+0.55)*6*63.4</f>
        <v>486.912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486</v>
      </c>
      <c r="B59" s="39"/>
      <c r="C59" s="40" t="s">
        <v>487</v>
      </c>
      <c r="D59" s="207">
        <f>(0.52+0.55)*6*(968.7-63.4)-351.11-0.13</f>
        <v>5460.786000000001</v>
      </c>
      <c r="E59" s="34"/>
      <c r="F59" s="41"/>
      <c r="G59" s="42"/>
      <c r="H59" s="43"/>
      <c r="I59" s="37"/>
      <c r="J59" s="37"/>
      <c r="K59" s="37"/>
      <c r="L59" s="37"/>
      <c r="M59" s="37"/>
      <c r="N59" s="37"/>
    </row>
    <row r="60" spans="1:14" ht="15">
      <c r="A60" s="31" t="s">
        <v>488</v>
      </c>
      <c r="B60" s="39" t="s">
        <v>47</v>
      </c>
      <c r="C60" s="40" t="s">
        <v>489</v>
      </c>
      <c r="D60" s="207">
        <f>(0.87+0.26)*6*63.4</f>
        <v>429.852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490</v>
      </c>
      <c r="B61" s="39"/>
      <c r="C61" s="40" t="s">
        <v>491</v>
      </c>
      <c r="D61" s="207">
        <f>(1.31+1.44)*6*(968.7-63.4)</f>
        <v>14937.45</v>
      </c>
      <c r="E61" s="34"/>
      <c r="F61" s="41"/>
      <c r="G61" s="42"/>
      <c r="I61" s="37"/>
      <c r="J61" s="37"/>
      <c r="K61" s="37"/>
      <c r="L61" s="37"/>
      <c r="M61" s="37"/>
      <c r="N61" s="37"/>
    </row>
    <row r="62" spans="1:14" ht="15">
      <c r="A62" s="31" t="s">
        <v>63</v>
      </c>
      <c r="B62" s="39" t="s">
        <v>64</v>
      </c>
      <c r="C62" s="44" t="s">
        <v>65</v>
      </c>
      <c r="D62" s="220">
        <f>(1.14+1.21)*6*968.7</f>
        <v>13658.669999999998</v>
      </c>
      <c r="E62" s="34"/>
      <c r="F62" s="41"/>
      <c r="G62" s="42"/>
      <c r="I62" s="37"/>
      <c r="J62" s="37"/>
      <c r="K62" s="37"/>
      <c r="L62" s="37"/>
      <c r="M62" s="37"/>
      <c r="N62" s="37"/>
    </row>
    <row r="63" spans="1:14" ht="15">
      <c r="A63" s="31" t="s">
        <v>66</v>
      </c>
      <c r="B63" s="39" t="s">
        <v>67</v>
      </c>
      <c r="C63" s="44">
        <v>4.88</v>
      </c>
      <c r="D63" s="220">
        <f>4.88*12*968.7</f>
        <v>56727.07200000001</v>
      </c>
      <c r="E63" s="34"/>
      <c r="F63" s="41"/>
      <c r="H63" s="45"/>
      <c r="I63" s="37"/>
      <c r="J63" s="37"/>
      <c r="K63" s="37"/>
      <c r="L63" s="37"/>
      <c r="M63" s="37"/>
      <c r="N63" s="37"/>
    </row>
    <row r="64" spans="1:14" ht="15">
      <c r="A64" s="46" t="s">
        <v>68</v>
      </c>
      <c r="B64" s="47"/>
      <c r="C64" s="48"/>
      <c r="D64" s="214">
        <f>SUM(D54:D63)</f>
        <v>143254.956</v>
      </c>
      <c r="E64" s="34">
        <f>D64+B23</f>
        <v>147032.886</v>
      </c>
      <c r="F64" s="41"/>
      <c r="H64" s="50">
        <f>E64-B20</f>
        <v>-0.0040000000153668225</v>
      </c>
      <c r="I64" s="37"/>
      <c r="J64" s="37"/>
      <c r="K64" s="37"/>
      <c r="L64" s="37"/>
      <c r="M64" s="37"/>
      <c r="N64" s="37"/>
    </row>
    <row r="65" spans="1:14" ht="15.75">
      <c r="A65" s="51" t="s">
        <v>69</v>
      </c>
      <c r="B65" s="52"/>
      <c r="C65" s="53"/>
      <c r="D65" s="212">
        <f>D66+D67+D68+D69+D70+D71+D72+D73</f>
        <v>14057.78</v>
      </c>
      <c r="E65" s="34"/>
      <c r="F65" s="41"/>
      <c r="H65" s="50"/>
      <c r="I65" s="37"/>
      <c r="J65" s="37"/>
      <c r="K65" s="37"/>
      <c r="L65" s="37"/>
      <c r="M65" s="37"/>
      <c r="N65" s="37"/>
    </row>
    <row r="66" spans="1:14" ht="15.75">
      <c r="A66" s="51" t="s">
        <v>492</v>
      </c>
      <c r="B66" s="52"/>
      <c r="C66" s="53"/>
      <c r="D66" s="212">
        <v>974.13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14" ht="15.75">
      <c r="A67" s="225" t="s">
        <v>493</v>
      </c>
      <c r="B67" s="226"/>
      <c r="C67" s="227"/>
      <c r="D67" s="212">
        <v>7778.27</v>
      </c>
      <c r="E67" s="34"/>
      <c r="F67" s="45"/>
      <c r="H67" s="50"/>
      <c r="I67" s="37"/>
      <c r="J67" s="37"/>
      <c r="K67" s="37"/>
      <c r="L67" s="37"/>
      <c r="M67" s="37"/>
      <c r="N67" s="37"/>
    </row>
    <row r="68" spans="1:14" ht="15.75">
      <c r="A68" s="225" t="s">
        <v>494</v>
      </c>
      <c r="B68" s="226"/>
      <c r="C68" s="227"/>
      <c r="D68" s="212">
        <v>570.86</v>
      </c>
      <c r="E68" s="34"/>
      <c r="F68" s="45"/>
      <c r="H68" s="50"/>
      <c r="I68" s="37"/>
      <c r="J68" s="37"/>
      <c r="K68" s="37"/>
      <c r="L68" s="37"/>
      <c r="M68" s="37"/>
      <c r="N68" s="37"/>
    </row>
    <row r="69" spans="1:14" ht="15.75">
      <c r="A69" s="225" t="s">
        <v>495</v>
      </c>
      <c r="B69" s="226"/>
      <c r="C69" s="227"/>
      <c r="D69" s="212">
        <v>872.02</v>
      </c>
      <c r="E69" s="34"/>
      <c r="F69" s="45"/>
      <c r="H69" s="50"/>
      <c r="I69" s="37"/>
      <c r="J69" s="37"/>
      <c r="K69" s="37"/>
      <c r="L69" s="37"/>
      <c r="M69" s="37"/>
      <c r="N69" s="37"/>
    </row>
    <row r="70" spans="1:14" ht="15.75">
      <c r="A70" s="51" t="s">
        <v>496</v>
      </c>
      <c r="B70" s="52"/>
      <c r="C70" s="53"/>
      <c r="D70" s="54">
        <v>390.58</v>
      </c>
      <c r="E70" s="34"/>
      <c r="F70" s="45"/>
      <c r="H70" s="50"/>
      <c r="I70" s="37"/>
      <c r="J70" s="37"/>
      <c r="K70" s="37"/>
      <c r="L70" s="37"/>
      <c r="M70" s="37"/>
      <c r="N70" s="37"/>
    </row>
    <row r="71" spans="1:14" ht="15.75">
      <c r="A71" s="51" t="s">
        <v>497</v>
      </c>
      <c r="B71" s="52"/>
      <c r="C71" s="53"/>
      <c r="D71" s="54">
        <v>3001.92</v>
      </c>
      <c r="E71" s="34"/>
      <c r="F71" s="45"/>
      <c r="H71" s="50"/>
      <c r="I71" s="37"/>
      <c r="J71" s="37"/>
      <c r="K71" s="37"/>
      <c r="L71" s="37"/>
      <c r="M71" s="37"/>
      <c r="N71" s="37"/>
    </row>
    <row r="72" spans="1:14" ht="15.75">
      <c r="A72" s="51" t="s">
        <v>498</v>
      </c>
      <c r="B72" s="52"/>
      <c r="C72" s="53"/>
      <c r="D72" s="54">
        <v>86</v>
      </c>
      <c r="E72" s="34"/>
      <c r="F72" s="45"/>
      <c r="H72" s="50"/>
      <c r="I72" s="37"/>
      <c r="J72" s="37"/>
      <c r="K72" s="37"/>
      <c r="L72" s="37"/>
      <c r="M72" s="37"/>
      <c r="N72" s="37"/>
    </row>
    <row r="73" spans="1:14" ht="15.75">
      <c r="A73" s="51" t="s">
        <v>499</v>
      </c>
      <c r="B73" s="52"/>
      <c r="C73" s="53"/>
      <c r="D73" s="54">
        <v>384</v>
      </c>
      <c r="E73" s="34"/>
      <c r="F73" s="45"/>
      <c r="H73" s="50"/>
      <c r="I73" s="37"/>
      <c r="J73" s="37"/>
      <c r="K73" s="37"/>
      <c r="L73" s="37"/>
      <c r="M73" s="37"/>
      <c r="N73" s="37"/>
    </row>
    <row r="74" spans="1:14" ht="15.75">
      <c r="A74" s="56" t="s">
        <v>71</v>
      </c>
      <c r="B74" s="57"/>
      <c r="C74" s="58"/>
      <c r="D74" s="54">
        <f>D64+D65</f>
        <v>157312.736</v>
      </c>
      <c r="E74" s="34"/>
      <c r="F74" s="45"/>
      <c r="H74" s="50"/>
      <c r="I74" s="37"/>
      <c r="J74" s="37"/>
      <c r="K74" s="37"/>
      <c r="L74" s="37"/>
      <c r="M74" s="37"/>
      <c r="N74" s="37"/>
    </row>
    <row r="75" spans="1:8" ht="13.5" customHeight="1">
      <c r="A75" s="302" t="s">
        <v>72</v>
      </c>
      <c r="B75" s="302"/>
      <c r="C75" s="302"/>
      <c r="D75" s="60">
        <f>D76</f>
        <v>19482.77</v>
      </c>
      <c r="E75" s="61"/>
      <c r="H75" s="34">
        <f>347.32*12</f>
        <v>4167.84</v>
      </c>
    </row>
    <row r="76" spans="1:8" ht="17.25" customHeight="1">
      <c r="A76" s="111" t="s">
        <v>500</v>
      </c>
      <c r="B76" s="145"/>
      <c r="C76" s="146"/>
      <c r="D76" s="228">
        <v>19482.77</v>
      </c>
      <c r="E76" s="61"/>
      <c r="H76" s="34"/>
    </row>
    <row r="77" spans="1:5" ht="25.5" customHeight="1">
      <c r="A77" s="293" t="s">
        <v>73</v>
      </c>
      <c r="B77" s="293"/>
      <c r="C77" s="293"/>
      <c r="D77" s="60">
        <f>D78+D79</f>
        <v>-3917.209999999999</v>
      </c>
      <c r="E77" s="61"/>
    </row>
    <row r="78" spans="1:5" ht="15.75">
      <c r="A78" s="62" t="s">
        <v>74</v>
      </c>
      <c r="B78" s="63"/>
      <c r="C78" s="64"/>
      <c r="D78" s="60">
        <f>B16+B23-D65</f>
        <v>193.42000000000007</v>
      </c>
      <c r="E78" s="61"/>
    </row>
    <row r="79" spans="1:5" ht="15.75">
      <c r="A79" s="63" t="s">
        <v>75</v>
      </c>
      <c r="B79" s="63"/>
      <c r="C79" s="64"/>
      <c r="D79" s="60">
        <f>B17+B24-D75</f>
        <v>-4110.629999999999</v>
      </c>
      <c r="E79" s="61"/>
    </row>
    <row r="80" spans="1:5" ht="13.5" customHeight="1">
      <c r="A80" s="294" t="s">
        <v>76</v>
      </c>
      <c r="B80" s="294"/>
      <c r="C80" s="294"/>
      <c r="D80" s="65">
        <v>17066.86</v>
      </c>
      <c r="E80" s="61"/>
    </row>
    <row r="81" spans="1:4" ht="15">
      <c r="A81" s="290" t="s">
        <v>20</v>
      </c>
      <c r="B81" s="290"/>
      <c r="C81" s="290"/>
      <c r="D81" s="66"/>
    </row>
    <row r="82" spans="1:4" ht="13.5" customHeight="1">
      <c r="A82" s="290" t="s">
        <v>77</v>
      </c>
      <c r="B82" s="290"/>
      <c r="C82" s="290"/>
      <c r="D82" s="66">
        <f>D80*B20/B18</f>
        <v>3585.358790273514</v>
      </c>
    </row>
    <row r="83" spans="1:4" ht="13.5" customHeight="1">
      <c r="A83" s="290" t="s">
        <v>28</v>
      </c>
      <c r="B83" s="290"/>
      <c r="C83" s="290"/>
      <c r="D83" s="66">
        <f>D80*B24/B18</f>
        <v>715.2463651897303</v>
      </c>
    </row>
    <row r="84" spans="1:4" ht="13.5" customHeight="1">
      <c r="A84" s="290" t="s">
        <v>29</v>
      </c>
      <c r="B84" s="290"/>
      <c r="C84" s="290"/>
      <c r="D84" s="66">
        <f>SUM(D86:D88)</f>
        <v>12713.239981359315</v>
      </c>
    </row>
    <row r="85" spans="1:4" ht="15">
      <c r="A85" s="290" t="s">
        <v>20</v>
      </c>
      <c r="B85" s="290"/>
      <c r="C85" s="290"/>
      <c r="D85" s="66"/>
    </row>
    <row r="86" spans="1:4" ht="13.5" customHeight="1">
      <c r="A86" s="290" t="s">
        <v>31</v>
      </c>
      <c r="B86" s="290"/>
      <c r="C86" s="290"/>
      <c r="D86" s="66">
        <f>D80*B29/B18</f>
        <v>1386.2137002977</v>
      </c>
    </row>
    <row r="87" spans="1:4" ht="15">
      <c r="A87" s="290" t="s">
        <v>33</v>
      </c>
      <c r="B87" s="290"/>
      <c r="C87" s="290"/>
      <c r="D87" s="66">
        <f>D80*B30/B18</f>
        <v>1596.8251871478067</v>
      </c>
    </row>
    <row r="88" spans="1:4" ht="15" customHeight="1">
      <c r="A88" s="290" t="s">
        <v>34</v>
      </c>
      <c r="B88" s="290"/>
      <c r="C88" s="290"/>
      <c r="D88" s="66">
        <f>D80*B31/B18</f>
        <v>9730.201093913809</v>
      </c>
    </row>
    <row r="89" spans="1:4" ht="15">
      <c r="A89" s="290" t="s">
        <v>78</v>
      </c>
      <c r="B89" s="290"/>
      <c r="C89" s="290"/>
      <c r="D89" s="66"/>
    </row>
    <row r="90" spans="1:4" ht="15" customHeight="1">
      <c r="A90" s="290" t="s">
        <v>35</v>
      </c>
      <c r="B90" s="290"/>
      <c r="C90" s="290"/>
      <c r="D90" s="66"/>
    </row>
    <row r="91" spans="1:4" ht="25.5" customHeight="1">
      <c r="A91" s="295" t="s">
        <v>79</v>
      </c>
      <c r="B91" s="295"/>
      <c r="C91" s="295"/>
      <c r="D91" s="295"/>
    </row>
    <row r="92" spans="1:4" ht="38.25">
      <c r="A92" s="67" t="s">
        <v>80</v>
      </c>
      <c r="B92" s="68" t="s">
        <v>81</v>
      </c>
      <c r="C92" s="68" t="s">
        <v>82</v>
      </c>
      <c r="D92" s="67" t="s">
        <v>83</v>
      </c>
    </row>
    <row r="93" spans="1:4" ht="15" customHeight="1">
      <c r="A93" s="31" t="s">
        <v>501</v>
      </c>
      <c r="B93" s="306" t="s">
        <v>84</v>
      </c>
      <c r="C93" s="224" t="s">
        <v>479</v>
      </c>
      <c r="D93" s="67" t="s">
        <v>85</v>
      </c>
    </row>
    <row r="94" spans="1:4" ht="12.75" customHeight="1">
      <c r="A94" s="31" t="s">
        <v>502</v>
      </c>
      <c r="B94" s="306"/>
      <c r="C94" s="70" t="s">
        <v>481</v>
      </c>
      <c r="D94" s="67" t="s">
        <v>85</v>
      </c>
    </row>
    <row r="95" spans="1:4" ht="22.5" customHeight="1">
      <c r="A95" s="31" t="s">
        <v>28</v>
      </c>
      <c r="B95" s="306"/>
      <c r="C95" s="70">
        <v>2.7</v>
      </c>
      <c r="D95" s="71" t="s">
        <v>85</v>
      </c>
    </row>
    <row r="96" spans="1:4" ht="19.5" customHeight="1">
      <c r="A96" s="31" t="s">
        <v>31</v>
      </c>
      <c r="B96" s="297" t="s">
        <v>86</v>
      </c>
      <c r="C96" s="70" t="s">
        <v>87</v>
      </c>
      <c r="D96" s="249" t="s">
        <v>716</v>
      </c>
    </row>
    <row r="97" spans="1:4" ht="21" customHeight="1">
      <c r="A97" s="31" t="s">
        <v>33</v>
      </c>
      <c r="B97" s="297"/>
      <c r="C97" s="70" t="s">
        <v>89</v>
      </c>
      <c r="D97" s="249" t="s">
        <v>716</v>
      </c>
    </row>
    <row r="98" spans="1:8" ht="39.75" customHeight="1">
      <c r="A98" s="31" t="s">
        <v>34</v>
      </c>
      <c r="B98" s="170" t="s">
        <v>90</v>
      </c>
      <c r="C98" s="147" t="s">
        <v>91</v>
      </c>
      <c r="D98" s="71" t="s">
        <v>92</v>
      </c>
      <c r="H98" s="1" t="s">
        <v>6</v>
      </c>
    </row>
    <row r="100" ht="12.75">
      <c r="A100" t="s">
        <v>93</v>
      </c>
    </row>
    <row r="102" ht="12.75">
      <c r="A102" t="s">
        <v>95</v>
      </c>
    </row>
  </sheetData>
  <sheetProtection selectLockedCells="1" selectUnlockedCells="1"/>
  <mergeCells count="23">
    <mergeCell ref="A89:C89"/>
    <mergeCell ref="A90:C90"/>
    <mergeCell ref="A91:D91"/>
    <mergeCell ref="B93:B95"/>
    <mergeCell ref="B96:B97"/>
    <mergeCell ref="A83:C83"/>
    <mergeCell ref="A84:C84"/>
    <mergeCell ref="A85:C85"/>
    <mergeCell ref="A86:C86"/>
    <mergeCell ref="A87:C87"/>
    <mergeCell ref="A88:C88"/>
    <mergeCell ref="A50:D51"/>
    <mergeCell ref="A75:C75"/>
    <mergeCell ref="A77:C77"/>
    <mergeCell ref="A80:C80"/>
    <mergeCell ref="A81:C81"/>
    <mergeCell ref="A82:C8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1" horizontalDpi="300" verticalDpi="3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33">
      <selection activeCell="D81" sqref="D8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503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504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8023.4</v>
      </c>
      <c r="C15" s="13"/>
      <c r="D15" s="14"/>
    </row>
    <row r="16" spans="1:4" ht="15.75">
      <c r="A16" s="15" t="s">
        <v>16</v>
      </c>
      <c r="B16" s="12">
        <v>4783.4</v>
      </c>
      <c r="C16" s="13"/>
      <c r="D16" s="14"/>
    </row>
    <row r="17" spans="1:4" ht="15.75">
      <c r="A17" s="15" t="s">
        <v>17</v>
      </c>
      <c r="B17" s="174">
        <v>3240</v>
      </c>
      <c r="C17" s="175" t="s">
        <v>19</v>
      </c>
      <c r="D17" s="14"/>
    </row>
    <row r="18" spans="1:5" ht="25.5">
      <c r="A18" s="11" t="s">
        <v>18</v>
      </c>
      <c r="B18" s="16">
        <f>B20+B22+B25</f>
        <v>28540.61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14848.8</v>
      </c>
      <c r="C20" s="105" t="s">
        <v>505</v>
      </c>
      <c r="D20" s="14"/>
    </row>
    <row r="21" spans="1:5" ht="15">
      <c r="A21" s="9" t="s">
        <v>147</v>
      </c>
      <c r="B21" s="16">
        <v>435.78</v>
      </c>
      <c r="C21" s="19" t="s">
        <v>506</v>
      </c>
      <c r="D21" s="20"/>
      <c r="E21" s="17">
        <f>(0.22+0.32)*6*134.5</f>
        <v>435.78000000000003</v>
      </c>
    </row>
    <row r="22" spans="1:5" ht="15.75">
      <c r="A22" s="9" t="s">
        <v>28</v>
      </c>
      <c r="B22" s="118">
        <v>3240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10451.81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10451.81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29976.84</v>
      </c>
      <c r="C31" s="13" t="s">
        <v>19</v>
      </c>
      <c r="D31" s="14" t="s">
        <v>19</v>
      </c>
      <c r="E31" s="1">
        <f>B31/B18</f>
        <v>1.0503223301814502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15596.026216398317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3403.0443497878987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10977.769433813783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10977.769433813783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10977.769433813783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10977.769433813783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(0.14+0.15)*6*134.5</f>
        <v>234.03000000000003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(1.2+2)*6*134.5</f>
        <v>2582.4000000000005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(0.2+0.21)*6*134.5</f>
        <v>330.87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(0.2+0.21)*6*134.5</f>
        <v>330.87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507</v>
      </c>
      <c r="D58" s="207">
        <f>(1.04+1.1)*6*134.5</f>
        <v>1726.98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4.88*12*134.5</f>
        <v>7876.320000000001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508</v>
      </c>
      <c r="B60" s="39"/>
      <c r="C60" s="44" t="s">
        <v>509</v>
      </c>
      <c r="D60" s="207">
        <f>(0.8+0.85)*6*134.5</f>
        <v>1331.5499999999997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14413.02</v>
      </c>
      <c r="E61" s="34">
        <f>D61+B21</f>
        <v>14848.800000000001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>
        <v>0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14413.02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>
        <v>0</v>
      </c>
      <c r="E66" s="61"/>
      <c r="H66" s="34"/>
    </row>
    <row r="67" spans="1:8" ht="17.25" customHeight="1">
      <c r="A67" s="114" t="s">
        <v>292</v>
      </c>
      <c r="B67" s="215"/>
      <c r="C67" s="215"/>
      <c r="D67" s="217">
        <v>71804.18</v>
      </c>
      <c r="E67" s="61"/>
      <c r="H67" s="34"/>
    </row>
    <row r="68" spans="1:5" ht="25.5" customHeight="1">
      <c r="A68" s="291" t="s">
        <v>73</v>
      </c>
      <c r="B68" s="291"/>
      <c r="C68" s="291"/>
      <c r="D68" s="113">
        <f>D69+D70</f>
        <v>11699.18</v>
      </c>
      <c r="E68" s="61"/>
    </row>
    <row r="69" spans="1:5" ht="15.75">
      <c r="A69" s="78" t="s">
        <v>74</v>
      </c>
      <c r="B69" s="114"/>
      <c r="C69" s="115"/>
      <c r="D69" s="113">
        <f>B16+B21-D62</f>
        <v>5219.179999999999</v>
      </c>
      <c r="E69" s="61"/>
    </row>
    <row r="70" spans="1:5" ht="15.75">
      <c r="A70" s="63" t="s">
        <v>75</v>
      </c>
      <c r="B70" s="63"/>
      <c r="C70" s="64"/>
      <c r="D70" s="60">
        <f>B17+B22-D65</f>
        <v>6480</v>
      </c>
      <c r="E70" s="61"/>
    </row>
    <row r="71" spans="1:5" ht="13.5" customHeight="1">
      <c r="A71" s="294" t="s">
        <v>76</v>
      </c>
      <c r="B71" s="294"/>
      <c r="C71" s="294"/>
      <c r="D71" s="65">
        <v>3631.28</v>
      </c>
      <c r="E71" s="61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D71*B20/B18</f>
        <v>1889.2430983079898</v>
      </c>
    </row>
    <row r="74" spans="1:4" ht="13.5" customHeight="1">
      <c r="A74" s="290" t="s">
        <v>28</v>
      </c>
      <c r="B74" s="290"/>
      <c r="C74" s="290"/>
      <c r="D74" s="66">
        <f>D71*B22/B18</f>
        <v>412.2318058373665</v>
      </c>
    </row>
    <row r="75" spans="1:4" ht="13.5" customHeight="1">
      <c r="A75" s="290" t="s">
        <v>29</v>
      </c>
      <c r="B75" s="290"/>
      <c r="C75" s="290"/>
      <c r="D75" s="66">
        <f>SUM(D77:D79)</f>
        <v>1329.8050958546437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D71*B27/B18</f>
        <v>1329.8050958546437</v>
      </c>
    </row>
    <row r="78" spans="1:4" ht="15">
      <c r="A78" s="290" t="s">
        <v>33</v>
      </c>
      <c r="B78" s="290"/>
      <c r="C78" s="290"/>
      <c r="D78" s="66">
        <f>D71*E27</f>
        <v>0</v>
      </c>
    </row>
    <row r="79" spans="1:4" ht="15" customHeight="1">
      <c r="A79" s="290" t="s">
        <v>34</v>
      </c>
      <c r="B79" s="290"/>
      <c r="C79" s="290"/>
      <c r="D79" s="66">
        <f>D71*E28</f>
        <v>0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/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23.25" customHeight="1">
      <c r="A84" s="31" t="s">
        <v>77</v>
      </c>
      <c r="B84" s="296" t="s">
        <v>84</v>
      </c>
      <c r="C84" s="70" t="s">
        <v>505</v>
      </c>
      <c r="D84" s="67" t="s">
        <v>85</v>
      </c>
    </row>
    <row r="85" spans="1:4" ht="24" customHeight="1">
      <c r="A85" s="31" t="s">
        <v>28</v>
      </c>
      <c r="B85" s="296"/>
      <c r="C85" s="70">
        <v>2.7</v>
      </c>
      <c r="D85" s="71" t="s">
        <v>85</v>
      </c>
    </row>
    <row r="86" spans="1:4" ht="45" customHeight="1">
      <c r="A86" s="31" t="s">
        <v>31</v>
      </c>
      <c r="B86" s="140" t="s">
        <v>86</v>
      </c>
      <c r="C86" s="70" t="s">
        <v>87</v>
      </c>
      <c r="D86" s="71" t="s">
        <v>88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80:C80"/>
    <mergeCell ref="A81:C81"/>
    <mergeCell ref="A82:D82"/>
    <mergeCell ref="B84:B85"/>
    <mergeCell ref="A74:C74"/>
    <mergeCell ref="A75:C75"/>
    <mergeCell ref="A76:C76"/>
    <mergeCell ref="A77:C77"/>
    <mergeCell ref="A78:C78"/>
    <mergeCell ref="A79:C79"/>
    <mergeCell ref="A48:D49"/>
    <mergeCell ref="A65:C65"/>
    <mergeCell ref="A68:C68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34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510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511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1622.0600000000002</v>
      </c>
      <c r="C15" s="13"/>
      <c r="D15" s="14"/>
    </row>
    <row r="16" spans="1:4" ht="15.75">
      <c r="A16" s="15" t="s">
        <v>16</v>
      </c>
      <c r="B16" s="12">
        <v>134.9</v>
      </c>
      <c r="C16" s="13"/>
      <c r="D16" s="14"/>
    </row>
    <row r="17" spans="1:4" ht="15.75">
      <c r="A17" s="15" t="s">
        <v>17</v>
      </c>
      <c r="B17" s="174">
        <v>1487.16</v>
      </c>
      <c r="C17" s="175" t="s">
        <v>19</v>
      </c>
      <c r="D17" s="14"/>
    </row>
    <row r="18" spans="1:5" ht="25.5">
      <c r="A18" s="11" t="s">
        <v>18</v>
      </c>
      <c r="B18" s="16">
        <f>B20+B22+B25</f>
        <v>25902.45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17478.2</v>
      </c>
      <c r="C20" s="105" t="s">
        <v>512</v>
      </c>
      <c r="D20" s="14"/>
    </row>
    <row r="21" spans="1:5" ht="15">
      <c r="A21" s="9" t="s">
        <v>147</v>
      </c>
      <c r="B21" s="16">
        <v>1761.9660000000003</v>
      </c>
      <c r="C21" s="19" t="s">
        <v>513</v>
      </c>
      <c r="D21" s="20"/>
      <c r="E21" s="17">
        <f>(0.91+1.1)*6*146.1</f>
        <v>1761.9660000000003</v>
      </c>
    </row>
    <row r="22" spans="1:5" ht="15.75">
      <c r="A22" s="9" t="s">
        <v>28</v>
      </c>
      <c r="B22" s="118">
        <v>1487.16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6937.09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6937.09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25906.76</v>
      </c>
      <c r="C31" s="13" t="s">
        <v>19</v>
      </c>
      <c r="D31" s="14" t="s">
        <v>19</v>
      </c>
      <c r="E31" s="1">
        <f>B31/B18</f>
        <v>1.000166393526481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17481.10825933454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1487.4074537968418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6938.244286868617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6938.244286868617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6938.244286868617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6938.244286868617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(0.14+0.15)*6*146.1</f>
        <v>254.21400000000003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(1.2+2)*6*146.1</f>
        <v>2805.1200000000003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(0.2+0.21)*6*146.1</f>
        <v>359.406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(0.2+0.21)*6*146.1</f>
        <v>359.406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(1.14+1.21)*6*146.1</f>
        <v>2060.0099999999998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4.88*12*146.1+7.56</f>
        <v>8563.176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508</v>
      </c>
      <c r="B60" s="39"/>
      <c r="C60" s="44" t="s">
        <v>169</v>
      </c>
      <c r="D60" s="207">
        <f>(0.73+0.77)*6*146.1</f>
        <v>1314.8999999999999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15716.231999999998</v>
      </c>
      <c r="E61" s="34">
        <f>D61+B21</f>
        <v>17478.197999999997</v>
      </c>
      <c r="F61" s="41"/>
      <c r="H61" s="50">
        <f>E61-B20</f>
        <v>-0.0020000000040454324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3945.92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 t="s">
        <v>514</v>
      </c>
      <c r="B63" s="52"/>
      <c r="C63" s="53"/>
      <c r="D63" s="212">
        <v>3945.92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19662.152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4119.38</v>
      </c>
      <c r="E65" s="61"/>
      <c r="H65" s="34"/>
    </row>
    <row r="66" spans="1:8" ht="17.25" customHeight="1">
      <c r="A66" s="111" t="s">
        <v>515</v>
      </c>
      <c r="B66" s="145"/>
      <c r="C66" s="146"/>
      <c r="D66" s="217">
        <v>4119.38</v>
      </c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-3194.1139999999996</v>
      </c>
      <c r="E67" s="61"/>
    </row>
    <row r="68" spans="1:5" ht="15.75">
      <c r="A68" s="78" t="s">
        <v>74</v>
      </c>
      <c r="B68" s="114"/>
      <c r="C68" s="115"/>
      <c r="D68" s="113">
        <f>B16+B21-D62</f>
        <v>-2049.0539999999996</v>
      </c>
      <c r="E68" s="61"/>
    </row>
    <row r="69" spans="1:5" ht="15.75">
      <c r="A69" s="114" t="s">
        <v>75</v>
      </c>
      <c r="B69" s="114"/>
      <c r="C69" s="115"/>
      <c r="D69" s="113">
        <f>B17+B22-D65</f>
        <v>-1145.06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4" customHeight="1">
      <c r="A83" s="31" t="s">
        <v>77</v>
      </c>
      <c r="B83" s="296" t="s">
        <v>84</v>
      </c>
      <c r="C83" s="70" t="s">
        <v>512</v>
      </c>
      <c r="D83" s="67" t="s">
        <v>85</v>
      </c>
    </row>
    <row r="84" spans="1:4" ht="26.25" customHeight="1">
      <c r="A84" s="31" t="s">
        <v>28</v>
      </c>
      <c r="B84" s="296"/>
      <c r="C84" s="70">
        <v>2.7</v>
      </c>
      <c r="D84" s="71" t="s">
        <v>85</v>
      </c>
    </row>
    <row r="85" spans="1:4" ht="48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0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516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517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8" ht="38.25">
      <c r="A13" s="7" t="s">
        <v>11</v>
      </c>
      <c r="B13" s="7" t="s">
        <v>12</v>
      </c>
      <c r="C13" s="7" t="s">
        <v>13</v>
      </c>
      <c r="D13" s="8" t="s">
        <v>14</v>
      </c>
      <c r="H13" s="1" t="s">
        <v>6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-11794.21</v>
      </c>
      <c r="C15" s="13"/>
      <c r="D15" s="14"/>
    </row>
    <row r="16" spans="1:4" ht="15.75">
      <c r="A16" s="15" t="s">
        <v>16</v>
      </c>
      <c r="B16" s="12">
        <v>2075.85</v>
      </c>
      <c r="C16" s="13"/>
      <c r="D16" s="14"/>
    </row>
    <row r="17" spans="1:4" ht="15.75">
      <c r="A17" s="15" t="s">
        <v>17</v>
      </c>
      <c r="B17" s="174">
        <v>-13870.06</v>
      </c>
      <c r="C17" s="175" t="s">
        <v>19</v>
      </c>
      <c r="D17" s="14"/>
    </row>
    <row r="18" spans="1:5" ht="25.5">
      <c r="A18" s="11" t="s">
        <v>18</v>
      </c>
      <c r="B18" s="16">
        <f>B20+B22+B23+B24+B25</f>
        <v>21667.600000000002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13705.86</v>
      </c>
      <c r="C20" s="105" t="s">
        <v>518</v>
      </c>
      <c r="D20" s="14"/>
    </row>
    <row r="21" spans="1:5" ht="15">
      <c r="A21" s="9" t="s">
        <v>147</v>
      </c>
      <c r="B21" s="16">
        <v>1396.4</v>
      </c>
      <c r="C21" s="19" t="s">
        <v>519</v>
      </c>
      <c r="D21" s="20"/>
      <c r="E21" s="17">
        <f>(0.95+1.16)*6*110.3</f>
        <v>1396.398</v>
      </c>
    </row>
    <row r="22" spans="1:5" ht="15.75">
      <c r="A22" s="9" t="s">
        <v>28</v>
      </c>
      <c r="B22" s="118">
        <v>1613.52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6348.22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6348.22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21562.27</v>
      </c>
      <c r="C31" s="13" t="s">
        <v>19</v>
      </c>
      <c r="D31" s="14" t="s">
        <v>19</v>
      </c>
      <c r="E31" s="1">
        <f>B31/B18</f>
        <v>0.9951388247890859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13639.233413123742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1605.676396573686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6317.360190302571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6317.360190302571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6317.360190302571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6317.360190302571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(0.14+0.15)*6*110.3</f>
        <v>191.92200000000003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(1.2+2)*6*110.3</f>
        <v>2117.76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(0.2+0.21)*6*110.3</f>
        <v>271.33799999999997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(0.2+0.21)*6*110.3</f>
        <v>271.33799999999997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(1.14+1.21)*6*110.3</f>
        <v>1555.2299999999998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4.88*12*110.3-0.02</f>
        <v>6459.147999999999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508</v>
      </c>
      <c r="B60" s="39"/>
      <c r="C60" s="44" t="s">
        <v>520</v>
      </c>
      <c r="D60" s="207">
        <f>(1.06+1.12)*6*110.3</f>
        <v>1442.7240000000002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206"/>
      <c r="D61" s="49">
        <f>SUM(D52:D60)</f>
        <v>12309.46</v>
      </c>
      <c r="E61" s="34">
        <f>D61+B21</f>
        <v>13705.859999999999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12309.46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-8784.289999999999</v>
      </c>
      <c r="E67" s="61"/>
    </row>
    <row r="68" spans="1:5" ht="15.75">
      <c r="A68" s="78" t="s">
        <v>74</v>
      </c>
      <c r="B68" s="114"/>
      <c r="C68" s="115"/>
      <c r="D68" s="113">
        <f>B16+B21-D62</f>
        <v>3472.25</v>
      </c>
      <c r="E68" s="61"/>
    </row>
    <row r="69" spans="1:5" ht="15.75">
      <c r="A69" s="114" t="s">
        <v>75</v>
      </c>
      <c r="B69" s="114"/>
      <c r="C69" s="115"/>
      <c r="D69" s="113">
        <f>B17+B22-D65</f>
        <v>-12256.539999999999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2.5" customHeight="1">
      <c r="A83" s="31" t="s">
        <v>77</v>
      </c>
      <c r="B83" s="296" t="s">
        <v>84</v>
      </c>
      <c r="C83" s="70" t="s">
        <v>518</v>
      </c>
      <c r="D83" s="67" t="s">
        <v>85</v>
      </c>
    </row>
    <row r="84" spans="1:4" ht="21" customHeight="1">
      <c r="A84" s="31" t="s">
        <v>28</v>
      </c>
      <c r="B84" s="296"/>
      <c r="C84" s="70">
        <v>2.7</v>
      </c>
      <c r="D84" s="71" t="s">
        <v>85</v>
      </c>
    </row>
    <row r="85" spans="1:4" ht="45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64" zoomScaleNormal="64" zoomScalePageLayoutView="0" workbookViewId="0" topLeftCell="A43">
      <selection activeCell="D82" sqref="D82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521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522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10589.02</v>
      </c>
      <c r="C15" s="13"/>
      <c r="D15" s="14"/>
    </row>
    <row r="16" spans="1:4" ht="15.75">
      <c r="A16" s="15" t="s">
        <v>16</v>
      </c>
      <c r="B16" s="12">
        <v>10188.07</v>
      </c>
      <c r="C16" s="13"/>
      <c r="D16" s="14"/>
    </row>
    <row r="17" spans="1:4" ht="15.75">
      <c r="A17" s="15" t="s">
        <v>17</v>
      </c>
      <c r="B17" s="174">
        <v>400.95</v>
      </c>
      <c r="C17" s="175" t="s">
        <v>19</v>
      </c>
      <c r="D17" s="14"/>
    </row>
    <row r="18" spans="1:5" ht="25.5">
      <c r="A18" s="11" t="s">
        <v>18</v>
      </c>
      <c r="B18" s="16">
        <f>B20+B24+B25+B26+B27</f>
        <v>18549.309999999998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12185.71</v>
      </c>
      <c r="C20" s="105" t="s">
        <v>6</v>
      </c>
      <c r="D20" s="14"/>
    </row>
    <row r="21" spans="1:4" ht="15">
      <c r="A21" s="9" t="s">
        <v>262</v>
      </c>
      <c r="B21" s="16"/>
      <c r="C21" s="105" t="s">
        <v>523</v>
      </c>
      <c r="D21" s="14"/>
    </row>
    <row r="22" spans="1:4" ht="15">
      <c r="A22" s="9" t="s">
        <v>445</v>
      </c>
      <c r="B22" s="16"/>
      <c r="C22" s="105" t="s">
        <v>524</v>
      </c>
      <c r="D22" s="14"/>
    </row>
    <row r="23" spans="1:5" ht="15">
      <c r="A23" s="9" t="s">
        <v>147</v>
      </c>
      <c r="B23" s="16">
        <v>1215.32</v>
      </c>
      <c r="C23" s="19" t="s">
        <v>525</v>
      </c>
      <c r="D23" s="20"/>
      <c r="E23" s="17">
        <f>(0.87+1.11)*6*102.3</f>
        <v>1215.3239999999998</v>
      </c>
    </row>
    <row r="24" spans="1:5" ht="15.75">
      <c r="A24" s="9" t="s">
        <v>28</v>
      </c>
      <c r="B24" s="118">
        <v>1603.8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19" t="s">
        <v>6</v>
      </c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</f>
        <v>4759.8</v>
      </c>
      <c r="C27" s="19" t="s">
        <v>19</v>
      </c>
      <c r="D27" s="20"/>
    </row>
    <row r="28" spans="1:5" ht="15">
      <c r="A28" s="9" t="s">
        <v>20</v>
      </c>
      <c r="B28" s="16"/>
      <c r="C28" s="19"/>
      <c r="D28" s="27" t="s">
        <v>32</v>
      </c>
      <c r="E28" s="17"/>
    </row>
    <row r="29" spans="1:5" ht="15">
      <c r="A29" s="9" t="s">
        <v>31</v>
      </c>
      <c r="B29" s="16">
        <v>4759.8</v>
      </c>
      <c r="C29" s="19" t="s">
        <v>19</v>
      </c>
      <c r="D29" s="27" t="s">
        <v>32</v>
      </c>
      <c r="E29" s="17"/>
    </row>
    <row r="30" spans="1:5" ht="15">
      <c r="A30" s="9" t="s">
        <v>33</v>
      </c>
      <c r="B30" s="16">
        <v>0</v>
      </c>
      <c r="C30" s="19" t="s">
        <v>19</v>
      </c>
      <c r="D30" s="28"/>
      <c r="E30" s="17"/>
    </row>
    <row r="31" spans="1:5" ht="15">
      <c r="A31" s="9" t="s">
        <v>34</v>
      </c>
      <c r="B31" s="16">
        <v>0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19194.48</v>
      </c>
      <c r="C33" s="13" t="s">
        <v>19</v>
      </c>
      <c r="D33" s="14" t="s">
        <v>19</v>
      </c>
      <c r="E33" s="1">
        <f>B33/B18</f>
        <v>1.0347813476619887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12609.54541601817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1659.5823253802973</v>
      </c>
      <c r="C36" s="13" t="s">
        <v>19</v>
      </c>
      <c r="D36" s="14" t="s">
        <v>19</v>
      </c>
    </row>
    <row r="37" spans="1:4" ht="15">
      <c r="A37" s="9" t="s">
        <v>29</v>
      </c>
      <c r="B37" s="18">
        <v>6538.578213428616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4925.352258601534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v>0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</f>
        <v>4925.352258601534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4925.352258601534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v>0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(0.14+0.15)*6*102.3</f>
        <v>178.002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f>C55:C63*E55:E63</f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(1.2+2)*6*102.3</f>
        <v>1964.1600000000003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526</v>
      </c>
      <c r="B57" s="32" t="s">
        <v>47</v>
      </c>
      <c r="C57" s="38" t="s">
        <v>55</v>
      </c>
      <c r="D57" s="207">
        <f>(0.2+0.21)*6*102.3</f>
        <v>251.658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449</v>
      </c>
      <c r="B59" s="39" t="s">
        <v>47</v>
      </c>
      <c r="C59" s="44" t="s">
        <v>55</v>
      </c>
      <c r="D59" s="207">
        <f>(0.2+0.21)*6*49.5</f>
        <v>121.77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63</v>
      </c>
      <c r="B60" s="39" t="s">
        <v>64</v>
      </c>
      <c r="C60" s="44" t="s">
        <v>65</v>
      </c>
      <c r="D60" s="207">
        <f>(1.14+1.21)*6*102.3</f>
        <v>1442.4299999999998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4">
        <v>4.88</v>
      </c>
      <c r="D61" s="207">
        <f>4.88*12*102.3</f>
        <v>5990.688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31" t="s">
        <v>527</v>
      </c>
      <c r="B62" s="39"/>
      <c r="C62" s="44" t="s">
        <v>528</v>
      </c>
      <c r="D62" s="220">
        <f>(1.67+1.77)*6*49.5</f>
        <v>1021.6800000000001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/>
      <c r="D63" s="214">
        <f>SUM(D54:D62)</f>
        <v>10970.388</v>
      </c>
      <c r="E63" s="34">
        <f>D63+B23</f>
        <v>12185.708</v>
      </c>
      <c r="F63" s="41"/>
      <c r="H63" s="50">
        <f>E63-B20</f>
        <v>-0.0019999999985884642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</f>
        <v>0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/>
      <c r="B65" s="52"/>
      <c r="C65" s="53"/>
      <c r="D65" s="212"/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56" t="s">
        <v>71</v>
      </c>
      <c r="B66" s="57"/>
      <c r="C66" s="58"/>
      <c r="D66" s="212">
        <f>D63+D64</f>
        <v>10970.388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8" ht="13.5" customHeight="1">
      <c r="A67" s="308" t="s">
        <v>72</v>
      </c>
      <c r="B67" s="308"/>
      <c r="C67" s="308"/>
      <c r="D67" s="113">
        <f>D68</f>
        <v>0</v>
      </c>
      <c r="E67" s="61"/>
      <c r="H67" s="34">
        <f>347.32*12</f>
        <v>4167.84</v>
      </c>
    </row>
    <row r="68" spans="1:8" ht="17.25" customHeight="1">
      <c r="A68" s="114"/>
      <c r="B68" s="215"/>
      <c r="C68" s="215"/>
      <c r="D68" s="217"/>
      <c r="E68" s="61"/>
      <c r="H68" s="34"/>
    </row>
    <row r="69" spans="1:5" ht="25.5" customHeight="1">
      <c r="A69" s="291" t="s">
        <v>73</v>
      </c>
      <c r="B69" s="291"/>
      <c r="C69" s="291"/>
      <c r="D69" s="113">
        <f>D70+D71</f>
        <v>13408.14</v>
      </c>
      <c r="E69" s="61"/>
    </row>
    <row r="70" spans="1:5" ht="15.75">
      <c r="A70" s="62" t="s">
        <v>74</v>
      </c>
      <c r="B70" s="63"/>
      <c r="C70" s="64"/>
      <c r="D70" s="60">
        <f>B16+B23-D64</f>
        <v>11403.39</v>
      </c>
      <c r="E70" s="61"/>
    </row>
    <row r="71" spans="1:5" ht="15.75">
      <c r="A71" s="63" t="s">
        <v>75</v>
      </c>
      <c r="B71" s="63"/>
      <c r="C71" s="64"/>
      <c r="D71" s="60">
        <f>B17+B24-D67</f>
        <v>2004.75</v>
      </c>
      <c r="E71" s="61"/>
    </row>
    <row r="72" spans="1:5" ht="13.5" customHeight="1">
      <c r="A72" s="294" t="s">
        <v>76</v>
      </c>
      <c r="B72" s="294"/>
      <c r="C72" s="294"/>
      <c r="D72" s="65">
        <v>0</v>
      </c>
      <c r="E72" s="61"/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77</v>
      </c>
      <c r="B74" s="290"/>
      <c r="C74" s="290"/>
      <c r="D74" s="66">
        <f>D72*E23</f>
        <v>0</v>
      </c>
    </row>
    <row r="75" spans="1:4" ht="13.5" customHeight="1">
      <c r="A75" s="290" t="s">
        <v>28</v>
      </c>
      <c r="B75" s="290"/>
      <c r="C75" s="290"/>
      <c r="D75" s="66">
        <f>D72-D74-D76</f>
        <v>0</v>
      </c>
    </row>
    <row r="76" spans="1:4" ht="13.5" customHeight="1">
      <c r="A76" s="290" t="s">
        <v>29</v>
      </c>
      <c r="B76" s="290"/>
      <c r="C76" s="290"/>
      <c r="D76" s="66">
        <f>SUM(D78:D80)</f>
        <v>0</v>
      </c>
    </row>
    <row r="77" spans="1:4" ht="15">
      <c r="A77" s="290" t="s">
        <v>20</v>
      </c>
      <c r="B77" s="290"/>
      <c r="C77" s="290"/>
      <c r="D77" s="66"/>
    </row>
    <row r="78" spans="1:4" ht="13.5" customHeight="1">
      <c r="A78" s="290" t="s">
        <v>31</v>
      </c>
      <c r="B78" s="290"/>
      <c r="C78" s="290"/>
      <c r="D78" s="66">
        <f>D72*E28</f>
        <v>0</v>
      </c>
    </row>
    <row r="79" spans="1:4" ht="15">
      <c r="A79" s="290" t="s">
        <v>33</v>
      </c>
      <c r="B79" s="290"/>
      <c r="C79" s="290"/>
      <c r="D79" s="66">
        <f>D72*E29</f>
        <v>0</v>
      </c>
    </row>
    <row r="80" spans="1:4" ht="15" customHeight="1">
      <c r="A80" s="290" t="s">
        <v>34</v>
      </c>
      <c r="B80" s="290"/>
      <c r="C80" s="290"/>
      <c r="D80" s="66">
        <f>D72*E30</f>
        <v>0</v>
      </c>
    </row>
    <row r="81" spans="1:4" ht="15">
      <c r="A81" s="290" t="s">
        <v>78</v>
      </c>
      <c r="B81" s="290"/>
      <c r="C81" s="290"/>
      <c r="D81" s="66"/>
    </row>
    <row r="82" spans="1:4" ht="15" customHeight="1">
      <c r="A82" s="290" t="s">
        <v>35</v>
      </c>
      <c r="B82" s="290"/>
      <c r="C82" s="290"/>
      <c r="D82" s="66"/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82</v>
      </c>
      <c r="D84" s="67" t="s">
        <v>83</v>
      </c>
    </row>
    <row r="85" spans="1:4" ht="15.75" customHeight="1">
      <c r="A85" s="31" t="s">
        <v>262</v>
      </c>
      <c r="B85" s="306" t="s">
        <v>84</v>
      </c>
      <c r="C85" s="105" t="s">
        <v>523</v>
      </c>
      <c r="D85" s="67" t="s">
        <v>85</v>
      </c>
    </row>
    <row r="86" spans="1:4" ht="15" customHeight="1">
      <c r="A86" s="31" t="s">
        <v>445</v>
      </c>
      <c r="B86" s="306"/>
      <c r="C86" s="105" t="s">
        <v>524</v>
      </c>
      <c r="D86" s="67" t="s">
        <v>85</v>
      </c>
    </row>
    <row r="87" spans="1:4" ht="20.25" customHeight="1">
      <c r="A87" s="31" t="s">
        <v>28</v>
      </c>
      <c r="B87" s="306"/>
      <c r="C87" s="70">
        <v>2.7</v>
      </c>
      <c r="D87" s="71" t="s">
        <v>85</v>
      </c>
    </row>
    <row r="88" spans="1:4" ht="52.5" customHeight="1">
      <c r="A88" s="31" t="s">
        <v>31</v>
      </c>
      <c r="B88" s="193" t="s">
        <v>86</v>
      </c>
      <c r="C88" s="70" t="s">
        <v>87</v>
      </c>
      <c r="D88" s="71" t="s">
        <v>88</v>
      </c>
    </row>
    <row r="90" ht="12.75">
      <c r="A90" t="s">
        <v>93</v>
      </c>
    </row>
    <row r="92" ht="12.75">
      <c r="A92" t="s">
        <v>95</v>
      </c>
    </row>
  </sheetData>
  <sheetProtection selectLockedCells="1" selectUnlockedCells="1"/>
  <mergeCells count="22">
    <mergeCell ref="A81:C81"/>
    <mergeCell ref="A82:C82"/>
    <mergeCell ref="A83:D83"/>
    <mergeCell ref="B85:B87"/>
    <mergeCell ref="A75:C75"/>
    <mergeCell ref="A76:C76"/>
    <mergeCell ref="A77:C77"/>
    <mergeCell ref="A78:C78"/>
    <mergeCell ref="A79:C79"/>
    <mergeCell ref="A80:C80"/>
    <mergeCell ref="A50:D51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6">
      <selection activeCell="D65" sqref="D65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125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126</v>
      </c>
      <c r="B7" s="301"/>
      <c r="C7" s="301"/>
      <c r="D7" s="301"/>
    </row>
    <row r="8" ht="12.75">
      <c r="A8" s="4" t="s">
        <v>7</v>
      </c>
    </row>
    <row r="9" spans="1:9" ht="12.75">
      <c r="A9" s="4" t="s">
        <v>8</v>
      </c>
      <c r="I9" s="128"/>
    </row>
    <row r="10" spans="1:9" ht="12.75">
      <c r="A10" s="4"/>
      <c r="I10" s="128"/>
    </row>
    <row r="11" spans="1:9" ht="15.75">
      <c r="A11" s="5" t="s">
        <v>9</v>
      </c>
      <c r="I11" s="128"/>
    </row>
    <row r="12" spans="1:9" ht="12.75">
      <c r="A12" s="2"/>
      <c r="C12" s="6" t="s">
        <v>10</v>
      </c>
      <c r="I12" s="128"/>
    </row>
    <row r="13" spans="1:9" ht="38.25">
      <c r="A13" s="7" t="s">
        <v>11</v>
      </c>
      <c r="B13" s="7" t="s">
        <v>12</v>
      </c>
      <c r="C13" s="7" t="s">
        <v>13</v>
      </c>
      <c r="D13" s="8" t="s">
        <v>14</v>
      </c>
      <c r="I13" s="128"/>
    </row>
    <row r="14" spans="1:9" ht="12.75">
      <c r="A14" s="9">
        <v>1</v>
      </c>
      <c r="B14" s="9">
        <v>2</v>
      </c>
      <c r="C14" s="9">
        <v>3</v>
      </c>
      <c r="D14" s="10">
        <v>4</v>
      </c>
      <c r="I14" s="128"/>
    </row>
    <row r="15" spans="1:9" ht="39">
      <c r="A15" s="11" t="s">
        <v>15</v>
      </c>
      <c r="B15" s="12">
        <v>-7046.17</v>
      </c>
      <c r="C15" s="13"/>
      <c r="D15" s="14"/>
      <c r="I15" s="128"/>
    </row>
    <row r="16" spans="1:9" ht="15.75">
      <c r="A16" s="15" t="s">
        <v>16</v>
      </c>
      <c r="B16" s="12">
        <v>-7046.17</v>
      </c>
      <c r="C16" s="13"/>
      <c r="D16" s="14"/>
      <c r="I16" s="128"/>
    </row>
    <row r="17" spans="1:9" ht="15.75">
      <c r="A17" s="15" t="s">
        <v>17</v>
      </c>
      <c r="B17" s="12">
        <v>0</v>
      </c>
      <c r="C17" s="13"/>
      <c r="D17" s="14"/>
      <c r="I17" s="128"/>
    </row>
    <row r="18" spans="1:9" ht="25.5">
      <c r="A18" s="11" t="s">
        <v>18</v>
      </c>
      <c r="B18" s="16">
        <f>B20+B25</f>
        <v>8504.4</v>
      </c>
      <c r="C18" s="13" t="s">
        <v>19</v>
      </c>
      <c r="D18" s="14" t="s">
        <v>19</v>
      </c>
      <c r="E18" s="17"/>
      <c r="I18" s="128"/>
    </row>
    <row r="19" spans="1:9" ht="15">
      <c r="A19" s="9" t="s">
        <v>20</v>
      </c>
      <c r="B19" s="18"/>
      <c r="C19" s="13"/>
      <c r="D19" s="14"/>
      <c r="I19" s="128"/>
    </row>
    <row r="20" spans="1:9" ht="15">
      <c r="A20" s="9" t="s">
        <v>77</v>
      </c>
      <c r="B20" s="16">
        <v>6455.04</v>
      </c>
      <c r="C20" s="105" t="s">
        <v>127</v>
      </c>
      <c r="D20" s="14"/>
      <c r="I20" s="128"/>
    </row>
    <row r="21" spans="1:9" ht="15">
      <c r="A21" s="9" t="s">
        <v>128</v>
      </c>
      <c r="B21" s="16">
        <v>2233.116</v>
      </c>
      <c r="C21" s="21" t="s">
        <v>129</v>
      </c>
      <c r="D21" s="20"/>
      <c r="E21" s="17">
        <f>(3.39+3.74)*6*52.2</f>
        <v>2233.116</v>
      </c>
      <c r="I21" s="128"/>
    </row>
    <row r="22" spans="1:9" ht="15.75">
      <c r="A22" s="9" t="s">
        <v>28</v>
      </c>
      <c r="B22" s="118">
        <v>0</v>
      </c>
      <c r="C22" s="119">
        <v>0</v>
      </c>
      <c r="D22" s="20"/>
      <c r="E22" s="17"/>
      <c r="I22" s="128"/>
    </row>
    <row r="23" spans="1:9" ht="15.75">
      <c r="A23" s="9" t="s">
        <v>38</v>
      </c>
      <c r="B23" s="129">
        <v>0</v>
      </c>
      <c r="C23" s="23" t="s">
        <v>6</v>
      </c>
      <c r="D23" s="20"/>
      <c r="E23" s="17"/>
      <c r="I23" s="128"/>
    </row>
    <row r="24" spans="1:9" ht="15">
      <c r="A24" s="9" t="s">
        <v>37</v>
      </c>
      <c r="B24" s="25"/>
      <c r="C24" s="24"/>
      <c r="D24" s="20" t="s">
        <v>30</v>
      </c>
      <c r="I24" s="128"/>
    </row>
    <row r="25" spans="1:9" ht="15">
      <c r="A25" s="9" t="s">
        <v>29</v>
      </c>
      <c r="B25" s="16">
        <f>B27</f>
        <v>2049.36</v>
      </c>
      <c r="C25" s="24" t="s">
        <v>19</v>
      </c>
      <c r="D25" s="20"/>
      <c r="I25" s="128"/>
    </row>
    <row r="26" spans="1:9" ht="15">
      <c r="A26" s="9" t="s">
        <v>20</v>
      </c>
      <c r="B26" s="25"/>
      <c r="C26" s="26"/>
      <c r="D26" s="27" t="s">
        <v>32</v>
      </c>
      <c r="E26" s="17"/>
      <c r="I26" s="128"/>
    </row>
    <row r="27" spans="1:9" ht="15">
      <c r="A27" s="9" t="s">
        <v>31</v>
      </c>
      <c r="B27" s="16">
        <v>2049.36</v>
      </c>
      <c r="C27" s="26" t="s">
        <v>19</v>
      </c>
      <c r="D27" s="27" t="s">
        <v>32</v>
      </c>
      <c r="E27" s="17"/>
      <c r="I27" s="128"/>
    </row>
    <row r="28" spans="1:9" ht="15">
      <c r="A28" s="9" t="s">
        <v>33</v>
      </c>
      <c r="B28" s="25">
        <v>0</v>
      </c>
      <c r="C28" s="26" t="s">
        <v>19</v>
      </c>
      <c r="D28" s="28"/>
      <c r="E28" s="17"/>
      <c r="I28" s="128"/>
    </row>
    <row r="29" spans="1:9" ht="15">
      <c r="A29" s="9" t="s">
        <v>34</v>
      </c>
      <c r="B29" s="25">
        <v>0</v>
      </c>
      <c r="C29" s="24"/>
      <c r="D29" s="20" t="s">
        <v>6</v>
      </c>
      <c r="E29" s="17"/>
      <c r="I29" s="128"/>
    </row>
    <row r="30" spans="1:9" ht="15">
      <c r="A30" s="9" t="s">
        <v>35</v>
      </c>
      <c r="B30" s="25"/>
      <c r="C30" s="24" t="s">
        <v>19</v>
      </c>
      <c r="D30" s="20"/>
      <c r="E30" s="17"/>
      <c r="I30" s="128"/>
    </row>
    <row r="31" spans="1:9" ht="25.5">
      <c r="A31" s="11" t="s">
        <v>36</v>
      </c>
      <c r="B31" s="25">
        <v>7295.1</v>
      </c>
      <c r="C31" s="13" t="s">
        <v>19</v>
      </c>
      <c r="D31" s="14" t="s">
        <v>19</v>
      </c>
      <c r="E31" s="1">
        <f>B31/B18</f>
        <v>0.8578030196133767</v>
      </c>
      <c r="I31" s="128"/>
    </row>
    <row r="32" spans="1:9" ht="15">
      <c r="A32" s="9" t="s">
        <v>20</v>
      </c>
      <c r="B32" s="18"/>
      <c r="C32" s="13"/>
      <c r="D32" s="14"/>
      <c r="I32" s="128"/>
    </row>
    <row r="33" spans="1:9" ht="15">
      <c r="A33" s="9" t="s">
        <v>77</v>
      </c>
      <c r="B33" s="18">
        <f>B20*E31</f>
        <v>5537.152803725131</v>
      </c>
      <c r="C33" s="13"/>
      <c r="D33" s="14"/>
      <c r="I33" s="128"/>
    </row>
    <row r="34" spans="1:9" ht="15">
      <c r="A34" s="9" t="s">
        <v>28</v>
      </c>
      <c r="B34" s="18">
        <v>0</v>
      </c>
      <c r="C34" s="13"/>
      <c r="D34" s="14"/>
      <c r="I34" s="128"/>
    </row>
    <row r="35" spans="1:4" ht="15">
      <c r="A35" s="9" t="s">
        <v>29</v>
      </c>
      <c r="B35" s="18">
        <f>B37+B38+B39</f>
        <v>1757.9471962748698</v>
      </c>
      <c r="C35" s="18" t="s">
        <v>6</v>
      </c>
      <c r="D35" s="14" t="s">
        <v>19</v>
      </c>
    </row>
    <row r="36" spans="1:4" ht="15">
      <c r="A36" s="9" t="s">
        <v>20</v>
      </c>
      <c r="B36" s="18"/>
      <c r="C36" s="13" t="s">
        <v>19</v>
      </c>
      <c r="D36" s="14" t="s">
        <v>19</v>
      </c>
    </row>
    <row r="37" spans="1:4" ht="15">
      <c r="A37" s="9" t="s">
        <v>31</v>
      </c>
      <c r="B37" s="18">
        <f>B27*E31</f>
        <v>1757.9471962748698</v>
      </c>
      <c r="C37" s="13"/>
      <c r="D37" s="14"/>
    </row>
    <row r="38" spans="1:4" ht="15">
      <c r="A38" s="9" t="s">
        <v>33</v>
      </c>
      <c r="B38" s="18">
        <v>0</v>
      </c>
      <c r="C38" s="13" t="s">
        <v>19</v>
      </c>
      <c r="D38" s="14"/>
    </row>
    <row r="39" spans="1:4" ht="15">
      <c r="A39" s="9" t="s">
        <v>34</v>
      </c>
      <c r="B39" s="18">
        <v>0</v>
      </c>
      <c r="C39" s="13" t="s">
        <v>19</v>
      </c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SUM(B43:B46)</f>
        <v>1757.9471962748698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1757.9471962748698</v>
      </c>
      <c r="C43" s="13" t="s">
        <v>19</v>
      </c>
      <c r="D43" s="14"/>
    </row>
    <row r="44" spans="1:4" ht="15">
      <c r="A44" s="9" t="s">
        <v>33</v>
      </c>
      <c r="B44" s="18">
        <v>0</v>
      </c>
      <c r="C44" s="13" t="s">
        <v>19</v>
      </c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/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130" t="s">
        <v>112</v>
      </c>
      <c r="B52" s="131" t="s">
        <v>47</v>
      </c>
      <c r="C52" s="132" t="s">
        <v>48</v>
      </c>
      <c r="D52" s="133">
        <f>(0.14+0.15)*6*52.2</f>
        <v>90.82800000000002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130" t="s">
        <v>52</v>
      </c>
      <c r="B53" s="131" t="s">
        <v>50</v>
      </c>
      <c r="C53" s="134" t="s">
        <v>53</v>
      </c>
      <c r="D53" s="133">
        <f>(1.2+2)*6*52.2</f>
        <v>1002.2400000000002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130" t="s">
        <v>54</v>
      </c>
      <c r="B54" s="131" t="s">
        <v>47</v>
      </c>
      <c r="C54" s="134" t="s">
        <v>130</v>
      </c>
      <c r="D54" s="133">
        <f>(0.11+0.12)*6*52.2</f>
        <v>72.036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130" t="s">
        <v>66</v>
      </c>
      <c r="B55" s="135" t="s">
        <v>67</v>
      </c>
      <c r="C55" s="136">
        <v>4.88</v>
      </c>
      <c r="D55" s="133">
        <f>4.88*12*52.2-0.01</f>
        <v>3056.822</v>
      </c>
      <c r="E55" s="34"/>
      <c r="F55" s="41"/>
      <c r="H55" s="45"/>
      <c r="I55" s="37"/>
      <c r="J55" s="37"/>
      <c r="K55" s="37"/>
      <c r="L55" s="37"/>
      <c r="M55" s="37"/>
      <c r="N55" s="37"/>
    </row>
    <row r="56" spans="1:14" ht="15">
      <c r="A56" s="51" t="s">
        <v>68</v>
      </c>
      <c r="B56" s="137"/>
      <c r="C56" s="138"/>
      <c r="D56" s="139">
        <f>SUM(D52:D55)</f>
        <v>4221.926</v>
      </c>
      <c r="E56" s="34">
        <f>D56+B21</f>
        <v>6455.042</v>
      </c>
      <c r="F56" s="41"/>
      <c r="H56" s="50">
        <f>E56-B20</f>
        <v>0.0020000000004074536</v>
      </c>
      <c r="I56" s="37"/>
      <c r="J56" s="37"/>
      <c r="K56" s="37"/>
      <c r="L56" s="37"/>
      <c r="M56" s="37"/>
      <c r="N56" s="37"/>
    </row>
    <row r="57" spans="1:14" ht="15.75">
      <c r="A57" s="51" t="s">
        <v>69</v>
      </c>
      <c r="B57" s="52"/>
      <c r="C57" s="53"/>
      <c r="D57" s="54">
        <f>D58</f>
        <v>0</v>
      </c>
      <c r="E57" s="34"/>
      <c r="F57" s="41"/>
      <c r="H57" s="50"/>
      <c r="I57" s="37"/>
      <c r="J57" s="37"/>
      <c r="K57" s="37"/>
      <c r="L57" s="37"/>
      <c r="M57" s="37"/>
      <c r="N57" s="37"/>
    </row>
    <row r="58" spans="1:14" ht="15">
      <c r="A58" s="51"/>
      <c r="B58" s="52"/>
      <c r="C58" s="53"/>
      <c r="D58" s="55">
        <v>0</v>
      </c>
      <c r="E58" s="34"/>
      <c r="F58" s="41"/>
      <c r="H58" s="50"/>
      <c r="I58" s="37"/>
      <c r="J58" s="37"/>
      <c r="K58" s="37"/>
      <c r="L58" s="37"/>
      <c r="M58" s="37"/>
      <c r="N58" s="37"/>
    </row>
    <row r="59" spans="1:14" ht="15.75">
      <c r="A59" s="56" t="s">
        <v>71</v>
      </c>
      <c r="B59" s="57"/>
      <c r="C59" s="58"/>
      <c r="D59" s="54">
        <f>D56+D57</f>
        <v>4221.926</v>
      </c>
      <c r="E59" s="34"/>
      <c r="F59" s="45"/>
      <c r="H59" s="50"/>
      <c r="I59" s="37"/>
      <c r="J59" s="37"/>
      <c r="K59" s="37"/>
      <c r="L59" s="37"/>
      <c r="M59" s="37"/>
      <c r="N59" s="37"/>
    </row>
    <row r="60" spans="1:8" ht="13.5" customHeight="1">
      <c r="A60" s="302" t="s">
        <v>72</v>
      </c>
      <c r="B60" s="302"/>
      <c r="C60" s="302"/>
      <c r="D60" s="60">
        <v>0</v>
      </c>
      <c r="E60" s="61"/>
      <c r="H60" s="34"/>
    </row>
    <row r="61" spans="1:5" ht="25.5" customHeight="1">
      <c r="A61" s="293" t="s">
        <v>73</v>
      </c>
      <c r="B61" s="293"/>
      <c r="C61" s="293"/>
      <c r="D61" s="60">
        <f>D62+D63</f>
        <v>-4813.054</v>
      </c>
      <c r="E61" s="61"/>
    </row>
    <row r="62" spans="1:5" ht="15.75">
      <c r="A62" s="62" t="s">
        <v>74</v>
      </c>
      <c r="B62" s="63"/>
      <c r="C62" s="64"/>
      <c r="D62" s="60">
        <f>B16+B21-D57</f>
        <v>-4813.054</v>
      </c>
      <c r="E62" s="61"/>
    </row>
    <row r="63" spans="1:5" ht="15.75">
      <c r="A63" s="63" t="s">
        <v>75</v>
      </c>
      <c r="B63" s="63"/>
      <c r="C63" s="64"/>
      <c r="D63" s="60">
        <f>B17+B23-D60</f>
        <v>0</v>
      </c>
      <c r="E63" s="61"/>
    </row>
    <row r="64" spans="1:5" ht="13.5" customHeight="1">
      <c r="A64" s="294" t="s">
        <v>76</v>
      </c>
      <c r="B64" s="294"/>
      <c r="C64" s="294"/>
      <c r="D64" s="65">
        <v>0</v>
      </c>
      <c r="E64" s="61"/>
    </row>
    <row r="65" spans="1:4" ht="15">
      <c r="A65" s="290" t="s">
        <v>20</v>
      </c>
      <c r="B65" s="290"/>
      <c r="C65" s="290"/>
      <c r="D65" s="66"/>
    </row>
    <row r="66" spans="1:4" ht="13.5" customHeight="1">
      <c r="A66" s="290" t="s">
        <v>77</v>
      </c>
      <c r="B66" s="290"/>
      <c r="C66" s="290"/>
      <c r="D66" s="66">
        <f>D64*E21</f>
        <v>0</v>
      </c>
    </row>
    <row r="67" spans="1:4" ht="13.5" customHeight="1">
      <c r="A67" s="290" t="s">
        <v>28</v>
      </c>
      <c r="B67" s="290"/>
      <c r="C67" s="290"/>
      <c r="D67" s="66">
        <f>D64-D66-D68</f>
        <v>0</v>
      </c>
    </row>
    <row r="68" spans="1:4" ht="13.5" customHeight="1">
      <c r="A68" s="290" t="s">
        <v>29</v>
      </c>
      <c r="B68" s="290"/>
      <c r="C68" s="290"/>
      <c r="D68" s="66">
        <f>SUM(D70:D72)</f>
        <v>0</v>
      </c>
    </row>
    <row r="69" spans="1:4" ht="15" customHeight="1">
      <c r="A69" s="290" t="s">
        <v>20</v>
      </c>
      <c r="B69" s="290"/>
      <c r="C69" s="290"/>
      <c r="D69" s="66"/>
    </row>
    <row r="70" spans="1:4" ht="13.5" customHeight="1">
      <c r="A70" s="290" t="s">
        <v>31</v>
      </c>
      <c r="B70" s="290"/>
      <c r="C70" s="290"/>
      <c r="D70" s="66">
        <f>D64*E26</f>
        <v>0</v>
      </c>
    </row>
    <row r="71" spans="1:4" ht="15" customHeight="1">
      <c r="A71" s="290" t="s">
        <v>33</v>
      </c>
      <c r="B71" s="290"/>
      <c r="C71" s="290"/>
      <c r="D71" s="66">
        <f>D64*E27</f>
        <v>0</v>
      </c>
    </row>
    <row r="72" spans="1:4" ht="15" customHeight="1">
      <c r="A72" s="290" t="s">
        <v>34</v>
      </c>
      <c r="B72" s="290"/>
      <c r="C72" s="290"/>
      <c r="D72" s="66">
        <f>D64*E28</f>
        <v>0</v>
      </c>
    </row>
    <row r="73" spans="1:4" ht="15">
      <c r="A73" s="290" t="s">
        <v>78</v>
      </c>
      <c r="B73" s="290"/>
      <c r="C73" s="290"/>
      <c r="D73" s="66"/>
    </row>
    <row r="74" spans="1:4" ht="15" customHeight="1">
      <c r="A74" s="290" t="s">
        <v>35</v>
      </c>
      <c r="B74" s="290"/>
      <c r="C74" s="290"/>
      <c r="D74" s="66">
        <f>D64*E29</f>
        <v>0</v>
      </c>
    </row>
    <row r="75" spans="1:4" ht="25.5" customHeight="1">
      <c r="A75" s="295" t="s">
        <v>79</v>
      </c>
      <c r="B75" s="295"/>
      <c r="C75" s="295"/>
      <c r="D75" s="295"/>
    </row>
    <row r="76" spans="1:4" ht="38.25">
      <c r="A76" s="67" t="s">
        <v>80</v>
      </c>
      <c r="B76" s="68" t="s">
        <v>81</v>
      </c>
      <c r="C76" s="68" t="s">
        <v>82</v>
      </c>
      <c r="D76" s="67" t="s">
        <v>83</v>
      </c>
    </row>
    <row r="77" spans="1:4" ht="42" customHeight="1">
      <c r="A77" s="72" t="s">
        <v>77</v>
      </c>
      <c r="B77" s="69" t="s">
        <v>84</v>
      </c>
      <c r="C77" s="70" t="s">
        <v>127</v>
      </c>
      <c r="D77" s="67" t="s">
        <v>85</v>
      </c>
    </row>
    <row r="78" spans="1:4" ht="44.25" customHeight="1">
      <c r="A78" s="72" t="s">
        <v>31</v>
      </c>
      <c r="B78" s="140" t="s">
        <v>86</v>
      </c>
      <c r="C78" s="70" t="s">
        <v>87</v>
      </c>
      <c r="D78" s="71" t="s">
        <v>88</v>
      </c>
    </row>
    <row r="80" ht="12.75">
      <c r="A80" t="s">
        <v>93</v>
      </c>
    </row>
    <row r="82" ht="12.75">
      <c r="A82" t="s">
        <v>95</v>
      </c>
    </row>
  </sheetData>
  <sheetProtection selectLockedCells="1" selectUnlockedCells="1"/>
  <mergeCells count="21">
    <mergeCell ref="A73:C73"/>
    <mergeCell ref="A74:C74"/>
    <mergeCell ref="A75:D75"/>
    <mergeCell ref="A67:C67"/>
    <mergeCell ref="A68:C68"/>
    <mergeCell ref="A69:C69"/>
    <mergeCell ref="A70:C70"/>
    <mergeCell ref="A71:C71"/>
    <mergeCell ref="A72:C72"/>
    <mergeCell ref="A48:D49"/>
    <mergeCell ref="A60:C60"/>
    <mergeCell ref="A61:C61"/>
    <mergeCell ref="A64:C64"/>
    <mergeCell ref="A65:C65"/>
    <mergeCell ref="A66:C66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64" zoomScaleNormal="64" zoomScalePageLayoutView="0" workbookViewId="0" topLeftCell="A43">
      <selection activeCell="D83" sqref="D83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529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530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5013.450000000001</v>
      </c>
      <c r="C15" s="13"/>
      <c r="D15" s="14"/>
    </row>
    <row r="16" spans="1:4" ht="15.75">
      <c r="A16" s="15" t="s">
        <v>16</v>
      </c>
      <c r="B16" s="12">
        <v>1945.17</v>
      </c>
      <c r="C16" s="13"/>
      <c r="D16" s="14"/>
    </row>
    <row r="17" spans="1:4" ht="15.75">
      <c r="A17" s="15" t="s">
        <v>17</v>
      </c>
      <c r="B17" s="174">
        <v>3068.28</v>
      </c>
      <c r="C17" s="175" t="s">
        <v>19</v>
      </c>
      <c r="D17" s="14"/>
    </row>
    <row r="18" spans="1:5" ht="25.5">
      <c r="A18" s="11" t="s">
        <v>18</v>
      </c>
      <c r="B18" s="16">
        <f>B20+B24+B25+B26+B27</f>
        <v>48852.67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11143.38</v>
      </c>
      <c r="C20" s="105"/>
      <c r="D20" s="14"/>
    </row>
    <row r="21" spans="1:4" ht="15">
      <c r="A21" s="9" t="s">
        <v>531</v>
      </c>
      <c r="B21" s="16"/>
      <c r="C21" s="105" t="s">
        <v>532</v>
      </c>
      <c r="D21" s="14"/>
    </row>
    <row r="22" spans="1:4" ht="15">
      <c r="A22" s="9" t="s">
        <v>533</v>
      </c>
      <c r="B22" s="16"/>
      <c r="C22" s="105" t="s">
        <v>534</v>
      </c>
      <c r="D22" s="14"/>
    </row>
    <row r="23" spans="1:5" ht="15">
      <c r="A23" s="9" t="s">
        <v>147</v>
      </c>
      <c r="B23" s="16">
        <v>329.56</v>
      </c>
      <c r="C23" s="19" t="s">
        <v>535</v>
      </c>
      <c r="D23" s="20"/>
      <c r="E23" s="17">
        <f>(0.22+0.36)*6*94.7</f>
        <v>329.556</v>
      </c>
    </row>
    <row r="24" spans="1:5" ht="15.75">
      <c r="A24" s="9" t="s">
        <v>28</v>
      </c>
      <c r="B24" s="118">
        <v>3068.28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19" t="s">
        <v>6</v>
      </c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B29+B30+B31</f>
        <v>34641.01</v>
      </c>
      <c r="C27" s="19" t="s">
        <v>19</v>
      </c>
      <c r="D27" s="20"/>
    </row>
    <row r="28" spans="1:5" ht="15">
      <c r="A28" s="9" t="s">
        <v>20</v>
      </c>
      <c r="B28" s="16"/>
      <c r="C28" s="19"/>
      <c r="D28" s="27" t="s">
        <v>32</v>
      </c>
      <c r="E28" s="17"/>
    </row>
    <row r="29" spans="1:5" ht="15">
      <c r="A29" s="9" t="s">
        <v>31</v>
      </c>
      <c r="B29" s="16">
        <v>2774.85</v>
      </c>
      <c r="C29" s="19" t="s">
        <v>19</v>
      </c>
      <c r="D29" s="27" t="s">
        <v>32</v>
      </c>
      <c r="E29" s="17"/>
    </row>
    <row r="30" spans="1:5" ht="15">
      <c r="A30" s="9" t="s">
        <v>33</v>
      </c>
      <c r="B30" s="16">
        <v>0</v>
      </c>
      <c r="C30" s="19" t="s">
        <v>19</v>
      </c>
      <c r="D30" s="28"/>
      <c r="E30" s="17"/>
    </row>
    <row r="31" spans="1:5" ht="15">
      <c r="A31" s="9" t="s">
        <v>34</v>
      </c>
      <c r="B31" s="16">
        <v>31866.16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48852.67</v>
      </c>
      <c r="C33" s="13" t="s">
        <v>19</v>
      </c>
      <c r="D33" s="14" t="s">
        <v>19</v>
      </c>
      <c r="E33" s="1">
        <f>B33/B18</f>
        <v>1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11143.38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3068.28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B39+B40+B41</f>
        <v>34641.01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2774.85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f>B31*E33</f>
        <v>31866.16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B45+B46+B47+B48</f>
        <v>34641.01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2774.85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f>B41</f>
        <v>31866.16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(0.14+0.15)*6*94.7</f>
        <v>164.77800000000002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f>C55:C64*E55:E64</f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(1.2+2)*6*94.7</f>
        <v>1818.2400000000002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136</v>
      </c>
      <c r="D57" s="207">
        <f>(0.41+0.43)*6*94.7</f>
        <v>477.288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449</v>
      </c>
      <c r="B59" s="39"/>
      <c r="C59" s="44" t="s">
        <v>245</v>
      </c>
      <c r="D59" s="207">
        <f>(0.64+0.68)*6*59.5</f>
        <v>471.24</v>
      </c>
      <c r="E59" s="34"/>
      <c r="F59" s="41"/>
      <c r="G59" s="42"/>
      <c r="H59" s="43"/>
      <c r="I59" s="37"/>
      <c r="J59" s="37"/>
      <c r="K59" s="37"/>
      <c r="L59" s="37"/>
      <c r="M59" s="37"/>
      <c r="N59" s="37"/>
    </row>
    <row r="60" spans="1:14" ht="15">
      <c r="A60" s="31" t="s">
        <v>244</v>
      </c>
      <c r="B60" s="39" t="s">
        <v>47</v>
      </c>
      <c r="C60" s="44" t="s">
        <v>55</v>
      </c>
      <c r="D60" s="207">
        <f>(0.2+0.21)*6*35.2</f>
        <v>86.592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63</v>
      </c>
      <c r="B61" s="39" t="s">
        <v>64</v>
      </c>
      <c r="C61" s="44" t="s">
        <v>65</v>
      </c>
      <c r="D61" s="207">
        <f>(1.14+1.21)*6*94.7</f>
        <v>1335.2699999999998</v>
      </c>
      <c r="E61" s="34"/>
      <c r="F61" s="41"/>
      <c r="G61" s="42"/>
      <c r="I61" s="37"/>
      <c r="J61" s="37"/>
      <c r="K61" s="37"/>
      <c r="L61" s="37"/>
      <c r="M61" s="37"/>
      <c r="N61" s="37"/>
    </row>
    <row r="62" spans="1:14" ht="15">
      <c r="A62" s="31" t="s">
        <v>66</v>
      </c>
      <c r="B62" s="39" t="s">
        <v>67</v>
      </c>
      <c r="C62" s="44">
        <v>4.88</v>
      </c>
      <c r="D62" s="220">
        <f>4.88*12*94.7-0.02</f>
        <v>5545.612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31" t="s">
        <v>536</v>
      </c>
      <c r="B63" s="39"/>
      <c r="C63" s="44" t="s">
        <v>291</v>
      </c>
      <c r="D63" s="220">
        <f>(0.78+0.83)*6*94.7</f>
        <v>914.802</v>
      </c>
      <c r="E63" s="34"/>
      <c r="F63" s="41"/>
      <c r="H63" s="45"/>
      <c r="I63" s="37"/>
      <c r="J63" s="37"/>
      <c r="K63" s="37"/>
      <c r="L63" s="37"/>
      <c r="M63" s="37"/>
      <c r="N63" s="37"/>
    </row>
    <row r="64" spans="1:14" ht="15">
      <c r="A64" s="46" t="s">
        <v>68</v>
      </c>
      <c r="B64" s="47"/>
      <c r="C64" s="48"/>
      <c r="D64" s="214">
        <f>SUM(D54:D63)</f>
        <v>10813.822</v>
      </c>
      <c r="E64" s="34">
        <f>D64+B23</f>
        <v>11143.382</v>
      </c>
      <c r="F64" s="41"/>
      <c r="H64" s="50">
        <f>E64-B20</f>
        <v>0.0020000000004074536</v>
      </c>
      <c r="I64" s="37"/>
      <c r="J64" s="37"/>
      <c r="K64" s="37"/>
      <c r="L64" s="37"/>
      <c r="M64" s="37"/>
      <c r="N64" s="37"/>
    </row>
    <row r="65" spans="1:14" ht="15.75">
      <c r="A65" s="51" t="s">
        <v>69</v>
      </c>
      <c r="B65" s="52"/>
      <c r="C65" s="53"/>
      <c r="D65" s="212">
        <f>D66</f>
        <v>0</v>
      </c>
      <c r="E65" s="34"/>
      <c r="F65" s="41"/>
      <c r="H65" s="50"/>
      <c r="I65" s="37"/>
      <c r="J65" s="37"/>
      <c r="K65" s="37"/>
      <c r="L65" s="37"/>
      <c r="M65" s="37"/>
      <c r="N65" s="37"/>
    </row>
    <row r="66" spans="1:14" ht="15.75">
      <c r="A66" s="51"/>
      <c r="B66" s="52"/>
      <c r="C66" s="53"/>
      <c r="D66" s="212"/>
      <c r="E66" s="34"/>
      <c r="F66" s="45"/>
      <c r="H66" s="50"/>
      <c r="I66" s="37"/>
      <c r="J66" s="37"/>
      <c r="K66" s="37"/>
      <c r="L66" s="37"/>
      <c r="M66" s="37"/>
      <c r="N66" s="37"/>
    </row>
    <row r="67" spans="1:14" ht="15.75">
      <c r="A67" s="221" t="s">
        <v>71</v>
      </c>
      <c r="B67" s="222"/>
      <c r="C67" s="223"/>
      <c r="D67" s="212">
        <f>D64+D65</f>
        <v>10813.822</v>
      </c>
      <c r="E67" s="34"/>
      <c r="F67" s="45"/>
      <c r="H67" s="50"/>
      <c r="I67" s="37"/>
      <c r="J67" s="37"/>
      <c r="K67" s="37"/>
      <c r="L67" s="37"/>
      <c r="M67" s="37"/>
      <c r="N67" s="37"/>
    </row>
    <row r="68" spans="1:8" ht="13.5" customHeight="1">
      <c r="A68" s="308" t="s">
        <v>72</v>
      </c>
      <c r="B68" s="308"/>
      <c r="C68" s="308"/>
      <c r="D68" s="113">
        <f>D69</f>
        <v>0</v>
      </c>
      <c r="E68" s="61"/>
      <c r="H68" s="34">
        <f>347.32*12</f>
        <v>4167.84</v>
      </c>
    </row>
    <row r="69" spans="1:8" ht="17.25" customHeight="1">
      <c r="A69" s="114"/>
      <c r="B69" s="215"/>
      <c r="C69" s="215"/>
      <c r="D69" s="217"/>
      <c r="E69" s="61"/>
      <c r="H69" s="34"/>
    </row>
    <row r="70" spans="1:5" ht="25.5" customHeight="1">
      <c r="A70" s="293" t="s">
        <v>73</v>
      </c>
      <c r="B70" s="293"/>
      <c r="C70" s="293"/>
      <c r="D70" s="60">
        <f>D71+D72</f>
        <v>8411.29</v>
      </c>
      <c r="E70" s="61"/>
    </row>
    <row r="71" spans="1:5" ht="15.75">
      <c r="A71" s="62" t="s">
        <v>74</v>
      </c>
      <c r="B71" s="63"/>
      <c r="C71" s="64"/>
      <c r="D71" s="60">
        <f>B16+B23-D65</f>
        <v>2274.73</v>
      </c>
      <c r="E71" s="61"/>
    </row>
    <row r="72" spans="1:5" ht="15.75">
      <c r="A72" s="63" t="s">
        <v>75</v>
      </c>
      <c r="B72" s="63"/>
      <c r="C72" s="64"/>
      <c r="D72" s="60">
        <f>B17+B24-D68</f>
        <v>6136.56</v>
      </c>
      <c r="E72" s="61"/>
    </row>
    <row r="73" spans="1:5" ht="13.5" customHeight="1">
      <c r="A73" s="294" t="s">
        <v>76</v>
      </c>
      <c r="B73" s="294"/>
      <c r="C73" s="294"/>
      <c r="D73" s="65">
        <v>0</v>
      </c>
      <c r="E73" s="61"/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77</v>
      </c>
      <c r="B75" s="290"/>
      <c r="C75" s="290"/>
      <c r="D75" s="66">
        <f>D73*E23</f>
        <v>0</v>
      </c>
    </row>
    <row r="76" spans="1:4" ht="13.5" customHeight="1">
      <c r="A76" s="290" t="s">
        <v>28</v>
      </c>
      <c r="B76" s="290"/>
      <c r="C76" s="290"/>
      <c r="D76" s="66">
        <f>D73-D75-D77</f>
        <v>0</v>
      </c>
    </row>
    <row r="77" spans="1:4" ht="13.5" customHeight="1">
      <c r="A77" s="290" t="s">
        <v>29</v>
      </c>
      <c r="B77" s="290"/>
      <c r="C77" s="290"/>
      <c r="D77" s="66">
        <f>SUM(D79:D81)</f>
        <v>0</v>
      </c>
    </row>
    <row r="78" spans="1:4" ht="15">
      <c r="A78" s="290" t="s">
        <v>20</v>
      </c>
      <c r="B78" s="290"/>
      <c r="C78" s="290"/>
      <c r="D78" s="66"/>
    </row>
    <row r="79" spans="1:4" ht="13.5" customHeight="1">
      <c r="A79" s="290" t="s">
        <v>31</v>
      </c>
      <c r="B79" s="290"/>
      <c r="C79" s="290"/>
      <c r="D79" s="66">
        <f>D73*E28</f>
        <v>0</v>
      </c>
    </row>
    <row r="80" spans="1:4" ht="15">
      <c r="A80" s="290" t="s">
        <v>33</v>
      </c>
      <c r="B80" s="290"/>
      <c r="C80" s="290"/>
      <c r="D80" s="66">
        <f>D73*E29</f>
        <v>0</v>
      </c>
    </row>
    <row r="81" spans="1:4" ht="15" customHeight="1">
      <c r="A81" s="290" t="s">
        <v>34</v>
      </c>
      <c r="B81" s="290"/>
      <c r="C81" s="290"/>
      <c r="D81" s="66">
        <f>D73*E30</f>
        <v>0</v>
      </c>
    </row>
    <row r="82" spans="1:4" ht="15" customHeight="1">
      <c r="A82" s="290" t="s">
        <v>78</v>
      </c>
      <c r="B82" s="290"/>
      <c r="C82" s="290"/>
      <c r="D82" s="66"/>
    </row>
    <row r="83" spans="1:4" ht="15" customHeight="1">
      <c r="A83" s="290" t="s">
        <v>35</v>
      </c>
      <c r="B83" s="290"/>
      <c r="C83" s="290"/>
      <c r="D83" s="66"/>
    </row>
    <row r="84" spans="1:4" ht="25.5" customHeight="1">
      <c r="A84" s="295" t="s">
        <v>79</v>
      </c>
      <c r="B84" s="295"/>
      <c r="C84" s="295"/>
      <c r="D84" s="295"/>
    </row>
    <row r="85" spans="1:4" ht="38.25">
      <c r="A85" s="67" t="s">
        <v>80</v>
      </c>
      <c r="B85" s="68" t="s">
        <v>81</v>
      </c>
      <c r="C85" s="68" t="s">
        <v>82</v>
      </c>
      <c r="D85" s="67" t="s">
        <v>83</v>
      </c>
    </row>
    <row r="86" spans="1:4" ht="17.25" customHeight="1">
      <c r="A86" s="31" t="s">
        <v>77</v>
      </c>
      <c r="B86" s="296" t="s">
        <v>537</v>
      </c>
      <c r="C86" s="70" t="s">
        <v>532</v>
      </c>
      <c r="D86" s="67" t="s">
        <v>85</v>
      </c>
    </row>
    <row r="87" spans="1:4" ht="17.25" customHeight="1">
      <c r="A87" s="31" t="s">
        <v>77</v>
      </c>
      <c r="B87" s="296"/>
      <c r="C87" s="70" t="s">
        <v>534</v>
      </c>
      <c r="D87" s="67" t="s">
        <v>85</v>
      </c>
    </row>
    <row r="88" spans="1:4" ht="12.75">
      <c r="A88" s="31" t="s">
        <v>28</v>
      </c>
      <c r="B88" s="296"/>
      <c r="C88" s="70">
        <v>2.7</v>
      </c>
      <c r="D88" s="71" t="s">
        <v>85</v>
      </c>
    </row>
    <row r="89" spans="1:4" ht="45" customHeight="1">
      <c r="A89" s="31" t="s">
        <v>31</v>
      </c>
      <c r="B89" s="140" t="s">
        <v>86</v>
      </c>
      <c r="C89" s="70" t="s">
        <v>87</v>
      </c>
      <c r="D89" s="71" t="s">
        <v>88</v>
      </c>
    </row>
    <row r="90" spans="1:4" ht="48" customHeight="1">
      <c r="A90" s="31" t="s">
        <v>34</v>
      </c>
      <c r="B90" s="213" t="s">
        <v>90</v>
      </c>
      <c r="C90" s="70" t="s">
        <v>91</v>
      </c>
      <c r="D90" s="71" t="s">
        <v>92</v>
      </c>
    </row>
    <row r="92" ht="12.75">
      <c r="A92" t="s">
        <v>93</v>
      </c>
    </row>
    <row r="94" ht="12.75">
      <c r="A94" t="s">
        <v>95</v>
      </c>
    </row>
  </sheetData>
  <sheetProtection selectLockedCells="1" selectUnlockedCells="1"/>
  <mergeCells count="22">
    <mergeCell ref="A82:C82"/>
    <mergeCell ref="A83:C83"/>
    <mergeCell ref="A84:D84"/>
    <mergeCell ref="B86:B88"/>
    <mergeCell ref="A76:C76"/>
    <mergeCell ref="A77:C77"/>
    <mergeCell ref="A78:C78"/>
    <mergeCell ref="A79:C79"/>
    <mergeCell ref="A80:C80"/>
    <mergeCell ref="A81:C81"/>
    <mergeCell ref="A50:D51"/>
    <mergeCell ref="A68:C68"/>
    <mergeCell ref="A70:C70"/>
    <mergeCell ref="A73:C73"/>
    <mergeCell ref="A74:C74"/>
    <mergeCell ref="A75:C75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9">
      <selection activeCell="A81" sqref="A81:D8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538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539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10743.97</v>
      </c>
      <c r="C15" s="13"/>
      <c r="D15" s="14"/>
    </row>
    <row r="16" spans="1:4" ht="15.75">
      <c r="A16" s="15" t="s">
        <v>16</v>
      </c>
      <c r="B16" s="12">
        <v>9201.73</v>
      </c>
      <c r="C16" s="13"/>
      <c r="D16" s="14"/>
    </row>
    <row r="17" spans="1:4" ht="15.75">
      <c r="A17" s="15" t="s">
        <v>17</v>
      </c>
      <c r="B17" s="174">
        <v>1542.24</v>
      </c>
      <c r="C17" s="175" t="s">
        <v>19</v>
      </c>
      <c r="D17" s="14"/>
    </row>
    <row r="18" spans="1:5" ht="25.5">
      <c r="A18" s="11" t="s">
        <v>18</v>
      </c>
      <c r="B18" s="16">
        <f>B20+B22+B25</f>
        <v>33820.240000000005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16157.34</v>
      </c>
      <c r="C20" s="105" t="s">
        <v>540</v>
      </c>
      <c r="D20" s="14"/>
    </row>
    <row r="21" spans="1:5" ht="15">
      <c r="A21" s="9" t="s">
        <v>147</v>
      </c>
      <c r="B21" s="16">
        <v>4558.28</v>
      </c>
      <c r="C21" s="19" t="s">
        <v>541</v>
      </c>
      <c r="D21" s="20"/>
      <c r="E21" s="17">
        <f>(3.54+4.08)*6*99.7</f>
        <v>4558.284</v>
      </c>
    </row>
    <row r="22" spans="1:5" ht="15.75">
      <c r="A22" s="9" t="s">
        <v>28</v>
      </c>
      <c r="B22" s="118">
        <v>1542.24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16120.66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16120.66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33820.23</v>
      </c>
      <c r="C31" s="13" t="s">
        <v>19</v>
      </c>
      <c r="D31" s="14" t="s">
        <v>19</v>
      </c>
      <c r="E31" s="1">
        <f>B31/B18</f>
        <v>0.9999997043190704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16157.33522258269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1542.239543989043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16120.655233428264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16120.655233428264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16120.655233428264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16120.655233428264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(0.14+0.15)*6*99.7</f>
        <v>173.47800000000004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(1.2+2)*6*99.7</f>
        <v>1914.2400000000002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542</v>
      </c>
      <c r="D55" s="207">
        <f>(0.2+0.21)*6*99.7</f>
        <v>245.262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(0.2+0.21)*6*99.7</f>
        <v>245.262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(1.14+1.21)*6*99.7</f>
        <v>1405.7699999999998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4.88*12*99.7-0.04</f>
        <v>5838.392000000001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543</v>
      </c>
      <c r="D60" s="207">
        <f>(1.44+1.53)*6*99.7</f>
        <v>1776.654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11599.058000000003</v>
      </c>
      <c r="E61" s="34">
        <f>D61+B21</f>
        <v>16157.338000000003</v>
      </c>
      <c r="F61" s="41"/>
      <c r="H61" s="50">
        <f>E61-B20</f>
        <v>-0.001999999996769475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11599.058000000003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16844.489999999998</v>
      </c>
      <c r="E67" s="61"/>
    </row>
    <row r="68" spans="1:5" ht="15.75">
      <c r="A68" s="78" t="s">
        <v>74</v>
      </c>
      <c r="B68" s="114"/>
      <c r="C68" s="115"/>
      <c r="D68" s="113">
        <f>B16+B21-D62</f>
        <v>13760.009999999998</v>
      </c>
      <c r="E68" s="61"/>
    </row>
    <row r="69" spans="1:5" ht="15.75">
      <c r="A69" s="114" t="s">
        <v>75</v>
      </c>
      <c r="B69" s="114"/>
      <c r="C69" s="115"/>
      <c r="D69" s="113">
        <f>B17+B22-D65</f>
        <v>3084.48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 t="s">
        <v>544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84</v>
      </c>
      <c r="C83" s="70" t="s">
        <v>540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41.25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40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545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546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8431.4</v>
      </c>
      <c r="C15" s="13"/>
      <c r="D15" s="14"/>
    </row>
    <row r="16" spans="1:4" ht="15.75">
      <c r="A16" s="15" t="s">
        <v>16</v>
      </c>
      <c r="B16" s="12">
        <v>8431.4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B20+B25+B22</f>
        <v>8881.9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5750.82</v>
      </c>
      <c r="C20" s="105" t="s">
        <v>547</v>
      </c>
      <c r="D20" s="14"/>
    </row>
    <row r="21" spans="1:5" ht="15">
      <c r="A21" s="9" t="s">
        <v>147</v>
      </c>
      <c r="B21" s="16">
        <v>156.67</v>
      </c>
      <c r="C21" s="19" t="s">
        <v>548</v>
      </c>
      <c r="D21" s="20"/>
      <c r="E21" s="17">
        <f>(0.2+0.31)*6*51.2</f>
        <v>156.67200000000003</v>
      </c>
    </row>
    <row r="22" spans="1:5" ht="15.75">
      <c r="A22" s="9" t="s">
        <v>28</v>
      </c>
      <c r="B22" s="118">
        <v>0</v>
      </c>
      <c r="C22" s="119" t="s">
        <v>6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3131.08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3131.08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8881.9</v>
      </c>
      <c r="C31" s="13" t="s">
        <v>19</v>
      </c>
      <c r="D31" s="14" t="s">
        <v>19</v>
      </c>
      <c r="E31" s="1">
        <f>B31/B18</f>
        <v>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5750.82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3131.08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3131.08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3131.08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3131.08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(0.14+0.15)*6*51.2</f>
        <v>89.08800000000002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(1.2+2)*6*51.2</f>
        <v>983.0400000000002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542</v>
      </c>
      <c r="D55" s="207">
        <f>(0.2+0.21)*6*51.2</f>
        <v>125.952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(0.2+0.21)*6*51.2</f>
        <v>125.952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549</v>
      </c>
      <c r="D58" s="207">
        <f>(0.4+0.42)*6*51.2</f>
        <v>251.904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4.88*12*51.2+0.04</f>
        <v>2998.3120000000004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550</v>
      </c>
      <c r="D60" s="207">
        <f>(1.61+1.71)*6*51.2</f>
        <v>1019.9040000000001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5594.152000000001</v>
      </c>
      <c r="E61" s="34">
        <f>D61+B21</f>
        <v>5750.822000000001</v>
      </c>
      <c r="F61" s="41"/>
      <c r="H61" s="50">
        <f>E61-B20</f>
        <v>0.0020000000013169483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5594.152000000001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8588.07</v>
      </c>
      <c r="E67" s="61"/>
    </row>
    <row r="68" spans="1:5" ht="15.75">
      <c r="A68" s="78" t="s">
        <v>74</v>
      </c>
      <c r="B68" s="114"/>
      <c r="C68" s="115"/>
      <c r="D68" s="113">
        <f>B16+B21-D62</f>
        <v>8588.07</v>
      </c>
      <c r="E68" s="61"/>
    </row>
    <row r="69" spans="1:5" ht="15.75">
      <c r="A69" s="114" t="s">
        <v>75</v>
      </c>
      <c r="B69" s="114"/>
      <c r="C69" s="115"/>
      <c r="D69" s="113">
        <f>B17+B23-D65</f>
        <v>0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3.5" customHeight="1">
      <c r="A83" s="31" t="s">
        <v>77</v>
      </c>
      <c r="B83" s="69" t="s">
        <v>84</v>
      </c>
      <c r="C83" s="70" t="s">
        <v>547</v>
      </c>
      <c r="D83" s="67" t="s">
        <v>85</v>
      </c>
    </row>
    <row r="84" spans="1:4" ht="55.5" customHeight="1">
      <c r="A84" s="31" t="s">
        <v>31</v>
      </c>
      <c r="B84" s="193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0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551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552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5" ht="38.25">
      <c r="A13" s="7" t="s">
        <v>11</v>
      </c>
      <c r="B13" s="7" t="s">
        <v>12</v>
      </c>
      <c r="C13" s="7" t="s">
        <v>13</v>
      </c>
      <c r="D13" s="8" t="s">
        <v>14</v>
      </c>
      <c r="E13" s="1" t="s">
        <v>6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10162.97</v>
      </c>
      <c r="C15" s="13"/>
      <c r="D15" s="14"/>
    </row>
    <row r="16" spans="1:4" ht="15.75">
      <c r="A16" s="15" t="s">
        <v>16</v>
      </c>
      <c r="B16" s="12">
        <v>6563.33</v>
      </c>
      <c r="C16" s="13"/>
      <c r="D16" s="14"/>
    </row>
    <row r="17" spans="1:4" ht="15.75">
      <c r="A17" s="15" t="s">
        <v>17</v>
      </c>
      <c r="B17" s="174">
        <v>3599.64</v>
      </c>
      <c r="C17" s="175" t="s">
        <v>19</v>
      </c>
      <c r="D17" s="14"/>
    </row>
    <row r="18" spans="1:5" ht="25.5">
      <c r="A18" s="11" t="s">
        <v>18</v>
      </c>
      <c r="B18" s="16">
        <f>B25+B20+B22</f>
        <v>34344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16465.02</v>
      </c>
      <c r="C20" s="105" t="s">
        <v>433</v>
      </c>
      <c r="D20" s="14"/>
    </row>
    <row r="21" spans="1:5" ht="15">
      <c r="A21" s="9" t="s">
        <v>147</v>
      </c>
      <c r="B21" s="16">
        <v>3746.29</v>
      </c>
      <c r="C21" s="19" t="s">
        <v>553</v>
      </c>
      <c r="D21" s="20"/>
      <c r="E21" s="17">
        <f>(2.6+3.02)*6*111.1</f>
        <v>3746.2919999999995</v>
      </c>
    </row>
    <row r="22" spans="1:5" ht="15.75">
      <c r="A22" s="9" t="s">
        <v>28</v>
      </c>
      <c r="B22" s="118">
        <v>3599.64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14279.34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14279.34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36411.41</v>
      </c>
      <c r="C31" s="13" t="s">
        <v>19</v>
      </c>
      <c r="D31" s="14" t="s">
        <v>19</v>
      </c>
      <c r="E31" s="1">
        <f>B31/B18</f>
        <v>1.060197123223853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17456.166837823203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3816.32797264151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15138.915189535293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15138.915189535293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15138.915189535293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15138.915189535293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(0.14+0.15)*6*111.1</f>
        <v>193.31400000000002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(1.2+2)*6*111.1</f>
        <v>2133.1200000000003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542</v>
      </c>
      <c r="D55" s="207">
        <f>(0.2+0.21)*6*111.1</f>
        <v>273.306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(0.2+0.21)*6*111.1</f>
        <v>273.306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554</v>
      </c>
      <c r="D58" s="207">
        <f>(1.14+1.21)*6*111.1</f>
        <v>1566.5099999999998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4.88*12*111.1</f>
        <v>6506.016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555</v>
      </c>
      <c r="D60" s="207">
        <f>(1.29+1.37)*6*111.1</f>
        <v>1773.156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12718.728</v>
      </c>
      <c r="E61" s="34">
        <f>D61+B21</f>
        <v>16465.018</v>
      </c>
      <c r="F61" s="41"/>
      <c r="H61" s="50">
        <f>E61-B20</f>
        <v>-0.0020000000004074536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12718.728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17508.899999999998</v>
      </c>
      <c r="E67" s="61"/>
    </row>
    <row r="68" spans="1:5" ht="15.75">
      <c r="A68" s="78" t="s">
        <v>74</v>
      </c>
      <c r="B68" s="114"/>
      <c r="C68" s="115"/>
      <c r="D68" s="113">
        <f>B16+B21-D62</f>
        <v>10309.619999999999</v>
      </c>
      <c r="E68" s="61"/>
    </row>
    <row r="69" spans="1:5" ht="15.75">
      <c r="A69" s="114" t="s">
        <v>75</v>
      </c>
      <c r="B69" s="114"/>
      <c r="C69" s="115"/>
      <c r="D69" s="113">
        <f>B17+B22-D65</f>
        <v>7199.28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3.25" customHeight="1">
      <c r="A83" s="31" t="s">
        <v>77</v>
      </c>
      <c r="B83" s="296" t="s">
        <v>84</v>
      </c>
      <c r="C83" s="70" t="s">
        <v>433</v>
      </c>
      <c r="D83" s="67" t="s">
        <v>85</v>
      </c>
    </row>
    <row r="84" spans="1:4" ht="18.75" customHeight="1">
      <c r="A84" s="31" t="s">
        <v>28</v>
      </c>
      <c r="B84" s="296"/>
      <c r="C84" s="70">
        <v>2.7</v>
      </c>
      <c r="D84" s="71" t="s">
        <v>85</v>
      </c>
    </row>
    <row r="85" spans="1:4" ht="42.75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6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556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557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4779.41</v>
      </c>
      <c r="C15" s="13"/>
      <c r="D15" s="14"/>
    </row>
    <row r="16" spans="1:4" ht="15.75">
      <c r="A16" s="15" t="s">
        <v>16</v>
      </c>
      <c r="B16" s="12">
        <v>2692.85</v>
      </c>
      <c r="C16" s="13"/>
      <c r="D16" s="14"/>
    </row>
    <row r="17" spans="1:4" ht="15.75">
      <c r="A17" s="15" t="s">
        <v>17</v>
      </c>
      <c r="B17" s="174">
        <v>2086.56</v>
      </c>
      <c r="C17" s="175" t="s">
        <v>19</v>
      </c>
      <c r="D17" s="14"/>
    </row>
    <row r="18" spans="1:5" ht="25.5">
      <c r="A18" s="11" t="s">
        <v>18</v>
      </c>
      <c r="B18" s="16">
        <f>B20+B22+B25</f>
        <v>21872.65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16163.82</v>
      </c>
      <c r="C20" s="105" t="s">
        <v>558</v>
      </c>
      <c r="D20" s="14"/>
    </row>
    <row r="21" spans="1:5" ht="15">
      <c r="A21" s="9" t="s">
        <v>147</v>
      </c>
      <c r="B21" s="16">
        <v>3456.5399999999995</v>
      </c>
      <c r="C21" s="19" t="s">
        <v>559</v>
      </c>
      <c r="D21" s="20"/>
      <c r="E21" s="17">
        <f>(2.4+2.79)*6*111</f>
        <v>3456.5399999999995</v>
      </c>
    </row>
    <row r="22" spans="1:5" ht="15.75">
      <c r="A22" s="9" t="s">
        <v>28</v>
      </c>
      <c r="B22" s="118">
        <v>2086.56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3622.27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3622.27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13763.65</v>
      </c>
      <c r="C31" s="13" t="s">
        <v>19</v>
      </c>
      <c r="D31" s="14" t="s">
        <v>19</v>
      </c>
      <c r="E31" s="1">
        <f>B31/B18</f>
        <v>0.6292630293997298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10171.29433987194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1312.9950666243</v>
      </c>
      <c r="C34" s="13" t="s">
        <v>19</v>
      </c>
      <c r="D34" s="14" t="s">
        <v>19</v>
      </c>
    </row>
    <row r="35" spans="1:4" ht="15">
      <c r="A35" s="9" t="s">
        <v>29</v>
      </c>
      <c r="B35" s="18">
        <v>2125.7094146359873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2279.360593503759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2279.360593503759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2279.360593503759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(0.14+0.15)*6*111</f>
        <v>193.14000000000001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33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(1.2+2)*6*111</f>
        <v>2131.2000000000003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(0.2+0.21)*6*111</f>
        <v>273.06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33">
        <f>(0.2+0.21)*6*111</f>
        <v>273.06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554</v>
      </c>
      <c r="D58" s="33">
        <f>(1.14+1.21)*6*111</f>
        <v>1565.0999999999997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33">
        <f>4.88*12*111</f>
        <v>6500.16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555</v>
      </c>
      <c r="D60" s="33">
        <f>(1.29+1.37)*6*111</f>
        <v>1771.5600000000002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12707.279999999999</v>
      </c>
      <c r="E61" s="34">
        <f>D61+B21</f>
        <v>16163.819999999998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12707.279999999999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10322.509999999998</v>
      </c>
      <c r="E67" s="61"/>
    </row>
    <row r="68" spans="1:5" ht="15.75">
      <c r="A68" s="78" t="s">
        <v>74</v>
      </c>
      <c r="B68" s="114"/>
      <c r="C68" s="115"/>
      <c r="D68" s="113">
        <f>B16+B21-D62</f>
        <v>6149.389999999999</v>
      </c>
      <c r="E68" s="61"/>
    </row>
    <row r="69" spans="1:5" ht="15.75">
      <c r="A69" s="114" t="s">
        <v>75</v>
      </c>
      <c r="B69" s="114"/>
      <c r="C69" s="115"/>
      <c r="D69" s="113">
        <f>B17+B22-D65</f>
        <v>4173.12</v>
      </c>
      <c r="E69" s="61"/>
    </row>
    <row r="70" spans="1:5" ht="13.5" customHeight="1">
      <c r="A70" s="294" t="s">
        <v>76</v>
      </c>
      <c r="B70" s="294"/>
      <c r="C70" s="294"/>
      <c r="D70" s="65">
        <v>24661.22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18224.564515977716</v>
      </c>
    </row>
    <row r="73" spans="1:4" ht="13.5" customHeight="1">
      <c r="A73" s="290" t="s">
        <v>28</v>
      </c>
      <c r="B73" s="290"/>
      <c r="C73" s="290"/>
      <c r="D73" s="66">
        <f>D70*B22/B18</f>
        <v>2352.5780005257707</v>
      </c>
    </row>
    <row r="74" spans="1:4" ht="13.5" customHeight="1">
      <c r="A74" s="290" t="s">
        <v>29</v>
      </c>
      <c r="B74" s="290"/>
      <c r="C74" s="290"/>
      <c r="D74" s="66">
        <f>SUM(D76:D78)</f>
        <v>4084.0774834965127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4084.0774834965127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558</v>
      </c>
      <c r="D83" s="67" t="s">
        <v>85</v>
      </c>
    </row>
    <row r="84" spans="1:4" ht="20.25" customHeight="1">
      <c r="A84" s="31" t="s">
        <v>28</v>
      </c>
      <c r="B84" s="296"/>
      <c r="C84" s="70">
        <v>2.7</v>
      </c>
      <c r="D84" s="71" t="s">
        <v>85</v>
      </c>
    </row>
    <row r="85" spans="1:4" ht="42.75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64" zoomScaleNormal="64" zoomScalePageLayoutView="0" workbookViewId="0" topLeftCell="A34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560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561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1625.59</v>
      </c>
      <c r="C15" s="13"/>
      <c r="D15" s="14"/>
    </row>
    <row r="16" spans="1:4" ht="15.75">
      <c r="A16" s="15" t="s">
        <v>16</v>
      </c>
      <c r="B16" s="12">
        <v>1625.59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B20+B22+B25</f>
        <v>8543.19</v>
      </c>
      <c r="C18" s="105" t="s">
        <v>19</v>
      </c>
      <c r="D18" s="14" t="s">
        <v>19</v>
      </c>
      <c r="E18" s="17">
        <f>SUM(E19:E28)</f>
        <v>802.7232828674066</v>
      </c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6463.08</v>
      </c>
      <c r="C20" s="105" t="s">
        <v>562</v>
      </c>
      <c r="D20" s="14"/>
    </row>
    <row r="21" spans="1:5" ht="15">
      <c r="A21" s="9" t="s">
        <v>147</v>
      </c>
      <c r="B21" s="16">
        <v>802.58</v>
      </c>
      <c r="C21" s="19" t="s">
        <v>563</v>
      </c>
      <c r="D21" s="20"/>
      <c r="E21" s="17">
        <f>(1.28+1.56)*6*47.1</f>
        <v>802.584</v>
      </c>
    </row>
    <row r="22" spans="1:5" ht="15.75">
      <c r="A22" s="9" t="s">
        <v>28</v>
      </c>
      <c r="B22" s="118">
        <v>890.19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>
        <f>B23/B18*1</f>
        <v>0</v>
      </c>
    </row>
    <row r="24" spans="1:5" ht="15.75">
      <c r="A24" s="9" t="s">
        <v>167</v>
      </c>
      <c r="B24" s="120">
        <v>0</v>
      </c>
      <c r="C24" s="196"/>
      <c r="D24" s="20" t="s">
        <v>30</v>
      </c>
      <c r="E24" s="1">
        <f>B24/B18*1</f>
        <v>0</v>
      </c>
    </row>
    <row r="25" spans="1:4" ht="15">
      <c r="A25" s="9" t="s">
        <v>29</v>
      </c>
      <c r="B25" s="16">
        <f>B27</f>
        <v>1189.92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>
        <f>B26/B18*1</f>
        <v>0</v>
      </c>
    </row>
    <row r="27" spans="1:5" ht="15">
      <c r="A27" s="9" t="s">
        <v>31</v>
      </c>
      <c r="B27" s="16">
        <v>1189.92</v>
      </c>
      <c r="C27" s="19" t="s">
        <v>19</v>
      </c>
      <c r="D27" s="27" t="s">
        <v>32</v>
      </c>
      <c r="E27" s="17">
        <f>B27/B18*1</f>
        <v>0.13928286740667128</v>
      </c>
    </row>
    <row r="28" spans="1:5" ht="15">
      <c r="A28" s="9" t="s">
        <v>33</v>
      </c>
      <c r="B28" s="16">
        <v>0</v>
      </c>
      <c r="C28" s="19" t="s">
        <v>19</v>
      </c>
      <c r="D28" s="28"/>
      <c r="E28" s="17">
        <f>B28/B18*1</f>
        <v>0</v>
      </c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8543.19</v>
      </c>
      <c r="C31" s="13" t="s">
        <v>19</v>
      </c>
      <c r="D31" s="14" t="s">
        <v>19</v>
      </c>
      <c r="E31" s="1">
        <f>B31/B18</f>
        <v>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6463.08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890.19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1189.92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1189.92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1189.92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1189.92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(0.14+0.15)*6*47.1</f>
        <v>81.95400000000001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33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(1.2+2)*6*47.1</f>
        <v>904.3200000000002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(0.2+0.21)*6*47.1</f>
        <v>115.866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33">
        <f>(0.2+0.21)*6*47.1</f>
        <v>115.866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554</v>
      </c>
      <c r="D58" s="33">
        <f>(1.14+1.21)*6*47.1</f>
        <v>664.1099999999999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33">
        <f>4.88*12*47.1+0.02</f>
        <v>2758.1960000000004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564</v>
      </c>
      <c r="D60" s="121">
        <f>(1.75+1.86)*6*47.1</f>
        <v>1020.1860000000001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5660.498</v>
      </c>
      <c r="E61" s="34">
        <f>D61+B21</f>
        <v>6463.0779999999995</v>
      </c>
      <c r="F61" s="41"/>
      <c r="H61" s="50">
        <f>E61-B20</f>
        <v>-0.0020000000004074536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5660.498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>
        <f>347.32*12</f>
        <v>4167.84</v>
      </c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3318.36</v>
      </c>
      <c r="E67" s="61"/>
    </row>
    <row r="68" spans="1:5" ht="15.75">
      <c r="A68" s="78" t="s">
        <v>74</v>
      </c>
      <c r="B68" s="114"/>
      <c r="C68" s="115"/>
      <c r="D68" s="113">
        <f>B16+B21-D62</f>
        <v>2428.17</v>
      </c>
      <c r="E68" s="61"/>
    </row>
    <row r="69" spans="1:5" ht="15.75">
      <c r="A69" s="63" t="s">
        <v>75</v>
      </c>
      <c r="B69" s="63"/>
      <c r="C69" s="64"/>
      <c r="D69" s="60">
        <f>B17+B22-D65</f>
        <v>890.19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562</v>
      </c>
      <c r="D83" s="67" t="s">
        <v>85</v>
      </c>
    </row>
    <row r="84" spans="1:4" ht="20.25" customHeight="1">
      <c r="A84" s="31" t="s">
        <v>28</v>
      </c>
      <c r="B84" s="296"/>
      <c r="C84" s="70">
        <v>2.7</v>
      </c>
      <c r="D84" s="71" t="s">
        <v>85</v>
      </c>
    </row>
    <row r="85" spans="1:4" ht="39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  <row r="91" ht="12.75">
      <c r="E91" s="1" t="s">
        <v>6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31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565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566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8060.59</v>
      </c>
      <c r="C15" s="13"/>
      <c r="D15" s="14"/>
    </row>
    <row r="16" spans="1:4" ht="15.75">
      <c r="A16" s="15" t="s">
        <v>16</v>
      </c>
      <c r="B16" s="12">
        <v>8060.59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B20+B22+B25</f>
        <v>24475.63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11076.6</v>
      </c>
      <c r="C20" s="105" t="s">
        <v>567</v>
      </c>
      <c r="D20" s="14"/>
    </row>
    <row r="21" spans="1:5" ht="15">
      <c r="A21" s="9" t="s">
        <v>147</v>
      </c>
      <c r="B21" s="16">
        <v>1287.26</v>
      </c>
      <c r="C21" s="19" t="s">
        <v>568</v>
      </c>
      <c r="D21" s="20"/>
      <c r="E21" s="17">
        <f>(1.14+1.39)*6*84.8</f>
        <v>1287.264</v>
      </c>
    </row>
    <row r="22" spans="1:5" ht="15.75">
      <c r="A22" s="9" t="s">
        <v>28</v>
      </c>
      <c r="B22" s="118">
        <v>0</v>
      </c>
      <c r="C22" s="119">
        <v>0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13399.03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13399.03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27682.32</v>
      </c>
      <c r="C31" s="13" t="s">
        <v>19</v>
      </c>
      <c r="D31" s="14" t="s">
        <v>19</v>
      </c>
      <c r="E31" s="1">
        <f>B31/B18</f>
        <v>1.1310156265640556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12527.807689199419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15154.51231080058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15154.51231080058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15154.51231080058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15154.51231080058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(0.14+0.15)*6*84.8</f>
        <v>147.55200000000002</v>
      </c>
      <c r="E52" s="34">
        <f>347.32*12</f>
        <v>4167.84</v>
      </c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33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(1.2+2)*6*84.8</f>
        <v>1628.16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(0.2+0.21)*6*84.8</f>
        <v>208.608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33">
        <f>(0.2+0.21)*6*84.8</f>
        <v>208.608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554</v>
      </c>
      <c r="D58" s="33">
        <f>(1.14+1.21)*6*84.8</f>
        <v>1195.6799999999998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33">
        <f>4.88*12*84.8+0.03</f>
        <v>4965.918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569</v>
      </c>
      <c r="D60" s="121">
        <f>(1.37+1.45)*6*84.8</f>
        <v>1434.816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206"/>
      <c r="D61" s="214">
        <f>SUM(D52:D60)</f>
        <v>9789.342</v>
      </c>
      <c r="E61" s="34">
        <f>D61+B21</f>
        <v>11076.602</v>
      </c>
      <c r="F61" s="41"/>
      <c r="H61" s="50">
        <f>E61-B20</f>
        <v>0.0020000000004074536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6518.3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">
      <c r="A63" s="111" t="s">
        <v>515</v>
      </c>
      <c r="B63" s="52"/>
      <c r="C63" s="53"/>
      <c r="D63" s="217">
        <v>6518.3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16307.642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>
        <f>347.32*12</f>
        <v>4167.84</v>
      </c>
    </row>
    <row r="66" spans="1:8" ht="17.25" customHeight="1">
      <c r="A66" s="114"/>
      <c r="B66" s="215"/>
      <c r="C66" s="215"/>
      <c r="D66" s="217">
        <v>0</v>
      </c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2829.55</v>
      </c>
      <c r="E67" s="61"/>
    </row>
    <row r="68" spans="1:5" ht="15.75">
      <c r="A68" s="78" t="s">
        <v>74</v>
      </c>
      <c r="B68" s="114"/>
      <c r="C68" s="115"/>
      <c r="D68" s="113">
        <f>B16+B21-D62</f>
        <v>2829.55</v>
      </c>
      <c r="E68" s="61"/>
    </row>
    <row r="69" spans="1:5" ht="15.75">
      <c r="A69" s="63" t="s">
        <v>75</v>
      </c>
      <c r="B69" s="63"/>
      <c r="C69" s="64"/>
      <c r="D69" s="60">
        <f>B17+B23-D65</f>
        <v>0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2" customHeight="1">
      <c r="A83" s="31" t="s">
        <v>77</v>
      </c>
      <c r="B83" s="69" t="s">
        <v>84</v>
      </c>
      <c r="C83" s="70" t="s">
        <v>567</v>
      </c>
      <c r="D83" s="67" t="s">
        <v>85</v>
      </c>
    </row>
    <row r="84" spans="1:4" ht="51.75" customHeight="1">
      <c r="A84" s="31" t="s">
        <v>31</v>
      </c>
      <c r="B84" s="193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34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570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571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10513.69</v>
      </c>
      <c r="C15" s="13"/>
      <c r="D15" s="14"/>
    </row>
    <row r="16" spans="1:4" ht="15.75">
      <c r="A16" s="15" t="s">
        <v>16</v>
      </c>
      <c r="B16" s="12">
        <v>7182.97</v>
      </c>
      <c r="C16" s="13"/>
      <c r="D16" s="14"/>
    </row>
    <row r="17" spans="1:4" ht="15.75">
      <c r="A17" s="15" t="s">
        <v>17</v>
      </c>
      <c r="B17" s="174">
        <v>3330.72</v>
      </c>
      <c r="C17" s="175" t="s">
        <v>19</v>
      </c>
      <c r="D17" s="14"/>
    </row>
    <row r="18" spans="1:5" ht="25.5">
      <c r="A18" s="11" t="s">
        <v>18</v>
      </c>
      <c r="B18" s="16">
        <f>B20+B22+B25</f>
        <v>25313.34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16363.44</v>
      </c>
      <c r="C20" s="105" t="s">
        <v>572</v>
      </c>
      <c r="D20" s="14"/>
    </row>
    <row r="21" spans="1:5" ht="15">
      <c r="A21" s="9" t="s">
        <v>147</v>
      </c>
      <c r="B21" s="16">
        <v>1477.82</v>
      </c>
      <c r="C21" s="19" t="s">
        <v>573</v>
      </c>
      <c r="D21" s="20"/>
      <c r="E21" s="17">
        <f>(0.81+0.98)*6*137.6</f>
        <v>1477.824</v>
      </c>
    </row>
    <row r="22" spans="1:5" ht="15.75">
      <c r="A22" s="9" t="s">
        <v>28</v>
      </c>
      <c r="B22" s="118">
        <v>3330.72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5619.18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5619.18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25313.34</v>
      </c>
      <c r="C31" s="13" t="s">
        <v>19</v>
      </c>
      <c r="D31" s="14" t="s">
        <v>19</v>
      </c>
      <c r="E31" s="1">
        <f>B31/B18</f>
        <v>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16363.44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3330.72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5619.18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5619.18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5619.18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5619.18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(0.14+0.15)*6*137.6</f>
        <v>239.424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33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(1.2+2)*6*137.6</f>
        <v>2641.92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(0.2+0.21)*6*137.6</f>
        <v>338.496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33">
        <f>(0.2+0.21)*6*137.6</f>
        <v>338.496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33">
        <f>(1.14+1.21)*6*137.6</f>
        <v>1940.1599999999996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33">
        <f>4.88*12*137.6+0.05</f>
        <v>8057.906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291</v>
      </c>
      <c r="D60" s="121">
        <f>(0.78+0.83)*6*137.6</f>
        <v>1329.216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14885.618</v>
      </c>
      <c r="E61" s="34">
        <f>D61+B21</f>
        <v>16363.438</v>
      </c>
      <c r="F61" s="41"/>
      <c r="H61" s="50">
        <f>E61-B20</f>
        <v>-0.0020000000004074536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14885.618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15322.23</v>
      </c>
      <c r="E67" s="61"/>
    </row>
    <row r="68" spans="1:5" ht="15.75">
      <c r="A68" s="78" t="s">
        <v>74</v>
      </c>
      <c r="B68" s="114"/>
      <c r="C68" s="115"/>
      <c r="D68" s="113">
        <f>B16+B21-D62</f>
        <v>8660.79</v>
      </c>
      <c r="E68" s="61"/>
    </row>
    <row r="69" spans="1:5" ht="15.75">
      <c r="A69" s="63" t="s">
        <v>75</v>
      </c>
      <c r="B69" s="63"/>
      <c r="C69" s="64"/>
      <c r="D69" s="60">
        <f>B17+B22-D65</f>
        <v>6661.44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84</v>
      </c>
      <c r="C83" s="70" t="s">
        <v>572</v>
      </c>
      <c r="D83" s="67" t="s">
        <v>85</v>
      </c>
    </row>
    <row r="84" spans="1:4" ht="24.75" customHeight="1">
      <c r="A84" s="31" t="s">
        <v>28</v>
      </c>
      <c r="B84" s="296"/>
      <c r="C84" s="70">
        <v>2.7</v>
      </c>
      <c r="D84" s="71" t="s">
        <v>85</v>
      </c>
    </row>
    <row r="85" spans="1:4" ht="43.5" customHeight="1">
      <c r="A85" s="31" t="s">
        <v>31</v>
      </c>
      <c r="B85" s="193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64" zoomScaleNormal="64" zoomScalePageLayoutView="0" workbookViewId="0" topLeftCell="A40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574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8" ht="36.75" customHeight="1">
      <c r="A7" s="301" t="s">
        <v>575</v>
      </c>
      <c r="B7" s="301"/>
      <c r="C7" s="301"/>
      <c r="D7" s="301"/>
      <c r="H7" s="1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16587.16</v>
      </c>
      <c r="C15" s="13"/>
      <c r="D15" s="14"/>
    </row>
    <row r="16" spans="1:4" ht="15.75">
      <c r="A16" s="15" t="s">
        <v>16</v>
      </c>
      <c r="B16" s="12">
        <v>10240</v>
      </c>
      <c r="C16" s="13"/>
      <c r="D16" s="14"/>
    </row>
    <row r="17" spans="1:4" ht="15.75">
      <c r="A17" s="15" t="s">
        <v>17</v>
      </c>
      <c r="B17" s="174">
        <v>6347.16</v>
      </c>
      <c r="C17" s="175" t="s">
        <v>19</v>
      </c>
      <c r="D17" s="14"/>
    </row>
    <row r="18" spans="1:5" ht="25.5">
      <c r="A18" s="11" t="s">
        <v>18</v>
      </c>
      <c r="B18" s="16">
        <f>B20+B22+B25</f>
        <v>70994.07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20028.84</v>
      </c>
      <c r="C20" s="105" t="s">
        <v>576</v>
      </c>
      <c r="D20" s="14"/>
    </row>
    <row r="21" spans="1:5" ht="15">
      <c r="A21" s="9" t="s">
        <v>147</v>
      </c>
      <c r="B21" s="16">
        <v>775.76</v>
      </c>
      <c r="C21" s="19" t="s">
        <v>577</v>
      </c>
      <c r="D21" s="20"/>
      <c r="E21" s="17">
        <f>(0.32+0.34)*6*195.9</f>
        <v>775.764</v>
      </c>
    </row>
    <row r="22" spans="1:5" ht="15.75">
      <c r="A22" s="9" t="s">
        <v>28</v>
      </c>
      <c r="B22" s="118">
        <v>6347.16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</f>
        <v>44618.07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12790.38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14733.72</v>
      </c>
      <c r="C28" s="19" t="s">
        <v>19</v>
      </c>
      <c r="D28" s="28"/>
      <c r="E28" s="17"/>
    </row>
    <row r="29" spans="1:5" ht="15">
      <c r="A29" s="9" t="s">
        <v>34</v>
      </c>
      <c r="B29" s="16">
        <v>17093.97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69565.68</v>
      </c>
      <c r="C31" s="13" t="s">
        <v>19</v>
      </c>
      <c r="D31" s="14" t="s">
        <v>19</v>
      </c>
      <c r="E31" s="1">
        <f>B31/B18</f>
        <v>0.9798801505534193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19625.862754610345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6219.456096386641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43720.361149003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12533.039480035442</v>
      </c>
      <c r="C37" s="13" t="s">
        <v>19</v>
      </c>
      <c r="D37" s="14"/>
    </row>
    <row r="38" spans="1:4" ht="15">
      <c r="A38" s="9" t="s">
        <v>33</v>
      </c>
      <c r="B38" s="18">
        <f>B28*E31</f>
        <v>14437.279771811924</v>
      </c>
      <c r="C38" s="13"/>
      <c r="D38" s="14"/>
    </row>
    <row r="39" spans="1:4" ht="15">
      <c r="A39" s="9" t="s">
        <v>34</v>
      </c>
      <c r="B39" s="18">
        <f>B29*E31</f>
        <v>16750.041897155632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43720.361149003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12533.039480035442</v>
      </c>
      <c r="C43" s="13"/>
      <c r="D43" s="14"/>
    </row>
    <row r="44" spans="1:4" ht="15">
      <c r="A44" s="9" t="s">
        <v>33</v>
      </c>
      <c r="B44" s="18">
        <f>B38</f>
        <v>14437.279771811924</v>
      </c>
      <c r="C44" s="13"/>
      <c r="D44" s="14"/>
    </row>
    <row r="45" spans="1:4" ht="15">
      <c r="A45" s="9" t="s">
        <v>34</v>
      </c>
      <c r="B45" s="18">
        <f>B39</f>
        <v>16750.041897155632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(0.14+0.15)*6*195.9</f>
        <v>340.86600000000004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(1.2+2)*6*195.9</f>
        <v>3761.2800000000007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578</v>
      </c>
      <c r="D55" s="207">
        <f>(0.2+0.21)*6*195.9</f>
        <v>481.914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308</v>
      </c>
      <c r="D57" s="207">
        <f>(0.25+0.21)*6*195.9</f>
        <v>540.684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579</v>
      </c>
      <c r="D58" s="207">
        <f>(0.6+0.36)*6*195.9</f>
        <v>1128.384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 t="s">
        <v>580</v>
      </c>
      <c r="D59" s="207">
        <f>(4.53+4.88)*6*195.9+0.03</f>
        <v>11060.544000000002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509</v>
      </c>
      <c r="D60" s="207">
        <f>(0.8+0.85)*6*195.9</f>
        <v>1939.4099999999999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19253.082000000002</v>
      </c>
      <c r="E61" s="34">
        <f>D61+B21</f>
        <v>20028.842</v>
      </c>
      <c r="F61" s="41"/>
      <c r="H61" s="50">
        <f>E61-B20</f>
        <v>0.0020000000004074536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19253.082000000002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9402.3</v>
      </c>
      <c r="E65" s="61"/>
      <c r="H65" s="34">
        <f>347.32*12</f>
        <v>4167.84</v>
      </c>
    </row>
    <row r="66" spans="1:8" ht="17.25" customHeight="1">
      <c r="A66" s="111" t="s">
        <v>581</v>
      </c>
      <c r="B66" s="145"/>
      <c r="C66" s="146"/>
      <c r="D66" s="217">
        <v>9402.3</v>
      </c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14307.78</v>
      </c>
      <c r="E67" s="61"/>
    </row>
    <row r="68" spans="1:5" ht="15.75">
      <c r="A68" s="78" t="s">
        <v>74</v>
      </c>
      <c r="B68" s="114"/>
      <c r="C68" s="115"/>
      <c r="D68" s="113">
        <f>B16+B21-D62</f>
        <v>11015.76</v>
      </c>
      <c r="E68" s="61"/>
    </row>
    <row r="69" spans="1:5" ht="15.75">
      <c r="A69" s="114" t="s">
        <v>75</v>
      </c>
      <c r="B69" s="114"/>
      <c r="C69" s="115"/>
      <c r="D69" s="113">
        <f>B17+B22-D65</f>
        <v>3292.0200000000004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576</v>
      </c>
      <c r="D83" s="67" t="s">
        <v>85</v>
      </c>
    </row>
    <row r="84" spans="1:4" ht="22.5" customHeight="1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7" spans="1:4" ht="39.75" customHeight="1">
      <c r="A87" s="31" t="s">
        <v>34</v>
      </c>
      <c r="B87" s="73" t="s">
        <v>90</v>
      </c>
      <c r="C87" s="147" t="s">
        <v>91</v>
      </c>
      <c r="D87" s="71" t="s">
        <v>92</v>
      </c>
    </row>
    <row r="89" ht="12.75">
      <c r="A89" t="s">
        <v>93</v>
      </c>
    </row>
    <row r="91" ht="12.75">
      <c r="A91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43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582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583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4640.719999999999</v>
      </c>
      <c r="C15" s="13"/>
      <c r="D15" s="14"/>
    </row>
    <row r="16" spans="1:4" ht="15.75">
      <c r="A16" s="15" t="s">
        <v>16</v>
      </c>
      <c r="B16" s="12">
        <v>3101.72</v>
      </c>
      <c r="C16" s="13"/>
      <c r="D16" s="14"/>
    </row>
    <row r="17" spans="1:8" ht="15.75">
      <c r="A17" s="15" t="s">
        <v>17</v>
      </c>
      <c r="B17" s="174">
        <v>1539</v>
      </c>
      <c r="C17" s="175" t="s">
        <v>19</v>
      </c>
      <c r="D17" s="14"/>
      <c r="E17" s="1">
        <v>26400.211199999998</v>
      </c>
      <c r="H17" s="1">
        <v>23575.199999999997</v>
      </c>
    </row>
    <row r="18" spans="1:8" ht="25.5">
      <c r="A18" s="11" t="s">
        <v>18</v>
      </c>
      <c r="B18" s="16">
        <f>B20+B22+B23+B24+B25</f>
        <v>42412.770000000004</v>
      </c>
      <c r="C18" s="105" t="s">
        <v>19</v>
      </c>
      <c r="D18" s="14" t="s">
        <v>19</v>
      </c>
      <c r="E18" s="17">
        <f>E20*12</f>
        <v>26404.224</v>
      </c>
      <c r="H18" s="1">
        <f>E19*12</f>
        <v>23575.199999999997</v>
      </c>
    </row>
    <row r="19" spans="1:8" ht="15">
      <c r="A19" s="9" t="s">
        <v>20</v>
      </c>
      <c r="B19" s="16"/>
      <c r="C19" s="105"/>
      <c r="D19" s="14"/>
      <c r="E19" s="1">
        <f>11.75*167.2</f>
        <v>1964.6</v>
      </c>
      <c r="H19" s="1">
        <f>(E19+E20)*6</f>
        <v>24989.711999999996</v>
      </c>
    </row>
    <row r="20" spans="1:5" ht="15">
      <c r="A20" s="9" t="s">
        <v>77</v>
      </c>
      <c r="B20" s="16">
        <v>24989.7</v>
      </c>
      <c r="C20" s="105" t="s">
        <v>584</v>
      </c>
      <c r="D20" s="14"/>
      <c r="E20" s="1">
        <f>13.16*167.2</f>
        <v>2200.352</v>
      </c>
    </row>
    <row r="21" spans="1:5" ht="15">
      <c r="A21" s="9" t="s">
        <v>147</v>
      </c>
      <c r="B21" s="16">
        <v>6149.62</v>
      </c>
      <c r="C21" s="19" t="s">
        <v>585</v>
      </c>
      <c r="D21" s="20"/>
      <c r="E21" s="17">
        <f>(2.82+3.31)*6*167.2</f>
        <v>6149.616</v>
      </c>
    </row>
    <row r="22" spans="1:5" ht="15.75">
      <c r="A22" s="9" t="s">
        <v>28</v>
      </c>
      <c r="B22" s="118">
        <v>2882.79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</f>
        <v>14540.279999999999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7154.46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7385.82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39341.02</v>
      </c>
      <c r="C31" s="13" t="s">
        <v>19</v>
      </c>
      <c r="D31" s="14" t="s">
        <v>19</v>
      </c>
      <c r="E31" s="1">
        <f>B31/B18</f>
        <v>0.9275748789810238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23179.81795327209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2674.0035853777053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13487.198461350199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6636.297368674575</v>
      </c>
      <c r="C37" s="13" t="s">
        <v>19</v>
      </c>
      <c r="D37" s="14"/>
    </row>
    <row r="38" spans="1:4" ht="15">
      <c r="A38" s="9" t="s">
        <v>33</v>
      </c>
      <c r="B38" s="18">
        <f>B28*E31</f>
        <v>6850.901092675625</v>
      </c>
      <c r="C38" s="13"/>
      <c r="D38" s="14"/>
    </row>
    <row r="39" spans="1:4" ht="15">
      <c r="A39" s="9" t="s">
        <v>34</v>
      </c>
      <c r="B39" s="18">
        <f>B29*E31</f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13487.198461350199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6636.297368674575</v>
      </c>
      <c r="C43" s="13"/>
      <c r="D43" s="14"/>
    </row>
    <row r="44" spans="1:4" ht="15">
      <c r="A44" s="9" t="s">
        <v>33</v>
      </c>
      <c r="B44" s="18">
        <f>B38</f>
        <v>6850.901092675625</v>
      </c>
      <c r="C44" s="13"/>
      <c r="D44" s="14"/>
    </row>
    <row r="45" spans="1:4" ht="15">
      <c r="A45" s="9" t="s">
        <v>34</v>
      </c>
      <c r="B45" s="18">
        <f>B39</f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586</v>
      </c>
      <c r="D52" s="207">
        <f>(0.14+0.15)*6*167.2</f>
        <v>290.928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(1.2+2)*6*167.2</f>
        <v>3210.2400000000002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(0.2+0.21)*6*167.2</f>
        <v>411.31199999999995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308</v>
      </c>
      <c r="D57" s="207">
        <f>(0.25+0.21)*6*167.2</f>
        <v>461.4719999999999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(1.14+1.21)*6*167.2</f>
        <v>2357.5199999999995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4.88*12*167.2-0.02</f>
        <v>9791.212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587</v>
      </c>
      <c r="D60" s="207">
        <f>(1.12+1.19)*6*167.2</f>
        <v>2317.392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18840.076</v>
      </c>
      <c r="E61" s="34">
        <f>D61+B21</f>
        <v>24989.696</v>
      </c>
      <c r="F61" s="41"/>
      <c r="H61" s="50">
        <f>E61-B20</f>
        <v>-0.004000000000814907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18840.076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13673.130000000001</v>
      </c>
      <c r="E67" s="61"/>
    </row>
    <row r="68" spans="1:5" ht="15.75">
      <c r="A68" s="78" t="s">
        <v>74</v>
      </c>
      <c r="B68" s="114"/>
      <c r="C68" s="115"/>
      <c r="D68" s="113">
        <f>B16+B21-D62</f>
        <v>9251.34</v>
      </c>
      <c r="E68" s="61"/>
    </row>
    <row r="69" spans="1:5" ht="15.75">
      <c r="A69" s="114" t="s">
        <v>75</v>
      </c>
      <c r="B69" s="114"/>
      <c r="C69" s="115"/>
      <c r="D69" s="113">
        <f>B17+B22-D65</f>
        <v>4421.79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2.5" customHeight="1">
      <c r="A83" s="31" t="s">
        <v>77</v>
      </c>
      <c r="B83" s="296" t="s">
        <v>84</v>
      </c>
      <c r="C83" s="70" t="s">
        <v>584</v>
      </c>
      <c r="D83" s="67" t="s">
        <v>85</v>
      </c>
    </row>
    <row r="84" spans="1:4" ht="22.5" customHeight="1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34">
      <selection activeCell="B56" sqref="B56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131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132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-2122.3899999999994</v>
      </c>
      <c r="C15" s="13"/>
      <c r="D15" s="14"/>
    </row>
    <row r="16" spans="1:4" ht="15.75">
      <c r="A16" s="15" t="s">
        <v>16</v>
      </c>
      <c r="B16" s="12">
        <v>11271.28</v>
      </c>
      <c r="C16" s="13"/>
      <c r="D16" s="14"/>
    </row>
    <row r="17" spans="1:4" ht="15.75">
      <c r="A17" s="15" t="s">
        <v>17</v>
      </c>
      <c r="B17" s="12">
        <v>-13393.67</v>
      </c>
      <c r="C17" s="13"/>
      <c r="D17" s="14"/>
    </row>
    <row r="18" spans="1:5" ht="25.5">
      <c r="A18" s="11" t="s">
        <v>18</v>
      </c>
      <c r="B18" s="16">
        <f>B20+B22+B23+B25</f>
        <v>438218.16</v>
      </c>
      <c r="C18" s="13" t="s">
        <v>19</v>
      </c>
      <c r="D18" s="14" t="s">
        <v>19</v>
      </c>
      <c r="E18" s="17"/>
    </row>
    <row r="19" spans="1:4" ht="15">
      <c r="A19" s="9" t="s">
        <v>20</v>
      </c>
      <c r="B19" s="18"/>
      <c r="C19" s="13"/>
      <c r="D19" s="14"/>
    </row>
    <row r="20" spans="1:4" ht="15">
      <c r="A20" s="9" t="s">
        <v>77</v>
      </c>
      <c r="B20" s="16">
        <v>99939.3</v>
      </c>
      <c r="C20" s="105" t="s">
        <v>133</v>
      </c>
      <c r="D20" s="14"/>
    </row>
    <row r="21" spans="1:5" ht="15">
      <c r="A21" s="9" t="s">
        <v>128</v>
      </c>
      <c r="B21" s="16">
        <v>2319.03</v>
      </c>
      <c r="C21" s="19" t="s">
        <v>134</v>
      </c>
      <c r="D21" s="20"/>
      <c r="E21" s="17">
        <f>(0.13+0.5)*6*613.5</f>
        <v>2319.03</v>
      </c>
    </row>
    <row r="22" spans="1:5" ht="15.75">
      <c r="A22" s="9" t="s">
        <v>28</v>
      </c>
      <c r="B22" s="118">
        <v>15405.39</v>
      </c>
      <c r="C22" s="119">
        <v>2.7</v>
      </c>
      <c r="D22" s="20"/>
      <c r="E22" s="17"/>
    </row>
    <row r="23" spans="1:5" ht="15.75">
      <c r="A23" s="9" t="s">
        <v>38</v>
      </c>
      <c r="B23" s="120">
        <v>239.37</v>
      </c>
      <c r="C23" s="21">
        <v>0.14</v>
      </c>
      <c r="D23" s="20"/>
      <c r="E23" s="17"/>
    </row>
    <row r="24" spans="1:4" ht="15">
      <c r="A24" s="9" t="s">
        <v>37</v>
      </c>
      <c r="B24" s="16"/>
      <c r="C24" s="24"/>
      <c r="D24" s="20" t="s">
        <v>30</v>
      </c>
    </row>
    <row r="25" spans="1:5" ht="15">
      <c r="A25" s="9" t="s">
        <v>29</v>
      </c>
      <c r="B25" s="16">
        <f>B27+B28+B29</f>
        <v>322634.1</v>
      </c>
      <c r="C25" s="24" t="s">
        <v>19</v>
      </c>
      <c r="D25" s="20"/>
      <c r="E25" s="1" t="s">
        <v>6</v>
      </c>
    </row>
    <row r="26" spans="1:5" ht="15">
      <c r="A26" s="9" t="s">
        <v>20</v>
      </c>
      <c r="B26" s="16"/>
      <c r="C26" s="26"/>
      <c r="D26" s="27" t="s">
        <v>32</v>
      </c>
      <c r="E26" s="17"/>
    </row>
    <row r="27" spans="1:5" ht="15">
      <c r="A27" s="9" t="s">
        <v>31</v>
      </c>
      <c r="B27" s="16">
        <v>74181.48</v>
      </c>
      <c r="C27" s="26" t="s">
        <v>19</v>
      </c>
      <c r="D27" s="27" t="s">
        <v>32</v>
      </c>
      <c r="E27" s="17"/>
    </row>
    <row r="28" spans="1:5" ht="15">
      <c r="A28" s="9" t="s">
        <v>33</v>
      </c>
      <c r="B28" s="16">
        <v>85452.25</v>
      </c>
      <c r="C28" s="26" t="s">
        <v>19</v>
      </c>
      <c r="D28" s="28"/>
      <c r="E28" s="17"/>
    </row>
    <row r="29" spans="1:5" ht="15">
      <c r="A29" s="9" t="s">
        <v>34</v>
      </c>
      <c r="B29" s="16">
        <v>163000.37</v>
      </c>
      <c r="C29" s="24"/>
      <c r="D29" s="20" t="s">
        <v>6</v>
      </c>
      <c r="E29" s="17"/>
    </row>
    <row r="30" spans="1:5" ht="15">
      <c r="A30" s="9" t="s">
        <v>35</v>
      </c>
      <c r="B30" s="25"/>
      <c r="C30" s="24" t="s">
        <v>19</v>
      </c>
      <c r="D30" s="20"/>
      <c r="E30" s="17"/>
    </row>
    <row r="31" spans="1:5" ht="25.5">
      <c r="A31" s="11" t="s">
        <v>36</v>
      </c>
      <c r="B31" s="18">
        <v>369857.36</v>
      </c>
      <c r="C31" s="13" t="s">
        <v>19</v>
      </c>
      <c r="D31" s="14" t="s">
        <v>19</v>
      </c>
      <c r="E31" s="1">
        <f>B31/B18</f>
        <v>0.844002813575777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84349.05038679365</v>
      </c>
      <c r="C33" s="13"/>
      <c r="D33" s="14"/>
    </row>
    <row r="34" spans="1:4" ht="15">
      <c r="A34" s="9" t="s">
        <v>28</v>
      </c>
      <c r="B34" s="18">
        <f>B22*E31</f>
        <v>13002.192504232138</v>
      </c>
      <c r="C34" s="18" t="s">
        <v>6</v>
      </c>
      <c r="D34" s="14" t="s">
        <v>19</v>
      </c>
    </row>
    <row r="35" spans="1:4" ht="15">
      <c r="A35" s="9" t="s">
        <v>29</v>
      </c>
      <c r="B35" s="18">
        <f>SUM(B37:B39)</f>
        <v>272304.0881554886</v>
      </c>
      <c r="C35" s="13" t="s">
        <v>19</v>
      </c>
      <c r="D35" s="14" t="s">
        <v>19</v>
      </c>
    </row>
    <row r="36" spans="1:4" ht="15">
      <c r="A36" s="9" t="s">
        <v>20</v>
      </c>
      <c r="B36" s="18"/>
      <c r="C36" s="13"/>
      <c r="D36" s="14"/>
    </row>
    <row r="37" spans="1:4" ht="15">
      <c r="A37" s="9" t="s">
        <v>31</v>
      </c>
      <c r="B37" s="18">
        <f>B27*E31</f>
        <v>62609.37783521523</v>
      </c>
      <c r="C37" s="13" t="s">
        <v>19</v>
      </c>
      <c r="D37" s="14"/>
    </row>
    <row r="38" spans="1:4" ht="15">
      <c r="A38" s="9" t="s">
        <v>33</v>
      </c>
      <c r="B38" s="18">
        <f>B28*E31</f>
        <v>72121.93942638069</v>
      </c>
      <c r="C38" s="13" t="s">
        <v>19</v>
      </c>
      <c r="D38" s="14"/>
    </row>
    <row r="39" spans="1:4" ht="15">
      <c r="A39" s="9" t="s">
        <v>34</v>
      </c>
      <c r="B39" s="18">
        <f>B29*E31</f>
        <v>137572.77089389268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</f>
        <v>272304.0881554886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62609.37783521523</v>
      </c>
      <c r="C43" s="13" t="s">
        <v>19</v>
      </c>
      <c r="D43" s="14"/>
    </row>
    <row r="44" spans="1:4" ht="15">
      <c r="A44" s="9" t="s">
        <v>33</v>
      </c>
      <c r="B44" s="18">
        <f>B38</f>
        <v>72121.93942638069</v>
      </c>
      <c r="C44" s="13" t="s">
        <v>19</v>
      </c>
      <c r="D44" s="14"/>
    </row>
    <row r="45" spans="1:4" ht="15">
      <c r="A45" s="9" t="s">
        <v>34</v>
      </c>
      <c r="B45" s="18">
        <f>B39</f>
        <v>137572.77089389268</v>
      </c>
      <c r="C45" s="13"/>
      <c r="D45" s="14"/>
    </row>
    <row r="46" spans="1:4" ht="15">
      <c r="A46" s="9" t="s">
        <v>35</v>
      </c>
      <c r="B46" s="18"/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141"/>
      <c r="J48" s="141"/>
    </row>
    <row r="49" spans="1:4" ht="9" customHeight="1">
      <c r="A49" s="291"/>
      <c r="B49" s="291"/>
      <c r="C49" s="291"/>
      <c r="D49" s="291"/>
    </row>
    <row r="50" spans="1:3" ht="12.75">
      <c r="A50" s="4"/>
      <c r="C50" s="6" t="s">
        <v>10</v>
      </c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I51" s="142"/>
      <c r="J51" s="142"/>
      <c r="K51" s="3"/>
      <c r="L51" s="3"/>
      <c r="M51" s="3"/>
      <c r="N51" s="3"/>
    </row>
    <row r="52" spans="1:14" ht="15">
      <c r="A52" s="130" t="s">
        <v>112</v>
      </c>
      <c r="B52" s="131" t="s">
        <v>47</v>
      </c>
      <c r="C52" s="132" t="s">
        <v>135</v>
      </c>
      <c r="D52" s="133">
        <f>(0.14+0.28)*6*613.5</f>
        <v>1546.0200000000002</v>
      </c>
      <c r="E52" s="34"/>
      <c r="F52" s="35"/>
      <c r="G52" s="36"/>
      <c r="I52" s="45"/>
      <c r="J52" s="45"/>
      <c r="K52" s="37"/>
      <c r="L52" s="37"/>
      <c r="M52" s="37"/>
      <c r="N52" s="37"/>
    </row>
    <row r="53" spans="1:14" ht="15">
      <c r="A53" s="130" t="s">
        <v>49</v>
      </c>
      <c r="B53" s="131" t="s">
        <v>50</v>
      </c>
      <c r="C53" s="134" t="s">
        <v>51</v>
      </c>
      <c r="D53" s="133">
        <f>(2.1+2.23)*6*613.5</f>
        <v>15938.73</v>
      </c>
      <c r="E53" s="34"/>
      <c r="F53" s="35"/>
      <c r="G53" s="36"/>
      <c r="I53" s="45"/>
      <c r="J53" s="45"/>
      <c r="K53" s="37"/>
      <c r="L53" s="37"/>
      <c r="M53" s="37"/>
      <c r="N53" s="37"/>
    </row>
    <row r="54" spans="1:14" ht="15">
      <c r="A54" s="130" t="s">
        <v>52</v>
      </c>
      <c r="B54" s="131" t="s">
        <v>50</v>
      </c>
      <c r="C54" s="134" t="s">
        <v>53</v>
      </c>
      <c r="D54" s="133">
        <f>(1.2+2)*6*613.5</f>
        <v>11779.200000000003</v>
      </c>
      <c r="E54" s="34"/>
      <c r="F54" s="35"/>
      <c r="G54" s="36"/>
      <c r="I54" s="45"/>
      <c r="J54" s="45"/>
      <c r="K54" s="37"/>
      <c r="L54" s="37"/>
      <c r="M54" s="37"/>
      <c r="N54" s="37"/>
    </row>
    <row r="55" spans="1:14" ht="15">
      <c r="A55" s="130" t="s">
        <v>54</v>
      </c>
      <c r="B55" s="131" t="s">
        <v>47</v>
      </c>
      <c r="C55" s="134" t="s">
        <v>136</v>
      </c>
      <c r="D55" s="133">
        <f>(0.41+0.43)*6*613.5</f>
        <v>3092.04</v>
      </c>
      <c r="E55" s="34"/>
      <c r="F55" s="35"/>
      <c r="G55" s="36"/>
      <c r="I55" s="45"/>
      <c r="J55" s="45"/>
      <c r="K55" s="37"/>
      <c r="L55" s="37"/>
      <c r="M55" s="37"/>
      <c r="N55" s="37"/>
    </row>
    <row r="56" spans="1:14" ht="15">
      <c r="A56" s="130" t="s">
        <v>56</v>
      </c>
      <c r="B56" s="135" t="s">
        <v>47</v>
      </c>
      <c r="C56" s="143" t="s">
        <v>137</v>
      </c>
      <c r="D56" s="133">
        <f>(0.55+0.58)*6*613.5</f>
        <v>4159.53</v>
      </c>
      <c r="E56" s="34"/>
      <c r="F56" s="41"/>
      <c r="G56" s="42"/>
      <c r="H56" s="43"/>
      <c r="I56" s="45"/>
      <c r="J56" s="45"/>
      <c r="K56" s="37"/>
      <c r="L56" s="37"/>
      <c r="M56" s="37"/>
      <c r="N56" s="37"/>
    </row>
    <row r="57" spans="1:14" ht="15">
      <c r="A57" s="130" t="s">
        <v>115</v>
      </c>
      <c r="B57" s="135" t="s">
        <v>47</v>
      </c>
      <c r="C57" s="136" t="s">
        <v>60</v>
      </c>
      <c r="D57" s="133">
        <f>(0.69+0.73)*6*613.5</f>
        <v>5227.0199999999995</v>
      </c>
      <c r="E57" s="34"/>
      <c r="F57" s="41"/>
      <c r="G57" s="42"/>
      <c r="I57" s="45"/>
      <c r="J57" s="45"/>
      <c r="K57" s="37"/>
      <c r="L57" s="37"/>
      <c r="M57" s="37"/>
      <c r="N57" s="37"/>
    </row>
    <row r="58" spans="1:14" ht="15">
      <c r="A58" s="130" t="s">
        <v>63</v>
      </c>
      <c r="B58" s="135" t="s">
        <v>64</v>
      </c>
      <c r="C58" s="143" t="s">
        <v>65</v>
      </c>
      <c r="D58" s="133">
        <f>(1.14+1.21)*6*613.5</f>
        <v>8650.349999999999</v>
      </c>
      <c r="E58" s="34"/>
      <c r="F58" s="41"/>
      <c r="G58" s="42"/>
      <c r="I58" s="45"/>
      <c r="J58" s="45"/>
      <c r="K58" s="37"/>
      <c r="L58" s="37"/>
      <c r="M58" s="37"/>
      <c r="N58" s="37"/>
    </row>
    <row r="59" spans="1:14" ht="15">
      <c r="A59" s="130" t="s">
        <v>66</v>
      </c>
      <c r="B59" s="135" t="s">
        <v>67</v>
      </c>
      <c r="C59" s="136">
        <v>4.88</v>
      </c>
      <c r="D59" s="133">
        <f>4.88*12*613.5</f>
        <v>35926.560000000005</v>
      </c>
      <c r="E59" s="34"/>
      <c r="F59" s="41"/>
      <c r="H59" s="45"/>
      <c r="I59" s="45"/>
      <c r="J59" s="45"/>
      <c r="K59" s="37"/>
      <c r="L59" s="37"/>
      <c r="M59" s="37"/>
      <c r="N59" s="37"/>
    </row>
    <row r="60" spans="1:14" ht="15">
      <c r="A60" s="130" t="s">
        <v>102</v>
      </c>
      <c r="B60" s="135"/>
      <c r="C60" s="136" t="s">
        <v>138</v>
      </c>
      <c r="D60" s="133">
        <f>(1.57+1.66)*6*613.5</f>
        <v>11889.63</v>
      </c>
      <c r="E60" s="34"/>
      <c r="F60" s="41"/>
      <c r="H60" s="45"/>
      <c r="I60" s="45"/>
      <c r="J60" s="45"/>
      <c r="K60" s="37"/>
      <c r="L60" s="37"/>
      <c r="M60" s="37"/>
      <c r="N60" s="37"/>
    </row>
    <row r="61" spans="1:14" ht="15">
      <c r="A61" s="51" t="s">
        <v>68</v>
      </c>
      <c r="B61" s="137"/>
      <c r="C61" s="138"/>
      <c r="D61" s="144">
        <f>SUM(D52:D60)</f>
        <v>98209.08000000002</v>
      </c>
      <c r="E61" s="34">
        <f>D61+B21</f>
        <v>100528.11000000002</v>
      </c>
      <c r="F61" s="41"/>
      <c r="H61" s="50">
        <f>E61-B20</f>
        <v>588.8100000000122</v>
      </c>
      <c r="I61" s="45" t="s">
        <v>139</v>
      </c>
      <c r="J61" s="45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D63+D64+D65</f>
        <v>5674.34</v>
      </c>
      <c r="E62" s="34"/>
      <c r="F62" s="41"/>
      <c r="H62" s="50"/>
      <c r="I62" s="45"/>
      <c r="J62" s="45"/>
      <c r="K62" s="37"/>
      <c r="L62" s="37"/>
      <c r="M62" s="37"/>
      <c r="N62" s="37"/>
    </row>
    <row r="63" spans="1:14" ht="15.75">
      <c r="A63" s="51" t="s">
        <v>140</v>
      </c>
      <c r="B63" s="52"/>
      <c r="C63" s="53"/>
      <c r="D63" s="122">
        <v>1648.48</v>
      </c>
      <c r="E63" s="34"/>
      <c r="F63" s="41"/>
      <c r="H63" s="50"/>
      <c r="I63" s="45"/>
      <c r="J63" s="45"/>
      <c r="K63" s="37"/>
      <c r="L63" s="37"/>
      <c r="M63" s="37"/>
      <c r="N63" s="37"/>
    </row>
    <row r="64" spans="1:14" ht="15.75">
      <c r="A64" s="51" t="s">
        <v>141</v>
      </c>
      <c r="B64" s="52"/>
      <c r="C64" s="53"/>
      <c r="D64" s="122">
        <v>2957.81</v>
      </c>
      <c r="E64" s="34"/>
      <c r="F64" s="41"/>
      <c r="H64" s="50"/>
      <c r="I64" s="45"/>
      <c r="J64" s="45"/>
      <c r="K64" s="37"/>
      <c r="L64" s="37"/>
      <c r="M64" s="37"/>
      <c r="N64" s="37"/>
    </row>
    <row r="65" spans="1:14" ht="15.75">
      <c r="A65" s="51" t="s">
        <v>142</v>
      </c>
      <c r="B65" s="52"/>
      <c r="C65" s="53"/>
      <c r="D65" s="122">
        <v>1068.05</v>
      </c>
      <c r="E65" s="34"/>
      <c r="F65" s="41"/>
      <c r="H65" s="50"/>
      <c r="I65" s="45"/>
      <c r="J65" s="45"/>
      <c r="K65" s="37"/>
      <c r="L65" s="37"/>
      <c r="M65" s="37"/>
      <c r="N65" s="37"/>
    </row>
    <row r="66" spans="1:14" ht="15.75">
      <c r="A66" s="56" t="s">
        <v>71</v>
      </c>
      <c r="B66" s="57"/>
      <c r="C66" s="58"/>
      <c r="D66" s="122">
        <f>D61+D62</f>
        <v>103883.42000000001</v>
      </c>
      <c r="E66" s="34"/>
      <c r="F66" s="45"/>
      <c r="H66" s="50"/>
      <c r="I66" s="45"/>
      <c r="J66" s="45"/>
      <c r="K66" s="37"/>
      <c r="L66" s="37"/>
      <c r="M66" s="37"/>
      <c r="N66" s="37"/>
    </row>
    <row r="67" spans="1:8" ht="13.5" customHeight="1">
      <c r="A67" s="302" t="s">
        <v>72</v>
      </c>
      <c r="B67" s="302"/>
      <c r="C67" s="302"/>
      <c r="D67" s="124">
        <f>D68</f>
        <v>5525.94</v>
      </c>
      <c r="E67" s="61"/>
      <c r="H67" s="34">
        <f>347.32*12</f>
        <v>4167.84</v>
      </c>
    </row>
    <row r="68" spans="1:8" ht="13.5" customHeight="1">
      <c r="A68" s="145" t="s">
        <v>143</v>
      </c>
      <c r="B68" s="145"/>
      <c r="C68" s="146"/>
      <c r="D68" s="124">
        <v>5525.94</v>
      </c>
      <c r="E68" s="61"/>
      <c r="H68" s="34"/>
    </row>
    <row r="69" spans="1:5" ht="25.5" customHeight="1">
      <c r="A69" s="293" t="s">
        <v>73</v>
      </c>
      <c r="B69" s="293"/>
      <c r="C69" s="293"/>
      <c r="D69" s="124">
        <f>D70+D71</f>
        <v>4401.750000000001</v>
      </c>
      <c r="E69" s="61"/>
    </row>
    <row r="70" spans="1:5" ht="15.75">
      <c r="A70" s="78" t="s">
        <v>74</v>
      </c>
      <c r="B70" s="114"/>
      <c r="C70" s="115"/>
      <c r="D70" s="124">
        <f>B16+B21-D62</f>
        <v>7915.970000000001</v>
      </c>
      <c r="E70" s="61"/>
    </row>
    <row r="71" spans="1:5" ht="15.75">
      <c r="A71" s="114" t="s">
        <v>75</v>
      </c>
      <c r="B71" s="114"/>
      <c r="C71" s="115"/>
      <c r="D71" s="124">
        <f>B17+B22-D67</f>
        <v>-3514.2200000000003</v>
      </c>
      <c r="E71" s="61"/>
    </row>
    <row r="72" spans="1:5" ht="13.5" customHeight="1">
      <c r="A72" s="294" t="s">
        <v>76</v>
      </c>
      <c r="B72" s="294"/>
      <c r="C72" s="294"/>
      <c r="D72" s="125">
        <v>193068.49</v>
      </c>
      <c r="E72" s="61"/>
    </row>
    <row r="73" spans="1:4" ht="15">
      <c r="A73" s="290" t="s">
        <v>20</v>
      </c>
      <c r="B73" s="290"/>
      <c r="C73" s="290"/>
      <c r="D73" s="126"/>
    </row>
    <row r="74" spans="1:4" ht="13.5" customHeight="1">
      <c r="A74" s="290" t="s">
        <v>77</v>
      </c>
      <c r="B74" s="290"/>
      <c r="C74" s="290"/>
      <c r="D74" s="126">
        <f>D72*B20/B18</f>
        <v>44030.87663609606</v>
      </c>
    </row>
    <row r="75" spans="1:4" ht="13.5" customHeight="1">
      <c r="A75" s="290" t="s">
        <v>28</v>
      </c>
      <c r="B75" s="290"/>
      <c r="C75" s="290"/>
      <c r="D75" s="126">
        <f>D72*B22/B18</f>
        <v>6787.248125821851</v>
      </c>
    </row>
    <row r="76" spans="1:4" ht="13.5" customHeight="1">
      <c r="A76" s="290" t="s">
        <v>29</v>
      </c>
      <c r="B76" s="290"/>
      <c r="C76" s="290"/>
      <c r="D76" s="126">
        <f>SUM(D78:D80)</f>
        <v>142144.90451401877</v>
      </c>
    </row>
    <row r="77" spans="1:4" ht="15">
      <c r="A77" s="290" t="s">
        <v>20</v>
      </c>
      <c r="B77" s="290"/>
      <c r="C77" s="290"/>
      <c r="D77" s="126"/>
    </row>
    <row r="78" spans="1:4" ht="13.5" customHeight="1">
      <c r="A78" s="290" t="s">
        <v>31</v>
      </c>
      <c r="B78" s="290"/>
      <c r="C78" s="290"/>
      <c r="D78" s="126">
        <f>D72*B27/B18</f>
        <v>32682.59428035844</v>
      </c>
    </row>
    <row r="79" spans="1:4" ht="15">
      <c r="A79" s="290" t="s">
        <v>33</v>
      </c>
      <c r="B79" s="290"/>
      <c r="C79" s="290"/>
      <c r="D79" s="126">
        <f>D72*B28/B18</f>
        <v>37648.22725421169</v>
      </c>
    </row>
    <row r="80" spans="1:4" ht="15" customHeight="1">
      <c r="A80" s="290" t="s">
        <v>34</v>
      </c>
      <c r="B80" s="290"/>
      <c r="C80" s="290"/>
      <c r="D80" s="126">
        <f>D72*B29/B18</f>
        <v>71814.08297944863</v>
      </c>
    </row>
    <row r="81" spans="1:4" ht="15">
      <c r="A81" s="290" t="s">
        <v>78</v>
      </c>
      <c r="B81" s="290"/>
      <c r="C81" s="290"/>
      <c r="D81" s="126"/>
    </row>
    <row r="82" spans="1:4" ht="15" customHeight="1">
      <c r="A82" s="290" t="s">
        <v>35</v>
      </c>
      <c r="B82" s="290"/>
      <c r="C82" s="290"/>
      <c r="D82" s="126">
        <f>D72*E29</f>
        <v>0</v>
      </c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82</v>
      </c>
      <c r="D84" s="67" t="s">
        <v>83</v>
      </c>
    </row>
    <row r="85" spans="1:4" ht="27" customHeight="1">
      <c r="A85" s="72" t="s">
        <v>77</v>
      </c>
      <c r="B85" s="296" t="s">
        <v>84</v>
      </c>
      <c r="C85" s="70" t="s">
        <v>133</v>
      </c>
      <c r="D85" s="67" t="s">
        <v>85</v>
      </c>
    </row>
    <row r="86" spans="1:4" ht="12.75">
      <c r="A86" s="31" t="s">
        <v>28</v>
      </c>
      <c r="B86" s="296"/>
      <c r="C86" s="70">
        <v>2.7</v>
      </c>
      <c r="D86" s="71" t="s">
        <v>85</v>
      </c>
    </row>
    <row r="87" spans="1:4" ht="19.5" customHeight="1">
      <c r="A87" s="31" t="s">
        <v>31</v>
      </c>
      <c r="B87" s="297" t="s">
        <v>86</v>
      </c>
      <c r="C87" s="70" t="s">
        <v>87</v>
      </c>
      <c r="D87" s="249" t="s">
        <v>716</v>
      </c>
    </row>
    <row r="88" spans="1:4" ht="21" customHeight="1">
      <c r="A88" s="31" t="s">
        <v>33</v>
      </c>
      <c r="B88" s="297"/>
      <c r="C88" s="70" t="s">
        <v>89</v>
      </c>
      <c r="D88" s="249" t="s">
        <v>716</v>
      </c>
    </row>
    <row r="89" spans="1:4" ht="39.75" customHeight="1">
      <c r="A89" s="72" t="s">
        <v>34</v>
      </c>
      <c r="B89" s="73" t="s">
        <v>90</v>
      </c>
      <c r="C89" s="147" t="s">
        <v>91</v>
      </c>
      <c r="D89" s="71" t="s">
        <v>92</v>
      </c>
    </row>
    <row r="91" ht="12.75">
      <c r="A91" t="s">
        <v>93</v>
      </c>
    </row>
    <row r="93" ht="12.75">
      <c r="A93" t="s">
        <v>95</v>
      </c>
    </row>
  </sheetData>
  <sheetProtection selectLockedCells="1" selectUnlockedCells="1"/>
  <mergeCells count="23">
    <mergeCell ref="A81:C81"/>
    <mergeCell ref="A82:C82"/>
    <mergeCell ref="A83:D83"/>
    <mergeCell ref="B85:B86"/>
    <mergeCell ref="B87:B88"/>
    <mergeCell ref="A75:C75"/>
    <mergeCell ref="A76:C76"/>
    <mergeCell ref="A77:C77"/>
    <mergeCell ref="A78:C78"/>
    <mergeCell ref="A79:C79"/>
    <mergeCell ref="A80:C80"/>
    <mergeCell ref="A48:D49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4" fitToWidth="1" horizontalDpi="300" verticalDpi="3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37">
      <selection activeCell="D81" sqref="D8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588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589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-9920.83</v>
      </c>
      <c r="C15" s="13"/>
      <c r="D15" s="14"/>
    </row>
    <row r="16" spans="1:4" ht="15.75">
      <c r="A16" s="15" t="s">
        <v>16</v>
      </c>
      <c r="B16" s="12">
        <v>-9920.83</v>
      </c>
      <c r="C16" s="13"/>
      <c r="D16" s="14"/>
    </row>
    <row r="17" spans="1:8" ht="15.75">
      <c r="A17" s="15" t="s">
        <v>17</v>
      </c>
      <c r="B17" s="174">
        <v>0</v>
      </c>
      <c r="C17" s="175" t="s">
        <v>19</v>
      </c>
      <c r="D17" s="14"/>
      <c r="E17" s="1">
        <f>E18*12</f>
        <v>23502.335999999996</v>
      </c>
      <c r="H17" s="1">
        <f>H18*12</f>
        <v>26316.864</v>
      </c>
    </row>
    <row r="18" spans="1:8" ht="25.5">
      <c r="A18" s="11" t="s">
        <v>18</v>
      </c>
      <c r="B18" s="16">
        <f>B20+B22+B25</f>
        <v>46774.44</v>
      </c>
      <c r="C18" s="105" t="s">
        <v>19</v>
      </c>
      <c r="D18" s="14" t="s">
        <v>19</v>
      </c>
      <c r="E18" s="17">
        <f>11.44*171.2</f>
        <v>1958.5279999999998</v>
      </c>
      <c r="H18" s="1">
        <f>12.81*171.2</f>
        <v>2193.072</v>
      </c>
    </row>
    <row r="19" spans="1:8" ht="15">
      <c r="A19" s="9" t="s">
        <v>20</v>
      </c>
      <c r="B19" s="16"/>
      <c r="C19" s="105"/>
      <c r="D19" s="14"/>
      <c r="H19" s="1">
        <f>(E18+H18)*6</f>
        <v>24909.600000000002</v>
      </c>
    </row>
    <row r="20" spans="1:4" ht="15">
      <c r="A20" s="9" t="s">
        <v>77</v>
      </c>
      <c r="B20" s="16">
        <v>24909.6</v>
      </c>
      <c r="C20" s="105" t="s">
        <v>413</v>
      </c>
      <c r="D20" s="14"/>
    </row>
    <row r="21" spans="1:5" ht="15">
      <c r="A21" s="9" t="s">
        <v>147</v>
      </c>
      <c r="B21" s="16">
        <v>5680.42</v>
      </c>
      <c r="C21" s="19" t="s">
        <v>590</v>
      </c>
      <c r="D21" s="20"/>
      <c r="E21" s="17">
        <f>(2.54+2.99)*6*171.2</f>
        <v>5680.415999999999</v>
      </c>
    </row>
    <row r="22" spans="1:5" ht="15.75">
      <c r="A22" s="9" t="s">
        <v>28</v>
      </c>
      <c r="B22" s="118">
        <v>0</v>
      </c>
      <c r="C22" s="119">
        <v>0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</f>
        <v>21864.84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10818.47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11046.37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46659.78</v>
      </c>
      <c r="C31" s="13" t="s">
        <v>19</v>
      </c>
      <c r="D31" s="14" t="s">
        <v>19</v>
      </c>
      <c r="E31" s="1">
        <f>B31/B18</f>
        <v>0.9975486611918817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24848.538130825295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B37+B38+B39</f>
        <v>21811.2418691747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10791.950264644536</v>
      </c>
      <c r="C37" s="13" t="s">
        <v>19</v>
      </c>
      <c r="D37" s="14"/>
    </row>
    <row r="38" spans="1:4" ht="15">
      <c r="A38" s="9" t="s">
        <v>33</v>
      </c>
      <c r="B38" s="18">
        <f>B28*E31</f>
        <v>11019.291604530166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</f>
        <v>21811.2418691747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10791.950264644536</v>
      </c>
      <c r="C43" s="13"/>
      <c r="D43" s="14"/>
    </row>
    <row r="44" spans="1:4" ht="15">
      <c r="A44" s="9" t="s">
        <v>33</v>
      </c>
      <c r="B44" s="18">
        <f>B38</f>
        <v>11019.291604530166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(0.14+0.15)*6*171.2</f>
        <v>297.88800000000003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(1.2+2)*6*171.2</f>
        <v>3287.0400000000004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(0.21+0.21)*6*171.2</f>
        <v>431.424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308</v>
      </c>
      <c r="D57" s="207">
        <f>(0.25+0.21)*6*171.2</f>
        <v>472.51199999999994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(1.14+1.21)*6*171.2</f>
        <v>2413.9199999999996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4.88*12*171.2-10.28</f>
        <v>10015.192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461</v>
      </c>
      <c r="D60" s="207">
        <f>(1.09+1.16)*6*171.2</f>
        <v>2311.2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19229.176</v>
      </c>
      <c r="E61" s="34">
        <f>D61+B21</f>
        <v>24909.595999999998</v>
      </c>
      <c r="F61" s="41"/>
      <c r="H61" s="50">
        <f>E61-B20</f>
        <v>-0.004000000000814907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19229.176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-4240.41</v>
      </c>
      <c r="E67" s="61"/>
    </row>
    <row r="68" spans="1:5" ht="15.75">
      <c r="A68" s="78" t="s">
        <v>74</v>
      </c>
      <c r="B68" s="114"/>
      <c r="C68" s="115"/>
      <c r="D68" s="113">
        <f>B16+B21-D62</f>
        <v>-4240.41</v>
      </c>
      <c r="E68" s="61"/>
    </row>
    <row r="69" spans="1:5" ht="15.75">
      <c r="A69" s="114" t="s">
        <v>75</v>
      </c>
      <c r="B69" s="114"/>
      <c r="C69" s="115"/>
      <c r="D69" s="113">
        <f>B17+B23-D65</f>
        <v>0</v>
      </c>
      <c r="E69" s="61"/>
    </row>
    <row r="70" spans="1:5" ht="15.75">
      <c r="A70" s="114" t="s">
        <v>292</v>
      </c>
      <c r="B70" s="114"/>
      <c r="C70" s="115"/>
      <c r="D70" s="205">
        <v>81188.72</v>
      </c>
      <c r="E70" s="61"/>
    </row>
    <row r="71" spans="1:5" ht="13.5" customHeight="1">
      <c r="A71" s="294" t="s">
        <v>76</v>
      </c>
      <c r="B71" s="294"/>
      <c r="C71" s="294"/>
      <c r="D71" s="65">
        <v>0</v>
      </c>
      <c r="E71" s="61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D71*E21</f>
        <v>0</v>
      </c>
    </row>
    <row r="74" spans="1:4" ht="13.5" customHeight="1">
      <c r="A74" s="290" t="s">
        <v>28</v>
      </c>
      <c r="B74" s="290"/>
      <c r="C74" s="290"/>
      <c r="D74" s="66">
        <f>D71-D73-D75</f>
        <v>0</v>
      </c>
    </row>
    <row r="75" spans="1:4" ht="13.5" customHeight="1">
      <c r="A75" s="290" t="s">
        <v>29</v>
      </c>
      <c r="B75" s="290"/>
      <c r="C75" s="290"/>
      <c r="D75" s="66">
        <f>SUM(D77:D79)</f>
        <v>0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D71*E26</f>
        <v>0</v>
      </c>
    </row>
    <row r="78" spans="1:4" ht="15">
      <c r="A78" s="290" t="s">
        <v>33</v>
      </c>
      <c r="B78" s="290"/>
      <c r="C78" s="290"/>
      <c r="D78" s="66">
        <f>D71*E27</f>
        <v>0</v>
      </c>
    </row>
    <row r="79" spans="1:4" ht="15" customHeight="1">
      <c r="A79" s="290" t="s">
        <v>34</v>
      </c>
      <c r="B79" s="290"/>
      <c r="C79" s="290"/>
      <c r="D79" s="66">
        <f>D71*E28</f>
        <v>0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/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37.5" customHeight="1">
      <c r="A84" s="31" t="s">
        <v>77</v>
      </c>
      <c r="B84" s="69" t="s">
        <v>84</v>
      </c>
      <c r="C84" s="70" t="s">
        <v>413</v>
      </c>
      <c r="D84" s="67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80:C80"/>
    <mergeCell ref="A81:C81"/>
    <mergeCell ref="A82:D82"/>
    <mergeCell ref="B85:B86"/>
    <mergeCell ref="A74:C74"/>
    <mergeCell ref="A75:C75"/>
    <mergeCell ref="A76:C76"/>
    <mergeCell ref="A77:C77"/>
    <mergeCell ref="A78:C78"/>
    <mergeCell ref="A79:C79"/>
    <mergeCell ref="A48:D49"/>
    <mergeCell ref="A65:C65"/>
    <mergeCell ref="A67:C67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12">
      <selection activeCell="B42" sqref="B42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591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592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18699.670000000002</v>
      </c>
      <c r="C15" s="13"/>
      <c r="D15" s="14"/>
    </row>
    <row r="16" spans="1:4" ht="15.75">
      <c r="A16" s="15" t="s">
        <v>16</v>
      </c>
      <c r="B16" s="12">
        <v>21611.88</v>
      </c>
      <c r="C16" s="13"/>
      <c r="D16" s="14"/>
    </row>
    <row r="17" spans="1:4" ht="15.75">
      <c r="A17" s="15" t="s">
        <v>17</v>
      </c>
      <c r="B17" s="174">
        <v>-2912.21</v>
      </c>
      <c r="C17" s="175" t="s">
        <v>19</v>
      </c>
      <c r="D17" s="14"/>
    </row>
    <row r="18" spans="1:5" ht="25.5">
      <c r="A18" s="11" t="s">
        <v>18</v>
      </c>
      <c r="B18" s="16">
        <f>B20+B22+B25</f>
        <v>45733.74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24937.68</v>
      </c>
      <c r="C20" s="105" t="s">
        <v>593</v>
      </c>
      <c r="D20" s="14"/>
    </row>
    <row r="21" spans="1:5" ht="15">
      <c r="A21" s="9" t="s">
        <v>147</v>
      </c>
      <c r="B21" s="16">
        <v>5851.48</v>
      </c>
      <c r="C21" s="19" t="s">
        <v>594</v>
      </c>
      <c r="D21" s="20"/>
      <c r="E21" s="17">
        <f>(2.66+3.07)*6*170.2</f>
        <v>5851.476</v>
      </c>
    </row>
    <row r="22" spans="1:5" ht="15.75">
      <c r="A22" s="9" t="s">
        <v>28</v>
      </c>
      <c r="B22" s="118">
        <v>5514.48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</f>
        <v>15281.58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9798.6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5482.98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38353.02</v>
      </c>
      <c r="C31" s="13" t="s">
        <v>19</v>
      </c>
      <c r="D31" s="14" t="s">
        <v>19</v>
      </c>
      <c r="E31" s="1">
        <f>B31/B18</f>
        <v>0.838615429221402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20913.123216985972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4624.528012132836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B37+B38</f>
        <v>12815.368770881192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8217.25714476883</v>
      </c>
      <c r="C37" s="13" t="s">
        <v>19</v>
      </c>
      <c r="D37" s="14"/>
    </row>
    <row r="38" spans="1:4" ht="15">
      <c r="A38" s="9" t="s">
        <v>33</v>
      </c>
      <c r="B38" s="18">
        <f>B28*E31</f>
        <v>4598.1116261123625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</f>
        <v>12815.368770881192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8217.25714476883</v>
      </c>
      <c r="C43" s="13"/>
      <c r="D43" s="14"/>
    </row>
    <row r="44" spans="1:4" ht="15">
      <c r="A44" s="9" t="s">
        <v>33</v>
      </c>
      <c r="B44" s="18">
        <f>B38</f>
        <v>4598.1116261123625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(0.14+0.15)*6*170.2</f>
        <v>296.148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(1.2+2)*6*170.2</f>
        <v>3267.84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578</v>
      </c>
      <c r="D55" s="207">
        <f>(0.2+0.21)*6*170.2</f>
        <v>418.69199999999995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(0.2+0.21)*6*170.2</f>
        <v>418.69199999999995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(1.14+1.21)*6*170.2</f>
        <v>2399.8199999999993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4.88*12*170.2-0.03</f>
        <v>9966.882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595</v>
      </c>
      <c r="D60" s="207">
        <f>(1.1+1.17)*6*170.2</f>
        <v>2318.124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206"/>
      <c r="D61" s="49">
        <f>SUM(D52:D60)</f>
        <v>19086.198</v>
      </c>
      <c r="E61" s="34">
        <f>D61+B21</f>
        <v>24937.678</v>
      </c>
      <c r="F61" s="41"/>
      <c r="H61" s="50">
        <f>E61-B20</f>
        <v>-0.0020000000004074536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19086.198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30065.63</v>
      </c>
      <c r="E67" s="61"/>
    </row>
    <row r="68" spans="1:5" ht="15.75">
      <c r="A68" s="78" t="s">
        <v>74</v>
      </c>
      <c r="B68" s="114"/>
      <c r="C68" s="115"/>
      <c r="D68" s="113">
        <f>B16+B21-D62</f>
        <v>27463.36</v>
      </c>
      <c r="E68" s="61"/>
    </row>
    <row r="69" spans="1:5" ht="15.75">
      <c r="A69" s="114" t="s">
        <v>75</v>
      </c>
      <c r="B69" s="114"/>
      <c r="C69" s="115"/>
      <c r="D69" s="113">
        <f>B17+B22-D65</f>
        <v>2602.2699999999995</v>
      </c>
      <c r="E69" s="61"/>
    </row>
    <row r="70" spans="1:5" ht="13.5" customHeight="1">
      <c r="A70" s="294" t="s">
        <v>76</v>
      </c>
      <c r="B70" s="294"/>
      <c r="C70" s="294"/>
      <c r="D70" s="65">
        <v>9062.82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4941.771765388092</v>
      </c>
    </row>
    <row r="73" spans="1:4" ht="13.5" customHeight="1">
      <c r="A73" s="290" t="s">
        <v>28</v>
      </c>
      <c r="B73" s="290"/>
      <c r="C73" s="290"/>
      <c r="D73" s="66">
        <f>D70*B22/B18</f>
        <v>1092.7761349410741</v>
      </c>
    </row>
    <row r="74" spans="1:4" ht="13.5" customHeight="1">
      <c r="A74" s="290" t="s">
        <v>29</v>
      </c>
      <c r="B74" s="290"/>
      <c r="C74" s="290"/>
      <c r="D74" s="66">
        <f>SUM(D76:D78)</f>
        <v>3028.272099670834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1941.738157692767</v>
      </c>
    </row>
    <row r="77" spans="1:4" ht="15">
      <c r="A77" s="290" t="s">
        <v>33</v>
      </c>
      <c r="B77" s="290"/>
      <c r="C77" s="290"/>
      <c r="D77" s="66">
        <f>D70*B28/B18</f>
        <v>1086.5339419780669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18.75" customHeight="1">
      <c r="A83" s="31" t="s">
        <v>77</v>
      </c>
      <c r="B83" s="296" t="s">
        <v>84</v>
      </c>
      <c r="C83" s="70" t="s">
        <v>593</v>
      </c>
      <c r="D83" s="67" t="s">
        <v>85</v>
      </c>
    </row>
    <row r="84" spans="1:4" ht="20.25" customHeight="1">
      <c r="A84" s="31" t="s">
        <v>28</v>
      </c>
      <c r="B84" s="296"/>
      <c r="C84" s="70">
        <v>2.7</v>
      </c>
      <c r="D84" s="71" t="s">
        <v>85</v>
      </c>
    </row>
    <row r="85" spans="1:4" ht="19.5" customHeight="1">
      <c r="A85" s="31" t="s">
        <v>31</v>
      </c>
      <c r="B85" s="297" t="s">
        <v>86</v>
      </c>
      <c r="C85" s="70" t="s">
        <v>87</v>
      </c>
      <c r="D85" s="71" t="s">
        <v>88</v>
      </c>
    </row>
    <row r="86" spans="1:4" ht="21" customHeight="1">
      <c r="A86" s="31" t="s">
        <v>33</v>
      </c>
      <c r="B86" s="297"/>
      <c r="C86" s="70" t="s">
        <v>89</v>
      </c>
      <c r="D86" s="71" t="s">
        <v>88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9:C79"/>
    <mergeCell ref="A80:C80"/>
    <mergeCell ref="A81:D81"/>
    <mergeCell ref="B83:B84"/>
    <mergeCell ref="B85:B86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4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596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597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10380.13</v>
      </c>
      <c r="C15" s="13"/>
      <c r="D15" s="14"/>
    </row>
    <row r="16" spans="1:4" ht="15.75">
      <c r="A16" s="15" t="s">
        <v>16</v>
      </c>
      <c r="B16" s="12">
        <v>8510.65</v>
      </c>
      <c r="C16" s="13"/>
      <c r="D16" s="14"/>
    </row>
    <row r="17" spans="1:4" ht="15.75">
      <c r="A17" s="15" t="s">
        <v>17</v>
      </c>
      <c r="B17" s="174">
        <v>1869.48</v>
      </c>
      <c r="C17" s="175" t="s">
        <v>19</v>
      </c>
      <c r="D17" s="14"/>
    </row>
    <row r="18" spans="1:5" ht="25.5">
      <c r="A18" s="11" t="s">
        <v>18</v>
      </c>
      <c r="B18" s="16">
        <f>B20+B22+B25</f>
        <v>13307.64</v>
      </c>
      <c r="C18" s="105" t="s">
        <v>19</v>
      </c>
      <c r="D18" s="14" t="s">
        <v>19</v>
      </c>
      <c r="E18" s="17">
        <v>7338.8</v>
      </c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7339.44</v>
      </c>
      <c r="C20" s="105" t="s">
        <v>598</v>
      </c>
      <c r="D20" s="14"/>
    </row>
    <row r="21" spans="1:5" ht="15">
      <c r="A21" s="9" t="s">
        <v>147</v>
      </c>
      <c r="B21" s="16">
        <v>1447.12</v>
      </c>
      <c r="C21" s="19" t="s">
        <v>599</v>
      </c>
      <c r="D21" s="20"/>
      <c r="E21" s="17">
        <f>(1.95+2.23)*6*57.7</f>
        <v>1447.116</v>
      </c>
    </row>
    <row r="22" spans="1:5" ht="15.75">
      <c r="A22" s="9" t="s">
        <v>28</v>
      </c>
      <c r="B22" s="118">
        <v>1869.48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4098.72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4098.72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4" ht="25.5">
      <c r="A31" s="11" t="s">
        <v>36</v>
      </c>
      <c r="B31" s="18">
        <v>0</v>
      </c>
      <c r="C31" s="13" t="s">
        <v>19</v>
      </c>
      <c r="D31" s="14" t="s">
        <v>19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v>0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v>0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v>0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v>0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v>0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(0.14+0.15)*6*57.7</f>
        <v>100.39800000000001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(1.2+2)*6*57.7</f>
        <v>1107.8400000000001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(0.2+0.21)*6*57.7</f>
        <v>141.942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(0.2+0.21)*6*57.7</f>
        <v>141.942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>
        <v>0</v>
      </c>
      <c r="D58" s="207">
        <v>0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4.88*12*57.7</f>
        <v>3378.9120000000003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600</v>
      </c>
      <c r="D60" s="207">
        <f>(1.43+1.52)*6*57.7</f>
        <v>1021.2900000000002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5892.3240000000005</v>
      </c>
      <c r="E61" s="34">
        <f>D61+B21</f>
        <v>7339.444</v>
      </c>
      <c r="F61" s="41"/>
      <c r="H61" s="50">
        <f>E61-B20</f>
        <v>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5892.3240000000005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13696.73</v>
      </c>
      <c r="E67" s="61"/>
    </row>
    <row r="68" spans="1:5" ht="15.75">
      <c r="A68" s="78" t="s">
        <v>74</v>
      </c>
      <c r="B68" s="114"/>
      <c r="C68" s="115"/>
      <c r="D68" s="113">
        <f>B16+B21-D62</f>
        <v>9957.77</v>
      </c>
      <c r="E68" s="61"/>
    </row>
    <row r="69" spans="1:5" ht="15.75">
      <c r="A69" s="114" t="s">
        <v>75</v>
      </c>
      <c r="B69" s="114"/>
      <c r="C69" s="115"/>
      <c r="D69" s="113">
        <f>B17+B22-D65</f>
        <v>3738.96</v>
      </c>
      <c r="E69" s="61"/>
    </row>
    <row r="70" spans="1:5" ht="13.5" customHeight="1">
      <c r="A70" s="294" t="s">
        <v>76</v>
      </c>
      <c r="B70" s="294"/>
      <c r="C70" s="294"/>
      <c r="D70" s="65">
        <v>49201.8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27135.815140175117</v>
      </c>
    </row>
    <row r="73" spans="1:4" ht="13.5" customHeight="1">
      <c r="A73" s="290" t="s">
        <v>28</v>
      </c>
      <c r="B73" s="290"/>
      <c r="C73" s="290"/>
      <c r="D73" s="66">
        <f>D70*B22/B18</f>
        <v>6911.952913063475</v>
      </c>
    </row>
    <row r="74" spans="1:4" ht="13.5" customHeight="1">
      <c r="A74" s="290" t="s">
        <v>29</v>
      </c>
      <c r="B74" s="290"/>
      <c r="C74" s="290"/>
      <c r="D74" s="66">
        <f>SUM(D76:D78)</f>
        <v>15154.03194676141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15154.03194676141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598</v>
      </c>
      <c r="D83" s="67" t="s">
        <v>85</v>
      </c>
    </row>
    <row r="84" spans="1:4" ht="20.25" customHeight="1">
      <c r="A84" s="31" t="s">
        <v>28</v>
      </c>
      <c r="B84" s="296"/>
      <c r="C84" s="70">
        <v>2.7</v>
      </c>
      <c r="D84" s="71" t="s">
        <v>85</v>
      </c>
    </row>
    <row r="85" spans="1:4" ht="46.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43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601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602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-3732.06</v>
      </c>
      <c r="C15" s="13"/>
      <c r="D15" s="14"/>
    </row>
    <row r="16" spans="1:4" ht="15.75">
      <c r="A16" s="15" t="s">
        <v>16</v>
      </c>
      <c r="B16" s="12">
        <v>-3732.06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B20+B22+B25</f>
        <v>16167.420000000002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6647.88</v>
      </c>
      <c r="C20" s="105" t="s">
        <v>518</v>
      </c>
      <c r="D20" s="14"/>
    </row>
    <row r="21" spans="1:5" ht="15">
      <c r="A21" s="9" t="s">
        <v>147</v>
      </c>
      <c r="B21" s="16">
        <v>1113.8700000000001</v>
      </c>
      <c r="C21" s="19" t="s">
        <v>603</v>
      </c>
      <c r="D21" s="20"/>
      <c r="E21" s="17">
        <f>(1.61+1.86)*6*53.5</f>
        <v>1113.8700000000001</v>
      </c>
    </row>
    <row r="22" spans="1:5" ht="15.75">
      <c r="A22" s="9" t="s">
        <v>28</v>
      </c>
      <c r="B22" s="118">
        <v>0</v>
      </c>
      <c r="C22" s="119">
        <v>0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9519.54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9519.54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16167.42</v>
      </c>
      <c r="C31" s="13" t="s">
        <v>19</v>
      </c>
      <c r="D31" s="14" t="s">
        <v>19</v>
      </c>
      <c r="E31" s="1">
        <f>B31/B18</f>
        <v>0.9999999999999999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6647.879999999999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9519.539999999999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9519.539999999999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</f>
        <v>9519.539999999999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9519.539999999999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(0.14+0.15)*6*53.5</f>
        <v>93.09000000000002</v>
      </c>
      <c r="E52" s="34"/>
      <c r="F52" s="35"/>
      <c r="G52" s="36"/>
      <c r="H52" s="1">
        <v>53.5</v>
      </c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(1.2+2)*6*53.5</f>
        <v>1027.2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(0.2+0.21)*6*53.5</f>
        <v>131.60999999999999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(0.2+0.21)*6*53.5</f>
        <v>131.60999999999999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>
        <v>0</v>
      </c>
      <c r="D58" s="207">
        <v>0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4.88*12*53.5-0.03</f>
        <v>3132.93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324</v>
      </c>
      <c r="D60" s="207">
        <f>(1.54+1.63)*6*53.5</f>
        <v>1017.5699999999999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206"/>
      <c r="D61" s="49">
        <f>SUM(D52:D60)</f>
        <v>5534.009999999999</v>
      </c>
      <c r="E61" s="34">
        <f>D61+B21</f>
        <v>6647.879999999999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5534.009999999999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-2618.1899999999996</v>
      </c>
      <c r="E67" s="61"/>
    </row>
    <row r="68" spans="1:5" ht="15.75">
      <c r="A68" s="78" t="s">
        <v>74</v>
      </c>
      <c r="B68" s="114"/>
      <c r="C68" s="115"/>
      <c r="D68" s="113">
        <f>B16+B21-D62</f>
        <v>-2618.1899999999996</v>
      </c>
      <c r="E68" s="61"/>
    </row>
    <row r="69" spans="1:5" ht="15.75">
      <c r="A69" s="114" t="s">
        <v>75</v>
      </c>
      <c r="B69" s="114"/>
      <c r="C69" s="115"/>
      <c r="D69" s="113">
        <f>B17+B23-D65</f>
        <v>0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2" customHeight="1">
      <c r="A83" s="31" t="s">
        <v>77</v>
      </c>
      <c r="B83" s="69" t="s">
        <v>84</v>
      </c>
      <c r="C83" s="70" t="s">
        <v>518</v>
      </c>
      <c r="D83" s="67" t="s">
        <v>85</v>
      </c>
    </row>
    <row r="84" spans="1:4" ht="48" customHeight="1">
      <c r="A84" s="31" t="s">
        <v>31</v>
      </c>
      <c r="B84" s="140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14">
      <selection activeCell="B44" sqref="B4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604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605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5849.41</v>
      </c>
      <c r="C15" s="13"/>
      <c r="D15" s="14"/>
    </row>
    <row r="16" spans="1:4" ht="15.75">
      <c r="A16" s="15" t="s">
        <v>16</v>
      </c>
      <c r="B16" s="12">
        <v>5849.41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B20+B22+B25</f>
        <v>14592.18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7452.54</v>
      </c>
      <c r="C20" s="105" t="s">
        <v>606</v>
      </c>
      <c r="D20" s="14"/>
    </row>
    <row r="21" spans="1:5" ht="15">
      <c r="A21" s="9" t="s">
        <v>147</v>
      </c>
      <c r="B21" s="16">
        <v>1922.4</v>
      </c>
      <c r="C21" s="19" t="s">
        <v>607</v>
      </c>
      <c r="D21" s="20"/>
      <c r="E21" s="17">
        <f>(2.8+3.2)*6*53.4</f>
        <v>1922.3999999999999</v>
      </c>
    </row>
    <row r="22" spans="1:5" ht="15.75">
      <c r="A22" s="9" t="s">
        <v>28</v>
      </c>
      <c r="B22" s="118">
        <v>0</v>
      </c>
      <c r="C22" s="119">
        <v>0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</f>
        <v>7139.64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7139.64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0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10781.17</v>
      </c>
      <c r="C31" s="13" t="s">
        <v>19</v>
      </c>
      <c r="D31" s="14" t="s">
        <v>19</v>
      </c>
      <c r="E31" s="1">
        <f>B31/B18</f>
        <v>0.7388320319513603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5506.175271398791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v>0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5274.99472860121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v>0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5274.99472860121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(0.14+0.15)*6*53.4</f>
        <v>92.91600000000001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(1.2+2)*6*53.4</f>
        <v>1025.2800000000002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(0.2+0.21)*6*53.4</f>
        <v>131.364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(0.2+0.21)*6*53.4</f>
        <v>131.364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>
        <v>0</v>
      </c>
      <c r="D58" s="207">
        <v>0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4.88*12*53.4+0.04</f>
        <v>3127.144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608</v>
      </c>
      <c r="D60" s="207">
        <f>(1.55+1.64)*6*53.4</f>
        <v>1022.076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5530.144</v>
      </c>
      <c r="E61" s="34">
        <f>D61+B21</f>
        <v>7452.544</v>
      </c>
      <c r="F61" s="41"/>
      <c r="H61" s="50">
        <f>E61-B20</f>
        <v>0.0039999999999054126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5530.144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1"/>
      <c r="B66" s="145"/>
      <c r="C66" s="146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7771.8099999999995</v>
      </c>
      <c r="E67" s="61"/>
    </row>
    <row r="68" spans="1:5" ht="15.75">
      <c r="A68" s="78" t="s">
        <v>74</v>
      </c>
      <c r="B68" s="114"/>
      <c r="C68" s="115"/>
      <c r="D68" s="113">
        <f>B16+B21-D62</f>
        <v>7771.8099999999995</v>
      </c>
      <c r="E68" s="61"/>
    </row>
    <row r="69" spans="1:5" ht="15.75">
      <c r="A69" s="114" t="s">
        <v>75</v>
      </c>
      <c r="B69" s="114"/>
      <c r="C69" s="115"/>
      <c r="D69" s="113">
        <f>B17+B23-D65</f>
        <v>0</v>
      </c>
      <c r="E69" s="61"/>
    </row>
    <row r="70" spans="1:5" ht="13.5" customHeight="1">
      <c r="A70" s="294" t="s">
        <v>76</v>
      </c>
      <c r="B70" s="294"/>
      <c r="C70" s="294"/>
      <c r="D70" s="65">
        <v>13500.01</v>
      </c>
      <c r="E70" s="61"/>
    </row>
    <row r="71" spans="1:4" ht="15" customHeight="1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6894.745303676353</v>
      </c>
    </row>
    <row r="73" spans="1:4" ht="13.5" customHeight="1">
      <c r="A73" s="290" t="s">
        <v>28</v>
      </c>
      <c r="B73" s="290"/>
      <c r="C73" s="290"/>
      <c r="D73" s="66">
        <f>D70*B22/B18</f>
        <v>0</v>
      </c>
    </row>
    <row r="74" spans="1:4" ht="13.5" customHeight="1">
      <c r="A74" s="290" t="s">
        <v>29</v>
      </c>
      <c r="B74" s="290"/>
      <c r="C74" s="290"/>
      <c r="D74" s="66">
        <f>SUM(D76:D78)</f>
        <v>6605.2646963236475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6605.2646963236475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>
        <f>D70*E28</f>
        <v>0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2.75" customHeight="1">
      <c r="A83" s="31" t="s">
        <v>77</v>
      </c>
      <c r="B83" s="69" t="s">
        <v>84</v>
      </c>
      <c r="C83" s="70" t="s">
        <v>606</v>
      </c>
      <c r="D83" s="67" t="s">
        <v>85</v>
      </c>
    </row>
    <row r="84" spans="1:4" ht="41.25" customHeight="1">
      <c r="A84" s="31" t="s">
        <v>31</v>
      </c>
      <c r="B84" s="140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="64" zoomScaleNormal="64" zoomScalePageLayoutView="0" workbookViewId="0" topLeftCell="A1">
      <selection activeCell="B44" sqref="B4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609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610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4702.280000000001</v>
      </c>
      <c r="C15" s="13"/>
      <c r="D15" s="14"/>
    </row>
    <row r="16" spans="1:4" ht="15.75">
      <c r="A16" s="15" t="s">
        <v>16</v>
      </c>
      <c r="B16" s="12">
        <v>2962.4</v>
      </c>
      <c r="C16" s="13"/>
      <c r="D16" s="14"/>
    </row>
    <row r="17" spans="1:4" ht="15.75">
      <c r="A17" s="15" t="s">
        <v>17</v>
      </c>
      <c r="B17" s="174">
        <v>1739.88</v>
      </c>
      <c r="C17" s="175" t="s">
        <v>19</v>
      </c>
      <c r="D17" s="14"/>
    </row>
    <row r="18" spans="1:5" ht="25.5">
      <c r="A18" s="11" t="s">
        <v>18</v>
      </c>
      <c r="B18" s="16">
        <f>B20+B24+B27</f>
        <v>67905.36</v>
      </c>
      <c r="C18" s="105" t="s">
        <v>19</v>
      </c>
      <c r="D18" s="14" t="s">
        <v>19</v>
      </c>
      <c r="E18" s="17"/>
    </row>
    <row r="19" spans="1:5" ht="15">
      <c r="A19" s="9" t="s">
        <v>20</v>
      </c>
      <c r="B19" s="16"/>
      <c r="C19" s="105"/>
      <c r="D19" s="14"/>
      <c r="E19" s="1">
        <v>7227.449519999998</v>
      </c>
    </row>
    <row r="20" spans="1:4" ht="15">
      <c r="A20" s="9" t="s">
        <v>77</v>
      </c>
      <c r="B20" s="16">
        <v>13673.59</v>
      </c>
      <c r="C20" s="105" t="s">
        <v>6</v>
      </c>
      <c r="D20" s="14"/>
    </row>
    <row r="21" spans="1:4" ht="15">
      <c r="A21" s="9" t="s">
        <v>611</v>
      </c>
      <c r="B21" s="16"/>
      <c r="C21" s="105" t="s">
        <v>612</v>
      </c>
      <c r="D21" s="14"/>
    </row>
    <row r="22" spans="1:4" ht="15">
      <c r="A22" s="9" t="s">
        <v>264</v>
      </c>
      <c r="B22" s="16"/>
      <c r="C22" s="105" t="s">
        <v>613</v>
      </c>
      <c r="D22" s="14"/>
    </row>
    <row r="23" spans="1:5" ht="15">
      <c r="A23" s="9" t="s">
        <v>147</v>
      </c>
      <c r="B23" s="16">
        <v>444.99</v>
      </c>
      <c r="C23" s="19" t="s">
        <v>614</v>
      </c>
      <c r="D23" s="20"/>
      <c r="E23" s="17">
        <f>(0.22+0.43)*6*114.1</f>
        <v>444.99</v>
      </c>
    </row>
    <row r="24" spans="1:5" ht="15.75">
      <c r="A24" s="9" t="s">
        <v>28</v>
      </c>
      <c r="B24" s="118">
        <v>1739.88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19" t="s">
        <v>6</v>
      </c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B29+B30+B31</f>
        <v>52491.89</v>
      </c>
      <c r="C27" s="19" t="s">
        <v>19</v>
      </c>
      <c r="D27" s="20"/>
    </row>
    <row r="28" spans="1:5" ht="15">
      <c r="A28" s="9" t="s">
        <v>20</v>
      </c>
      <c r="B28" s="16"/>
      <c r="C28" s="19"/>
      <c r="D28" s="27" t="s">
        <v>32</v>
      </c>
      <c r="E28" s="17"/>
    </row>
    <row r="29" spans="1:5" ht="15">
      <c r="A29" s="9" t="s">
        <v>31</v>
      </c>
      <c r="B29" s="16">
        <v>11198.08</v>
      </c>
      <c r="C29" s="19" t="s">
        <v>19</v>
      </c>
      <c r="D29" s="27" t="s">
        <v>32</v>
      </c>
      <c r="E29" s="17"/>
    </row>
    <row r="30" spans="1:5" ht="15">
      <c r="A30" s="9" t="s">
        <v>33</v>
      </c>
      <c r="B30" s="16">
        <v>3731.46</v>
      </c>
      <c r="C30" s="19" t="s">
        <v>19</v>
      </c>
      <c r="D30" s="28"/>
      <c r="E30" s="17"/>
    </row>
    <row r="31" spans="1:5" ht="15">
      <c r="A31" s="9" t="s">
        <v>34</v>
      </c>
      <c r="B31" s="16">
        <v>37562.35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68600.18</v>
      </c>
      <c r="C33" s="13" t="s">
        <v>19</v>
      </c>
      <c r="D33" s="14" t="s">
        <v>19</v>
      </c>
      <c r="E33" s="1">
        <f>B33/B18</f>
        <v>1.0102321819661952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13813.500661011149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1757.6827687593438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B39+B40+B41</f>
        <v>53028.9965702295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11312.66079223201</v>
      </c>
      <c r="C39" s="13" t="s">
        <v>19</v>
      </c>
      <c r="D39" s="14"/>
    </row>
    <row r="40" spans="1:4" ht="15">
      <c r="A40" s="9" t="s">
        <v>33</v>
      </c>
      <c r="B40" s="18">
        <f>B30*E33</f>
        <v>3769.640977719579</v>
      </c>
      <c r="C40" s="13"/>
      <c r="D40" s="14"/>
    </row>
    <row r="41" spans="1:4" ht="15">
      <c r="A41" s="9" t="s">
        <v>34</v>
      </c>
      <c r="B41" s="18">
        <f>B31*E33</f>
        <v>37946.69480027791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B45+B46+B47</f>
        <v>53028.9965702295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11312.66079223201</v>
      </c>
      <c r="C45" s="13"/>
      <c r="D45" s="14"/>
    </row>
    <row r="46" spans="1:4" ht="15">
      <c r="A46" s="9" t="s">
        <v>33</v>
      </c>
      <c r="B46" s="18">
        <f>B40</f>
        <v>3769.640977719579</v>
      </c>
      <c r="C46" s="13"/>
      <c r="D46" s="14"/>
    </row>
    <row r="47" spans="1:4" ht="15">
      <c r="A47" s="9" t="s">
        <v>34</v>
      </c>
      <c r="B47" s="18">
        <f>B41</f>
        <v>37946.69480027791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(0.14+0.15)*6*114.1</f>
        <v>198.53400000000002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(1.2+2)*6*114.1</f>
        <v>2190.7200000000003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(0.2+0.21)*6*114.1</f>
        <v>280.686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115</v>
      </c>
      <c r="B59" s="39" t="s">
        <v>47</v>
      </c>
      <c r="C59" s="44" t="s">
        <v>62</v>
      </c>
      <c r="D59" s="207">
        <f>(0.69+0.68)*6*114.1</f>
        <v>937.902</v>
      </c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63</v>
      </c>
      <c r="B60" s="39" t="s">
        <v>64</v>
      </c>
      <c r="C60" s="44" t="s">
        <v>65</v>
      </c>
      <c r="D60" s="207">
        <f>(1.14+1.21)*6*114.1</f>
        <v>1608.8099999999997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4">
        <v>4.88</v>
      </c>
      <c r="D61" s="220">
        <f>4.88*12*114.1-0.07</f>
        <v>6681.626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31" t="s">
        <v>536</v>
      </c>
      <c r="B62" s="39"/>
      <c r="C62" s="44" t="s">
        <v>615</v>
      </c>
      <c r="D62" s="220">
        <f>(1.17+1.24)*6*92</f>
        <v>1330.3200000000002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/>
      <c r="D63" s="214">
        <f>SUM(D54:D62)</f>
        <v>13228.598</v>
      </c>
      <c r="E63" s="34">
        <f>D63+B23</f>
        <v>13673.588</v>
      </c>
      <c r="F63" s="41"/>
      <c r="H63" s="50">
        <f>E63-B20</f>
        <v>-0.0020000000004074536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</f>
        <v>0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/>
      <c r="B65" s="52"/>
      <c r="C65" s="53"/>
      <c r="D65" s="212"/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221" t="s">
        <v>71</v>
      </c>
      <c r="B66" s="222"/>
      <c r="C66" s="223"/>
      <c r="D66" s="212">
        <f>D63+D64</f>
        <v>13228.598</v>
      </c>
      <c r="E66" s="34"/>
      <c r="F66" s="45"/>
      <c r="H66" s="34"/>
      <c r="I66" s="37"/>
      <c r="J66" s="37"/>
      <c r="K66" s="37"/>
      <c r="L66" s="37"/>
      <c r="M66" s="37"/>
      <c r="N66" s="37"/>
    </row>
    <row r="67" spans="1:8" ht="13.5" customHeight="1">
      <c r="A67" s="308" t="s">
        <v>72</v>
      </c>
      <c r="B67" s="308"/>
      <c r="C67" s="308"/>
      <c r="D67" s="113">
        <f>D68</f>
        <v>0</v>
      </c>
      <c r="E67" s="61"/>
      <c r="H67" s="34"/>
    </row>
    <row r="68" spans="1:8" ht="17.25" customHeight="1">
      <c r="A68" s="114"/>
      <c r="B68" s="215"/>
      <c r="C68" s="215"/>
      <c r="D68" s="217"/>
      <c r="E68" s="61"/>
      <c r="H68" s="34"/>
    </row>
    <row r="69" spans="1:5" ht="25.5" customHeight="1">
      <c r="A69" s="293" t="s">
        <v>73</v>
      </c>
      <c r="B69" s="293"/>
      <c r="C69" s="293"/>
      <c r="D69" s="60">
        <f>D70+D71</f>
        <v>6887.150000000001</v>
      </c>
      <c r="E69" s="61"/>
    </row>
    <row r="70" spans="1:5" ht="15.75">
      <c r="A70" s="62" t="s">
        <v>74</v>
      </c>
      <c r="B70" s="63"/>
      <c r="C70" s="64"/>
      <c r="D70" s="60">
        <f>B16+B23-D64</f>
        <v>3407.3900000000003</v>
      </c>
      <c r="E70" s="61"/>
    </row>
    <row r="71" spans="1:5" ht="15.75">
      <c r="A71" s="63" t="s">
        <v>75</v>
      </c>
      <c r="B71" s="63"/>
      <c r="C71" s="64"/>
      <c r="D71" s="60">
        <f>B17+B24-D67</f>
        <v>3479.76</v>
      </c>
      <c r="E71" s="61"/>
    </row>
    <row r="72" spans="1:5" ht="13.5" customHeight="1">
      <c r="A72" s="294" t="s">
        <v>76</v>
      </c>
      <c r="B72" s="294"/>
      <c r="C72" s="294"/>
      <c r="D72" s="65">
        <v>0</v>
      </c>
      <c r="E72" s="61"/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77</v>
      </c>
      <c r="B74" s="290"/>
      <c r="C74" s="290"/>
      <c r="D74" s="66">
        <f>D72*E23</f>
        <v>0</v>
      </c>
    </row>
    <row r="75" spans="1:4" ht="13.5" customHeight="1">
      <c r="A75" s="290" t="s">
        <v>28</v>
      </c>
      <c r="B75" s="290"/>
      <c r="C75" s="290"/>
      <c r="D75" s="66">
        <f>D72-D74-D76</f>
        <v>0</v>
      </c>
    </row>
    <row r="76" spans="1:4" ht="13.5" customHeight="1">
      <c r="A76" s="290" t="s">
        <v>29</v>
      </c>
      <c r="B76" s="290"/>
      <c r="C76" s="290"/>
      <c r="D76" s="66">
        <f>SUM(D78:D80)</f>
        <v>0</v>
      </c>
    </row>
    <row r="77" spans="1:4" ht="15">
      <c r="A77" s="290" t="s">
        <v>20</v>
      </c>
      <c r="B77" s="290"/>
      <c r="C77" s="290"/>
      <c r="D77" s="66"/>
    </row>
    <row r="78" spans="1:4" ht="13.5" customHeight="1">
      <c r="A78" s="290" t="s">
        <v>31</v>
      </c>
      <c r="B78" s="290"/>
      <c r="C78" s="290"/>
      <c r="D78" s="66">
        <f>D72*E28</f>
        <v>0</v>
      </c>
    </row>
    <row r="79" spans="1:4" ht="15">
      <c r="A79" s="290" t="s">
        <v>33</v>
      </c>
      <c r="B79" s="290"/>
      <c r="C79" s="290"/>
      <c r="D79" s="66">
        <f>D72*E29</f>
        <v>0</v>
      </c>
    </row>
    <row r="80" spans="1:8" ht="15" customHeight="1">
      <c r="A80" s="290" t="s">
        <v>34</v>
      </c>
      <c r="B80" s="290"/>
      <c r="C80" s="290"/>
      <c r="D80" s="66">
        <f>D72*E30</f>
        <v>0</v>
      </c>
      <c r="H80" s="1" t="s">
        <v>6</v>
      </c>
    </row>
    <row r="81" spans="1:4" ht="15" customHeight="1">
      <c r="A81" s="290" t="s">
        <v>78</v>
      </c>
      <c r="B81" s="290"/>
      <c r="C81" s="290"/>
      <c r="D81" s="66"/>
    </row>
    <row r="82" spans="1:4" ht="15" customHeight="1">
      <c r="A82" s="290" t="s">
        <v>35</v>
      </c>
      <c r="B82" s="290"/>
      <c r="C82" s="290"/>
      <c r="D82" s="66"/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82</v>
      </c>
      <c r="D84" s="67" t="s">
        <v>83</v>
      </c>
    </row>
    <row r="85" spans="1:4" ht="15.75" customHeight="1">
      <c r="A85" s="72" t="s">
        <v>77</v>
      </c>
      <c r="B85" s="296" t="s">
        <v>84</v>
      </c>
      <c r="C85" s="70" t="s">
        <v>612</v>
      </c>
      <c r="D85" s="67" t="s">
        <v>85</v>
      </c>
    </row>
    <row r="86" spans="1:4" ht="12.75" customHeight="1">
      <c r="A86" s="72" t="s">
        <v>77</v>
      </c>
      <c r="B86" s="296"/>
      <c r="C86" s="70" t="s">
        <v>613</v>
      </c>
      <c r="D86" s="67" t="s">
        <v>85</v>
      </c>
    </row>
    <row r="87" spans="1:4" ht="13.5" customHeight="1">
      <c r="A87" s="31" t="s">
        <v>28</v>
      </c>
      <c r="B87" s="296"/>
      <c r="C87" s="70">
        <v>2.7</v>
      </c>
      <c r="D87" s="71" t="s">
        <v>85</v>
      </c>
    </row>
    <row r="88" spans="1:4" ht="19.5" customHeight="1">
      <c r="A88" s="31" t="s">
        <v>31</v>
      </c>
      <c r="B88" s="297" t="s">
        <v>86</v>
      </c>
      <c r="C88" s="70" t="s">
        <v>87</v>
      </c>
      <c r="D88" s="71" t="s">
        <v>88</v>
      </c>
    </row>
    <row r="89" spans="1:4" ht="21" customHeight="1">
      <c r="A89" s="31" t="s">
        <v>33</v>
      </c>
      <c r="B89" s="297"/>
      <c r="C89" s="70" t="s">
        <v>89</v>
      </c>
      <c r="D89" s="71" t="s">
        <v>88</v>
      </c>
    </row>
    <row r="90" spans="1:4" ht="39.75" customHeight="1">
      <c r="A90" s="72" t="s">
        <v>34</v>
      </c>
      <c r="B90" s="170" t="s">
        <v>90</v>
      </c>
      <c r="C90" s="147" t="s">
        <v>91</v>
      </c>
      <c r="D90" s="71" t="s">
        <v>92</v>
      </c>
    </row>
    <row r="92" ht="12.75">
      <c r="A92" t="s">
        <v>93</v>
      </c>
    </row>
    <row r="94" ht="12.75">
      <c r="A94" t="s">
        <v>95</v>
      </c>
    </row>
    <row r="97" ht="12.75">
      <c r="E97" s="1" t="s">
        <v>6</v>
      </c>
    </row>
  </sheetData>
  <sheetProtection selectLockedCells="1" selectUnlockedCells="1"/>
  <mergeCells count="23">
    <mergeCell ref="A81:C81"/>
    <mergeCell ref="A82:C82"/>
    <mergeCell ref="A83:D83"/>
    <mergeCell ref="B85:B87"/>
    <mergeCell ref="B88:B89"/>
    <mergeCell ref="A75:C75"/>
    <mergeCell ref="A76:C76"/>
    <mergeCell ref="A77:C77"/>
    <mergeCell ref="A78:C78"/>
    <mergeCell ref="A79:C79"/>
    <mergeCell ref="A80:C80"/>
    <mergeCell ref="A50:D51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0"/>
  <sheetViews>
    <sheetView zoomScale="80" zoomScaleNormal="80" zoomScalePageLayoutView="0" workbookViewId="0" topLeftCell="A42">
      <selection activeCell="D71" sqref="D7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20.25">
      <c r="A1" s="310" t="s">
        <v>616</v>
      </c>
      <c r="B1" s="310"/>
      <c r="C1" s="310"/>
      <c r="D1" s="310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617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618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5350.1900000000005</v>
      </c>
      <c r="C15" s="13"/>
      <c r="D15" s="14"/>
    </row>
    <row r="16" spans="1:4" ht="15.75">
      <c r="A16" s="15" t="s">
        <v>16</v>
      </c>
      <c r="B16" s="12">
        <v>3688.07</v>
      </c>
      <c r="C16" s="13"/>
      <c r="D16" s="14"/>
    </row>
    <row r="17" spans="1:4" ht="15.75">
      <c r="A17" s="15" t="s">
        <v>17</v>
      </c>
      <c r="B17" s="174">
        <v>1662.12</v>
      </c>
      <c r="C17" s="175" t="s">
        <v>19</v>
      </c>
      <c r="D17" s="14"/>
    </row>
    <row r="18" spans="1:5" ht="25.5">
      <c r="A18" s="11" t="s">
        <v>18</v>
      </c>
      <c r="B18" s="16">
        <f>B20+B22+B25</f>
        <v>29877.15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6192.96</v>
      </c>
      <c r="C20" s="105" t="s">
        <v>619</v>
      </c>
      <c r="D20" s="14"/>
    </row>
    <row r="21" spans="1:5" ht="15">
      <c r="A21" s="9" t="s">
        <v>147</v>
      </c>
      <c r="B21" s="16">
        <v>261.63</v>
      </c>
      <c r="C21" s="19" t="s">
        <v>620</v>
      </c>
      <c r="D21" s="20"/>
      <c r="E21" s="17">
        <f>(0.35+0.5)*6*51.3</f>
        <v>261.63</v>
      </c>
    </row>
    <row r="22" spans="1:5" ht="15.75">
      <c r="A22" s="9" t="s">
        <v>28</v>
      </c>
      <c r="B22" s="118">
        <v>1662.12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B27+B29</f>
        <v>22022.07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4759.8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17262.27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29024.87</v>
      </c>
      <c r="C31" s="13" t="s">
        <v>19</v>
      </c>
      <c r="D31" s="14" t="s">
        <v>19</v>
      </c>
      <c r="E31" s="1">
        <f>B31/B18</f>
        <v>0.9714738520909791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6016.29870704535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1614.7061190374582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B37+B39</f>
        <v>21393.86517391719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4624.021241182642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16769.843932734548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B43+B45</f>
        <v>21393.86517391719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4624.021241182642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16769.843932734548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19" t="s">
        <v>621</v>
      </c>
      <c r="D52" s="207">
        <f>(0.14+0.15)*6*51.3</f>
        <v>89.262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207">
        <f>(1.2+2)*6*51.3</f>
        <v>984.96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156" t="s">
        <v>130</v>
      </c>
      <c r="D55" s="207">
        <f>(0.11+0.12)*6*51.3</f>
        <v>70.794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0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0" t="s">
        <v>245</v>
      </c>
      <c r="D57" s="207">
        <f>(0.64+0.68)*6*51.3</f>
        <v>406.296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65</v>
      </c>
      <c r="D58" s="207">
        <f>(1.14+1.21)*6*51.3</f>
        <v>723.3299999999998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207">
        <f>4.88*12*51.3+0.02</f>
        <v>3004.148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0" t="s">
        <v>622</v>
      </c>
      <c r="D60" s="207">
        <f>(1.03+1.09)*6*51.3</f>
        <v>652.536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5931.326</v>
      </c>
      <c r="E61" s="34">
        <f>D61+B21</f>
        <v>6192.956</v>
      </c>
      <c r="F61" s="41"/>
      <c r="H61" s="50">
        <f>E61-B20</f>
        <v>-0.0039999999999054126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5931.326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>
        <f>347.32*12</f>
        <v>4167.84</v>
      </c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7273.9400000000005</v>
      </c>
      <c r="E67" s="61"/>
    </row>
    <row r="68" spans="1:5" ht="15.75">
      <c r="A68" s="78" t="s">
        <v>74</v>
      </c>
      <c r="B68" s="114"/>
      <c r="C68" s="115"/>
      <c r="D68" s="113">
        <f>B16+B21-D62</f>
        <v>3949.7000000000003</v>
      </c>
      <c r="E68" s="61"/>
    </row>
    <row r="69" spans="1:5" ht="15.75">
      <c r="A69" s="63" t="s">
        <v>75</v>
      </c>
      <c r="B69" s="63"/>
      <c r="C69" s="64"/>
      <c r="D69" s="60">
        <f>B17+B22-D65</f>
        <v>3324.24</v>
      </c>
      <c r="E69" s="61"/>
    </row>
    <row r="70" spans="1:5" ht="13.5" customHeight="1">
      <c r="A70" s="294" t="s">
        <v>76</v>
      </c>
      <c r="B70" s="294"/>
      <c r="C70" s="294"/>
      <c r="D70" s="65">
        <v>10587.67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2194.6208658858022</v>
      </c>
    </row>
    <row r="73" spans="1:4" ht="13.5" customHeight="1">
      <c r="A73" s="290" t="s">
        <v>28</v>
      </c>
      <c r="B73" s="290"/>
      <c r="C73" s="290"/>
      <c r="D73" s="66">
        <f>D70*B22/B18</f>
        <v>589.0112698299536</v>
      </c>
    </row>
    <row r="74" spans="1:4" ht="13.5" customHeight="1">
      <c r="A74" s="290" t="s">
        <v>29</v>
      </c>
      <c r="B74" s="290"/>
      <c r="C74" s="290"/>
      <c r="D74" s="66">
        <f>SUM(D76:D78)</f>
        <v>7804.037864284244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1686.7469509641983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D70*B29/B18</f>
        <v>6117.290913320046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623</v>
      </c>
      <c r="D82" s="67" t="s">
        <v>83</v>
      </c>
    </row>
    <row r="83" spans="1:4" ht="18.75" customHeight="1">
      <c r="A83" s="31" t="s">
        <v>77</v>
      </c>
      <c r="B83" s="296" t="s">
        <v>84</v>
      </c>
      <c r="C83" s="70" t="s">
        <v>619</v>
      </c>
      <c r="D83" s="67" t="s">
        <v>85</v>
      </c>
    </row>
    <row r="84" spans="1:4" ht="21" customHeight="1">
      <c r="A84" s="31" t="s">
        <v>28</v>
      </c>
      <c r="B84" s="296"/>
      <c r="C84" s="70">
        <v>2.7</v>
      </c>
      <c r="D84" s="71" t="s">
        <v>85</v>
      </c>
    </row>
    <row r="85" spans="1:4" ht="39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6" spans="1:4" ht="39.75" customHeight="1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42">
      <selection activeCell="D70" sqref="D7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624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625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6890.879999999999</v>
      </c>
      <c r="C15" s="13"/>
      <c r="D15" s="14"/>
    </row>
    <row r="16" spans="1:4" ht="15.75">
      <c r="A16" s="15" t="s">
        <v>16</v>
      </c>
      <c r="B16" s="12">
        <v>5614.32</v>
      </c>
      <c r="C16" s="13"/>
      <c r="D16" s="14"/>
    </row>
    <row r="17" spans="1:4" ht="15.75">
      <c r="A17" s="15" t="s">
        <v>17</v>
      </c>
      <c r="B17" s="174">
        <v>1276.56</v>
      </c>
      <c r="C17" s="175" t="s">
        <v>19</v>
      </c>
      <c r="D17" s="14"/>
    </row>
    <row r="18" spans="1:5" ht="25.5">
      <c r="A18" s="11" t="s">
        <v>18</v>
      </c>
      <c r="B18" s="16">
        <f>B20+B22+B25</f>
        <v>40714.7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10283.4</v>
      </c>
      <c r="C20" s="105" t="s">
        <v>626</v>
      </c>
      <c r="D20" s="14"/>
    </row>
    <row r="21" spans="1:5" ht="15">
      <c r="A21" s="9" t="s">
        <v>147</v>
      </c>
      <c r="B21" s="16">
        <v>2089.78</v>
      </c>
      <c r="C21" s="19" t="s">
        <v>627</v>
      </c>
      <c r="D21" s="20"/>
      <c r="E21" s="17">
        <f>(2.06+2.36)*6*78.8</f>
        <v>2089.776</v>
      </c>
    </row>
    <row r="22" spans="1:5" ht="15.75">
      <c r="A22" s="9" t="s">
        <v>28</v>
      </c>
      <c r="B22" s="234">
        <v>1276.56</v>
      </c>
      <c r="C22" s="235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B27+B29</f>
        <v>29154.739999999998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2638.82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26515.92</v>
      </c>
      <c r="C29" s="19" t="s">
        <v>6</v>
      </c>
      <c r="D29" s="28"/>
      <c r="E29" s="17"/>
    </row>
    <row r="30" spans="1:5" ht="15">
      <c r="A30" s="9" t="s">
        <v>35</v>
      </c>
      <c r="B30" s="25"/>
      <c r="C30" s="153" t="s">
        <v>19</v>
      </c>
      <c r="D30" s="28"/>
      <c r="E30" s="17"/>
    </row>
    <row r="31" spans="1:5" ht="25.5">
      <c r="A31" s="11" t="s">
        <v>36</v>
      </c>
      <c r="B31" s="18">
        <v>30681.46</v>
      </c>
      <c r="C31" s="13" t="s">
        <v>19</v>
      </c>
      <c r="D31" s="14" t="s">
        <v>19</v>
      </c>
      <c r="E31" s="1">
        <f>B31/B18</f>
        <v>0.7535720513721089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7749.282833079945</v>
      </c>
      <c r="C33" s="18" t="s">
        <v>6</v>
      </c>
      <c r="D33" s="14" t="s">
        <v>19</v>
      </c>
    </row>
    <row r="34" spans="1:4" ht="15">
      <c r="A34" s="9" t="s">
        <v>28</v>
      </c>
      <c r="B34" s="236">
        <f>B22*E31</f>
        <v>961.9799378995793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B37+B39</f>
        <v>21970.197229020476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1988.5410006017487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19981.656228418728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B43+B45</f>
        <v>21970.197229020476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1988.5410006017487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19981.656228418728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(0.14+0.15)*6*78.8</f>
        <v>137.11200000000002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(1.2+2)*6*78.8</f>
        <v>1512.9600000000003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(0.2+0.21)*6*78.8</f>
        <v>193.84799999999998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245</v>
      </c>
      <c r="D57" s="207">
        <f>(0.64+0.68)*6*78.8</f>
        <v>624.096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(1.14+1.21)*6*78.8</f>
        <v>1111.0799999999997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4.88*12*78.8</f>
        <v>4614.528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207">
        <f>SUM(D52:D59)</f>
        <v>8193.624</v>
      </c>
      <c r="E60" s="34">
        <f>D60+B21</f>
        <v>10283.404</v>
      </c>
      <c r="F60" s="41"/>
      <c r="H60" s="50">
        <f>E60-B20</f>
        <v>0.004000000000814907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212">
        <f>D62</f>
        <v>842.14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 t="s">
        <v>628</v>
      </c>
      <c r="B62" s="52"/>
      <c r="C62" s="53"/>
      <c r="D62" s="212">
        <v>842.14</v>
      </c>
      <c r="E62" s="34"/>
      <c r="F62" s="45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212">
        <f>D60+D61</f>
        <v>9035.764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13">
        <f>D65</f>
        <v>0</v>
      </c>
      <c r="E64" s="61"/>
      <c r="H64" s="34"/>
    </row>
    <row r="65" spans="1:8" ht="17.25" customHeight="1">
      <c r="A65" s="111"/>
      <c r="B65" s="145"/>
      <c r="C65" s="146"/>
      <c r="D65" s="217"/>
      <c r="E65" s="61"/>
      <c r="H65" s="34"/>
    </row>
    <row r="66" spans="1:5" ht="25.5" customHeight="1">
      <c r="A66" s="291" t="s">
        <v>73</v>
      </c>
      <c r="B66" s="291"/>
      <c r="C66" s="291"/>
      <c r="D66" s="113">
        <f>D67+D68</f>
        <v>9415.08</v>
      </c>
      <c r="E66" s="61"/>
    </row>
    <row r="67" spans="1:5" ht="15.75">
      <c r="A67" s="78" t="s">
        <v>74</v>
      </c>
      <c r="B67" s="114"/>
      <c r="C67" s="115"/>
      <c r="D67" s="113">
        <f>B16+B21-D61</f>
        <v>6861.96</v>
      </c>
      <c r="E67" s="61"/>
    </row>
    <row r="68" spans="1:5" ht="15.75">
      <c r="A68" s="114" t="s">
        <v>75</v>
      </c>
      <c r="B68" s="114"/>
      <c r="C68" s="115"/>
      <c r="D68" s="113">
        <f>B17+B22-D64</f>
        <v>2553.12</v>
      </c>
      <c r="E68" s="61"/>
    </row>
    <row r="69" spans="1:5" ht="13.5" customHeight="1">
      <c r="A69" s="294" t="s">
        <v>76</v>
      </c>
      <c r="B69" s="294"/>
      <c r="C69" s="294"/>
      <c r="D69" s="65">
        <v>26117.8</v>
      </c>
      <c r="E69" s="61"/>
    </row>
    <row r="70" spans="1:4" ht="15" customHeight="1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D69*B20/B18</f>
        <v>6596.629338297961</v>
      </c>
    </row>
    <row r="72" spans="1:4" ht="13.5" customHeight="1">
      <c r="A72" s="290" t="s">
        <v>28</v>
      </c>
      <c r="B72" s="290"/>
      <c r="C72" s="290"/>
      <c r="D72" s="66">
        <f>D69*B22/B18</f>
        <v>818.891917857678</v>
      </c>
    </row>
    <row r="73" spans="1:4" ht="13.5" customHeight="1">
      <c r="A73" s="290" t="s">
        <v>29</v>
      </c>
      <c r="B73" s="290"/>
      <c r="C73" s="290"/>
      <c r="D73" s="66">
        <f>SUM(D75:D77)</f>
        <v>18702.278743844363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D69*B27/B18</f>
        <v>1692.7589542843252</v>
      </c>
    </row>
    <row r="76" spans="1:4" ht="15">
      <c r="A76" s="290" t="s">
        <v>33</v>
      </c>
      <c r="B76" s="290"/>
      <c r="C76" s="290"/>
      <c r="D76" s="66">
        <f>D69*E27</f>
        <v>0</v>
      </c>
    </row>
    <row r="77" spans="1:4" ht="15" customHeight="1">
      <c r="A77" s="290" t="s">
        <v>34</v>
      </c>
      <c r="B77" s="290"/>
      <c r="C77" s="290"/>
      <c r="D77" s="66">
        <f>D69*B29/B18</f>
        <v>17009.519789560036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623</v>
      </c>
      <c r="D81" s="67" t="s">
        <v>83</v>
      </c>
    </row>
    <row r="82" spans="1:4" ht="22.5" customHeight="1">
      <c r="A82" s="31" t="s">
        <v>77</v>
      </c>
      <c r="B82" s="296" t="s">
        <v>84</v>
      </c>
      <c r="C82" s="70" t="s">
        <v>626</v>
      </c>
      <c r="D82" s="67" t="s">
        <v>85</v>
      </c>
    </row>
    <row r="83" spans="1:4" ht="20.25" customHeight="1">
      <c r="A83" s="31" t="s">
        <v>28</v>
      </c>
      <c r="B83" s="296"/>
      <c r="C83" s="70">
        <v>2.7</v>
      </c>
      <c r="D83" s="71" t="s">
        <v>85</v>
      </c>
    </row>
    <row r="84" spans="1:4" ht="41.25" customHeight="1">
      <c r="A84" s="31" t="s">
        <v>31</v>
      </c>
      <c r="B84" s="140" t="s">
        <v>86</v>
      </c>
      <c r="C84" s="70" t="s">
        <v>87</v>
      </c>
      <c r="D84" s="71" t="s">
        <v>88</v>
      </c>
    </row>
    <row r="85" spans="1:4" ht="39.75" customHeight="1">
      <c r="A85" s="31" t="s">
        <v>34</v>
      </c>
      <c r="B85" s="170" t="s">
        <v>90</v>
      </c>
      <c r="C85" s="147" t="s">
        <v>91</v>
      </c>
      <c r="D85" s="71" t="s">
        <v>92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8:C78"/>
    <mergeCell ref="A79:C79"/>
    <mergeCell ref="A80:D80"/>
    <mergeCell ref="B82:B83"/>
    <mergeCell ref="A72:C72"/>
    <mergeCell ref="A73:C73"/>
    <mergeCell ref="A74:C74"/>
    <mergeCell ref="A75:C75"/>
    <mergeCell ref="A76:C76"/>
    <mergeCell ref="A77:C77"/>
    <mergeCell ref="A48:D49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80" zoomScaleNormal="80" zoomScalePageLayoutView="0" workbookViewId="0" topLeftCell="A44">
      <selection activeCell="D75" sqref="D75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629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630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7826.11</v>
      </c>
      <c r="C15" s="13"/>
      <c r="D15" s="14"/>
    </row>
    <row r="16" spans="1:4" ht="15.75">
      <c r="A16" s="15" t="s">
        <v>16</v>
      </c>
      <c r="B16" s="12">
        <v>5300.91</v>
      </c>
      <c r="C16" s="13"/>
      <c r="D16" s="14"/>
    </row>
    <row r="17" spans="1:4" ht="15.75">
      <c r="A17" s="15" t="s">
        <v>17</v>
      </c>
      <c r="B17" s="174">
        <v>2525.2</v>
      </c>
      <c r="C17" s="175" t="s">
        <v>19</v>
      </c>
      <c r="D17" s="14"/>
    </row>
    <row r="18" spans="1:5" ht="25.5">
      <c r="A18" s="11" t="s">
        <v>18</v>
      </c>
      <c r="B18" s="16">
        <f>B20+B25+B28</f>
        <v>54234.19</v>
      </c>
      <c r="C18" s="105" t="s">
        <v>19</v>
      </c>
      <c r="D18" s="14" t="s">
        <v>19</v>
      </c>
      <c r="E18" s="17"/>
    </row>
    <row r="19" spans="1:8" ht="15">
      <c r="A19" s="9" t="s">
        <v>20</v>
      </c>
      <c r="B19" s="16"/>
      <c r="C19" s="105"/>
      <c r="D19" s="14"/>
      <c r="E19" s="1">
        <f>10.22*49.3</f>
        <v>503.846</v>
      </c>
      <c r="H19" s="1">
        <f>11.45*49.3</f>
        <v>564.4849999999999</v>
      </c>
    </row>
    <row r="20" spans="1:8" ht="15">
      <c r="A20" s="9" t="s">
        <v>105</v>
      </c>
      <c r="B20" s="16">
        <v>11123.46</v>
      </c>
      <c r="C20" s="105" t="s">
        <v>6</v>
      </c>
      <c r="D20" s="14"/>
      <c r="E20" s="1">
        <f>10.22*28.7</f>
        <v>293.314</v>
      </c>
      <c r="H20" s="1">
        <f>9.67*28.7</f>
        <v>277.529</v>
      </c>
    </row>
    <row r="21" spans="1:8" ht="15">
      <c r="A21" s="9" t="s">
        <v>264</v>
      </c>
      <c r="B21" s="16"/>
      <c r="C21" s="19" t="s">
        <v>631</v>
      </c>
      <c r="D21" s="14"/>
      <c r="E21" s="1">
        <f>10.22*15.2</f>
        <v>155.344</v>
      </c>
      <c r="H21" s="1">
        <f>9.2*15.2</f>
        <v>139.83999999999997</v>
      </c>
    </row>
    <row r="22" spans="1:8" ht="15">
      <c r="A22" s="9" t="s">
        <v>262</v>
      </c>
      <c r="B22" s="16"/>
      <c r="C22" s="19" t="s">
        <v>632</v>
      </c>
      <c r="D22" s="14"/>
      <c r="E22" s="1">
        <f>SUM(E19:E21)*6</f>
        <v>5715.024000000001</v>
      </c>
      <c r="H22" s="1">
        <f>SUM(H19:H21)*6</f>
        <v>5891.123999999999</v>
      </c>
    </row>
    <row r="23" spans="1:8" ht="15">
      <c r="A23" s="9" t="s">
        <v>445</v>
      </c>
      <c r="B23" s="16"/>
      <c r="C23" s="19" t="s">
        <v>633</v>
      </c>
      <c r="D23" s="14"/>
      <c r="E23" s="311">
        <f>E22+H22</f>
        <v>11606.148000000001</v>
      </c>
      <c r="F23" s="311"/>
      <c r="G23" s="311"/>
      <c r="H23" s="311"/>
    </row>
    <row r="24" spans="1:5" ht="15">
      <c r="A24" s="9" t="s">
        <v>147</v>
      </c>
      <c r="B24" s="16">
        <v>492.1</v>
      </c>
      <c r="C24" s="19" t="s">
        <v>634</v>
      </c>
      <c r="D24" s="20"/>
      <c r="E24" s="17">
        <f>(0.34+0.54)*6*93.2</f>
        <v>492.0960000000001</v>
      </c>
    </row>
    <row r="25" spans="1:5" ht="15.75">
      <c r="A25" s="9" t="s">
        <v>28</v>
      </c>
      <c r="B25" s="118">
        <v>2527.2</v>
      </c>
      <c r="C25" s="119">
        <v>2.7</v>
      </c>
      <c r="D25" s="20"/>
      <c r="E25" s="17"/>
    </row>
    <row r="26" spans="1:5" ht="15">
      <c r="A26" s="9" t="s">
        <v>149</v>
      </c>
      <c r="B26" s="16">
        <v>0</v>
      </c>
      <c r="C26" s="19" t="s">
        <v>6</v>
      </c>
      <c r="D26" s="20"/>
      <c r="E26" s="17"/>
    </row>
    <row r="27" spans="1:4" ht="15.75">
      <c r="A27" s="9" t="s">
        <v>167</v>
      </c>
      <c r="B27" s="120">
        <v>0</v>
      </c>
      <c r="C27" s="196"/>
      <c r="D27" s="20" t="s">
        <v>30</v>
      </c>
    </row>
    <row r="28" spans="1:4" ht="15">
      <c r="A28" s="9" t="s">
        <v>29</v>
      </c>
      <c r="B28" s="16">
        <f>B30+B32</f>
        <v>40583.53</v>
      </c>
      <c r="C28" s="19" t="s">
        <v>19</v>
      </c>
      <c r="D28" s="20"/>
    </row>
    <row r="29" spans="1:5" ht="15">
      <c r="A29" s="9" t="s">
        <v>20</v>
      </c>
      <c r="B29" s="16"/>
      <c r="C29" s="19"/>
      <c r="D29" s="27" t="s">
        <v>32</v>
      </c>
      <c r="E29" s="17"/>
    </row>
    <row r="30" spans="1:5" ht="15">
      <c r="A30" s="9" t="s">
        <v>31</v>
      </c>
      <c r="B30" s="16">
        <v>9222.12</v>
      </c>
      <c r="C30" s="19" t="s">
        <v>19</v>
      </c>
      <c r="D30" s="27" t="s">
        <v>32</v>
      </c>
      <c r="E30" s="17"/>
    </row>
    <row r="31" spans="1:5" ht="15">
      <c r="A31" s="9" t="s">
        <v>33</v>
      </c>
      <c r="B31" s="16">
        <v>0</v>
      </c>
      <c r="C31" s="19" t="s">
        <v>19</v>
      </c>
      <c r="D31" s="28"/>
      <c r="E31" s="17"/>
    </row>
    <row r="32" spans="1:5" ht="15">
      <c r="A32" s="9" t="s">
        <v>34</v>
      </c>
      <c r="B32" s="16">
        <v>31361.41</v>
      </c>
      <c r="C32" s="19" t="s">
        <v>6</v>
      </c>
      <c r="D32" s="28"/>
      <c r="E32" s="17"/>
    </row>
    <row r="33" spans="1:5" ht="15">
      <c r="A33" s="9" t="s">
        <v>35</v>
      </c>
      <c r="B33" s="16"/>
      <c r="C33" s="19" t="s">
        <v>19</v>
      </c>
      <c r="D33" s="28"/>
      <c r="E33" s="17"/>
    </row>
    <row r="34" spans="1:5" ht="25.5">
      <c r="A34" s="11" t="s">
        <v>36</v>
      </c>
      <c r="B34" s="18">
        <v>49243.66</v>
      </c>
      <c r="C34" s="13" t="s">
        <v>19</v>
      </c>
      <c r="D34" s="14" t="s">
        <v>19</v>
      </c>
      <c r="E34" s="1">
        <f>B34/B18</f>
        <v>0.9079818468755595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77</v>
      </c>
      <c r="B36" s="18">
        <f>B20*E34</f>
        <v>10099.899754446411</v>
      </c>
      <c r="C36" s="18" t="s">
        <v>6</v>
      </c>
      <c r="D36" s="14" t="s">
        <v>19</v>
      </c>
    </row>
    <row r="37" spans="1:4" ht="15">
      <c r="A37" s="9" t="s">
        <v>28</v>
      </c>
      <c r="B37" s="18">
        <f>B25*E34</f>
        <v>2294.6517234239136</v>
      </c>
      <c r="C37" s="13" t="s">
        <v>19</v>
      </c>
      <c r="D37" s="14" t="s">
        <v>19</v>
      </c>
    </row>
    <row r="38" spans="1:4" ht="15">
      <c r="A38" s="9" t="s">
        <v>29</v>
      </c>
      <c r="B38" s="18">
        <f>B40+B42</f>
        <v>36849.108522129674</v>
      </c>
      <c r="C38" s="13"/>
      <c r="D38" s="14"/>
    </row>
    <row r="39" spans="1:4" ht="15">
      <c r="A39" s="9" t="s">
        <v>20</v>
      </c>
      <c r="B39" s="18"/>
      <c r="C39" s="13" t="s">
        <v>19</v>
      </c>
      <c r="D39" s="14"/>
    </row>
    <row r="40" spans="1:4" ht="15">
      <c r="A40" s="9" t="s">
        <v>31</v>
      </c>
      <c r="B40" s="18">
        <f>B30*E34</f>
        <v>8373.517549708036</v>
      </c>
      <c r="C40" s="13" t="s">
        <v>19</v>
      </c>
      <c r="D40" s="14"/>
    </row>
    <row r="41" spans="1:4" ht="15">
      <c r="A41" s="9" t="s">
        <v>33</v>
      </c>
      <c r="B41" s="18">
        <v>0</v>
      </c>
      <c r="C41" s="13"/>
      <c r="D41" s="14"/>
    </row>
    <row r="42" spans="1:4" ht="15">
      <c r="A42" s="9" t="s">
        <v>34</v>
      </c>
      <c r="B42" s="18">
        <f>B32*E34</f>
        <v>28475.59097242164</v>
      </c>
      <c r="C42" s="13"/>
      <c r="D42" s="14"/>
    </row>
    <row r="43" spans="1:4" ht="15">
      <c r="A43" s="9" t="s">
        <v>35</v>
      </c>
      <c r="B43" s="18"/>
      <c r="C43" s="13"/>
      <c r="D43" s="14"/>
    </row>
    <row r="44" spans="1:4" ht="38.25">
      <c r="A44" s="11" t="s">
        <v>40</v>
      </c>
      <c r="B44" s="18">
        <f>B46+B48</f>
        <v>36849.108522129674</v>
      </c>
      <c r="C44" s="13" t="s">
        <v>19</v>
      </c>
      <c r="D44" s="14" t="s">
        <v>19</v>
      </c>
    </row>
    <row r="45" spans="1:4" ht="15">
      <c r="A45" s="9" t="s">
        <v>20</v>
      </c>
      <c r="B45" s="18"/>
      <c r="C45" s="13"/>
      <c r="D45" s="14"/>
    </row>
    <row r="46" spans="1:4" ht="15">
      <c r="A46" s="9" t="s">
        <v>31</v>
      </c>
      <c r="B46" s="18">
        <f>B40</f>
        <v>8373.517549708036</v>
      </c>
      <c r="C46" s="13"/>
      <c r="D46" s="14"/>
    </row>
    <row r="47" spans="1:4" ht="15">
      <c r="A47" s="9" t="s">
        <v>33</v>
      </c>
      <c r="B47" s="18">
        <v>0</v>
      </c>
      <c r="C47" s="13"/>
      <c r="D47" s="14"/>
    </row>
    <row r="48" spans="1:4" ht="15">
      <c r="A48" s="9" t="s">
        <v>34</v>
      </c>
      <c r="B48" s="18">
        <f>B42</f>
        <v>28475.59097242164</v>
      </c>
      <c r="C48" s="13"/>
      <c r="D48" s="14"/>
    </row>
    <row r="49" spans="1:4" ht="15">
      <c r="A49" s="9" t="s">
        <v>35</v>
      </c>
      <c r="B49" s="18">
        <v>0</v>
      </c>
      <c r="C49" s="13" t="s">
        <v>19</v>
      </c>
      <c r="D49" s="14"/>
    </row>
    <row r="50" ht="12.75">
      <c r="A50" s="4"/>
    </row>
    <row r="51" spans="1:10" ht="13.5" customHeight="1">
      <c r="A51" s="291" t="s">
        <v>41</v>
      </c>
      <c r="B51" s="291"/>
      <c r="C51" s="291"/>
      <c r="D51" s="291"/>
      <c r="I51" s="30"/>
      <c r="J51" s="30"/>
    </row>
    <row r="52" spans="1:10" ht="9" customHeight="1">
      <c r="A52" s="291"/>
      <c r="B52" s="291"/>
      <c r="C52" s="291"/>
      <c r="D52" s="291"/>
      <c r="I52" s="4"/>
      <c r="J52" s="4"/>
    </row>
    <row r="53" spans="1:10" ht="12.75">
      <c r="A53" s="4"/>
      <c r="C53" s="6" t="s">
        <v>10</v>
      </c>
      <c r="I53" s="4"/>
      <c r="J53" s="4"/>
    </row>
    <row r="54" spans="1:14" ht="66.75" customHeight="1">
      <c r="A54" s="8" t="s">
        <v>42</v>
      </c>
      <c r="B54" s="8" t="s">
        <v>43</v>
      </c>
      <c r="C54" s="8" t="s">
        <v>44</v>
      </c>
      <c r="D54" s="8" t="s">
        <v>45</v>
      </c>
      <c r="I54" s="3"/>
      <c r="J54" s="3"/>
      <c r="K54" s="3"/>
      <c r="L54" s="3"/>
      <c r="M54" s="3"/>
      <c r="N54" s="3"/>
    </row>
    <row r="55" spans="1:14" ht="15">
      <c r="A55" s="31" t="s">
        <v>112</v>
      </c>
      <c r="B55" s="32" t="s">
        <v>47</v>
      </c>
      <c r="C55" s="19" t="s">
        <v>48</v>
      </c>
      <c r="D55" s="207">
        <f>(0.14+0.15)*6*93.2</f>
        <v>162.16800000000003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49</v>
      </c>
      <c r="B56" s="32" t="s">
        <v>50</v>
      </c>
      <c r="C56" s="156">
        <v>0</v>
      </c>
      <c r="D56" s="207">
        <v>0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52</v>
      </c>
      <c r="B57" s="32" t="s">
        <v>50</v>
      </c>
      <c r="C57" s="156" t="s">
        <v>53</v>
      </c>
      <c r="D57" s="207">
        <f>(1.2+2)*6*93.2</f>
        <v>1789.4400000000003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54</v>
      </c>
      <c r="B58" s="32" t="s">
        <v>47</v>
      </c>
      <c r="C58" s="156" t="s">
        <v>55</v>
      </c>
      <c r="D58" s="207">
        <f>(0.2+0.21)*6*93.2</f>
        <v>229.272</v>
      </c>
      <c r="E58" s="34"/>
      <c r="F58" s="35"/>
      <c r="G58" s="36"/>
      <c r="I58" s="37"/>
      <c r="J58" s="37"/>
      <c r="K58" s="37"/>
      <c r="L58" s="37"/>
      <c r="M58" s="37"/>
      <c r="N58" s="37"/>
    </row>
    <row r="59" spans="1:14" ht="15">
      <c r="A59" s="31" t="s">
        <v>56</v>
      </c>
      <c r="B59" s="39" t="s">
        <v>57</v>
      </c>
      <c r="C59" s="40">
        <v>0</v>
      </c>
      <c r="D59" s="207">
        <v>0</v>
      </c>
      <c r="E59" s="34"/>
      <c r="F59" s="41"/>
      <c r="G59" s="42"/>
      <c r="H59" s="43"/>
      <c r="I59" s="37"/>
      <c r="J59" s="37"/>
      <c r="K59" s="37"/>
      <c r="L59" s="37"/>
      <c r="M59" s="37"/>
      <c r="N59" s="37"/>
    </row>
    <row r="60" spans="1:14" ht="15">
      <c r="A60" s="31" t="s">
        <v>635</v>
      </c>
      <c r="B60" s="39" t="s">
        <v>47</v>
      </c>
      <c r="C60" s="40" t="s">
        <v>245</v>
      </c>
      <c r="D60" s="207">
        <f>(0.64+0.68)*6*78</f>
        <v>617.76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244</v>
      </c>
      <c r="B61" s="39"/>
      <c r="C61" s="40" t="s">
        <v>55</v>
      </c>
      <c r="D61" s="220">
        <f>(0.2+0.21)*6*15.2</f>
        <v>37.391999999999996</v>
      </c>
      <c r="E61" s="34"/>
      <c r="F61" s="41"/>
      <c r="G61" s="42"/>
      <c r="I61" s="37"/>
      <c r="J61" s="37"/>
      <c r="K61" s="37"/>
      <c r="L61" s="37"/>
      <c r="M61" s="37"/>
      <c r="N61" s="37"/>
    </row>
    <row r="62" spans="1:14" ht="15">
      <c r="A62" s="31" t="s">
        <v>63</v>
      </c>
      <c r="B62" s="39" t="s">
        <v>64</v>
      </c>
      <c r="C62" s="40" t="s">
        <v>65</v>
      </c>
      <c r="D62" s="220">
        <f>(1.14+1.21)*6*93.2</f>
        <v>1314.12</v>
      </c>
      <c r="E62" s="34"/>
      <c r="F62" s="41"/>
      <c r="G62" s="42"/>
      <c r="I62" s="37"/>
      <c r="J62" s="37"/>
      <c r="K62" s="37"/>
      <c r="L62" s="37"/>
      <c r="M62" s="37"/>
      <c r="N62" s="37"/>
    </row>
    <row r="63" spans="1:14" ht="15">
      <c r="A63" s="31" t="s">
        <v>66</v>
      </c>
      <c r="B63" s="39" t="s">
        <v>67</v>
      </c>
      <c r="C63" s="40">
        <v>4.88</v>
      </c>
      <c r="D63" s="220">
        <f>4.88*12*93.2-0.05</f>
        <v>5457.742</v>
      </c>
      <c r="E63" s="34"/>
      <c r="F63" s="41"/>
      <c r="H63" s="45"/>
      <c r="I63" s="37"/>
      <c r="J63" s="37"/>
      <c r="K63" s="37"/>
      <c r="L63" s="37"/>
      <c r="M63" s="37"/>
      <c r="N63" s="37"/>
    </row>
    <row r="64" spans="1:14" ht="15">
      <c r="A64" s="31" t="s">
        <v>636</v>
      </c>
      <c r="B64" s="39"/>
      <c r="C64" s="40" t="s">
        <v>637</v>
      </c>
      <c r="D64" s="220">
        <f>(1.68+1.78)*6*49.3</f>
        <v>1023.4679999999998</v>
      </c>
      <c r="E64" s="34"/>
      <c r="F64" s="41"/>
      <c r="H64" s="45"/>
      <c r="I64" s="37"/>
      <c r="J64" s="37"/>
      <c r="K64" s="37"/>
      <c r="L64" s="37"/>
      <c r="M64" s="37"/>
      <c r="N64" s="37"/>
    </row>
    <row r="65" spans="1:14" ht="15">
      <c r="A65" s="46" t="s">
        <v>68</v>
      </c>
      <c r="B65" s="47"/>
      <c r="C65" s="48"/>
      <c r="D65" s="214">
        <f>SUM(D55:D64)</f>
        <v>10631.362000000001</v>
      </c>
      <c r="E65" s="34">
        <f>D65+B24</f>
        <v>11123.462000000001</v>
      </c>
      <c r="F65" s="41"/>
      <c r="H65" s="50">
        <f>E65-B20</f>
        <v>0.002000000002226443</v>
      </c>
      <c r="I65" s="37"/>
      <c r="J65" s="37"/>
      <c r="K65" s="37"/>
      <c r="L65" s="37"/>
      <c r="M65" s="37"/>
      <c r="N65" s="37"/>
    </row>
    <row r="66" spans="1:14" ht="15.75">
      <c r="A66" s="225" t="s">
        <v>69</v>
      </c>
      <c r="B66" s="226"/>
      <c r="C66" s="227"/>
      <c r="D66" s="212">
        <f>D67</f>
        <v>0</v>
      </c>
      <c r="E66" s="34"/>
      <c r="F66" s="41"/>
      <c r="H66" s="50"/>
      <c r="I66" s="37"/>
      <c r="J66" s="37"/>
      <c r="K66" s="37"/>
      <c r="L66" s="37"/>
      <c r="M66" s="37"/>
      <c r="N66" s="37"/>
    </row>
    <row r="67" spans="1:14" ht="15.75">
      <c r="A67" s="225"/>
      <c r="B67" s="226"/>
      <c r="C67" s="227"/>
      <c r="D67" s="212"/>
      <c r="E67" s="34"/>
      <c r="F67" s="45"/>
      <c r="H67" s="50"/>
      <c r="I67" s="37"/>
      <c r="J67" s="37"/>
      <c r="K67" s="37"/>
      <c r="L67" s="37"/>
      <c r="M67" s="37"/>
      <c r="N67" s="37"/>
    </row>
    <row r="68" spans="1:14" ht="15.75">
      <c r="A68" s="221" t="s">
        <v>71</v>
      </c>
      <c r="B68" s="222"/>
      <c r="C68" s="223"/>
      <c r="D68" s="212">
        <f>D65+D66</f>
        <v>10631.362000000001</v>
      </c>
      <c r="E68" s="34"/>
      <c r="F68" s="45"/>
      <c r="H68" s="50"/>
      <c r="I68" s="37"/>
      <c r="J68" s="37"/>
      <c r="K68" s="37"/>
      <c r="L68" s="37"/>
      <c r="M68" s="37"/>
      <c r="N68" s="37"/>
    </row>
    <row r="69" spans="1:8" ht="13.5" customHeight="1">
      <c r="A69" s="302" t="s">
        <v>72</v>
      </c>
      <c r="B69" s="302"/>
      <c r="C69" s="302"/>
      <c r="D69" s="60">
        <f>D70</f>
        <v>0</v>
      </c>
      <c r="E69" s="61"/>
      <c r="H69" s="34"/>
    </row>
    <row r="70" spans="1:8" ht="17.25" customHeight="1">
      <c r="A70" s="111"/>
      <c r="B70" s="145"/>
      <c r="C70" s="146"/>
      <c r="D70" s="228"/>
      <c r="E70" s="61"/>
      <c r="H70" s="34"/>
    </row>
    <row r="71" spans="1:5" ht="25.5" customHeight="1">
      <c r="A71" s="293" t="s">
        <v>73</v>
      </c>
      <c r="B71" s="293"/>
      <c r="C71" s="293"/>
      <c r="D71" s="60">
        <f>D72+D73</f>
        <v>10845.41</v>
      </c>
      <c r="E71" s="61"/>
    </row>
    <row r="72" spans="1:5" ht="15.75">
      <c r="A72" s="62" t="s">
        <v>74</v>
      </c>
      <c r="B72" s="63"/>
      <c r="C72" s="64"/>
      <c r="D72" s="60">
        <f>B16+B24-D66</f>
        <v>5793.01</v>
      </c>
      <c r="E72" s="61"/>
    </row>
    <row r="73" spans="1:5" ht="15.75">
      <c r="A73" s="63" t="s">
        <v>75</v>
      </c>
      <c r="B73" s="63"/>
      <c r="C73" s="64"/>
      <c r="D73" s="60">
        <f>B17+B25-D69</f>
        <v>5052.4</v>
      </c>
      <c r="E73" s="61"/>
    </row>
    <row r="74" spans="1:5" ht="13.5" customHeight="1">
      <c r="A74" s="294" t="s">
        <v>76</v>
      </c>
      <c r="B74" s="294"/>
      <c r="C74" s="294"/>
      <c r="D74" s="65">
        <v>5687.06</v>
      </c>
      <c r="E74" s="61"/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77</v>
      </c>
      <c r="B76" s="290"/>
      <c r="C76" s="290"/>
      <c r="D76" s="66">
        <f>D74*B20/B18</f>
        <v>1166.4189034186736</v>
      </c>
    </row>
    <row r="77" spans="1:4" ht="13.5" customHeight="1">
      <c r="A77" s="290" t="s">
        <v>28</v>
      </c>
      <c r="B77" s="290"/>
      <c r="C77" s="290"/>
      <c r="D77" s="66">
        <f>D74*B25/B18</f>
        <v>265.0051200543421</v>
      </c>
    </row>
    <row r="78" spans="1:4" ht="13.5" customHeight="1">
      <c r="A78" s="290" t="s">
        <v>29</v>
      </c>
      <c r="B78" s="290"/>
      <c r="C78" s="290"/>
      <c r="D78" s="66">
        <f>SUM(D80:D82)</f>
        <v>4255.635976526984</v>
      </c>
    </row>
    <row r="79" spans="1:4" ht="15">
      <c r="A79" s="290" t="s">
        <v>20</v>
      </c>
      <c r="B79" s="290"/>
      <c r="C79" s="290"/>
      <c r="D79" s="66"/>
    </row>
    <row r="80" spans="1:4" ht="13.5" customHeight="1">
      <c r="A80" s="290" t="s">
        <v>31</v>
      </c>
      <c r="B80" s="290"/>
      <c r="C80" s="290"/>
      <c r="D80" s="66">
        <f>D74*B30/B18</f>
        <v>967.0421880957382</v>
      </c>
    </row>
    <row r="81" spans="1:4" ht="15" customHeight="1">
      <c r="A81" s="290" t="s">
        <v>33</v>
      </c>
      <c r="B81" s="290"/>
      <c r="C81" s="290"/>
      <c r="D81" s="66">
        <f>D74*E30</f>
        <v>0</v>
      </c>
    </row>
    <row r="82" spans="1:4" ht="15" customHeight="1">
      <c r="A82" s="290" t="s">
        <v>34</v>
      </c>
      <c r="B82" s="290"/>
      <c r="C82" s="290"/>
      <c r="D82" s="66">
        <f>D74*B32/B18</f>
        <v>3288.593788431246</v>
      </c>
    </row>
    <row r="83" spans="1:4" ht="15">
      <c r="A83" s="290" t="s">
        <v>78</v>
      </c>
      <c r="B83" s="290"/>
      <c r="C83" s="290"/>
      <c r="D83" s="66"/>
    </row>
    <row r="84" spans="1:4" ht="15" customHeight="1">
      <c r="A84" s="290" t="s">
        <v>35</v>
      </c>
      <c r="B84" s="290"/>
      <c r="C84" s="290"/>
      <c r="D84" s="66"/>
    </row>
    <row r="85" spans="1:4" ht="25.5" customHeight="1">
      <c r="A85" s="295" t="s">
        <v>79</v>
      </c>
      <c r="B85" s="295"/>
      <c r="C85" s="295"/>
      <c r="D85" s="295"/>
    </row>
    <row r="86" spans="1:4" ht="38.25">
      <c r="A86" s="67" t="s">
        <v>80</v>
      </c>
      <c r="B86" s="68" t="s">
        <v>81</v>
      </c>
      <c r="C86" s="68" t="s">
        <v>623</v>
      </c>
      <c r="D86" s="67" t="s">
        <v>83</v>
      </c>
    </row>
    <row r="87" spans="1:4" ht="12.75" customHeight="1">
      <c r="A87" s="237" t="s">
        <v>264</v>
      </c>
      <c r="B87" s="306" t="s">
        <v>84</v>
      </c>
      <c r="C87" s="224" t="s">
        <v>631</v>
      </c>
      <c r="D87" s="67" t="s">
        <v>85</v>
      </c>
    </row>
    <row r="88" spans="1:4" ht="12.75">
      <c r="A88" s="237" t="s">
        <v>262</v>
      </c>
      <c r="B88" s="306"/>
      <c r="C88" s="224" t="s">
        <v>632</v>
      </c>
      <c r="D88" s="67" t="s">
        <v>85</v>
      </c>
    </row>
    <row r="89" spans="1:4" ht="13.5" customHeight="1">
      <c r="A89" s="46" t="s">
        <v>445</v>
      </c>
      <c r="B89" s="306"/>
      <c r="C89" s="166" t="s">
        <v>633</v>
      </c>
      <c r="D89" s="67" t="s">
        <v>85</v>
      </c>
    </row>
    <row r="90" spans="1:4" ht="13.5" customHeight="1">
      <c r="A90" s="31" t="s">
        <v>28</v>
      </c>
      <c r="B90" s="306"/>
      <c r="C90" s="70">
        <v>2.7</v>
      </c>
      <c r="D90" s="71" t="s">
        <v>85</v>
      </c>
    </row>
    <row r="91" spans="1:4" ht="45" customHeight="1">
      <c r="A91" s="31" t="s">
        <v>31</v>
      </c>
      <c r="B91" s="140" t="s">
        <v>86</v>
      </c>
      <c r="C91" s="70" t="s">
        <v>87</v>
      </c>
      <c r="D91" s="71" t="s">
        <v>88</v>
      </c>
    </row>
    <row r="92" spans="1:4" ht="39.75" customHeight="1">
      <c r="A92" s="31" t="s">
        <v>34</v>
      </c>
      <c r="B92" s="170" t="s">
        <v>90</v>
      </c>
      <c r="C92" s="147" t="s">
        <v>91</v>
      </c>
      <c r="D92" s="71" t="s">
        <v>92</v>
      </c>
    </row>
    <row r="94" ht="12.75">
      <c r="A94" t="s">
        <v>93</v>
      </c>
    </row>
    <row r="96" ht="12.75">
      <c r="A96" t="s">
        <v>95</v>
      </c>
    </row>
  </sheetData>
  <sheetProtection selectLockedCells="1" selectUnlockedCells="1"/>
  <mergeCells count="23">
    <mergeCell ref="A82:C82"/>
    <mergeCell ref="A83:C83"/>
    <mergeCell ref="A84:C84"/>
    <mergeCell ref="A85:D85"/>
    <mergeCell ref="B87:B90"/>
    <mergeCell ref="A76:C76"/>
    <mergeCell ref="A77:C77"/>
    <mergeCell ref="A78:C78"/>
    <mergeCell ref="A79:C79"/>
    <mergeCell ref="A80:C80"/>
    <mergeCell ref="A81:C81"/>
    <mergeCell ref="E23:H23"/>
    <mergeCell ref="A51:D52"/>
    <mergeCell ref="A69:C69"/>
    <mergeCell ref="A71:C71"/>
    <mergeCell ref="A74:C74"/>
    <mergeCell ref="A75:C75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42">
      <selection activeCell="D71" sqref="D7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638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639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spans="1:8" ht="12.75">
      <c r="A10" s="4"/>
      <c r="H10" s="1" t="s">
        <v>6</v>
      </c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-12663.890000000001</v>
      </c>
      <c r="C15" s="13"/>
      <c r="D15" s="14"/>
    </row>
    <row r="16" spans="1:4" ht="15.75">
      <c r="A16" s="15" t="s">
        <v>16</v>
      </c>
      <c r="B16" s="12">
        <v>-14536.61</v>
      </c>
      <c r="C16" s="13"/>
      <c r="D16" s="14"/>
    </row>
    <row r="17" spans="1:4" ht="15.75">
      <c r="A17" s="15" t="s">
        <v>17</v>
      </c>
      <c r="B17" s="174">
        <v>1872.72</v>
      </c>
      <c r="C17" s="175" t="s">
        <v>19</v>
      </c>
      <c r="D17" s="14"/>
    </row>
    <row r="18" spans="1:5" ht="25.5">
      <c r="A18" s="11" t="s">
        <v>18</v>
      </c>
      <c r="B18" s="16">
        <f>B20+B22+B25</f>
        <v>67922.65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15517.98</v>
      </c>
      <c r="C20" s="105" t="s">
        <v>640</v>
      </c>
      <c r="D20" s="14"/>
    </row>
    <row r="21" spans="1:5" ht="15">
      <c r="A21" s="9" t="s">
        <v>147</v>
      </c>
      <c r="B21" s="16">
        <v>1181.42</v>
      </c>
      <c r="C21" s="19" t="s">
        <v>641</v>
      </c>
      <c r="D21" s="20"/>
      <c r="E21" s="17">
        <f>(0.71+0.92)*6*120.8</f>
        <v>1181.424</v>
      </c>
    </row>
    <row r="22" spans="1:5" ht="15.75">
      <c r="A22" s="9" t="s">
        <v>28</v>
      </c>
      <c r="B22" s="118">
        <v>1872.72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 t="s">
        <v>6</v>
      </c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B27+B29</f>
        <v>50531.95</v>
      </c>
      <c r="C25" s="19" t="s">
        <v>19</v>
      </c>
      <c r="D25" s="20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9883.2</v>
      </c>
      <c r="C27" s="19" t="s">
        <v>19</v>
      </c>
      <c r="D27" s="27" t="s">
        <v>32</v>
      </c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34</v>
      </c>
      <c r="B29" s="16">
        <v>40648.75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58507.17</v>
      </c>
      <c r="C31" s="13" t="s">
        <v>19</v>
      </c>
      <c r="D31" s="14" t="s">
        <v>19</v>
      </c>
      <c r="E31" s="1">
        <f>B31/B18</f>
        <v>0.8613793778658518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13366.867958134731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1613.1223885169381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B37+B39</f>
        <v>43527.179653348336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8513.184667323787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35013.99498602455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B43+B45</f>
        <v>43527.179653348336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8513.184667323787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35013.99498602455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(0.14+0.15)*6*120.8</f>
        <v>210.192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(1.2+2)*6*120.8</f>
        <v>2319.36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(0.2+0.21)*6*120.8</f>
        <v>297.168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245</v>
      </c>
      <c r="D57" s="207">
        <f>(0.64+0.68)*6*120.8</f>
        <v>956.736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(1.14+1.21)*6*120.8</f>
        <v>1703.2799999999997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4.88*12*120.8+0.02</f>
        <v>7074.068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636</v>
      </c>
      <c r="B60" s="39"/>
      <c r="C60" s="44" t="s">
        <v>642</v>
      </c>
      <c r="D60" s="207">
        <f>(1.19+1.26)*6*120.8</f>
        <v>1775.76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14336.564</v>
      </c>
      <c r="E61" s="34">
        <f>D61+B21</f>
        <v>15517.984</v>
      </c>
      <c r="F61" s="41"/>
      <c r="H61" s="50">
        <f>E61-B20</f>
        <v>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14336.564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>
        <f>347.32*12</f>
        <v>4167.84</v>
      </c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-9609.75</v>
      </c>
      <c r="E67" s="61"/>
    </row>
    <row r="68" spans="1:5" ht="15.75">
      <c r="A68" s="78" t="s">
        <v>74</v>
      </c>
      <c r="B68" s="114"/>
      <c r="C68" s="115"/>
      <c r="D68" s="113">
        <f>B16+B21-D62</f>
        <v>-13355.19</v>
      </c>
      <c r="E68" s="61"/>
    </row>
    <row r="69" spans="1:5" ht="15.75">
      <c r="A69" s="63" t="s">
        <v>75</v>
      </c>
      <c r="B69" s="63"/>
      <c r="C69" s="64"/>
      <c r="D69" s="60">
        <f>B17+B22-D65</f>
        <v>3745.44</v>
      </c>
      <c r="E69" s="61"/>
    </row>
    <row r="70" spans="1:5" ht="13.5" customHeight="1">
      <c r="A70" s="294" t="s">
        <v>76</v>
      </c>
      <c r="B70" s="294"/>
      <c r="C70" s="294"/>
      <c r="D70" s="65">
        <v>14966.76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3419.3878234256176</v>
      </c>
    </row>
    <row r="73" spans="1:4" ht="13.5" customHeight="1">
      <c r="A73" s="290" t="s">
        <v>28</v>
      </c>
      <c r="B73" s="290"/>
      <c r="C73" s="290"/>
      <c r="D73" s="66">
        <f>D70*B22/B18</f>
        <v>412.6539642843735</v>
      </c>
    </row>
    <row r="74" spans="1:4" ht="13.5" customHeight="1">
      <c r="A74" s="290" t="s">
        <v>29</v>
      </c>
      <c r="B74" s="290"/>
      <c r="C74" s="290"/>
      <c r="D74" s="66">
        <f>SUM(D76:D78)</f>
        <v>11134.718212290009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2177.7637125759966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D70*B29/B18</f>
        <v>8956.954499714013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623</v>
      </c>
      <c r="D82" s="67" t="s">
        <v>83</v>
      </c>
    </row>
    <row r="83" spans="1:4" ht="22.5" customHeight="1">
      <c r="A83" s="237" t="s">
        <v>77</v>
      </c>
      <c r="B83" s="306" t="s">
        <v>84</v>
      </c>
      <c r="C83" s="224" t="s">
        <v>640</v>
      </c>
      <c r="D83" s="67" t="s">
        <v>85</v>
      </c>
    </row>
    <row r="84" spans="1:4" ht="18" customHeight="1">
      <c r="A84" s="31" t="s">
        <v>28</v>
      </c>
      <c r="B84" s="306"/>
      <c r="C84" s="70">
        <v>2.7</v>
      </c>
      <c r="D84" s="71" t="s">
        <v>85</v>
      </c>
    </row>
    <row r="85" spans="1:4" ht="38.25">
      <c r="A85" s="31" t="s">
        <v>31</v>
      </c>
      <c r="B85" s="140" t="s">
        <v>86</v>
      </c>
      <c r="C85" s="70" t="s">
        <v>87</v>
      </c>
      <c r="D85" s="71" t="s">
        <v>88</v>
      </c>
    </row>
    <row r="86" spans="1:4" ht="38.25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62">
      <selection activeCell="A74" sqref="A74:C7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144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145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21690.74</v>
      </c>
      <c r="C15" s="13"/>
      <c r="D15" s="14"/>
    </row>
    <row r="16" spans="1:4" ht="15.75">
      <c r="A16" s="15" t="s">
        <v>16</v>
      </c>
      <c r="B16" s="12">
        <v>19038.74</v>
      </c>
      <c r="C16" s="13"/>
      <c r="D16" s="14"/>
    </row>
    <row r="17" spans="1:4" ht="15.75">
      <c r="A17" s="15" t="s">
        <v>17</v>
      </c>
      <c r="B17" s="12">
        <v>2652</v>
      </c>
      <c r="C17" s="13"/>
      <c r="D17" s="14"/>
    </row>
    <row r="18" spans="1:8" ht="25.5">
      <c r="A18" s="11" t="s">
        <v>18</v>
      </c>
      <c r="B18" s="16">
        <f>B20+B24+B25</f>
        <v>277195.93</v>
      </c>
      <c r="C18" s="148" t="s">
        <v>19</v>
      </c>
      <c r="D18" s="14" t="s">
        <v>19</v>
      </c>
      <c r="E18" s="17"/>
      <c r="H18" s="149">
        <f>H19-B20</f>
        <v>-55918.8012</v>
      </c>
    </row>
    <row r="19" spans="1:8" ht="15">
      <c r="A19" s="9" t="s">
        <v>20</v>
      </c>
      <c r="B19" s="25"/>
      <c r="C19" s="148"/>
      <c r="D19" s="14"/>
      <c r="H19" s="1">
        <f>E20+H20-721.86-2847.51</f>
        <v>7666.1988</v>
      </c>
    </row>
    <row r="20" spans="1:8" ht="15">
      <c r="A20" s="9" t="s">
        <v>77</v>
      </c>
      <c r="B20" s="16">
        <v>63585</v>
      </c>
      <c r="C20" s="105" t="s">
        <v>146</v>
      </c>
      <c r="D20" s="14"/>
      <c r="E20" s="1">
        <f>11.86*446.92</f>
        <v>5300.4712</v>
      </c>
      <c r="H20" s="1">
        <f>13.28*446.92</f>
        <v>5935.0976</v>
      </c>
    </row>
    <row r="21" spans="1:5" ht="15">
      <c r="A21" s="9" t="s">
        <v>147</v>
      </c>
      <c r="B21" s="16">
        <v>2118.4008000000003</v>
      </c>
      <c r="C21" s="19" t="s">
        <v>148</v>
      </c>
      <c r="D21" s="20"/>
      <c r="E21" s="17">
        <f>(0.12+0.67)*6*446.92</f>
        <v>2118.4008000000003</v>
      </c>
    </row>
    <row r="22" spans="1:5" ht="15.75">
      <c r="A22" s="9" t="s">
        <v>149</v>
      </c>
      <c r="B22" s="118"/>
      <c r="C22" s="119" t="s">
        <v>6</v>
      </c>
      <c r="D22" s="20"/>
      <c r="E22" s="17"/>
    </row>
    <row r="23" spans="1:5" ht="15.75">
      <c r="A23" s="9" t="s">
        <v>150</v>
      </c>
      <c r="B23" s="129"/>
      <c r="C23" s="21"/>
      <c r="D23" s="20"/>
      <c r="E23" s="17"/>
    </row>
    <row r="24" spans="1:4" ht="15">
      <c r="A24" s="9" t="s">
        <v>28</v>
      </c>
      <c r="B24" s="150">
        <v>0</v>
      </c>
      <c r="C24" s="151">
        <v>0</v>
      </c>
      <c r="D24" s="20" t="s">
        <v>30</v>
      </c>
    </row>
    <row r="25" spans="1:4" ht="15">
      <c r="A25" s="9" t="s">
        <v>29</v>
      </c>
      <c r="B25" s="16">
        <f>B27+B28+B29</f>
        <v>213610.93</v>
      </c>
      <c r="C25" s="152" t="s">
        <v>19</v>
      </c>
      <c r="D25" s="20"/>
    </row>
    <row r="26" spans="1:5" ht="15">
      <c r="A26" s="9" t="s">
        <v>20</v>
      </c>
      <c r="B26" s="16"/>
      <c r="C26" s="153"/>
      <c r="D26" s="27" t="s">
        <v>32</v>
      </c>
      <c r="E26" s="17"/>
    </row>
    <row r="27" spans="1:5" ht="15">
      <c r="A27" s="9" t="s">
        <v>31</v>
      </c>
      <c r="B27" s="16">
        <v>29380.08</v>
      </c>
      <c r="C27" s="152" t="s">
        <v>19</v>
      </c>
      <c r="D27" s="27" t="s">
        <v>32</v>
      </c>
      <c r="E27" s="17"/>
    </row>
    <row r="28" spans="1:5" ht="15">
      <c r="A28" s="9" t="s">
        <v>33</v>
      </c>
      <c r="B28" s="16">
        <v>33844.02</v>
      </c>
      <c r="C28" s="152" t="s">
        <v>19</v>
      </c>
      <c r="D28" s="28"/>
      <c r="E28" s="17"/>
    </row>
    <row r="29" spans="1:5" ht="15">
      <c r="A29" s="9" t="s">
        <v>34</v>
      </c>
      <c r="B29" s="16">
        <v>150386.83</v>
      </c>
      <c r="C29" s="152"/>
      <c r="D29" s="20" t="s">
        <v>6</v>
      </c>
      <c r="E29" s="17"/>
    </row>
    <row r="30" spans="1:5" ht="25.5">
      <c r="A30" s="11" t="s">
        <v>36</v>
      </c>
      <c r="B30" s="18">
        <v>217189.66</v>
      </c>
      <c r="C30" s="13" t="s">
        <v>19</v>
      </c>
      <c r="D30" s="14" t="s">
        <v>19</v>
      </c>
      <c r="E30" s="1">
        <f>B30/B18</f>
        <v>0.7835239860844999</v>
      </c>
    </row>
    <row r="31" spans="1:4" ht="15">
      <c r="A31" s="9" t="s">
        <v>28</v>
      </c>
      <c r="B31" s="18">
        <f>B24*E30</f>
        <v>0</v>
      </c>
      <c r="C31" s="13"/>
      <c r="D31" s="14"/>
    </row>
    <row r="32" spans="1:4" ht="15">
      <c r="A32" s="9" t="s">
        <v>29</v>
      </c>
      <c r="B32" s="18">
        <f>B34+B35+B36</f>
        <v>167369.28734481707</v>
      </c>
      <c r="C32" s="18" t="s">
        <v>6</v>
      </c>
      <c r="D32" s="14" t="s">
        <v>19</v>
      </c>
    </row>
    <row r="33" spans="1:4" ht="15">
      <c r="A33" s="9" t="s">
        <v>20</v>
      </c>
      <c r="B33" s="18"/>
      <c r="C33" s="13" t="s">
        <v>19</v>
      </c>
      <c r="D33" s="14" t="s">
        <v>19</v>
      </c>
    </row>
    <row r="34" spans="1:4" ht="15">
      <c r="A34" s="9" t="s">
        <v>31</v>
      </c>
      <c r="B34" s="18">
        <f>B27*E30</f>
        <v>23019.997393081496</v>
      </c>
      <c r="C34" s="13"/>
      <c r="D34" s="14"/>
    </row>
    <row r="35" spans="1:4" ht="15">
      <c r="A35" s="9" t="s">
        <v>33</v>
      </c>
      <c r="B35" s="18">
        <f>B28*E30</f>
        <v>26517.601455523534</v>
      </c>
      <c r="C35" s="13" t="s">
        <v>19</v>
      </c>
      <c r="D35" s="14"/>
    </row>
    <row r="36" spans="1:4" ht="15">
      <c r="A36" s="9" t="s">
        <v>34</v>
      </c>
      <c r="B36" s="18">
        <f>B29*E30</f>
        <v>117831.68849621204</v>
      </c>
      <c r="C36" s="13" t="s">
        <v>19</v>
      </c>
      <c r="D36" s="14"/>
    </row>
    <row r="37" spans="1:4" ht="15">
      <c r="A37" s="9" t="s">
        <v>35</v>
      </c>
      <c r="B37" s="18"/>
      <c r="C37" s="13"/>
      <c r="D37" s="14"/>
    </row>
    <row r="38" spans="1:4" ht="15">
      <c r="A38" s="9" t="s">
        <v>35</v>
      </c>
      <c r="B38" s="18"/>
      <c r="C38" s="13"/>
      <c r="D38" s="14"/>
    </row>
    <row r="39" spans="1:4" ht="38.25">
      <c r="A39" s="11" t="s">
        <v>40</v>
      </c>
      <c r="B39" s="18">
        <f>B41+B42+B43</f>
        <v>167369.28734481707</v>
      </c>
      <c r="C39" s="13" t="s">
        <v>19</v>
      </c>
      <c r="D39" s="14" t="s">
        <v>19</v>
      </c>
    </row>
    <row r="40" spans="1:4" ht="15">
      <c r="A40" s="9" t="s">
        <v>20</v>
      </c>
      <c r="B40" s="18"/>
      <c r="C40" s="13"/>
      <c r="D40" s="14"/>
    </row>
    <row r="41" spans="1:4" ht="15">
      <c r="A41" s="9" t="s">
        <v>31</v>
      </c>
      <c r="B41" s="18">
        <f>B34</f>
        <v>23019.997393081496</v>
      </c>
      <c r="C41" s="13" t="s">
        <v>19</v>
      </c>
      <c r="D41" s="14"/>
    </row>
    <row r="42" spans="1:4" ht="15">
      <c r="A42" s="9" t="s">
        <v>33</v>
      </c>
      <c r="B42" s="18">
        <f>B35</f>
        <v>26517.601455523534</v>
      </c>
      <c r="C42" s="13" t="s">
        <v>19</v>
      </c>
      <c r="D42" s="14"/>
    </row>
    <row r="43" spans="1:4" ht="15">
      <c r="A43" s="9" t="s">
        <v>34</v>
      </c>
      <c r="B43" s="18">
        <f>B36</f>
        <v>117831.68849621204</v>
      </c>
      <c r="C43" s="13"/>
      <c r="D43" s="14"/>
    </row>
    <row r="44" spans="1:8" ht="15">
      <c r="A44" s="9" t="s">
        <v>35</v>
      </c>
      <c r="B44" s="18"/>
      <c r="C44" s="13" t="s">
        <v>19</v>
      </c>
      <c r="D44" s="14"/>
      <c r="H44" s="1" t="s">
        <v>6</v>
      </c>
    </row>
    <row r="45" ht="12.75">
      <c r="A45" s="4"/>
    </row>
    <row r="46" spans="1:10" ht="13.5" customHeight="1">
      <c r="A46" s="291" t="s">
        <v>41</v>
      </c>
      <c r="B46" s="291"/>
      <c r="C46" s="291"/>
      <c r="D46" s="291"/>
      <c r="I46" s="141"/>
      <c r="J46" s="141"/>
    </row>
    <row r="47" spans="1:4" ht="9" customHeight="1">
      <c r="A47" s="291"/>
      <c r="B47" s="291"/>
      <c r="C47" s="291"/>
      <c r="D47" s="291"/>
    </row>
    <row r="48" spans="1:3" ht="12.75">
      <c r="A48" s="4"/>
      <c r="C48" s="6" t="s">
        <v>10</v>
      </c>
    </row>
    <row r="49" spans="1:14" ht="66.75" customHeight="1">
      <c r="A49" s="8" t="s">
        <v>42</v>
      </c>
      <c r="B49" s="8" t="s">
        <v>43</v>
      </c>
      <c r="C49" s="8" t="s">
        <v>44</v>
      </c>
      <c r="D49" s="248" t="s">
        <v>715</v>
      </c>
      <c r="I49" s="142"/>
      <c r="J49" s="142"/>
      <c r="K49" s="3"/>
      <c r="L49" s="3"/>
      <c r="M49" s="3"/>
      <c r="N49" s="3"/>
    </row>
    <row r="50" spans="1:14" ht="15">
      <c r="A50" s="31" t="s">
        <v>112</v>
      </c>
      <c r="B50" s="32" t="s">
        <v>47</v>
      </c>
      <c r="C50" s="21" t="s">
        <v>48</v>
      </c>
      <c r="D50" s="33">
        <f>(0.14+0.15)*6*446.92</f>
        <v>777.6408000000001</v>
      </c>
      <c r="E50" s="34"/>
      <c r="F50" s="35"/>
      <c r="G50" s="36"/>
      <c r="I50" s="45"/>
      <c r="J50" s="45"/>
      <c r="K50" s="37"/>
      <c r="L50" s="37"/>
      <c r="M50" s="37"/>
      <c r="N50" s="37"/>
    </row>
    <row r="51" spans="1:14" ht="15">
      <c r="A51" s="31" t="s">
        <v>49</v>
      </c>
      <c r="B51" s="32" t="s">
        <v>50</v>
      </c>
      <c r="C51" s="38" t="s">
        <v>51</v>
      </c>
      <c r="D51" s="33">
        <f>(2.1+2.23)*6*446.92</f>
        <v>11610.981600000001</v>
      </c>
      <c r="E51" s="34"/>
      <c r="F51" s="35"/>
      <c r="G51" s="36"/>
      <c r="I51" s="45"/>
      <c r="J51" s="45"/>
      <c r="K51" s="37"/>
      <c r="L51" s="37"/>
      <c r="M51" s="37"/>
      <c r="N51" s="37"/>
    </row>
    <row r="52" spans="1:14" ht="15">
      <c r="A52" s="31" t="s">
        <v>52</v>
      </c>
      <c r="B52" s="32" t="s">
        <v>50</v>
      </c>
      <c r="C52" s="38" t="s">
        <v>53</v>
      </c>
      <c r="D52" s="33">
        <f>(1.2+2)*6*446.92</f>
        <v>8580.864000000001</v>
      </c>
      <c r="E52" s="34"/>
      <c r="F52" s="35"/>
      <c r="G52" s="36"/>
      <c r="I52" s="45"/>
      <c r="J52" s="45"/>
      <c r="K52" s="37"/>
      <c r="L52" s="37"/>
      <c r="M52" s="37"/>
      <c r="N52" s="37"/>
    </row>
    <row r="53" spans="1:14" ht="15">
      <c r="A53" s="31" t="s">
        <v>54</v>
      </c>
      <c r="B53" s="32" t="s">
        <v>47</v>
      </c>
      <c r="C53" s="38" t="s">
        <v>130</v>
      </c>
      <c r="D53" s="33">
        <f>(0.11+0.12)*6*446.92</f>
        <v>616.7496</v>
      </c>
      <c r="E53" s="34"/>
      <c r="F53" s="35"/>
      <c r="G53" s="36"/>
      <c r="I53" s="45"/>
      <c r="J53" s="45"/>
      <c r="K53" s="37"/>
      <c r="L53" s="37"/>
      <c r="M53" s="37"/>
      <c r="N53" s="37"/>
    </row>
    <row r="54" spans="1:14" ht="15">
      <c r="A54" s="31" t="s">
        <v>56</v>
      </c>
      <c r="B54" s="251" t="s">
        <v>47</v>
      </c>
      <c r="C54" s="40" t="s">
        <v>151</v>
      </c>
      <c r="D54" s="33">
        <f>(0.86+0.63)*6*446.92-721.86</f>
        <v>3273.6047999999996</v>
      </c>
      <c r="E54" s="34">
        <f>120.31*6</f>
        <v>721.86</v>
      </c>
      <c r="F54" s="41"/>
      <c r="G54" s="42"/>
      <c r="H54" s="43"/>
      <c r="I54" s="45"/>
      <c r="J54" s="45"/>
      <c r="K54" s="37"/>
      <c r="L54" s="37"/>
      <c r="M54" s="37"/>
      <c r="N54" s="37"/>
    </row>
    <row r="55" spans="1:14" ht="15">
      <c r="A55" s="31" t="s">
        <v>115</v>
      </c>
      <c r="B55" s="39" t="s">
        <v>47</v>
      </c>
      <c r="C55" s="44" t="s">
        <v>60</v>
      </c>
      <c r="D55" s="33">
        <f>(0.69+0.73)*6*446.92</f>
        <v>3807.7584</v>
      </c>
      <c r="E55" s="34"/>
      <c r="F55" s="41"/>
      <c r="G55" s="42"/>
      <c r="I55" s="45"/>
      <c r="J55" s="45"/>
      <c r="K55" s="37"/>
      <c r="L55" s="37"/>
      <c r="M55" s="37"/>
      <c r="N55" s="37"/>
    </row>
    <row r="56" spans="1:14" ht="15">
      <c r="A56" s="31" t="s">
        <v>63</v>
      </c>
      <c r="B56" s="39" t="s">
        <v>64</v>
      </c>
      <c r="C56" s="40" t="s">
        <v>65</v>
      </c>
      <c r="D56" s="33">
        <f>(1.14+1.21)*6*446.92</f>
        <v>6301.571999999999</v>
      </c>
      <c r="E56" s="34"/>
      <c r="F56" s="41"/>
      <c r="G56" s="42"/>
      <c r="I56" s="45"/>
      <c r="J56" s="45"/>
      <c r="K56" s="37"/>
      <c r="L56" s="37"/>
      <c r="M56" s="37"/>
      <c r="N56" s="37"/>
    </row>
    <row r="57" spans="1:14" ht="15">
      <c r="A57" s="31" t="s">
        <v>66</v>
      </c>
      <c r="B57" s="39" t="s">
        <v>67</v>
      </c>
      <c r="C57" s="44">
        <v>4.88</v>
      </c>
      <c r="D57" s="33">
        <f>4.88*12*446.92</f>
        <v>26171.6352</v>
      </c>
      <c r="E57" s="34"/>
      <c r="F57" s="41"/>
      <c r="H57" s="45"/>
      <c r="I57" s="45"/>
      <c r="J57" s="45"/>
      <c r="K57" s="37"/>
      <c r="L57" s="37"/>
      <c r="M57" s="37"/>
      <c r="N57" s="37"/>
    </row>
    <row r="58" spans="1:14" ht="15">
      <c r="A58" s="31" t="s">
        <v>102</v>
      </c>
      <c r="B58" s="39"/>
      <c r="C58" s="44" t="s">
        <v>103</v>
      </c>
      <c r="D58" s="33">
        <f>(0.62+0.66)*6*446.92-258.99-0.05</f>
        <v>3173.3055999999997</v>
      </c>
      <c r="E58" s="34" t="s">
        <v>152</v>
      </c>
      <c r="F58" s="41"/>
      <c r="H58" s="45"/>
      <c r="I58" s="45"/>
      <c r="J58" s="45"/>
      <c r="K58" s="37"/>
      <c r="L58" s="37"/>
      <c r="M58" s="37"/>
      <c r="N58" s="37"/>
    </row>
    <row r="59" spans="1:14" ht="15">
      <c r="A59" s="46" t="s">
        <v>68</v>
      </c>
      <c r="B59" s="47"/>
      <c r="C59" s="48"/>
      <c r="D59" s="49">
        <f>SUM(D50:D58)</f>
        <v>64314.112</v>
      </c>
      <c r="E59" s="34">
        <f>D59+B21</f>
        <v>66432.5128</v>
      </c>
      <c r="F59" s="41"/>
      <c r="H59" s="50">
        <f>E59-B20</f>
        <v>2847.512799999997</v>
      </c>
      <c r="I59" s="45" t="s">
        <v>153</v>
      </c>
      <c r="J59" s="45"/>
      <c r="K59" s="37"/>
      <c r="L59" s="37"/>
      <c r="M59" s="37"/>
      <c r="N59" s="37"/>
    </row>
    <row r="60" spans="1:14" ht="15.75">
      <c r="A60" s="51" t="s">
        <v>69</v>
      </c>
      <c r="B60" s="52"/>
      <c r="C60" s="53"/>
      <c r="D60" s="122">
        <f>D61+D62+D63</f>
        <v>1650.1399999999999</v>
      </c>
      <c r="E60" s="34"/>
      <c r="F60" s="41"/>
      <c r="H60" s="50">
        <v>2847.51</v>
      </c>
      <c r="I60" s="45"/>
      <c r="J60" s="45"/>
      <c r="K60" s="37"/>
      <c r="L60" s="37"/>
      <c r="M60" s="37"/>
      <c r="N60" s="37"/>
    </row>
    <row r="61" spans="1:14" ht="15.75">
      <c r="A61" s="51" t="s">
        <v>154</v>
      </c>
      <c r="B61" s="52"/>
      <c r="C61" s="53"/>
      <c r="D61" s="122">
        <v>515.88</v>
      </c>
      <c r="E61" s="34"/>
      <c r="F61" s="41"/>
      <c r="H61" s="50">
        <f>H59-H60</f>
        <v>0.0027999999965686584</v>
      </c>
      <c r="I61" s="45"/>
      <c r="J61" s="45"/>
      <c r="K61" s="37"/>
      <c r="L61" s="37"/>
      <c r="M61" s="37"/>
      <c r="N61" s="37"/>
    </row>
    <row r="62" spans="1:14" ht="15.75">
      <c r="A62" s="51" t="s">
        <v>155</v>
      </c>
      <c r="B62" s="52"/>
      <c r="C62" s="53"/>
      <c r="D62" s="122">
        <v>713.2</v>
      </c>
      <c r="E62" s="34"/>
      <c r="F62" s="41"/>
      <c r="H62" s="50"/>
      <c r="I62" s="45"/>
      <c r="J62" s="45"/>
      <c r="K62" s="37"/>
      <c r="L62" s="37"/>
      <c r="M62" s="37"/>
      <c r="N62" s="37"/>
    </row>
    <row r="63" spans="1:14" ht="15.75">
      <c r="A63" s="51" t="s">
        <v>156</v>
      </c>
      <c r="B63" s="52"/>
      <c r="C63" s="53"/>
      <c r="D63" s="122">
        <v>421.06</v>
      </c>
      <c r="E63" s="34"/>
      <c r="F63" s="41"/>
      <c r="H63" s="50"/>
      <c r="I63" s="45"/>
      <c r="J63" s="45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D59+D60</f>
        <v>65964.25200000001</v>
      </c>
      <c r="E64" s="34"/>
      <c r="F64" s="45"/>
      <c r="H64" s="50"/>
      <c r="I64" s="45"/>
      <c r="J64" s="45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H65" s="34">
        <f>347.32*12</f>
        <v>4167.84</v>
      </c>
    </row>
    <row r="66" spans="1:8" ht="13.5" customHeight="1">
      <c r="A66" s="145"/>
      <c r="B66" s="145"/>
      <c r="C66" s="146"/>
      <c r="D66" s="124">
        <v>0</v>
      </c>
      <c r="E66" s="61"/>
      <c r="H66" s="34"/>
    </row>
    <row r="67" spans="1:5" ht="25.5" customHeight="1">
      <c r="A67" s="293" t="s">
        <v>73</v>
      </c>
      <c r="B67" s="293"/>
      <c r="C67" s="293"/>
      <c r="D67" s="124">
        <f>D68+D69</f>
        <v>22159.0008</v>
      </c>
      <c r="E67" s="61"/>
    </row>
    <row r="68" spans="1:5" ht="15.75">
      <c r="A68" s="62" t="s">
        <v>74</v>
      </c>
      <c r="B68" s="63"/>
      <c r="C68" s="64"/>
      <c r="D68" s="124">
        <f>B16+B21-D60</f>
        <v>19507.0008</v>
      </c>
      <c r="E68" s="61"/>
    </row>
    <row r="69" spans="1:5" ht="15.75">
      <c r="A69" s="63" t="s">
        <v>75</v>
      </c>
      <c r="B69" s="63"/>
      <c r="C69" s="64"/>
      <c r="D69" s="124">
        <f>B17+B24-D65</f>
        <v>2652</v>
      </c>
      <c r="E69" s="61"/>
    </row>
    <row r="70" spans="1:5" ht="13.5" customHeight="1">
      <c r="A70" s="294" t="s">
        <v>76</v>
      </c>
      <c r="B70" s="294"/>
      <c r="C70" s="294"/>
      <c r="D70" s="125">
        <v>120589.37</v>
      </c>
      <c r="E70" s="61"/>
    </row>
    <row r="71" spans="1:4" ht="15" customHeight="1">
      <c r="A71" s="290" t="s">
        <v>20</v>
      </c>
      <c r="B71" s="290"/>
      <c r="C71" s="290"/>
      <c r="D71" s="126"/>
    </row>
    <row r="72" spans="1:4" ht="13.5" customHeight="1">
      <c r="A72" s="290" t="s">
        <v>77</v>
      </c>
      <c r="B72" s="290"/>
      <c r="C72" s="290"/>
      <c r="D72" s="126">
        <f>D70*B20/B18</f>
        <v>27661.571695695533</v>
      </c>
    </row>
    <row r="73" spans="1:4" ht="13.5" customHeight="1">
      <c r="A73" s="290" t="s">
        <v>28</v>
      </c>
      <c r="B73" s="290"/>
      <c r="C73" s="290"/>
      <c r="D73" s="126">
        <f>D70*B24/B18</f>
        <v>0</v>
      </c>
    </row>
    <row r="74" spans="1:4" ht="13.5" customHeight="1">
      <c r="A74" s="290" t="s">
        <v>29</v>
      </c>
      <c r="B74" s="290"/>
      <c r="C74" s="290"/>
      <c r="D74" s="126">
        <f>SUM(D76:D78)</f>
        <v>92927.79830430445</v>
      </c>
    </row>
    <row r="75" spans="1:4" ht="15">
      <c r="A75" s="290" t="s">
        <v>20</v>
      </c>
      <c r="B75" s="290"/>
      <c r="C75" s="290"/>
      <c r="D75" s="126"/>
    </row>
    <row r="76" spans="1:4" ht="13.5" customHeight="1">
      <c r="A76" s="290" t="s">
        <v>31</v>
      </c>
      <c r="B76" s="290"/>
      <c r="C76" s="290"/>
      <c r="D76" s="126">
        <f>D70*B27/B18</f>
        <v>12781.303599044906</v>
      </c>
    </row>
    <row r="77" spans="1:4" ht="15">
      <c r="A77" s="290" t="s">
        <v>33</v>
      </c>
      <c r="B77" s="290"/>
      <c r="C77" s="290"/>
      <c r="D77" s="126">
        <f>D70*B28/B18</f>
        <v>14723.264696084821</v>
      </c>
    </row>
    <row r="78" spans="1:4" ht="15" customHeight="1">
      <c r="A78" s="290" t="s">
        <v>34</v>
      </c>
      <c r="B78" s="290"/>
      <c r="C78" s="290"/>
      <c r="D78" s="126">
        <f>D70*B29/B18</f>
        <v>65423.23000917473</v>
      </c>
    </row>
    <row r="79" spans="1:4" ht="15">
      <c r="A79" s="290" t="s">
        <v>78</v>
      </c>
      <c r="B79" s="290"/>
      <c r="C79" s="290"/>
      <c r="D79" s="126"/>
    </row>
    <row r="80" spans="1:4" ht="15" customHeight="1">
      <c r="A80" s="290" t="s">
        <v>35</v>
      </c>
      <c r="B80" s="290"/>
      <c r="C80" s="290"/>
      <c r="D80" s="154">
        <f>D70*E29</f>
        <v>0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2" customHeight="1">
      <c r="A83" s="72" t="s">
        <v>77</v>
      </c>
      <c r="B83" s="69" t="s">
        <v>84</v>
      </c>
      <c r="C83" s="105" t="s">
        <v>146</v>
      </c>
      <c r="D83" s="67" t="s">
        <v>85</v>
      </c>
    </row>
    <row r="84" spans="1:4" ht="19.5" customHeight="1">
      <c r="A84" s="72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72" t="s">
        <v>33</v>
      </c>
      <c r="B85" s="297"/>
      <c r="C85" s="70" t="s">
        <v>89</v>
      </c>
      <c r="D85" s="249" t="s">
        <v>716</v>
      </c>
    </row>
    <row r="86" spans="1:4" ht="39.75" customHeight="1">
      <c r="A86" s="72" t="s">
        <v>34</v>
      </c>
      <c r="B86" s="73" t="s">
        <v>90</v>
      </c>
      <c r="C86" s="70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79:C79"/>
    <mergeCell ref="A80:C80"/>
    <mergeCell ref="A81:D81"/>
    <mergeCell ref="B84:B85"/>
    <mergeCell ref="A73:C73"/>
    <mergeCell ref="A74:C74"/>
    <mergeCell ref="A75:C75"/>
    <mergeCell ref="A76:C76"/>
    <mergeCell ref="A77:C77"/>
    <mergeCell ref="A78:C78"/>
    <mergeCell ref="A46:D47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600" verticalDpi="600" orientation="landscape" scale="65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80" zoomScaleNormal="80" zoomScalePageLayoutView="0" workbookViewId="0" topLeftCell="A44">
      <selection activeCell="D72" sqref="D72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643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644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11446.4</v>
      </c>
      <c r="C15" s="13"/>
      <c r="D15" s="14"/>
    </row>
    <row r="16" spans="1:4" ht="15.75">
      <c r="A16" s="15" t="s">
        <v>16</v>
      </c>
      <c r="B16" s="12">
        <v>9333.92</v>
      </c>
      <c r="C16" s="13"/>
      <c r="D16" s="14"/>
    </row>
    <row r="17" spans="1:4" ht="15.75">
      <c r="A17" s="15" t="s">
        <v>17</v>
      </c>
      <c r="B17" s="174">
        <v>2112.48</v>
      </c>
      <c r="C17" s="175" t="s">
        <v>19</v>
      </c>
      <c r="D17" s="14"/>
    </row>
    <row r="18" spans="1:5" ht="25.5">
      <c r="A18" s="11" t="s">
        <v>18</v>
      </c>
      <c r="B18" s="16">
        <f>B20+B24+B27</f>
        <v>17474.12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11893.08</v>
      </c>
      <c r="C20" s="105" t="s">
        <v>6</v>
      </c>
      <c r="D20" s="14"/>
    </row>
    <row r="21" spans="1:4" ht="15">
      <c r="A21" s="9" t="s">
        <v>445</v>
      </c>
      <c r="B21" s="16"/>
      <c r="C21" s="105" t="s">
        <v>645</v>
      </c>
      <c r="D21" s="14"/>
    </row>
    <row r="22" spans="1:4" ht="15">
      <c r="A22" s="9" t="s">
        <v>262</v>
      </c>
      <c r="B22" s="16"/>
      <c r="C22" s="105" t="s">
        <v>646</v>
      </c>
      <c r="D22" s="14"/>
    </row>
    <row r="23" spans="1:5" ht="15">
      <c r="A23" s="9" t="s">
        <v>147</v>
      </c>
      <c r="B23" s="16">
        <v>1620.27</v>
      </c>
      <c r="C23" s="19" t="s">
        <v>647</v>
      </c>
      <c r="D23" s="20"/>
      <c r="E23" s="17">
        <f>(1.19+1.36)*6*105.9</f>
        <v>1620.27</v>
      </c>
    </row>
    <row r="24" spans="1:5" ht="15.75">
      <c r="A24" s="9" t="s">
        <v>28</v>
      </c>
      <c r="B24" s="118">
        <v>2112.48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19" t="s">
        <v>6</v>
      </c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</f>
        <v>3468.56</v>
      </c>
      <c r="C27" s="19" t="s">
        <v>19</v>
      </c>
      <c r="D27" s="20"/>
    </row>
    <row r="28" spans="1:5" ht="15">
      <c r="A28" s="9" t="s">
        <v>20</v>
      </c>
      <c r="B28" s="16"/>
      <c r="C28" s="19"/>
      <c r="D28" s="27" t="s">
        <v>32</v>
      </c>
      <c r="E28" s="17"/>
    </row>
    <row r="29" spans="1:5" ht="15">
      <c r="A29" s="9" t="s">
        <v>31</v>
      </c>
      <c r="B29" s="16">
        <v>3468.56</v>
      </c>
      <c r="C29" s="19" t="s">
        <v>19</v>
      </c>
      <c r="D29" s="27" t="s">
        <v>32</v>
      </c>
      <c r="E29" s="17"/>
    </row>
    <row r="30" spans="1:5" ht="15">
      <c r="A30" s="9" t="s">
        <v>33</v>
      </c>
      <c r="B30" s="16">
        <v>0</v>
      </c>
      <c r="C30" s="19" t="s">
        <v>19</v>
      </c>
      <c r="D30" s="28"/>
      <c r="E30" s="17"/>
    </row>
    <row r="31" spans="1:5" ht="15">
      <c r="A31" s="9" t="s">
        <v>34</v>
      </c>
      <c r="B31" s="16">
        <v>0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14554.12</v>
      </c>
      <c r="C33" s="13" t="s">
        <v>19</v>
      </c>
      <c r="D33" s="14" t="s">
        <v>19</v>
      </c>
      <c r="E33" s="1">
        <f>B33/B18</f>
        <v>0.8328957338051931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9905.695593803866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1759.4755797487944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</f>
        <v>2888.9488264473407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2888.9488264473407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v>0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</f>
        <v>2888.9488264473407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2888.9488264473407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v>0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(0.14+0.15)*6*105.9</f>
        <v>184.26600000000002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(1.2+2)*6*105.9</f>
        <v>2033.2800000000004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(0.2+0.21)*6*105.9</f>
        <v>260.514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244</v>
      </c>
      <c r="B59" s="39" t="s">
        <v>47</v>
      </c>
      <c r="C59" s="44" t="s">
        <v>55</v>
      </c>
      <c r="D59" s="207">
        <f>(0.2+0.21)*6*40.7</f>
        <v>100.122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63</v>
      </c>
      <c r="B60" s="39" t="s">
        <v>64</v>
      </c>
      <c r="C60" s="44" t="s">
        <v>65</v>
      </c>
      <c r="D60" s="207">
        <f>(1.14+1.21)*6*105.9</f>
        <v>1493.1899999999998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4">
        <v>4.88</v>
      </c>
      <c r="D61" s="220">
        <f>4.88*12*105.9-0.07</f>
        <v>6201.434000000001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46" t="s">
        <v>68</v>
      </c>
      <c r="B62" s="47"/>
      <c r="C62" s="206"/>
      <c r="D62" s="214">
        <f>SUM(D54:D61)</f>
        <v>10272.806</v>
      </c>
      <c r="E62" s="34">
        <f>D62+B23</f>
        <v>11893.076000000001</v>
      </c>
      <c r="F62" s="41"/>
      <c r="H62" s="50">
        <f>E62-B20</f>
        <v>-0.003999999998995918</v>
      </c>
      <c r="I62" s="37"/>
      <c r="J62" s="37"/>
      <c r="K62" s="37"/>
      <c r="L62" s="37"/>
      <c r="M62" s="37"/>
      <c r="N62" s="37"/>
    </row>
    <row r="63" spans="1:14" ht="15.75">
      <c r="A63" s="51" t="s">
        <v>69</v>
      </c>
      <c r="B63" s="52"/>
      <c r="C63" s="53"/>
      <c r="D63" s="212">
        <f>D64</f>
        <v>0</v>
      </c>
      <c r="E63" s="34"/>
      <c r="F63" s="41"/>
      <c r="H63" s="50"/>
      <c r="I63" s="37"/>
      <c r="J63" s="37"/>
      <c r="K63" s="37"/>
      <c r="L63" s="37"/>
      <c r="M63" s="37"/>
      <c r="N63" s="37"/>
    </row>
    <row r="64" spans="1:14" ht="15.75">
      <c r="A64" s="51"/>
      <c r="B64" s="52"/>
      <c r="C64" s="53"/>
      <c r="D64" s="212"/>
      <c r="E64" s="34"/>
      <c r="F64" s="45"/>
      <c r="H64" s="50"/>
      <c r="I64" s="37"/>
      <c r="J64" s="37"/>
      <c r="K64" s="37"/>
      <c r="L64" s="37"/>
      <c r="M64" s="37"/>
      <c r="N64" s="37"/>
    </row>
    <row r="65" spans="1:14" ht="15.75">
      <c r="A65" s="56" t="s">
        <v>71</v>
      </c>
      <c r="B65" s="57"/>
      <c r="C65" s="58"/>
      <c r="D65" s="212">
        <f>D62+D63</f>
        <v>10272.806</v>
      </c>
      <c r="E65" s="34"/>
      <c r="F65" s="45"/>
      <c r="H65" s="50"/>
      <c r="I65" s="37"/>
      <c r="J65" s="37"/>
      <c r="K65" s="37"/>
      <c r="L65" s="37"/>
      <c r="M65" s="37"/>
      <c r="N65" s="37"/>
    </row>
    <row r="66" spans="1:8" ht="13.5" customHeight="1">
      <c r="A66" s="308" t="s">
        <v>72</v>
      </c>
      <c r="B66" s="308"/>
      <c r="C66" s="308"/>
      <c r="D66" s="113">
        <f>D67</f>
        <v>0</v>
      </c>
      <c r="E66" s="61"/>
      <c r="H66" s="34"/>
    </row>
    <row r="67" spans="1:8" ht="17.25" customHeight="1">
      <c r="A67" s="114"/>
      <c r="B67" s="215"/>
      <c r="C67" s="215"/>
      <c r="D67" s="217"/>
      <c r="E67" s="61"/>
      <c r="H67" s="34"/>
    </row>
    <row r="68" spans="1:5" ht="25.5" customHeight="1">
      <c r="A68" s="291" t="s">
        <v>73</v>
      </c>
      <c r="B68" s="291"/>
      <c r="C68" s="291"/>
      <c r="D68" s="113">
        <f>D69+D70</f>
        <v>15179.150000000001</v>
      </c>
      <c r="E68" s="61"/>
    </row>
    <row r="69" spans="1:5" ht="15.75">
      <c r="A69" s="62" t="s">
        <v>74</v>
      </c>
      <c r="B69" s="63"/>
      <c r="C69" s="64"/>
      <c r="D69" s="60">
        <f>B16+B23-D63</f>
        <v>10954.19</v>
      </c>
      <c r="E69" s="61"/>
    </row>
    <row r="70" spans="1:5" ht="15.75">
      <c r="A70" s="63" t="s">
        <v>75</v>
      </c>
      <c r="B70" s="63"/>
      <c r="C70" s="64"/>
      <c r="D70" s="60">
        <f>B17+B24-D66</f>
        <v>4224.96</v>
      </c>
      <c r="E70" s="61"/>
    </row>
    <row r="71" spans="1:5" ht="13.5" customHeight="1">
      <c r="A71" s="294" t="s">
        <v>76</v>
      </c>
      <c r="B71" s="294"/>
      <c r="C71" s="294"/>
      <c r="D71" s="65">
        <v>15678.4</v>
      </c>
      <c r="E71" s="61"/>
    </row>
    <row r="72" spans="1:4" ht="15">
      <c r="A72" s="290" t="s">
        <v>20</v>
      </c>
      <c r="B72" s="290"/>
      <c r="C72" s="290"/>
      <c r="D72" s="66"/>
    </row>
    <row r="73" spans="1:4" ht="13.5" customHeight="1">
      <c r="A73" s="290" t="s">
        <v>77</v>
      </c>
      <c r="B73" s="290"/>
      <c r="C73" s="290"/>
      <c r="D73" s="66">
        <f>D71*B20/B18</f>
        <v>10670.893039077218</v>
      </c>
    </row>
    <row r="74" spans="1:4" ht="13.5" customHeight="1">
      <c r="A74" s="290" t="s">
        <v>28</v>
      </c>
      <c r="B74" s="290"/>
      <c r="C74" s="290"/>
      <c r="D74" s="66">
        <f>D71*B24/B18</f>
        <v>1895.391952899488</v>
      </c>
    </row>
    <row r="75" spans="1:4" ht="13.5" customHeight="1">
      <c r="A75" s="290" t="s">
        <v>29</v>
      </c>
      <c r="B75" s="290"/>
      <c r="C75" s="290"/>
      <c r="D75" s="66">
        <f>SUM(D77:D79)</f>
        <v>3112.1150080232937</v>
      </c>
    </row>
    <row r="76" spans="1:4" ht="15">
      <c r="A76" s="290" t="s">
        <v>20</v>
      </c>
      <c r="B76" s="290"/>
      <c r="C76" s="290"/>
      <c r="D76" s="66"/>
    </row>
    <row r="77" spans="1:4" ht="13.5" customHeight="1">
      <c r="A77" s="290" t="s">
        <v>31</v>
      </c>
      <c r="B77" s="290"/>
      <c r="C77" s="290"/>
      <c r="D77" s="66">
        <f>D71*B29/B18</f>
        <v>3112.1150080232937</v>
      </c>
    </row>
    <row r="78" spans="1:4" ht="15">
      <c r="A78" s="290" t="s">
        <v>33</v>
      </c>
      <c r="B78" s="290"/>
      <c r="C78" s="290"/>
      <c r="D78" s="66">
        <f>D71*E29</f>
        <v>0</v>
      </c>
    </row>
    <row r="79" spans="1:4" ht="15" customHeight="1">
      <c r="A79" s="290" t="s">
        <v>34</v>
      </c>
      <c r="B79" s="290"/>
      <c r="C79" s="290"/>
      <c r="D79" s="66">
        <f>D71*E30</f>
        <v>0</v>
      </c>
    </row>
    <row r="80" spans="1:4" ht="15">
      <c r="A80" s="290" t="s">
        <v>78</v>
      </c>
      <c r="B80" s="290"/>
      <c r="C80" s="290"/>
      <c r="D80" s="66"/>
    </row>
    <row r="81" spans="1:4" ht="15" customHeight="1">
      <c r="A81" s="290" t="s">
        <v>35</v>
      </c>
      <c r="B81" s="290"/>
      <c r="C81" s="290"/>
      <c r="D81" s="66"/>
    </row>
    <row r="82" spans="1:4" ht="25.5" customHeight="1">
      <c r="A82" s="295" t="s">
        <v>79</v>
      </c>
      <c r="B82" s="295"/>
      <c r="C82" s="295"/>
      <c r="D82" s="295"/>
    </row>
    <row r="83" spans="1:4" ht="38.25">
      <c r="A83" s="67" t="s">
        <v>80</v>
      </c>
      <c r="B83" s="68" t="s">
        <v>81</v>
      </c>
      <c r="C83" s="68" t="s">
        <v>82</v>
      </c>
      <c r="D83" s="67" t="s">
        <v>83</v>
      </c>
    </row>
    <row r="84" spans="1:4" ht="15" customHeight="1">
      <c r="A84" s="31" t="s">
        <v>445</v>
      </c>
      <c r="B84" s="306" t="s">
        <v>84</v>
      </c>
      <c r="C84" s="105" t="s">
        <v>645</v>
      </c>
      <c r="D84" s="67" t="s">
        <v>85</v>
      </c>
    </row>
    <row r="85" spans="1:4" ht="14.25" customHeight="1">
      <c r="A85" s="31" t="s">
        <v>262</v>
      </c>
      <c r="B85" s="306"/>
      <c r="C85" s="105" t="s">
        <v>646</v>
      </c>
      <c r="D85" s="67" t="s">
        <v>85</v>
      </c>
    </row>
    <row r="86" spans="1:4" ht="15" customHeight="1">
      <c r="A86" s="31" t="s">
        <v>28</v>
      </c>
      <c r="B86" s="306"/>
      <c r="C86" s="70">
        <v>2.7</v>
      </c>
      <c r="D86" s="71" t="s">
        <v>85</v>
      </c>
    </row>
    <row r="87" spans="1:4" ht="44.25" customHeight="1">
      <c r="A87" s="31" t="s">
        <v>31</v>
      </c>
      <c r="B87" s="140" t="s">
        <v>86</v>
      </c>
      <c r="C87" s="70" t="s">
        <v>87</v>
      </c>
      <c r="D87" s="71" t="s">
        <v>88</v>
      </c>
    </row>
    <row r="89" ht="12.75">
      <c r="A89" t="s">
        <v>93</v>
      </c>
    </row>
    <row r="91" ht="12.75">
      <c r="A91" t="s">
        <v>95</v>
      </c>
    </row>
  </sheetData>
  <sheetProtection selectLockedCells="1" selectUnlockedCells="1"/>
  <mergeCells count="22">
    <mergeCell ref="A80:C80"/>
    <mergeCell ref="A81:C81"/>
    <mergeCell ref="A82:D82"/>
    <mergeCell ref="B84:B86"/>
    <mergeCell ref="A74:C74"/>
    <mergeCell ref="A75:C75"/>
    <mergeCell ref="A76:C76"/>
    <mergeCell ref="A77:C77"/>
    <mergeCell ref="A78:C78"/>
    <mergeCell ref="A79:C79"/>
    <mergeCell ref="A50:D51"/>
    <mergeCell ref="A66:C66"/>
    <mergeCell ref="A68:C68"/>
    <mergeCell ref="A71:C71"/>
    <mergeCell ref="A72:C72"/>
    <mergeCell ref="A73:C73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80" zoomScaleNormal="80" zoomScalePageLayoutView="0" workbookViewId="0" topLeftCell="A46">
      <selection activeCell="D73" sqref="D73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648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649</v>
      </c>
      <c r="B7" s="301"/>
      <c r="C7" s="301"/>
      <c r="D7" s="301"/>
    </row>
    <row r="8" ht="12.75">
      <c r="A8" s="4" t="s">
        <v>7</v>
      </c>
    </row>
    <row r="9" spans="1:8" ht="12.75">
      <c r="A9" s="4" t="s">
        <v>8</v>
      </c>
      <c r="H9" s="1" t="s">
        <v>6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17368.27</v>
      </c>
      <c r="C15" s="13"/>
      <c r="D15" s="14"/>
    </row>
    <row r="16" spans="1:4" ht="15.75">
      <c r="A16" s="15" t="s">
        <v>16</v>
      </c>
      <c r="B16" s="12">
        <v>13146.55</v>
      </c>
      <c r="C16" s="13"/>
      <c r="D16" s="14"/>
    </row>
    <row r="17" spans="1:4" ht="15.75">
      <c r="A17" s="15" t="s">
        <v>17</v>
      </c>
      <c r="B17" s="174">
        <v>4221.72</v>
      </c>
      <c r="C17" s="175" t="s">
        <v>19</v>
      </c>
      <c r="D17" s="14"/>
    </row>
    <row r="18" spans="1:5" ht="25.5">
      <c r="A18" s="11" t="s">
        <v>18</v>
      </c>
      <c r="B18" s="16">
        <f>B20+B24+B27</f>
        <v>38599.770000000004</v>
      </c>
      <c r="C18" s="105" t="s">
        <v>19</v>
      </c>
      <c r="D18" s="14" t="s">
        <v>19</v>
      </c>
      <c r="E18" s="17"/>
    </row>
    <row r="19" spans="1:8" ht="15">
      <c r="A19" s="9" t="s">
        <v>20</v>
      </c>
      <c r="B19" s="16"/>
      <c r="C19" s="105"/>
      <c r="D19" s="14"/>
      <c r="E19" s="1">
        <f>10.45*95.72</f>
        <v>1000.2739999999999</v>
      </c>
      <c r="H19" s="1">
        <f>11.7*95.72</f>
        <v>1119.924</v>
      </c>
    </row>
    <row r="20" spans="1:8" ht="15">
      <c r="A20" s="9" t="s">
        <v>77</v>
      </c>
      <c r="B20" s="16">
        <v>16726.32</v>
      </c>
      <c r="C20" s="105" t="s">
        <v>6</v>
      </c>
      <c r="D20" s="14"/>
      <c r="E20" s="1">
        <f>10.45*34.58</f>
        <v>361.36099999999993</v>
      </c>
      <c r="H20" s="1">
        <f>10.15*34.58</f>
        <v>350.987</v>
      </c>
    </row>
    <row r="21" spans="1:8" ht="15">
      <c r="A21" s="9" t="s">
        <v>454</v>
      </c>
      <c r="B21" s="16"/>
      <c r="C21" s="105" t="s">
        <v>650</v>
      </c>
      <c r="D21" s="14"/>
      <c r="E21" s="1">
        <f>SUM(E19:E20)</f>
        <v>1361.6349999999998</v>
      </c>
      <c r="H21" s="1">
        <f>SUM(H19:H20)</f>
        <v>1470.911</v>
      </c>
    </row>
    <row r="22" spans="1:4" ht="15">
      <c r="A22" s="9" t="s">
        <v>445</v>
      </c>
      <c r="B22" s="16"/>
      <c r="C22" s="105" t="s">
        <v>651</v>
      </c>
      <c r="D22" s="14"/>
    </row>
    <row r="23" spans="1:5" ht="15">
      <c r="A23" s="9" t="s">
        <v>147</v>
      </c>
      <c r="B23" s="16">
        <v>1415.06</v>
      </c>
      <c r="C23" s="19" t="s">
        <v>652</v>
      </c>
      <c r="D23" s="20"/>
      <c r="E23" s="17">
        <f>(0.79+1.02)*6*130.3</f>
        <v>1415.058</v>
      </c>
    </row>
    <row r="24" spans="1:5" ht="15.75">
      <c r="A24" s="9" t="s">
        <v>28</v>
      </c>
      <c r="B24" s="118">
        <v>4221.72</v>
      </c>
      <c r="C24" s="119">
        <v>2.7</v>
      </c>
      <c r="D24" s="20"/>
      <c r="E24" s="17"/>
    </row>
    <row r="25" spans="1:5" ht="15">
      <c r="A25" s="9" t="s">
        <v>149</v>
      </c>
      <c r="B25" s="16">
        <v>0</v>
      </c>
      <c r="C25" s="19" t="s">
        <v>6</v>
      </c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B29+B31</f>
        <v>17651.73</v>
      </c>
      <c r="C27" s="19" t="s">
        <v>19</v>
      </c>
      <c r="D27" s="20"/>
    </row>
    <row r="28" spans="1:5" ht="15">
      <c r="A28" s="9" t="s">
        <v>20</v>
      </c>
      <c r="B28" s="16"/>
      <c r="C28" s="19"/>
      <c r="D28" s="27" t="s">
        <v>32</v>
      </c>
      <c r="E28" s="17"/>
    </row>
    <row r="29" spans="1:5" ht="15">
      <c r="A29" s="9" t="s">
        <v>31</v>
      </c>
      <c r="B29" s="16">
        <v>6648.3</v>
      </c>
      <c r="C29" s="19" t="s">
        <v>19</v>
      </c>
      <c r="D29" s="27" t="s">
        <v>32</v>
      </c>
      <c r="E29" s="17"/>
    </row>
    <row r="30" spans="1:5" ht="15">
      <c r="A30" s="9" t="s">
        <v>33</v>
      </c>
      <c r="B30" s="16">
        <v>0</v>
      </c>
      <c r="C30" s="19" t="s">
        <v>19</v>
      </c>
      <c r="D30" s="28"/>
      <c r="E30" s="17"/>
    </row>
    <row r="31" spans="1:5" ht="15">
      <c r="A31" s="9" t="s">
        <v>34</v>
      </c>
      <c r="B31" s="16">
        <v>11003.43</v>
      </c>
      <c r="C31" s="19" t="s">
        <v>6</v>
      </c>
      <c r="D31" s="28"/>
      <c r="E31" s="17"/>
    </row>
    <row r="32" spans="1:5" ht="15">
      <c r="A32" s="9" t="s">
        <v>35</v>
      </c>
      <c r="B32" s="16"/>
      <c r="C32" s="19" t="s">
        <v>19</v>
      </c>
      <c r="D32" s="28"/>
      <c r="E32" s="17"/>
    </row>
    <row r="33" spans="1:5" ht="25.5">
      <c r="A33" s="11" t="s">
        <v>36</v>
      </c>
      <c r="B33" s="18">
        <v>38256.41</v>
      </c>
      <c r="C33" s="13" t="s">
        <v>19</v>
      </c>
      <c r="D33" s="14" t="s">
        <v>19</v>
      </c>
      <c r="E33" s="1">
        <f>B33/B18</f>
        <v>0.9911046102088172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16577.532863827942</v>
      </c>
      <c r="C35" s="18" t="s">
        <v>6</v>
      </c>
      <c r="D35" s="14" t="s">
        <v>19</v>
      </c>
    </row>
    <row r="36" spans="1:4" ht="15">
      <c r="A36" s="9" t="s">
        <v>28</v>
      </c>
      <c r="B36" s="18">
        <f>B24*E33</f>
        <v>4184.166155010768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B39+B41</f>
        <v>17494.710981161286</v>
      </c>
      <c r="C37" s="13"/>
      <c r="D37" s="14"/>
    </row>
    <row r="38" spans="1:4" ht="15">
      <c r="A38" s="9" t="s">
        <v>20</v>
      </c>
      <c r="B38" s="18"/>
      <c r="C38" s="13" t="s">
        <v>19</v>
      </c>
      <c r="D38" s="14"/>
    </row>
    <row r="39" spans="1:4" ht="15">
      <c r="A39" s="9" t="s">
        <v>31</v>
      </c>
      <c r="B39" s="18">
        <f>B29*E33</f>
        <v>6589.16078005128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f>B31*E33</f>
        <v>10905.550201110007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B45+B47</f>
        <v>17494.710981161286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6589.16078005128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f>B41</f>
        <v>10905.550201110007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31" t="s">
        <v>112</v>
      </c>
      <c r="B54" s="32" t="s">
        <v>47</v>
      </c>
      <c r="C54" s="21" t="s">
        <v>48</v>
      </c>
      <c r="D54" s="207">
        <f>(0.14+0.15)*6*130.3</f>
        <v>226.72200000000004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49</v>
      </c>
      <c r="B55" s="32" t="s">
        <v>50</v>
      </c>
      <c r="C55" s="38">
        <v>0</v>
      </c>
      <c r="D55" s="207"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52</v>
      </c>
      <c r="B56" s="32" t="s">
        <v>50</v>
      </c>
      <c r="C56" s="38" t="s">
        <v>53</v>
      </c>
      <c r="D56" s="207">
        <f>(1.2+2)*6*130.3</f>
        <v>2501.7600000000007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31" t="s">
        <v>54</v>
      </c>
      <c r="B57" s="32" t="s">
        <v>47</v>
      </c>
      <c r="C57" s="38" t="s">
        <v>55</v>
      </c>
      <c r="D57" s="207">
        <f>(0.2+0.21)*6*130.3</f>
        <v>320.538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31" t="s">
        <v>56</v>
      </c>
      <c r="B58" s="39" t="s">
        <v>57</v>
      </c>
      <c r="C58" s="44">
        <v>0</v>
      </c>
      <c r="D58" s="207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31" t="s">
        <v>115</v>
      </c>
      <c r="B59" s="39" t="s">
        <v>47</v>
      </c>
      <c r="C59" s="44" t="s">
        <v>245</v>
      </c>
      <c r="D59" s="207">
        <f>(0.64+0.68)*6*130.3</f>
        <v>1031.976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31" t="s">
        <v>63</v>
      </c>
      <c r="B60" s="39" t="s">
        <v>64</v>
      </c>
      <c r="C60" s="44" t="s">
        <v>65</v>
      </c>
      <c r="D60" s="207">
        <f>(1.14+1.21)*6*130.3</f>
        <v>1837.2299999999998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31" t="s">
        <v>66</v>
      </c>
      <c r="B61" s="39" t="s">
        <v>67</v>
      </c>
      <c r="C61" s="44">
        <v>4.88</v>
      </c>
      <c r="D61" s="220">
        <f>4.88*12*130.3+28.22</f>
        <v>7658.588000000002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31" t="s">
        <v>653</v>
      </c>
      <c r="B62" s="39"/>
      <c r="C62" s="44" t="s">
        <v>654</v>
      </c>
      <c r="D62" s="220">
        <f>(1.46+1.56)*6*95.72</f>
        <v>1734.4464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47"/>
      <c r="C63" s="48"/>
      <c r="D63" s="214">
        <f>SUM(D54:D62)</f>
        <v>15311.260400000003</v>
      </c>
      <c r="E63" s="34">
        <f>D63+B23</f>
        <v>16726.320400000004</v>
      </c>
      <c r="F63" s="41"/>
      <c r="H63" s="50">
        <f>E63-B20</f>
        <v>0.0004000000044470653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</f>
        <v>0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/>
      <c r="B65" s="52"/>
      <c r="C65" s="53"/>
      <c r="D65" s="212"/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221" t="s">
        <v>71</v>
      </c>
      <c r="B66" s="222"/>
      <c r="C66" s="223"/>
      <c r="D66" s="212">
        <f>D63+D64</f>
        <v>15311.260400000003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8" ht="13.5" customHeight="1">
      <c r="A67" s="308" t="s">
        <v>72</v>
      </c>
      <c r="B67" s="308"/>
      <c r="C67" s="308"/>
      <c r="D67" s="113">
        <f>D68</f>
        <v>0</v>
      </c>
      <c r="E67" s="61"/>
      <c r="H67" s="34">
        <f>347.32*12</f>
        <v>4167.84</v>
      </c>
    </row>
    <row r="68" spans="1:8" ht="17.25" customHeight="1">
      <c r="A68" s="114"/>
      <c r="B68" s="215"/>
      <c r="C68" s="215"/>
      <c r="D68" s="217"/>
      <c r="E68" s="61"/>
      <c r="H68" s="34"/>
    </row>
    <row r="69" spans="1:5" ht="25.5" customHeight="1">
      <c r="A69" s="293" t="s">
        <v>73</v>
      </c>
      <c r="B69" s="293"/>
      <c r="C69" s="293"/>
      <c r="D69" s="60">
        <f>D70+D71</f>
        <v>23005.05</v>
      </c>
      <c r="E69" s="61"/>
    </row>
    <row r="70" spans="1:5" ht="15.75">
      <c r="A70" s="62" t="s">
        <v>74</v>
      </c>
      <c r="B70" s="63"/>
      <c r="C70" s="64"/>
      <c r="D70" s="60">
        <f>B16+B23-D64</f>
        <v>14561.609999999999</v>
      </c>
      <c r="E70" s="61"/>
    </row>
    <row r="71" spans="1:5" ht="15.75">
      <c r="A71" s="63" t="s">
        <v>75</v>
      </c>
      <c r="B71" s="63"/>
      <c r="C71" s="64"/>
      <c r="D71" s="60">
        <f>B17+B24-D67</f>
        <v>8443.44</v>
      </c>
      <c r="E71" s="61"/>
    </row>
    <row r="72" spans="1:5" ht="13.5" customHeight="1">
      <c r="A72" s="294" t="s">
        <v>76</v>
      </c>
      <c r="B72" s="294"/>
      <c r="C72" s="294"/>
      <c r="D72" s="65">
        <v>0</v>
      </c>
      <c r="E72" s="61"/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77</v>
      </c>
      <c r="B74" s="290"/>
      <c r="C74" s="290"/>
      <c r="D74" s="66">
        <f>D72*E23</f>
        <v>0</v>
      </c>
    </row>
    <row r="75" spans="1:4" ht="13.5" customHeight="1">
      <c r="A75" s="290" t="s">
        <v>28</v>
      </c>
      <c r="B75" s="290"/>
      <c r="C75" s="290"/>
      <c r="D75" s="66">
        <f>D72-D74-D76</f>
        <v>0</v>
      </c>
    </row>
    <row r="76" spans="1:4" ht="13.5" customHeight="1">
      <c r="A76" s="290" t="s">
        <v>29</v>
      </c>
      <c r="B76" s="290"/>
      <c r="C76" s="290"/>
      <c r="D76" s="66">
        <f>SUM(D78:D80)</f>
        <v>0</v>
      </c>
    </row>
    <row r="77" spans="1:4" ht="15">
      <c r="A77" s="290" t="s">
        <v>20</v>
      </c>
      <c r="B77" s="290"/>
      <c r="C77" s="290"/>
      <c r="D77" s="66"/>
    </row>
    <row r="78" spans="1:4" ht="13.5" customHeight="1">
      <c r="A78" s="290" t="s">
        <v>31</v>
      </c>
      <c r="B78" s="290"/>
      <c r="C78" s="290"/>
      <c r="D78" s="66">
        <f>D72*E28</f>
        <v>0</v>
      </c>
    </row>
    <row r="79" spans="1:4" ht="15">
      <c r="A79" s="290" t="s">
        <v>33</v>
      </c>
      <c r="B79" s="290"/>
      <c r="C79" s="290"/>
      <c r="D79" s="66">
        <f>D72*E29</f>
        <v>0</v>
      </c>
    </row>
    <row r="80" spans="1:4" ht="15" customHeight="1">
      <c r="A80" s="290" t="s">
        <v>34</v>
      </c>
      <c r="B80" s="290"/>
      <c r="C80" s="290"/>
      <c r="D80" s="66">
        <f>D72*E30</f>
        <v>0</v>
      </c>
    </row>
    <row r="81" spans="1:4" ht="15" customHeight="1">
      <c r="A81" s="290" t="s">
        <v>78</v>
      </c>
      <c r="B81" s="290"/>
      <c r="C81" s="290"/>
      <c r="D81" s="66"/>
    </row>
    <row r="82" spans="1:4" ht="15" customHeight="1">
      <c r="A82" s="290" t="s">
        <v>35</v>
      </c>
      <c r="B82" s="290"/>
      <c r="C82" s="290"/>
      <c r="D82" s="66"/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623</v>
      </c>
      <c r="D84" s="67" t="s">
        <v>83</v>
      </c>
    </row>
    <row r="85" spans="1:4" ht="12.75" customHeight="1">
      <c r="A85" s="31" t="s">
        <v>454</v>
      </c>
      <c r="B85" s="296" t="s">
        <v>84</v>
      </c>
      <c r="C85" s="70" t="s">
        <v>650</v>
      </c>
      <c r="D85" s="67" t="s">
        <v>85</v>
      </c>
    </row>
    <row r="86" spans="1:4" ht="12.75" customHeight="1">
      <c r="A86" s="31" t="s">
        <v>445</v>
      </c>
      <c r="B86" s="296"/>
      <c r="C86" s="70" t="s">
        <v>651</v>
      </c>
      <c r="D86" s="67"/>
    </row>
    <row r="87" spans="1:4" ht="12.75">
      <c r="A87" s="31" t="s">
        <v>28</v>
      </c>
      <c r="B87" s="296"/>
      <c r="C87" s="70">
        <v>2.7</v>
      </c>
      <c r="D87" s="71" t="s">
        <v>85</v>
      </c>
    </row>
    <row r="88" spans="1:4" ht="19.5" customHeight="1">
      <c r="A88" s="31" t="s">
        <v>31</v>
      </c>
      <c r="B88" s="140" t="s">
        <v>86</v>
      </c>
      <c r="C88" s="70" t="s">
        <v>87</v>
      </c>
      <c r="D88" s="71" t="s">
        <v>88</v>
      </c>
    </row>
    <row r="89" spans="1:5" ht="39.75" customHeight="1">
      <c r="A89" s="31" t="s">
        <v>34</v>
      </c>
      <c r="B89" s="170" t="s">
        <v>90</v>
      </c>
      <c r="C89" s="147" t="s">
        <v>91</v>
      </c>
      <c r="D89" s="71" t="s">
        <v>92</v>
      </c>
      <c r="E89" s="1" t="s">
        <v>6</v>
      </c>
    </row>
    <row r="91" ht="12.75">
      <c r="A91" t="s">
        <v>93</v>
      </c>
    </row>
    <row r="93" ht="12.75">
      <c r="A93" t="s">
        <v>95</v>
      </c>
    </row>
  </sheetData>
  <sheetProtection selectLockedCells="1" selectUnlockedCells="1"/>
  <mergeCells count="22">
    <mergeCell ref="A81:C81"/>
    <mergeCell ref="A82:C82"/>
    <mergeCell ref="A83:D83"/>
    <mergeCell ref="B85:B87"/>
    <mergeCell ref="A75:C75"/>
    <mergeCell ref="A76:C76"/>
    <mergeCell ref="A77:C77"/>
    <mergeCell ref="A78:C78"/>
    <mergeCell ref="A79:C79"/>
    <mergeCell ref="A80:C80"/>
    <mergeCell ref="A50:D51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5">
      <selection activeCell="D71" sqref="D7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655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656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11084.04</v>
      </c>
      <c r="C15" s="13"/>
      <c r="D15" s="14"/>
    </row>
    <row r="16" spans="1:8" ht="15.75">
      <c r="A16" s="15" t="s">
        <v>16</v>
      </c>
      <c r="B16" s="12">
        <v>8877.6</v>
      </c>
      <c r="C16" s="13"/>
      <c r="D16" s="14"/>
      <c r="E16" s="1">
        <f>10.28*135.3</f>
        <v>1390.884</v>
      </c>
      <c r="H16" s="1">
        <f>12.38*135.3</f>
        <v>1675.0140000000004</v>
      </c>
    </row>
    <row r="17" spans="1:4" ht="15.75">
      <c r="A17" s="15" t="s">
        <v>17</v>
      </c>
      <c r="B17" s="174">
        <v>2206.44</v>
      </c>
      <c r="C17" s="175" t="s">
        <v>19</v>
      </c>
      <c r="D17" s="14"/>
    </row>
    <row r="18" spans="1:5" ht="25.5">
      <c r="A18" s="11" t="s">
        <v>18</v>
      </c>
      <c r="B18" s="16">
        <f>B20+B22+B23+B25</f>
        <v>56423.04</v>
      </c>
      <c r="C18" s="105" t="s">
        <v>19</v>
      </c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657</v>
      </c>
      <c r="B20" s="16">
        <v>18572.82</v>
      </c>
      <c r="C20" s="105" t="s">
        <v>658</v>
      </c>
      <c r="D20" s="14"/>
    </row>
    <row r="21" spans="1:5" ht="15">
      <c r="A21" s="9" t="s">
        <v>147</v>
      </c>
      <c r="B21" s="16">
        <v>2914.36</v>
      </c>
      <c r="C21" s="19" t="s">
        <v>659</v>
      </c>
      <c r="D21" s="20"/>
      <c r="E21" s="17">
        <f>(1.46+2.13)*6*135.3</f>
        <v>2914.362</v>
      </c>
    </row>
    <row r="22" spans="1:5" ht="15">
      <c r="A22" s="9" t="s">
        <v>28</v>
      </c>
      <c r="B22" s="238">
        <v>2206.44</v>
      </c>
      <c r="C22" s="168">
        <v>2.7</v>
      </c>
      <c r="D22" s="20"/>
      <c r="E22" s="17"/>
    </row>
    <row r="23" spans="1:4" ht="15.75">
      <c r="A23" s="9" t="s">
        <v>149</v>
      </c>
      <c r="B23" s="120">
        <v>116.94</v>
      </c>
      <c r="C23" s="196">
        <v>0.13</v>
      </c>
      <c r="D23" s="20" t="s">
        <v>30</v>
      </c>
    </row>
    <row r="24" spans="1:4" ht="15">
      <c r="A24" s="9" t="s">
        <v>167</v>
      </c>
      <c r="B24" s="16">
        <v>0</v>
      </c>
      <c r="C24" s="19"/>
      <c r="D24" s="20"/>
    </row>
    <row r="25" spans="1:5" ht="15">
      <c r="A25" s="9" t="s">
        <v>29</v>
      </c>
      <c r="B25" s="16">
        <f>B27+B29</f>
        <v>35526.840000000004</v>
      </c>
      <c r="C25" s="19" t="s">
        <v>19</v>
      </c>
      <c r="D25" s="27" t="s">
        <v>32</v>
      </c>
      <c r="E25" s="17"/>
    </row>
    <row r="26" spans="1:5" ht="15">
      <c r="A26" s="9" t="s">
        <v>20</v>
      </c>
      <c r="B26" s="16"/>
      <c r="C26" s="19"/>
      <c r="D26" s="27" t="s">
        <v>32</v>
      </c>
      <c r="E26" s="17"/>
    </row>
    <row r="27" spans="1:5" ht="15">
      <c r="A27" s="9" t="s">
        <v>31</v>
      </c>
      <c r="B27" s="16">
        <v>12914.28</v>
      </c>
      <c r="C27" s="19" t="s">
        <v>19</v>
      </c>
      <c r="D27" s="28"/>
      <c r="E27" s="17"/>
    </row>
    <row r="28" spans="1:5" ht="15">
      <c r="A28" s="9" t="s">
        <v>33</v>
      </c>
      <c r="B28" s="16">
        <v>0</v>
      </c>
      <c r="C28" s="19" t="s">
        <v>19</v>
      </c>
      <c r="D28" s="28"/>
      <c r="E28" s="17"/>
    </row>
    <row r="29" spans="1:5" ht="15">
      <c r="A29" s="9" t="s">
        <v>660</v>
      </c>
      <c r="B29" s="16">
        <v>22612.56</v>
      </c>
      <c r="C29" s="19" t="s">
        <v>6</v>
      </c>
      <c r="D29" s="28"/>
      <c r="E29" s="17"/>
    </row>
    <row r="30" spans="1:5" ht="15">
      <c r="A30" s="9" t="s">
        <v>35</v>
      </c>
      <c r="B30" s="16"/>
      <c r="C30" s="19" t="s">
        <v>19</v>
      </c>
      <c r="D30" s="28"/>
      <c r="E30" s="17"/>
    </row>
    <row r="31" spans="1:5" ht="25.5">
      <c r="A31" s="11" t="s">
        <v>36</v>
      </c>
      <c r="B31" s="18">
        <v>56708.71</v>
      </c>
      <c r="C31" s="13" t="s">
        <v>19</v>
      </c>
      <c r="D31" s="14" t="s">
        <v>19</v>
      </c>
      <c r="E31" s="1">
        <f>B31/B18</f>
        <v>1.005063002631549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18666.854236535284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2217.611211526355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SUM(B37:B39)</f>
        <v>35706.71248441062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12979.665033624562</v>
      </c>
      <c r="C37" s="13" t="s">
        <v>19</v>
      </c>
      <c r="D37" s="14"/>
    </row>
    <row r="38" spans="1:4" ht="15">
      <c r="A38" s="9" t="s">
        <v>33</v>
      </c>
      <c r="B38" s="18">
        <f>B28*E31</f>
        <v>0</v>
      </c>
      <c r="C38" s="13"/>
      <c r="D38" s="14"/>
    </row>
    <row r="39" spans="1:4" ht="15">
      <c r="A39" s="9" t="s">
        <v>34</v>
      </c>
      <c r="B39" s="18">
        <f>B29*E31</f>
        <v>22727.04745078606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SUM(B43:B45)</f>
        <v>35706.71248441062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12979.665033624562</v>
      </c>
      <c r="C43" s="13"/>
      <c r="D43" s="14"/>
    </row>
    <row r="44" spans="1:4" ht="15">
      <c r="A44" s="9" t="s">
        <v>33</v>
      </c>
      <c r="B44" s="18">
        <f>B38</f>
        <v>0</v>
      </c>
      <c r="C44" s="13"/>
      <c r="D44" s="14"/>
    </row>
    <row r="45" spans="1:4" ht="15">
      <c r="A45" s="9" t="s">
        <v>34</v>
      </c>
      <c r="B45" s="18">
        <f>B39</f>
        <v>22727.04745078606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(0.14+0.15)*6*135.3</f>
        <v>235.42200000000005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(1.2+2)*6*135.3</f>
        <v>2597.7600000000007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(0.2+0.21)*6*135.3</f>
        <v>332.838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661</v>
      </c>
      <c r="D57" s="207">
        <f>(0.2+0.68)*6*135.3</f>
        <v>714.3840000000002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(1.14+1.21)*6*135.3</f>
        <v>1907.7299999999998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4.88*12*135.3+177.43</f>
        <v>8100.598000000001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520</v>
      </c>
      <c r="D60" s="207">
        <f>(1.06+1.12)*6*135.3</f>
        <v>1769.7240000000004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15658.456000000002</v>
      </c>
      <c r="E61" s="34">
        <f>D61+B21</f>
        <v>18572.816000000003</v>
      </c>
      <c r="F61" s="41"/>
      <c r="H61" s="50">
        <f>E61-B20</f>
        <v>-0.0039999999971769284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15658.456000000002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16204.84</v>
      </c>
      <c r="E67" s="61"/>
    </row>
    <row r="68" spans="1:5" ht="15.75">
      <c r="A68" s="78" t="s">
        <v>74</v>
      </c>
      <c r="B68" s="114"/>
      <c r="C68" s="115"/>
      <c r="D68" s="113">
        <f>B16+B21-D62</f>
        <v>11791.960000000001</v>
      </c>
      <c r="E68" s="61"/>
    </row>
    <row r="69" spans="1:5" ht="15.75">
      <c r="A69" s="63" t="s">
        <v>75</v>
      </c>
      <c r="B69" s="63"/>
      <c r="C69" s="64"/>
      <c r="D69" s="60">
        <f>B17+B22-D65</f>
        <v>4412.88</v>
      </c>
      <c r="E69" s="61"/>
    </row>
    <row r="70" spans="1:5" ht="13.5" customHeight="1">
      <c r="A70" s="294" t="s">
        <v>76</v>
      </c>
      <c r="B70" s="294"/>
      <c r="C70" s="294"/>
      <c r="D70" s="65">
        <v>59055.97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19439.503804392672</v>
      </c>
    </row>
    <row r="73" spans="1:4" ht="13.5" customHeight="1">
      <c r="A73" s="290" t="s">
        <v>28</v>
      </c>
      <c r="B73" s="290"/>
      <c r="C73" s="290"/>
      <c r="D73" s="66">
        <f>D70*B22/B18</f>
        <v>2309.4015219101984</v>
      </c>
    </row>
    <row r="74" spans="1:4" ht="13.5" customHeight="1">
      <c r="A74" s="290" t="s">
        <v>29</v>
      </c>
      <c r="B74" s="290"/>
      <c r="C74" s="290"/>
      <c r="D74" s="66">
        <f>SUM(D76:D78)</f>
        <v>37184.667774632486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13516.913166174669</v>
      </c>
    </row>
    <row r="77" spans="1:4" ht="15">
      <c r="A77" s="290" t="s">
        <v>33</v>
      </c>
      <c r="B77" s="290"/>
      <c r="C77" s="290"/>
      <c r="D77" s="66">
        <f>D70*E26</f>
        <v>0</v>
      </c>
    </row>
    <row r="78" spans="1:4" ht="15" customHeight="1">
      <c r="A78" s="290" t="s">
        <v>34</v>
      </c>
      <c r="B78" s="290"/>
      <c r="C78" s="290"/>
      <c r="D78" s="66">
        <f>D70*B29/B18</f>
        <v>23667.75460845782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>
        <f>D70*B29/B18</f>
        <v>23667.75460845782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623</v>
      </c>
      <c r="D82" s="67" t="s">
        <v>83</v>
      </c>
    </row>
    <row r="83" spans="1:4" ht="22.5" customHeight="1">
      <c r="A83" s="237" t="s">
        <v>77</v>
      </c>
      <c r="B83" s="306" t="s">
        <v>84</v>
      </c>
      <c r="C83" s="224" t="s">
        <v>658</v>
      </c>
      <c r="D83" s="67" t="s">
        <v>85</v>
      </c>
    </row>
    <row r="84" spans="1:4" ht="19.5" customHeight="1">
      <c r="A84" s="31" t="s">
        <v>28</v>
      </c>
      <c r="B84" s="306"/>
      <c r="C84" s="70">
        <v>2.7</v>
      </c>
      <c r="D84" s="71" t="s">
        <v>85</v>
      </c>
    </row>
    <row r="85" spans="1:4" ht="40.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6" spans="1:4" ht="39.75" customHeight="1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0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662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663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-92965.77</v>
      </c>
      <c r="C15" s="13"/>
      <c r="D15" s="14"/>
    </row>
    <row r="16" spans="1:4" ht="15.75">
      <c r="A16" s="15" t="s">
        <v>16</v>
      </c>
      <c r="B16" s="12">
        <v>1070.65</v>
      </c>
      <c r="C16" s="13"/>
      <c r="D16" s="14"/>
    </row>
    <row r="17" spans="1:4" ht="15.75">
      <c r="A17" s="15" t="s">
        <v>17</v>
      </c>
      <c r="B17" s="174">
        <v>-94036.42</v>
      </c>
      <c r="C17" s="175" t="s">
        <v>19</v>
      </c>
      <c r="D17" s="14"/>
    </row>
    <row r="18" spans="1:5" ht="25.5">
      <c r="A18" s="11" t="s">
        <v>18</v>
      </c>
      <c r="B18" s="16">
        <f>B20+B22+B25</f>
        <v>43967.259999999995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11132.88</v>
      </c>
      <c r="C20" s="105" t="s">
        <v>512</v>
      </c>
      <c r="D20" s="14"/>
    </row>
    <row r="21" spans="1:5" ht="15">
      <c r="A21" s="9" t="s">
        <v>147</v>
      </c>
      <c r="B21" s="16">
        <v>877</v>
      </c>
      <c r="C21" s="19" t="s">
        <v>664</v>
      </c>
      <c r="D21" s="20"/>
      <c r="E21" s="17">
        <f>(0.7+0.87)*6*93.1</f>
        <v>877.0019999999997</v>
      </c>
    </row>
    <row r="22" spans="1:5" ht="15.75">
      <c r="A22" s="9" t="s">
        <v>28</v>
      </c>
      <c r="B22" s="118">
        <v>1506.6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31327.78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0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31327.78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43998.71</v>
      </c>
      <c r="C31" s="13" t="s">
        <v>19</v>
      </c>
      <c r="D31" s="14" t="s">
        <v>19</v>
      </c>
      <c r="E31" s="1">
        <f>B31/B18</f>
        <v>1.000715304979205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11140.84340449689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1507.6776784816702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SUM(B37:B39)</f>
        <v>31350.188917021438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v>0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31350.188917021438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31350.188917021438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v>0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31350.188917021438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665</v>
      </c>
      <c r="D52" s="207">
        <f>(0.14+0.15)*6*93.1</f>
        <v>161.994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(1.2+2)*6*93.1</f>
        <v>1787.5200000000002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(0.2+0.21)*6*93.1</f>
        <v>229.02599999999998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666</v>
      </c>
      <c r="D57" s="207">
        <f>(0.44+0.47)*6*93.1</f>
        <v>508.3259999999999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(1.14+1.21)*6*93.1</f>
        <v>1312.7099999999998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4.88*12*93.1-0.02</f>
        <v>5451.915999999999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297</v>
      </c>
      <c r="D60" s="207">
        <f>(0.74+0.7)*6*93.1</f>
        <v>804.384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10255.875999999998</v>
      </c>
      <c r="E61" s="34">
        <f>D61+B21</f>
        <v>11132.875999999998</v>
      </c>
      <c r="F61" s="41"/>
      <c r="H61" s="50">
        <f>E61-B20</f>
        <v>-0.004000000000814907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10255.875999999998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-90582.17</v>
      </c>
      <c r="E67" s="61"/>
    </row>
    <row r="68" spans="1:5" ht="15.75">
      <c r="A68" s="78" t="s">
        <v>74</v>
      </c>
      <c r="B68" s="114"/>
      <c r="C68" s="115"/>
      <c r="D68" s="113">
        <f>B16+B21-D62</f>
        <v>1947.65</v>
      </c>
      <c r="E68" s="61"/>
    </row>
    <row r="69" spans="1:5" ht="15.75">
      <c r="A69" s="63" t="s">
        <v>75</v>
      </c>
      <c r="B69" s="63"/>
      <c r="C69" s="64"/>
      <c r="D69" s="60">
        <f>B17+B22-D65</f>
        <v>-92529.81999999999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237" t="s">
        <v>77</v>
      </c>
      <c r="B83" s="306" t="s">
        <v>84</v>
      </c>
      <c r="C83" s="224" t="s">
        <v>512</v>
      </c>
      <c r="D83" s="67" t="s">
        <v>85</v>
      </c>
    </row>
    <row r="84" spans="1:4" ht="24.75" customHeight="1">
      <c r="A84" s="31" t="s">
        <v>28</v>
      </c>
      <c r="B84" s="306"/>
      <c r="C84" s="70">
        <v>2.7</v>
      </c>
      <c r="D84" s="71" t="s">
        <v>85</v>
      </c>
    </row>
    <row r="85" spans="1:4" ht="39.75" customHeight="1">
      <c r="A85" s="31" t="s">
        <v>34</v>
      </c>
      <c r="B85" s="170" t="s">
        <v>90</v>
      </c>
      <c r="C85" s="147" t="s">
        <v>91</v>
      </c>
      <c r="D85" s="71" t="s">
        <v>92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64" zoomScaleNormal="64" zoomScalePageLayoutView="0" workbookViewId="0" topLeftCell="A40">
      <selection activeCell="D79" sqref="D79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667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668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-18842.54</v>
      </c>
      <c r="C15" s="13"/>
      <c r="D15" s="14"/>
    </row>
    <row r="16" spans="1:4" ht="15.75">
      <c r="A16" s="15" t="s">
        <v>16</v>
      </c>
      <c r="B16" s="12">
        <v>624.29</v>
      </c>
      <c r="C16" s="13"/>
      <c r="D16" s="14"/>
    </row>
    <row r="17" spans="1:4" ht="15.75">
      <c r="A17" s="15" t="s">
        <v>17</v>
      </c>
      <c r="B17" s="174">
        <v>-19466.83</v>
      </c>
      <c r="C17" s="175" t="s">
        <v>19</v>
      </c>
      <c r="D17" s="14"/>
    </row>
    <row r="18" spans="1:5" ht="25.5">
      <c r="A18" s="11" t="s">
        <v>18</v>
      </c>
      <c r="B18" s="16">
        <f>B20+B22+B25</f>
        <v>43428.619999999995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9525.66</v>
      </c>
      <c r="C20" s="105" t="s">
        <v>669</v>
      </c>
      <c r="D20" s="14"/>
    </row>
    <row r="21" spans="1:5" ht="15">
      <c r="A21" s="9" t="s">
        <v>147</v>
      </c>
      <c r="B21" s="16">
        <v>1139.3700000000001</v>
      </c>
      <c r="C21" s="19" t="s">
        <v>670</v>
      </c>
      <c r="D21" s="20"/>
      <c r="E21" s="17">
        <f>(1.08+1.25)*6*81.5</f>
        <v>1139.3700000000001</v>
      </c>
    </row>
    <row r="22" spans="1:5" ht="15.75">
      <c r="A22" s="9" t="s">
        <v>28</v>
      </c>
      <c r="B22" s="118">
        <v>0</v>
      </c>
      <c r="C22" s="119"/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33902.96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6478.62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27424.34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45379.61</v>
      </c>
      <c r="C31" s="13" t="s">
        <v>19</v>
      </c>
      <c r="D31" s="14" t="s">
        <v>19</v>
      </c>
      <c r="E31" s="1">
        <f>B31/B18</f>
        <v>1.044924061598089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9953.591336602452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35426.01866339755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6769.665923950612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28656.35273944694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35426.01866339755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6769.665923950612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28656.35273944694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(0.14+0.15)*6*81.5</f>
        <v>141.81000000000003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(1.2+2)*6*81.5</f>
        <v>1564.8000000000002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130</v>
      </c>
      <c r="D55" s="207">
        <f>(0.11+0.12)*6*81.5</f>
        <v>112.46999999999998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245</v>
      </c>
      <c r="D57" s="207">
        <f>(0.64+0.68)*6*81.5</f>
        <v>645.48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(1.14+1.21)*6*81.5</f>
        <v>1149.1499999999999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4.88*12*81.5-0.06</f>
        <v>4772.58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68</v>
      </c>
      <c r="B60" s="47"/>
      <c r="C60" s="48"/>
      <c r="D60" s="49">
        <f>SUM(D52:D59)</f>
        <v>8386.29</v>
      </c>
      <c r="E60" s="34">
        <f>D60+B21</f>
        <v>9525.660000000002</v>
      </c>
      <c r="F60" s="41"/>
      <c r="H60" s="50">
        <f>E60-B20</f>
        <v>0</v>
      </c>
      <c r="I60" s="37"/>
      <c r="J60" s="37"/>
      <c r="K60" s="37"/>
      <c r="L60" s="37"/>
      <c r="M60" s="37"/>
      <c r="N60" s="37"/>
    </row>
    <row r="61" spans="1:14" ht="15.75">
      <c r="A61" s="51" t="s">
        <v>69</v>
      </c>
      <c r="B61" s="52"/>
      <c r="C61" s="53"/>
      <c r="D61" s="212">
        <f>D62</f>
        <v>0</v>
      </c>
      <c r="E61" s="34"/>
      <c r="F61" s="41"/>
      <c r="H61" s="50"/>
      <c r="I61" s="37"/>
      <c r="J61" s="37"/>
      <c r="K61" s="37"/>
      <c r="L61" s="37"/>
      <c r="M61" s="37"/>
      <c r="N61" s="37"/>
    </row>
    <row r="62" spans="1:14" ht="15.75">
      <c r="A62" s="51"/>
      <c r="B62" s="52"/>
      <c r="C62" s="53"/>
      <c r="D62" s="212"/>
      <c r="E62" s="34"/>
      <c r="F62" s="45"/>
      <c r="H62" s="50"/>
      <c r="I62" s="37"/>
      <c r="J62" s="37"/>
      <c r="K62" s="37"/>
      <c r="L62" s="37"/>
      <c r="M62" s="37"/>
      <c r="N62" s="37"/>
    </row>
    <row r="63" spans="1:14" ht="15.75">
      <c r="A63" s="56" t="s">
        <v>71</v>
      </c>
      <c r="B63" s="57"/>
      <c r="C63" s="58"/>
      <c r="D63" s="212">
        <f>D60+D61</f>
        <v>8386.29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13">
        <f>D65</f>
        <v>0</v>
      </c>
      <c r="E64" s="61"/>
      <c r="H64" s="34"/>
    </row>
    <row r="65" spans="1:8" ht="17.25" customHeight="1">
      <c r="A65" s="111"/>
      <c r="B65" s="145"/>
      <c r="C65" s="146"/>
      <c r="D65" s="217"/>
      <c r="E65" s="61"/>
      <c r="H65" s="34"/>
    </row>
    <row r="66" spans="1:5" ht="25.5" customHeight="1">
      <c r="A66" s="291" t="s">
        <v>73</v>
      </c>
      <c r="B66" s="291"/>
      <c r="C66" s="291"/>
      <c r="D66" s="113">
        <f>D67+D68</f>
        <v>-17703.170000000002</v>
      </c>
      <c r="E66" s="61"/>
    </row>
    <row r="67" spans="1:5" ht="15.75">
      <c r="A67" s="78" t="s">
        <v>74</v>
      </c>
      <c r="B67" s="114"/>
      <c r="C67" s="115"/>
      <c r="D67" s="113">
        <f>B16+B21-D61</f>
        <v>1763.66</v>
      </c>
      <c r="E67" s="61"/>
    </row>
    <row r="68" spans="1:5" ht="15.75">
      <c r="A68" s="114" t="s">
        <v>75</v>
      </c>
      <c r="B68" s="114"/>
      <c r="C68" s="115"/>
      <c r="D68" s="113">
        <f>B17+B22-D64</f>
        <v>-19466.83</v>
      </c>
      <c r="E68" s="61"/>
    </row>
    <row r="69" spans="1:5" ht="13.5" customHeight="1">
      <c r="A69" s="294" t="s">
        <v>76</v>
      </c>
      <c r="B69" s="294"/>
      <c r="C69" s="294"/>
      <c r="D69" s="65">
        <v>0</v>
      </c>
      <c r="E69" s="61"/>
    </row>
    <row r="70" spans="1:4" ht="15" customHeight="1">
      <c r="A70" s="290" t="s">
        <v>20</v>
      </c>
      <c r="B70" s="290"/>
      <c r="C70" s="290"/>
      <c r="D70" s="66"/>
    </row>
    <row r="71" spans="1:4" ht="13.5" customHeight="1">
      <c r="A71" s="290" t="s">
        <v>77</v>
      </c>
      <c r="B71" s="290"/>
      <c r="C71" s="290"/>
      <c r="D71" s="66">
        <f>D69*E21</f>
        <v>0</v>
      </c>
    </row>
    <row r="72" spans="1:4" ht="13.5" customHeight="1">
      <c r="A72" s="290" t="s">
        <v>28</v>
      </c>
      <c r="B72" s="290"/>
      <c r="C72" s="290"/>
      <c r="D72" s="66">
        <f>D69-D71-D73</f>
        <v>0</v>
      </c>
    </row>
    <row r="73" spans="1:4" ht="13.5" customHeight="1">
      <c r="A73" s="290" t="s">
        <v>29</v>
      </c>
      <c r="B73" s="290"/>
      <c r="C73" s="290"/>
      <c r="D73" s="66">
        <f>SUM(D75:D77)</f>
        <v>0</v>
      </c>
    </row>
    <row r="74" spans="1:4" ht="15">
      <c r="A74" s="290" t="s">
        <v>20</v>
      </c>
      <c r="B74" s="290"/>
      <c r="C74" s="290"/>
      <c r="D74" s="66"/>
    </row>
    <row r="75" spans="1:4" ht="13.5" customHeight="1">
      <c r="A75" s="290" t="s">
        <v>31</v>
      </c>
      <c r="B75" s="290"/>
      <c r="C75" s="290"/>
      <c r="D75" s="66">
        <f>D69*E26</f>
        <v>0</v>
      </c>
    </row>
    <row r="76" spans="1:4" ht="15">
      <c r="A76" s="290" t="s">
        <v>33</v>
      </c>
      <c r="B76" s="290"/>
      <c r="C76" s="290"/>
      <c r="D76" s="66">
        <f>D69*E27</f>
        <v>0</v>
      </c>
    </row>
    <row r="77" spans="1:4" ht="15" customHeight="1">
      <c r="A77" s="290" t="s">
        <v>34</v>
      </c>
      <c r="B77" s="290"/>
      <c r="C77" s="290"/>
      <c r="D77" s="66">
        <f>D69*E28</f>
        <v>0</v>
      </c>
    </row>
    <row r="78" spans="1:4" ht="15">
      <c r="A78" s="290" t="s">
        <v>78</v>
      </c>
      <c r="B78" s="290"/>
      <c r="C78" s="290"/>
      <c r="D78" s="66"/>
    </row>
    <row r="79" spans="1:4" ht="15" customHeight="1">
      <c r="A79" s="290" t="s">
        <v>35</v>
      </c>
      <c r="B79" s="290"/>
      <c r="C79" s="290"/>
      <c r="D79" s="66"/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40.5" customHeight="1">
      <c r="A82" s="31" t="s">
        <v>77</v>
      </c>
      <c r="B82" s="69" t="s">
        <v>84</v>
      </c>
      <c r="C82" s="70" t="s">
        <v>669</v>
      </c>
      <c r="D82" s="237" t="s">
        <v>85</v>
      </c>
    </row>
    <row r="83" spans="1:4" ht="41.25" customHeight="1">
      <c r="A83" s="31" t="s">
        <v>31</v>
      </c>
      <c r="B83" s="140" t="s">
        <v>86</v>
      </c>
      <c r="C83" s="70" t="s">
        <v>87</v>
      </c>
      <c r="D83" s="71" t="s">
        <v>88</v>
      </c>
    </row>
    <row r="84" spans="1:4" ht="39.75" customHeight="1">
      <c r="A84" s="31" t="s">
        <v>34</v>
      </c>
      <c r="B84" s="170" t="s">
        <v>90</v>
      </c>
      <c r="C84" s="147" t="s">
        <v>91</v>
      </c>
      <c r="D84" s="71" t="s">
        <v>92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8:C78"/>
    <mergeCell ref="A79:C79"/>
    <mergeCell ref="A80:D80"/>
    <mergeCell ref="A72:C72"/>
    <mergeCell ref="A73:C73"/>
    <mergeCell ref="A74:C74"/>
    <mergeCell ref="A75:C75"/>
    <mergeCell ref="A76:C76"/>
    <mergeCell ref="A77:C77"/>
    <mergeCell ref="A48:D49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64" zoomScaleNormal="64" zoomScalePageLayoutView="0" workbookViewId="0" topLeftCell="A1">
      <selection activeCell="B44" sqref="B4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671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672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5" ht="46.5" customHeight="1">
      <c r="A15" s="11" t="s">
        <v>15</v>
      </c>
      <c r="B15" s="12">
        <f>B16+B17</f>
        <v>-5772.03</v>
      </c>
      <c r="C15" s="13"/>
      <c r="D15" s="14"/>
      <c r="E15" s="1" t="s">
        <v>6</v>
      </c>
    </row>
    <row r="16" spans="1:4" ht="15.75">
      <c r="A16" s="15" t="s">
        <v>16</v>
      </c>
      <c r="B16" s="12">
        <v>-7664.19</v>
      </c>
      <c r="C16" s="13"/>
      <c r="D16" s="14"/>
    </row>
    <row r="17" spans="1:4" ht="15.75">
      <c r="A17" s="15" t="s">
        <v>17</v>
      </c>
      <c r="B17" s="174">
        <v>1892.16</v>
      </c>
      <c r="C17" s="175" t="s">
        <v>19</v>
      </c>
      <c r="D17" s="14"/>
    </row>
    <row r="18" spans="1:5" ht="25.5">
      <c r="A18" s="11" t="s">
        <v>18</v>
      </c>
      <c r="B18" s="16">
        <f>B20+B22+B25</f>
        <v>55674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13689.9</v>
      </c>
      <c r="C20" s="105" t="s">
        <v>673</v>
      </c>
      <c r="D20" s="14"/>
    </row>
    <row r="21" spans="1:5" ht="15">
      <c r="A21" s="9" t="s">
        <v>147</v>
      </c>
      <c r="B21" s="16">
        <v>995.4000000000001</v>
      </c>
      <c r="C21" s="19" t="s">
        <v>674</v>
      </c>
      <c r="D21" s="20"/>
      <c r="E21" s="17">
        <f>(0.68+0.9)*6*105</f>
        <v>995.4000000000001</v>
      </c>
    </row>
    <row r="22" spans="1:5" ht="15.75">
      <c r="A22" s="9" t="s">
        <v>28</v>
      </c>
      <c r="B22" s="118">
        <v>1892.16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40091.94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4759.8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35332.14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72445.48</v>
      </c>
      <c r="C31" s="13"/>
      <c r="D31" s="14" t="s">
        <v>19</v>
      </c>
      <c r="E31" s="1">
        <f>B31/B18</f>
        <v>1.3012443869669863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17813.905533139347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2462.162579243453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52169.41188761719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6193.663033085461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f>B29*E31</f>
        <v>45975.74885453173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52169.41188761719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6193.663033085461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f>B39</f>
        <v>45975.74885453173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46" t="s">
        <v>112</v>
      </c>
      <c r="B52" s="239" t="s">
        <v>47</v>
      </c>
      <c r="C52" s="21" t="s">
        <v>48</v>
      </c>
      <c r="D52" s="240">
        <f>(0.14+0.15)*6*105</f>
        <v>182.70000000000002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46" t="s">
        <v>49</v>
      </c>
      <c r="B53" s="239" t="s">
        <v>50</v>
      </c>
      <c r="C53" s="38">
        <v>0</v>
      </c>
      <c r="D53" s="240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46" t="s">
        <v>52</v>
      </c>
      <c r="B54" s="239" t="s">
        <v>50</v>
      </c>
      <c r="C54" s="38" t="s">
        <v>53</v>
      </c>
      <c r="D54" s="240">
        <f>(1.2+2)*6*105</f>
        <v>2016.0000000000002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46" t="s">
        <v>54</v>
      </c>
      <c r="B55" s="239" t="s">
        <v>47</v>
      </c>
      <c r="C55" s="38" t="s">
        <v>55</v>
      </c>
      <c r="D55" s="240">
        <f>(0.2+0.21)*6*105</f>
        <v>258.3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46" t="s">
        <v>56</v>
      </c>
      <c r="B56" s="241" t="s">
        <v>57</v>
      </c>
      <c r="C56" s="44">
        <v>0</v>
      </c>
      <c r="D56" s="240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46" t="s">
        <v>115</v>
      </c>
      <c r="B57" s="241" t="s">
        <v>47</v>
      </c>
      <c r="C57" s="44" t="s">
        <v>245</v>
      </c>
      <c r="D57" s="240">
        <f>(0.64+0.68)*6*105</f>
        <v>831.6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46" t="s">
        <v>63</v>
      </c>
      <c r="B58" s="241" t="s">
        <v>64</v>
      </c>
      <c r="C58" s="44" t="s">
        <v>65</v>
      </c>
      <c r="D58" s="240">
        <f>(1.14+1.21)*6*105</f>
        <v>1480.4999999999998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46" t="s">
        <v>66</v>
      </c>
      <c r="B59" s="241" t="s">
        <v>67</v>
      </c>
      <c r="C59" s="44">
        <v>4.88</v>
      </c>
      <c r="D59" s="240">
        <f>4.88*12*105</f>
        <v>6148.8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536</v>
      </c>
      <c r="B60" s="241"/>
      <c r="C60" s="44" t="s">
        <v>569</v>
      </c>
      <c r="D60" s="240">
        <f>(1.37+1.45)*6*105</f>
        <v>1776.6000000000001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242"/>
      <c r="C61" s="206"/>
      <c r="D61" s="243">
        <f>SUM(D52:D60)</f>
        <v>12694.500000000002</v>
      </c>
      <c r="E61" s="34">
        <f>D61+B21</f>
        <v>13689.900000000001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12694.500000000002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-2884.469999999999</v>
      </c>
      <c r="E67" s="61"/>
    </row>
    <row r="68" spans="1:5" ht="15.75">
      <c r="A68" s="78" t="s">
        <v>74</v>
      </c>
      <c r="B68" s="114"/>
      <c r="C68" s="115"/>
      <c r="D68" s="113">
        <f>B16+B21-D62</f>
        <v>-6668.789999999999</v>
      </c>
      <c r="E68" s="61"/>
    </row>
    <row r="69" spans="1:5" ht="15.75">
      <c r="A69" s="63" t="s">
        <v>75</v>
      </c>
      <c r="B69" s="63"/>
      <c r="C69" s="64"/>
      <c r="D69" s="60">
        <f>B17+B22-D65</f>
        <v>3784.32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84</v>
      </c>
      <c r="C83" s="70" t="s">
        <v>673</v>
      </c>
      <c r="D83" s="67" t="s">
        <v>85</v>
      </c>
    </row>
    <row r="84" spans="1:4" ht="21" customHeight="1">
      <c r="A84" s="31" t="s">
        <v>28</v>
      </c>
      <c r="B84" s="296"/>
      <c r="C84" s="70">
        <v>2.7</v>
      </c>
      <c r="D84" s="71" t="s">
        <v>85</v>
      </c>
    </row>
    <row r="85" spans="1:4" ht="43.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6" spans="1:4" ht="39.75" customHeight="1">
      <c r="A86" s="31" t="s">
        <v>34</v>
      </c>
      <c r="B86" s="170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64" zoomScaleNormal="64" zoomScalePageLayoutView="0" workbookViewId="0" topLeftCell="A1">
      <selection activeCell="A1" sqref="A1:D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675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676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-2973.86</v>
      </c>
      <c r="C15" s="13"/>
      <c r="D15" s="14"/>
    </row>
    <row r="16" spans="1:4" ht="15.75">
      <c r="A16" s="15" t="s">
        <v>16</v>
      </c>
      <c r="B16" s="12">
        <v>3796.31</v>
      </c>
      <c r="C16" s="13"/>
      <c r="D16" s="14"/>
    </row>
    <row r="17" spans="1:4" ht="15.75">
      <c r="A17" s="15" t="s">
        <v>17</v>
      </c>
      <c r="B17" s="174">
        <v>-6770.17</v>
      </c>
      <c r="C17" s="175" t="s">
        <v>19</v>
      </c>
      <c r="D17" s="14"/>
    </row>
    <row r="18" spans="1:5" ht="25.5">
      <c r="A18" s="11" t="s">
        <v>18</v>
      </c>
      <c r="B18" s="16">
        <f>B20+B24+B27</f>
        <v>14522.82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12275.16</v>
      </c>
      <c r="C20" s="105"/>
      <c r="D20" s="14"/>
    </row>
    <row r="21" spans="1:4" ht="15">
      <c r="A21" s="9" t="s">
        <v>445</v>
      </c>
      <c r="B21" s="16"/>
      <c r="C21" s="105" t="s">
        <v>677</v>
      </c>
      <c r="D21" s="14"/>
    </row>
    <row r="22" spans="1:4" ht="15">
      <c r="A22" s="9" t="s">
        <v>262</v>
      </c>
      <c r="B22" s="16"/>
      <c r="C22" s="105" t="s">
        <v>678</v>
      </c>
      <c r="D22" s="14"/>
    </row>
    <row r="23" spans="1:5" ht="15">
      <c r="A23" s="9" t="s">
        <v>147</v>
      </c>
      <c r="B23" s="16">
        <v>717.57</v>
      </c>
      <c r="C23" s="19" t="s">
        <v>679</v>
      </c>
      <c r="D23" s="20"/>
      <c r="E23" s="17">
        <f>(0.51+0.68)*6*100.5</f>
        <v>717.5699999999999</v>
      </c>
    </row>
    <row r="24" spans="1:5" ht="15.75">
      <c r="A24" s="9" t="s">
        <v>28</v>
      </c>
      <c r="B24" s="118">
        <v>0</v>
      </c>
      <c r="C24" s="119"/>
      <c r="D24" s="20"/>
      <c r="E24" s="17"/>
    </row>
    <row r="25" spans="1:5" ht="15">
      <c r="A25" s="9" t="s">
        <v>149</v>
      </c>
      <c r="B25" s="16">
        <v>0</v>
      </c>
      <c r="C25" s="19"/>
      <c r="D25" s="20"/>
      <c r="E25" s="17"/>
    </row>
    <row r="26" spans="1:4" ht="15.75">
      <c r="A26" s="9" t="s">
        <v>167</v>
      </c>
      <c r="B26" s="120">
        <v>0</v>
      </c>
      <c r="C26" s="196"/>
      <c r="D26" s="20" t="s">
        <v>30</v>
      </c>
    </row>
    <row r="27" spans="1:4" ht="15">
      <c r="A27" s="9" t="s">
        <v>29</v>
      </c>
      <c r="B27" s="16">
        <f>B29+B30+B31+B32</f>
        <v>2247.66</v>
      </c>
      <c r="C27" s="19"/>
      <c r="D27" s="20"/>
    </row>
    <row r="28" spans="1:5" ht="15">
      <c r="A28" s="9" t="s">
        <v>20</v>
      </c>
      <c r="B28" s="16">
        <v>0</v>
      </c>
      <c r="C28" s="19"/>
      <c r="D28" s="27" t="s">
        <v>32</v>
      </c>
      <c r="E28" s="17"/>
    </row>
    <row r="29" spans="1:5" ht="15">
      <c r="A29" s="9" t="s">
        <v>31</v>
      </c>
      <c r="B29" s="16">
        <v>2247.66</v>
      </c>
      <c r="C29" s="19"/>
      <c r="D29" s="27" t="s">
        <v>32</v>
      </c>
      <c r="E29" s="17"/>
    </row>
    <row r="30" spans="1:5" ht="15">
      <c r="A30" s="9" t="s">
        <v>33</v>
      </c>
      <c r="B30" s="16">
        <v>0</v>
      </c>
      <c r="C30" s="19"/>
      <c r="D30" s="28"/>
      <c r="E30" s="17"/>
    </row>
    <row r="31" spans="1:5" ht="15">
      <c r="A31" s="9" t="s">
        <v>34</v>
      </c>
      <c r="B31" s="16">
        <v>0</v>
      </c>
      <c r="C31" s="19"/>
      <c r="D31" s="28"/>
      <c r="E31" s="17"/>
    </row>
    <row r="32" spans="1:5" ht="15">
      <c r="A32" s="9" t="s">
        <v>35</v>
      </c>
      <c r="B32" s="16">
        <v>0</v>
      </c>
      <c r="C32" s="19"/>
      <c r="D32" s="28"/>
      <c r="E32" s="17"/>
    </row>
    <row r="33" spans="1:5" ht="25.5">
      <c r="A33" s="11" t="s">
        <v>36</v>
      </c>
      <c r="B33" s="18">
        <v>15052.9</v>
      </c>
      <c r="C33" s="13"/>
      <c r="D33" s="14" t="s">
        <v>19</v>
      </c>
      <c r="E33" s="1">
        <f>B33/B18</f>
        <v>1.0364997982485495</v>
      </c>
    </row>
    <row r="34" spans="1:4" ht="15">
      <c r="A34" s="9" t="s">
        <v>20</v>
      </c>
      <c r="B34" s="18"/>
      <c r="C34" s="13"/>
      <c r="D34" s="14"/>
    </row>
    <row r="35" spans="1:4" ht="15">
      <c r="A35" s="9" t="s">
        <v>77</v>
      </c>
      <c r="B35" s="18">
        <f>B20*E33</f>
        <v>12723.200863468664</v>
      </c>
      <c r="C35" s="18" t="s">
        <v>6</v>
      </c>
      <c r="D35" s="14" t="s">
        <v>19</v>
      </c>
    </row>
    <row r="36" spans="1:4" ht="15">
      <c r="A36" s="9" t="s">
        <v>28</v>
      </c>
      <c r="B36" s="18">
        <v>0</v>
      </c>
      <c r="C36" s="13" t="s">
        <v>19</v>
      </c>
      <c r="D36" s="14" t="s">
        <v>19</v>
      </c>
    </row>
    <row r="37" spans="1:4" ht="15">
      <c r="A37" s="9" t="s">
        <v>29</v>
      </c>
      <c r="B37" s="18">
        <f>B39</f>
        <v>2329.6991365313347</v>
      </c>
      <c r="C37" s="13"/>
      <c r="D37" s="14"/>
    </row>
    <row r="38" spans="1:4" ht="15">
      <c r="A38" s="9" t="s">
        <v>20</v>
      </c>
      <c r="B38" s="18">
        <v>0</v>
      </c>
      <c r="C38" s="13" t="s">
        <v>19</v>
      </c>
      <c r="D38" s="14"/>
    </row>
    <row r="39" spans="1:4" ht="15">
      <c r="A39" s="9" t="s">
        <v>31</v>
      </c>
      <c r="B39" s="18">
        <f>B29*E33</f>
        <v>2329.6991365313347</v>
      </c>
      <c r="C39" s="13" t="s">
        <v>19</v>
      </c>
      <c r="D39" s="14"/>
    </row>
    <row r="40" spans="1:4" ht="15">
      <c r="A40" s="9" t="s">
        <v>33</v>
      </c>
      <c r="B40" s="18">
        <v>0</v>
      </c>
      <c r="C40" s="13"/>
      <c r="D40" s="14"/>
    </row>
    <row r="41" spans="1:4" ht="15">
      <c r="A41" s="9" t="s">
        <v>34</v>
      </c>
      <c r="B41" s="18">
        <v>0</v>
      </c>
      <c r="C41" s="13"/>
      <c r="D41" s="14"/>
    </row>
    <row r="42" spans="1:4" ht="15">
      <c r="A42" s="9" t="s">
        <v>35</v>
      </c>
      <c r="B42" s="18"/>
      <c r="C42" s="13"/>
      <c r="D42" s="14"/>
    </row>
    <row r="43" spans="1:4" ht="38.25">
      <c r="A43" s="11" t="s">
        <v>40</v>
      </c>
      <c r="B43" s="18">
        <f>B45+B46+B47+B48</f>
        <v>2329.6991365313347</v>
      </c>
      <c r="C43" s="13" t="s">
        <v>19</v>
      </c>
      <c r="D43" s="14" t="s">
        <v>19</v>
      </c>
    </row>
    <row r="44" spans="1:4" ht="15">
      <c r="A44" s="9" t="s">
        <v>20</v>
      </c>
      <c r="B44" s="18"/>
      <c r="C44" s="13"/>
      <c r="D44" s="14"/>
    </row>
    <row r="45" spans="1:4" ht="15">
      <c r="A45" s="9" t="s">
        <v>31</v>
      </c>
      <c r="B45" s="18">
        <f>B39</f>
        <v>2329.6991365313347</v>
      </c>
      <c r="C45" s="13"/>
      <c r="D45" s="14"/>
    </row>
    <row r="46" spans="1:4" ht="15">
      <c r="A46" s="9" t="s">
        <v>33</v>
      </c>
      <c r="B46" s="18">
        <v>0</v>
      </c>
      <c r="C46" s="13"/>
      <c r="D46" s="14"/>
    </row>
    <row r="47" spans="1:4" ht="15">
      <c r="A47" s="9" t="s">
        <v>34</v>
      </c>
      <c r="B47" s="18">
        <v>0</v>
      </c>
      <c r="C47" s="13"/>
      <c r="D47" s="14"/>
    </row>
    <row r="48" spans="1:4" ht="15">
      <c r="A48" s="9" t="s">
        <v>35</v>
      </c>
      <c r="B48" s="18">
        <v>0</v>
      </c>
      <c r="C48" s="13" t="s">
        <v>19</v>
      </c>
      <c r="D48" s="14"/>
    </row>
    <row r="49" ht="12.75">
      <c r="A49" s="4"/>
    </row>
    <row r="50" spans="1:10" ht="13.5" customHeight="1">
      <c r="A50" s="291" t="s">
        <v>41</v>
      </c>
      <c r="B50" s="291"/>
      <c r="C50" s="291"/>
      <c r="D50" s="291"/>
      <c r="I50" s="30"/>
      <c r="J50" s="30"/>
    </row>
    <row r="51" spans="1:10" ht="9" customHeight="1">
      <c r="A51" s="291"/>
      <c r="B51" s="291"/>
      <c r="C51" s="291"/>
      <c r="D51" s="291"/>
      <c r="I51" s="4"/>
      <c r="J51" s="4"/>
    </row>
    <row r="52" spans="1:10" ht="12.75">
      <c r="A52" s="4"/>
      <c r="C52" s="6" t="s">
        <v>10</v>
      </c>
      <c r="I52" s="4"/>
      <c r="J52" s="4"/>
    </row>
    <row r="53" spans="1:14" ht="66.75" customHeight="1">
      <c r="A53" s="8" t="s">
        <v>42</v>
      </c>
      <c r="B53" s="8" t="s">
        <v>43</v>
      </c>
      <c r="C53" s="8" t="s">
        <v>44</v>
      </c>
      <c r="D53" s="8" t="s">
        <v>45</v>
      </c>
      <c r="I53" s="3"/>
      <c r="J53" s="3"/>
      <c r="K53" s="3"/>
      <c r="L53" s="3"/>
      <c r="M53" s="3"/>
      <c r="N53" s="3"/>
    </row>
    <row r="54" spans="1:14" ht="15">
      <c r="A54" s="46" t="s">
        <v>112</v>
      </c>
      <c r="B54" s="197" t="s">
        <v>47</v>
      </c>
      <c r="C54" s="21" t="s">
        <v>680</v>
      </c>
      <c r="D54" s="240">
        <f>(0.14+0.15)*6*100.5</f>
        <v>174.87000000000003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46" t="s">
        <v>49</v>
      </c>
      <c r="B55" s="197" t="s">
        <v>50</v>
      </c>
      <c r="C55" s="38">
        <v>0</v>
      </c>
      <c r="D55" s="240">
        <v>0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46" t="s">
        <v>52</v>
      </c>
      <c r="B56" s="197" t="s">
        <v>50</v>
      </c>
      <c r="C56" s="38" t="s">
        <v>53</v>
      </c>
      <c r="D56" s="240">
        <f>(1.2+2)*6*100.5</f>
        <v>1929.6000000000004</v>
      </c>
      <c r="E56" s="34"/>
      <c r="F56" s="35"/>
      <c r="G56" s="36"/>
      <c r="I56" s="37"/>
      <c r="J56" s="37"/>
      <c r="K56" s="37"/>
      <c r="L56" s="37"/>
      <c r="M56" s="37"/>
      <c r="N56" s="37"/>
    </row>
    <row r="57" spans="1:14" ht="15">
      <c r="A57" s="46" t="s">
        <v>54</v>
      </c>
      <c r="B57" s="197" t="s">
        <v>47</v>
      </c>
      <c r="C57" s="38" t="s">
        <v>55</v>
      </c>
      <c r="D57" s="240">
        <f>(0.2+0.21)*6*100.5</f>
        <v>247.23</v>
      </c>
      <c r="E57" s="34"/>
      <c r="F57" s="35"/>
      <c r="G57" s="36"/>
      <c r="I57" s="37"/>
      <c r="J57" s="37"/>
      <c r="K57" s="37"/>
      <c r="L57" s="37"/>
      <c r="M57" s="37"/>
      <c r="N57" s="37"/>
    </row>
    <row r="58" spans="1:14" ht="15">
      <c r="A58" s="46" t="s">
        <v>56</v>
      </c>
      <c r="B58" s="199" t="s">
        <v>57</v>
      </c>
      <c r="C58" s="44">
        <v>0</v>
      </c>
      <c r="D58" s="240">
        <v>0</v>
      </c>
      <c r="E58" s="34"/>
      <c r="F58" s="41"/>
      <c r="G58" s="42"/>
      <c r="H58" s="43"/>
      <c r="I58" s="37"/>
      <c r="J58" s="37"/>
      <c r="K58" s="37"/>
      <c r="L58" s="37"/>
      <c r="M58" s="37"/>
      <c r="N58" s="37"/>
    </row>
    <row r="59" spans="1:14" ht="15">
      <c r="A59" s="46" t="s">
        <v>244</v>
      </c>
      <c r="B59" s="199" t="s">
        <v>47</v>
      </c>
      <c r="C59" s="44" t="s">
        <v>55</v>
      </c>
      <c r="D59" s="240">
        <f>(0.2+0.21)*6*49.8</f>
        <v>122.508</v>
      </c>
      <c r="E59" s="34"/>
      <c r="F59" s="41"/>
      <c r="G59" s="42"/>
      <c r="I59" s="37"/>
      <c r="J59" s="37"/>
      <c r="K59" s="37"/>
      <c r="L59" s="37"/>
      <c r="M59" s="37"/>
      <c r="N59" s="37"/>
    </row>
    <row r="60" spans="1:14" ht="15">
      <c r="A60" s="46" t="s">
        <v>63</v>
      </c>
      <c r="B60" s="199" t="s">
        <v>64</v>
      </c>
      <c r="C60" s="44" t="s">
        <v>65</v>
      </c>
      <c r="D60" s="240">
        <f>(1.14+1.21)*6*100.5</f>
        <v>1417.0499999999997</v>
      </c>
      <c r="E60" s="34"/>
      <c r="F60" s="41"/>
      <c r="G60" s="42"/>
      <c r="I60" s="37"/>
      <c r="J60" s="37"/>
      <c r="K60" s="37"/>
      <c r="L60" s="37"/>
      <c r="M60" s="37"/>
      <c r="N60" s="37"/>
    </row>
    <row r="61" spans="1:14" ht="15">
      <c r="A61" s="46" t="s">
        <v>66</v>
      </c>
      <c r="B61" s="199" t="s">
        <v>67</v>
      </c>
      <c r="C61" s="44">
        <v>4.88</v>
      </c>
      <c r="D61" s="244">
        <f>4.88*12*100.5+2.2</f>
        <v>5887.4800000000005</v>
      </c>
      <c r="E61" s="34"/>
      <c r="F61" s="41"/>
      <c r="H61" s="45"/>
      <c r="I61" s="37"/>
      <c r="J61" s="37"/>
      <c r="K61" s="37"/>
      <c r="L61" s="37"/>
      <c r="M61" s="37"/>
      <c r="N61" s="37"/>
    </row>
    <row r="62" spans="1:14" ht="15">
      <c r="A62" s="46" t="s">
        <v>536</v>
      </c>
      <c r="B62" s="199"/>
      <c r="C62" s="44" t="s">
        <v>600</v>
      </c>
      <c r="D62" s="244">
        <f>(1.43+1.52)*6*100.5</f>
        <v>1778.8500000000004</v>
      </c>
      <c r="E62" s="34"/>
      <c r="F62" s="41"/>
      <c r="H62" s="45"/>
      <c r="I62" s="37"/>
      <c r="J62" s="37"/>
      <c r="K62" s="37"/>
      <c r="L62" s="37"/>
      <c r="M62" s="37"/>
      <c r="N62" s="37"/>
    </row>
    <row r="63" spans="1:14" ht="15">
      <c r="A63" s="46" t="s">
        <v>68</v>
      </c>
      <c r="B63" s="245"/>
      <c r="C63" s="206"/>
      <c r="D63" s="243">
        <f>SUM(D54:D62)</f>
        <v>11557.588000000002</v>
      </c>
      <c r="E63" s="34">
        <f>D63+B23</f>
        <v>12275.158000000001</v>
      </c>
      <c r="F63" s="41"/>
      <c r="H63" s="50">
        <f>E63-B20</f>
        <v>-0.0019999999985884642</v>
      </c>
      <c r="I63" s="37"/>
      <c r="J63" s="37"/>
      <c r="K63" s="37"/>
      <c r="L63" s="37"/>
      <c r="M63" s="37"/>
      <c r="N63" s="37"/>
    </row>
    <row r="64" spans="1:14" ht="15.75">
      <c r="A64" s="51" t="s">
        <v>69</v>
      </c>
      <c r="B64" s="52"/>
      <c r="C64" s="53"/>
      <c r="D64" s="212">
        <f>D65</f>
        <v>0</v>
      </c>
      <c r="E64" s="34"/>
      <c r="F64" s="41"/>
      <c r="H64" s="50"/>
      <c r="I64" s="37"/>
      <c r="J64" s="37"/>
      <c r="K64" s="37"/>
      <c r="L64" s="37"/>
      <c r="M64" s="37"/>
      <c r="N64" s="37"/>
    </row>
    <row r="65" spans="1:14" ht="15.75">
      <c r="A65" s="51"/>
      <c r="B65" s="52"/>
      <c r="C65" s="53"/>
      <c r="D65" s="212"/>
      <c r="E65" s="34"/>
      <c r="F65" s="45"/>
      <c r="H65" s="50"/>
      <c r="I65" s="37"/>
      <c r="J65" s="37"/>
      <c r="K65" s="37"/>
      <c r="L65" s="37"/>
      <c r="M65" s="37"/>
      <c r="N65" s="37"/>
    </row>
    <row r="66" spans="1:14" ht="15.75">
      <c r="A66" s="221" t="s">
        <v>71</v>
      </c>
      <c r="B66" s="222"/>
      <c r="C66" s="223"/>
      <c r="D66" s="212">
        <f>D63+D64</f>
        <v>11557.588000000002</v>
      </c>
      <c r="E66" s="34"/>
      <c r="F66" s="45"/>
      <c r="H66" s="50"/>
      <c r="I66" s="37"/>
      <c r="J66" s="37"/>
      <c r="K66" s="37"/>
      <c r="L66" s="37"/>
      <c r="M66" s="37"/>
      <c r="N66" s="37"/>
    </row>
    <row r="67" spans="1:8" ht="13.5" customHeight="1">
      <c r="A67" s="308" t="s">
        <v>72</v>
      </c>
      <c r="B67" s="308"/>
      <c r="C67" s="308"/>
      <c r="D67" s="113">
        <f>D68</f>
        <v>0</v>
      </c>
      <c r="E67" s="61"/>
      <c r="H67" s="34"/>
    </row>
    <row r="68" spans="1:8" ht="17.25" customHeight="1">
      <c r="A68" s="114"/>
      <c r="B68" s="215"/>
      <c r="C68" s="215"/>
      <c r="D68" s="217"/>
      <c r="E68" s="61"/>
      <c r="H68" s="34"/>
    </row>
    <row r="69" spans="1:5" ht="25.5" customHeight="1">
      <c r="A69" s="293" t="s">
        <v>73</v>
      </c>
      <c r="B69" s="293"/>
      <c r="C69" s="293"/>
      <c r="D69" s="60">
        <f>D70+D71</f>
        <v>-2256.29</v>
      </c>
      <c r="E69" s="61"/>
    </row>
    <row r="70" spans="1:5" ht="15.75">
      <c r="A70" s="62" t="s">
        <v>74</v>
      </c>
      <c r="B70" s="63"/>
      <c r="C70" s="64"/>
      <c r="D70" s="60">
        <f>B16+B23-D64</f>
        <v>4513.88</v>
      </c>
      <c r="E70" s="61"/>
    </row>
    <row r="71" spans="1:5" ht="15.75">
      <c r="A71" s="63" t="s">
        <v>75</v>
      </c>
      <c r="B71" s="63"/>
      <c r="C71" s="64"/>
      <c r="D71" s="60">
        <f>B17+B24-D67</f>
        <v>-6770.17</v>
      </c>
      <c r="E71" s="61"/>
    </row>
    <row r="72" spans="1:5" ht="13.5" customHeight="1">
      <c r="A72" s="294" t="s">
        <v>76</v>
      </c>
      <c r="B72" s="294"/>
      <c r="C72" s="294"/>
      <c r="D72" s="65">
        <v>0</v>
      </c>
      <c r="E72" s="61"/>
    </row>
    <row r="73" spans="1:4" ht="15">
      <c r="A73" s="290" t="s">
        <v>20</v>
      </c>
      <c r="B73" s="290"/>
      <c r="C73" s="290"/>
      <c r="D73" s="66"/>
    </row>
    <row r="74" spans="1:4" ht="13.5" customHeight="1">
      <c r="A74" s="290" t="s">
        <v>77</v>
      </c>
      <c r="B74" s="290"/>
      <c r="C74" s="290"/>
      <c r="D74" s="66">
        <f>D72*E23</f>
        <v>0</v>
      </c>
    </row>
    <row r="75" spans="1:4" ht="13.5" customHeight="1">
      <c r="A75" s="290" t="s">
        <v>28</v>
      </c>
      <c r="B75" s="290"/>
      <c r="C75" s="290"/>
      <c r="D75" s="66">
        <f>D72-D74-D76</f>
        <v>0</v>
      </c>
    </row>
    <row r="76" spans="1:4" ht="13.5" customHeight="1">
      <c r="A76" s="290" t="s">
        <v>29</v>
      </c>
      <c r="B76" s="290"/>
      <c r="C76" s="290"/>
      <c r="D76" s="66">
        <f>SUM(D78:D80)</f>
        <v>0</v>
      </c>
    </row>
    <row r="77" spans="1:4" ht="15">
      <c r="A77" s="290" t="s">
        <v>20</v>
      </c>
      <c r="B77" s="290"/>
      <c r="C77" s="290"/>
      <c r="D77" s="66"/>
    </row>
    <row r="78" spans="1:4" ht="13.5" customHeight="1">
      <c r="A78" s="290" t="s">
        <v>31</v>
      </c>
      <c r="B78" s="290"/>
      <c r="C78" s="290"/>
      <c r="D78" s="66">
        <f>D72*E28</f>
        <v>0</v>
      </c>
    </row>
    <row r="79" spans="1:4" ht="15">
      <c r="A79" s="290" t="s">
        <v>33</v>
      </c>
      <c r="B79" s="290"/>
      <c r="C79" s="290"/>
      <c r="D79" s="66">
        <f>D72*E29</f>
        <v>0</v>
      </c>
    </row>
    <row r="80" spans="1:4" ht="15" customHeight="1">
      <c r="A80" s="290" t="s">
        <v>34</v>
      </c>
      <c r="B80" s="290"/>
      <c r="C80" s="290"/>
      <c r="D80" s="66">
        <f>D72*E30</f>
        <v>0</v>
      </c>
    </row>
    <row r="81" spans="1:4" ht="15" customHeight="1">
      <c r="A81" s="290" t="s">
        <v>78</v>
      </c>
      <c r="B81" s="290"/>
      <c r="C81" s="290"/>
      <c r="D81" s="66"/>
    </row>
    <row r="82" spans="1:4" ht="15" customHeight="1">
      <c r="A82" s="290" t="s">
        <v>35</v>
      </c>
      <c r="B82" s="290"/>
      <c r="C82" s="290"/>
      <c r="D82" s="66"/>
    </row>
    <row r="83" spans="1:4" ht="25.5" customHeight="1">
      <c r="A83" s="295" t="s">
        <v>79</v>
      </c>
      <c r="B83" s="295"/>
      <c r="C83" s="295"/>
      <c r="D83" s="295"/>
    </row>
    <row r="84" spans="1:4" ht="38.25">
      <c r="A84" s="67" t="s">
        <v>80</v>
      </c>
      <c r="B84" s="68" t="s">
        <v>81</v>
      </c>
      <c r="C84" s="68" t="s">
        <v>82</v>
      </c>
      <c r="D84" s="67" t="s">
        <v>83</v>
      </c>
    </row>
    <row r="85" spans="1:4" ht="17.25" customHeight="1">
      <c r="A85" s="31" t="s">
        <v>445</v>
      </c>
      <c r="B85" s="306" t="s">
        <v>537</v>
      </c>
      <c r="C85" s="70" t="s">
        <v>677</v>
      </c>
      <c r="D85" s="67" t="s">
        <v>85</v>
      </c>
    </row>
    <row r="86" spans="1:4" ht="24.75" customHeight="1">
      <c r="A86" s="31" t="s">
        <v>262</v>
      </c>
      <c r="B86" s="306"/>
      <c r="C86" s="70" t="s">
        <v>678</v>
      </c>
      <c r="D86" s="67" t="s">
        <v>85</v>
      </c>
    </row>
    <row r="87" spans="1:4" ht="48.75" customHeight="1">
      <c r="A87" s="31" t="s">
        <v>31</v>
      </c>
      <c r="B87" s="140" t="s">
        <v>86</v>
      </c>
      <c r="C87" s="70" t="s">
        <v>87</v>
      </c>
      <c r="D87" s="71" t="s">
        <v>88</v>
      </c>
    </row>
    <row r="89" ht="12.75">
      <c r="A89" t="s">
        <v>93</v>
      </c>
    </row>
    <row r="91" ht="12.75">
      <c r="A91" t="s">
        <v>95</v>
      </c>
    </row>
  </sheetData>
  <sheetProtection selectLockedCells="1" selectUnlockedCells="1"/>
  <mergeCells count="22">
    <mergeCell ref="A81:C81"/>
    <mergeCell ref="A82:C82"/>
    <mergeCell ref="A83:D83"/>
    <mergeCell ref="B85:B86"/>
    <mergeCell ref="A75:C75"/>
    <mergeCell ref="A76:C76"/>
    <mergeCell ref="A77:C77"/>
    <mergeCell ref="A78:C78"/>
    <mergeCell ref="A79:C79"/>
    <mergeCell ref="A80:C80"/>
    <mergeCell ref="A50:D51"/>
    <mergeCell ref="A67:C67"/>
    <mergeCell ref="A69:C69"/>
    <mergeCell ref="A72:C72"/>
    <mergeCell ref="A73:C73"/>
    <mergeCell ref="A74:C74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42">
      <selection activeCell="D71" sqref="D7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681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682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3732.12</v>
      </c>
      <c r="C15" s="13"/>
      <c r="D15" s="14"/>
    </row>
    <row r="16" spans="1:4" ht="15.75">
      <c r="A16" s="15" t="s">
        <v>16</v>
      </c>
      <c r="B16" s="12">
        <v>2173.68</v>
      </c>
      <c r="C16" s="13"/>
      <c r="D16" s="14"/>
    </row>
    <row r="17" spans="1:4" ht="15.75">
      <c r="A17" s="15" t="s">
        <v>17</v>
      </c>
      <c r="B17" s="174">
        <v>1558.44</v>
      </c>
      <c r="C17" s="175" t="s">
        <v>19</v>
      </c>
      <c r="D17" s="14"/>
    </row>
    <row r="18" spans="1:5" ht="25.5">
      <c r="A18" s="11" t="s">
        <v>18</v>
      </c>
      <c r="B18" s="16">
        <f>B20+B22+B25</f>
        <v>20444.68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12151.69</v>
      </c>
      <c r="C20" s="105" t="s">
        <v>683</v>
      </c>
      <c r="D20" s="14"/>
    </row>
    <row r="21" spans="1:5" ht="15">
      <c r="A21" s="9" t="s">
        <v>147</v>
      </c>
      <c r="B21" s="16">
        <v>2717.352</v>
      </c>
      <c r="C21" s="19" t="s">
        <v>684</v>
      </c>
      <c r="D21" s="20"/>
      <c r="E21" s="17">
        <f>(2.4+2.77)*6*87.6</f>
        <v>2717.352</v>
      </c>
    </row>
    <row r="22" spans="1:5" ht="15.75">
      <c r="A22" s="9" t="s">
        <v>28</v>
      </c>
      <c r="B22" s="118">
        <v>1558.44</v>
      </c>
      <c r="C22" s="119">
        <v>2.7</v>
      </c>
      <c r="D22" s="20"/>
      <c r="E22" s="17"/>
    </row>
    <row r="23" spans="1:5" ht="15">
      <c r="A23" s="9" t="s">
        <v>149</v>
      </c>
      <c r="B23" s="246">
        <v>0</v>
      </c>
      <c r="C23" s="19"/>
      <c r="D23" s="20"/>
      <c r="E23" s="17"/>
    </row>
    <row r="24" spans="1:4" ht="15.75">
      <c r="A24" s="9" t="s">
        <v>167</v>
      </c>
      <c r="B24" s="247">
        <v>0</v>
      </c>
      <c r="C24" s="233"/>
      <c r="D24" s="20" t="s">
        <v>30</v>
      </c>
    </row>
    <row r="25" spans="1:4" ht="15">
      <c r="A25" s="9" t="s">
        <v>29</v>
      </c>
      <c r="B25" s="246">
        <f>B27+B28+B29+B30</f>
        <v>6734.55</v>
      </c>
      <c r="C25" s="178"/>
      <c r="D25" s="20"/>
    </row>
    <row r="26" spans="1:5" ht="15">
      <c r="A26" s="9" t="s">
        <v>20</v>
      </c>
      <c r="B26" s="246">
        <v>0</v>
      </c>
      <c r="C26" s="178"/>
      <c r="D26" s="27" t="s">
        <v>32</v>
      </c>
      <c r="E26" s="17"/>
    </row>
    <row r="27" spans="1:5" ht="15">
      <c r="A27" s="9" t="s">
        <v>31</v>
      </c>
      <c r="B27" s="246">
        <v>6734.55</v>
      </c>
      <c r="C27" s="178"/>
      <c r="D27" s="27" t="s">
        <v>32</v>
      </c>
      <c r="E27" s="17"/>
    </row>
    <row r="28" spans="1:5" ht="15">
      <c r="A28" s="9" t="s">
        <v>33</v>
      </c>
      <c r="B28" s="246">
        <v>0</v>
      </c>
      <c r="C28" s="178"/>
      <c r="D28" s="28"/>
      <c r="E28" s="17"/>
    </row>
    <row r="29" spans="1:5" ht="15">
      <c r="A29" s="9" t="s">
        <v>34</v>
      </c>
      <c r="B29" s="246">
        <v>0</v>
      </c>
      <c r="C29" s="178"/>
      <c r="D29" s="28"/>
      <c r="E29" s="17"/>
    </row>
    <row r="30" spans="1:5" ht="15">
      <c r="A30" s="9" t="s">
        <v>35</v>
      </c>
      <c r="B30" s="246">
        <v>0</v>
      </c>
      <c r="C30" s="178"/>
      <c r="D30" s="28"/>
      <c r="E30" s="17"/>
    </row>
    <row r="31" spans="1:5" ht="25.5">
      <c r="A31" s="11" t="s">
        <v>36</v>
      </c>
      <c r="B31" s="18">
        <v>20982.73</v>
      </c>
      <c r="C31" s="13" t="s">
        <v>19</v>
      </c>
      <c r="D31" s="14" t="s">
        <v>19</v>
      </c>
      <c r="E31" s="1">
        <f>B31/B18</f>
        <v>1.0263173598217237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12471.490398172042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1599.4540262405671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6911.78557558739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6911.78557558739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6911.78557558739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6911.78557558739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(0.14+0.15)*6*87.6</f>
        <v>152.424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(1.2+2)*6*87.6</f>
        <v>1681.92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685</v>
      </c>
      <c r="D55" s="207">
        <f>(0.2+0.21)*6*87.6</f>
        <v>215.49599999999998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(0.2+0.21)*6*87.6</f>
        <v>215.49599999999998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(1.14+1.21)*6*87.6</f>
        <v>1235.1599999999996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4.88*12*87.6+26.1</f>
        <v>5155.956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46" t="s">
        <v>536</v>
      </c>
      <c r="B60" s="39"/>
      <c r="C60" s="44" t="s">
        <v>123</v>
      </c>
      <c r="D60" s="207">
        <f>(0.72+0.76)*6*87.6</f>
        <v>777.8879999999998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9434.34</v>
      </c>
      <c r="E61" s="34">
        <f>D61+B21</f>
        <v>12151.692</v>
      </c>
      <c r="F61" s="41"/>
      <c r="H61" s="50">
        <f>E61-B20</f>
        <v>0.0019999999985884642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3544.72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 t="s">
        <v>686</v>
      </c>
      <c r="B63" s="52"/>
      <c r="C63" s="53"/>
      <c r="D63" s="212">
        <v>3544.72</v>
      </c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12979.06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4098.14</v>
      </c>
      <c r="E65" s="61"/>
      <c r="H65" s="34"/>
    </row>
    <row r="66" spans="1:8" ht="17.25" customHeight="1">
      <c r="A66" s="114" t="s">
        <v>430</v>
      </c>
      <c r="B66" s="215"/>
      <c r="C66" s="215"/>
      <c r="D66" s="217">
        <v>4098.14</v>
      </c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365.0519999999992</v>
      </c>
      <c r="E67" s="61"/>
    </row>
    <row r="68" spans="1:5" ht="15.75">
      <c r="A68" s="78" t="s">
        <v>74</v>
      </c>
      <c r="B68" s="114"/>
      <c r="C68" s="115"/>
      <c r="D68" s="113">
        <f>B16+B21-D62</f>
        <v>1346.3119999999994</v>
      </c>
      <c r="E68" s="61"/>
    </row>
    <row r="69" spans="1:5" ht="15.75">
      <c r="A69" s="63" t="s">
        <v>75</v>
      </c>
      <c r="B69" s="63"/>
      <c r="C69" s="64"/>
      <c r="D69" s="60">
        <f>B17+B22-D65</f>
        <v>-981.2600000000002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537</v>
      </c>
      <c r="C83" s="70" t="s">
        <v>683</v>
      </c>
      <c r="D83" s="67" t="s">
        <v>85</v>
      </c>
    </row>
    <row r="84" spans="1:4" ht="20.25" customHeight="1">
      <c r="A84" s="31" t="s">
        <v>28</v>
      </c>
      <c r="B84" s="296"/>
      <c r="C84" s="70">
        <v>2.7</v>
      </c>
      <c r="D84" s="71" t="s">
        <v>85</v>
      </c>
    </row>
    <row r="85" spans="1:4" ht="4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42">
      <selection activeCell="D70" sqref="D7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687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688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2638.01</v>
      </c>
      <c r="C15" s="13"/>
      <c r="D15" s="14"/>
    </row>
    <row r="16" spans="1:4" ht="15.75">
      <c r="A16" s="15" t="s">
        <v>16</v>
      </c>
      <c r="B16" s="12">
        <v>2638.01</v>
      </c>
      <c r="C16" s="13"/>
      <c r="D16" s="14"/>
    </row>
    <row r="17" spans="1:4" ht="15.75">
      <c r="A17" s="15" t="s">
        <v>17</v>
      </c>
      <c r="B17" s="174">
        <v>0</v>
      </c>
      <c r="C17" s="175" t="s">
        <v>19</v>
      </c>
      <c r="D17" s="14"/>
    </row>
    <row r="18" spans="1:5" ht="25.5">
      <c r="A18" s="11" t="s">
        <v>18</v>
      </c>
      <c r="B18" s="16">
        <f>B20+B22+B25</f>
        <v>9647.460000000001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6408.18</v>
      </c>
      <c r="C20" s="105" t="s">
        <v>689</v>
      </c>
      <c r="D20" s="14"/>
    </row>
    <row r="21" spans="1:5" ht="15">
      <c r="A21" s="9" t="s">
        <v>147</v>
      </c>
      <c r="B21" s="16">
        <v>657.78</v>
      </c>
      <c r="C21" s="19" t="s">
        <v>690</v>
      </c>
      <c r="D21" s="20"/>
      <c r="E21" s="17">
        <f>(0.88+1.02)*6*57.7</f>
        <v>657.78</v>
      </c>
    </row>
    <row r="22" spans="1:5" ht="15.75">
      <c r="A22" s="9" t="s">
        <v>28</v>
      </c>
      <c r="B22" s="118">
        <v>0</v>
      </c>
      <c r="C22" s="119"/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3239.28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3239.28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10552.7</v>
      </c>
      <c r="C31" s="13" t="s">
        <v>19</v>
      </c>
      <c r="D31" s="14" t="s">
        <v>19</v>
      </c>
      <c r="E31" s="1">
        <f>B31/B18</f>
        <v>1.0938319516224995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7009.472035748269</v>
      </c>
      <c r="C33" s="18" t="s">
        <v>6</v>
      </c>
      <c r="D33" s="14" t="s">
        <v>19</v>
      </c>
    </row>
    <row r="34" spans="1:4" ht="15">
      <c r="A34" s="9" t="s">
        <v>28</v>
      </c>
      <c r="B34" s="18">
        <v>0</v>
      </c>
      <c r="C34" s="13" t="s">
        <v>19</v>
      </c>
      <c r="D34" s="14" t="s">
        <v>19</v>
      </c>
    </row>
    <row r="35" spans="1:4" ht="15">
      <c r="A35" s="9" t="s">
        <v>29</v>
      </c>
      <c r="B35" s="18">
        <f>B37</f>
        <v>3543.22796425173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3543.22796425173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3543.22796425173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3543.22796425173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(0.14+0.15)*6*57.7</f>
        <v>100.39800000000001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(1.2+2)*6*57.7</f>
        <v>1107.8400000000001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(0.2+0.21)*6*57.7</f>
        <v>141.942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>
        <v>0</v>
      </c>
      <c r="D57" s="207">
        <v>0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>
        <v>0</v>
      </c>
      <c r="D58" s="207">
        <v>0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4.88*12*57.7+0.02</f>
        <v>3378.9320000000002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600</v>
      </c>
      <c r="D60" s="207">
        <f>(1.43+1.52)*6*57.7</f>
        <v>1021.2900000000002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5750.402</v>
      </c>
      <c r="E61" s="34">
        <f>D61+B21</f>
        <v>6408.182</v>
      </c>
      <c r="F61" s="41"/>
      <c r="H61" s="50">
        <f>E61-B20</f>
        <v>0.001999999999497959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5750.402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>
        <f>347.32*12</f>
        <v>4167.84</v>
      </c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3295.79</v>
      </c>
      <c r="E67" s="61"/>
    </row>
    <row r="68" spans="1:5" ht="15.75">
      <c r="A68" s="78" t="s">
        <v>74</v>
      </c>
      <c r="B68" s="114"/>
      <c r="C68" s="115"/>
      <c r="D68" s="113">
        <f>B16+B21-D62</f>
        <v>3295.79</v>
      </c>
      <c r="E68" s="61"/>
    </row>
    <row r="69" spans="1:5" ht="15.75">
      <c r="A69" s="63" t="s">
        <v>75</v>
      </c>
      <c r="B69" s="63"/>
      <c r="C69" s="64"/>
      <c r="D69" s="60">
        <f>B17+B23-D65</f>
        <v>0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1.25" customHeight="1">
      <c r="A83" s="31" t="s">
        <v>77</v>
      </c>
      <c r="B83" s="69" t="s">
        <v>537</v>
      </c>
      <c r="C83" s="70" t="s">
        <v>689</v>
      </c>
      <c r="D83" s="67" t="s">
        <v>85</v>
      </c>
    </row>
    <row r="84" spans="1:4" ht="43.5" customHeight="1">
      <c r="A84" s="31" t="s">
        <v>31</v>
      </c>
      <c r="B84" s="140" t="s">
        <v>86</v>
      </c>
      <c r="C84" s="70" t="s">
        <v>87</v>
      </c>
      <c r="D84" s="71" t="s">
        <v>88</v>
      </c>
    </row>
    <row r="86" ht="12.75">
      <c r="A86" t="s">
        <v>93</v>
      </c>
    </row>
    <row r="88" ht="12.75">
      <c r="A88" t="s">
        <v>95</v>
      </c>
    </row>
  </sheetData>
  <sheetProtection selectLockedCells="1" selectUnlockedCells="1"/>
  <mergeCells count="21">
    <mergeCell ref="A79:C79"/>
    <mergeCell ref="A80:C80"/>
    <mergeCell ref="A81:D81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42">
      <selection activeCell="D69" sqref="D69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691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692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1664.16</v>
      </c>
      <c r="C15" s="13"/>
      <c r="D15" s="14"/>
    </row>
    <row r="16" spans="1:4" ht="15.75">
      <c r="A16" s="15" t="s">
        <v>16</v>
      </c>
      <c r="B16" s="12">
        <v>96</v>
      </c>
      <c r="C16" s="13"/>
      <c r="D16" s="14"/>
    </row>
    <row r="17" spans="1:4" ht="15.75">
      <c r="A17" s="15" t="s">
        <v>17</v>
      </c>
      <c r="B17" s="174">
        <v>1568.16</v>
      </c>
      <c r="C17" s="175" t="s">
        <v>19</v>
      </c>
      <c r="D17" s="14"/>
    </row>
    <row r="18" spans="1:5" ht="25.5">
      <c r="A18" s="11" t="s">
        <v>18</v>
      </c>
      <c r="B18" s="16">
        <f>B20+B22+B25</f>
        <v>20255.760000000002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12539.52</v>
      </c>
      <c r="C20" s="105" t="s">
        <v>567</v>
      </c>
      <c r="D20" s="14"/>
    </row>
    <row r="21" spans="1:5" ht="15">
      <c r="A21" s="9" t="s">
        <v>147</v>
      </c>
      <c r="B21" s="16">
        <v>1301.7599999999998</v>
      </c>
      <c r="C21" s="19" t="s">
        <v>693</v>
      </c>
      <c r="D21" s="20"/>
      <c r="E21" s="17">
        <f>(1.01+1.25)*6*96</f>
        <v>1301.7599999999998</v>
      </c>
    </row>
    <row r="22" spans="1:5" ht="15.75">
      <c r="A22" s="9" t="s">
        <v>28</v>
      </c>
      <c r="B22" s="118">
        <v>1568.16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6148.08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6148.08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13000</v>
      </c>
      <c r="C31" s="13" t="s">
        <v>19</v>
      </c>
      <c r="D31" s="14" t="s">
        <v>19</v>
      </c>
      <c r="E31" s="1">
        <f>B31/B18</f>
        <v>0.6417927542585417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8047.773077880069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1006.4337255180748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3945.7931966018546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3945.7931966018546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3945.7931966018546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3945.7931966018546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(0.14+0.15)*6*96</f>
        <v>167.04000000000002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(1.2+2)*6*96</f>
        <v>1843.2000000000003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(0.2+0.21)*6*96</f>
        <v>236.16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(0.2+0.21)*6*96</f>
        <v>236.16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(1.14+1.21)*6*96</f>
        <v>1353.6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4.88*12*96</f>
        <v>5621.76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298</v>
      </c>
      <c r="D60" s="207">
        <f>(1.5+1.59)*6*96</f>
        <v>1779.84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 t="s">
        <v>6</v>
      </c>
      <c r="D61" s="214">
        <f>SUM(D52:D60)</f>
        <v>11237.76</v>
      </c>
      <c r="E61" s="34">
        <f>D61+B21</f>
        <v>12539.52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11237.76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4534.08</v>
      </c>
      <c r="E67" s="61"/>
    </row>
    <row r="68" spans="1:5" ht="15.75">
      <c r="A68" s="78" t="s">
        <v>74</v>
      </c>
      <c r="B68" s="114"/>
      <c r="C68" s="115"/>
      <c r="D68" s="113">
        <f>B16+B21-D62</f>
        <v>1397.7599999999998</v>
      </c>
      <c r="E68" s="61"/>
    </row>
    <row r="69" spans="1:5" ht="15.75">
      <c r="A69" s="63" t="s">
        <v>75</v>
      </c>
      <c r="B69" s="63"/>
      <c r="C69" s="64"/>
      <c r="D69" s="60">
        <f>B17+B22-D65</f>
        <v>3136.32</v>
      </c>
      <c r="E69" s="61"/>
    </row>
    <row r="70" spans="1:5" ht="13.5" customHeight="1">
      <c r="A70" s="294" t="s">
        <v>76</v>
      </c>
      <c r="B70" s="294"/>
      <c r="C70" s="294"/>
      <c r="D70" s="65">
        <v>44077.78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27286.767016670812</v>
      </c>
    </row>
    <row r="73" spans="1:4" ht="13.5" customHeight="1">
      <c r="A73" s="290" t="s">
        <v>28</v>
      </c>
      <c r="B73" s="290"/>
      <c r="C73" s="290"/>
      <c r="D73" s="66">
        <f>D70*B22/B18</f>
        <v>3412.4126413820063</v>
      </c>
    </row>
    <row r="74" spans="1:4" ht="13.5" customHeight="1">
      <c r="A74" s="290" t="s">
        <v>29</v>
      </c>
      <c r="B74" s="290"/>
      <c r="C74" s="290"/>
      <c r="D74" s="66">
        <f>SUM(D76:D78)</f>
        <v>13378.600341947178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13378.600341947178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2.5" customHeight="1">
      <c r="A83" s="31" t="s">
        <v>77</v>
      </c>
      <c r="B83" s="296" t="s">
        <v>537</v>
      </c>
      <c r="C83" s="70" t="s">
        <v>567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42.7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1" width="23.28125" style="1" customWidth="1"/>
    <col min="12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157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158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/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-24131.39</v>
      </c>
      <c r="C15" s="13"/>
      <c r="D15" s="14"/>
    </row>
    <row r="16" spans="1:4" ht="15.75">
      <c r="A16" s="15" t="s">
        <v>16</v>
      </c>
      <c r="B16" s="12">
        <v>-22402.02</v>
      </c>
      <c r="C16" s="13"/>
      <c r="D16" s="14"/>
    </row>
    <row r="17" spans="1:4" ht="15.75">
      <c r="A17" s="15" t="s">
        <v>17</v>
      </c>
      <c r="B17" s="12">
        <v>-1729.37</v>
      </c>
      <c r="C17" s="13"/>
      <c r="D17" s="14"/>
    </row>
    <row r="18" spans="1:5" ht="25.5">
      <c r="A18" s="11" t="s">
        <v>18</v>
      </c>
      <c r="B18" s="16">
        <f>B20+B22+B24</f>
        <v>265746.61</v>
      </c>
      <c r="C18" s="148" t="s">
        <v>19</v>
      </c>
      <c r="D18" s="14" t="s">
        <v>19</v>
      </c>
      <c r="E18" s="17"/>
    </row>
    <row r="19" spans="1:4" ht="15">
      <c r="A19" s="9" t="s">
        <v>20</v>
      </c>
      <c r="B19" s="25"/>
      <c r="C19" s="148"/>
      <c r="D19" s="14"/>
    </row>
    <row r="20" spans="1:4" ht="15">
      <c r="A20" s="9" t="s">
        <v>77</v>
      </c>
      <c r="B20" s="16">
        <v>67170.38</v>
      </c>
      <c r="C20" s="105" t="s">
        <v>159</v>
      </c>
      <c r="D20" s="14"/>
    </row>
    <row r="21" spans="1:5" ht="15">
      <c r="A21" s="9" t="s">
        <v>147</v>
      </c>
      <c r="B21" s="16">
        <v>3315.68</v>
      </c>
      <c r="C21" s="21" t="s">
        <v>160</v>
      </c>
      <c r="D21" s="20"/>
      <c r="E21" s="17">
        <f>(0.39+0.86)*6*442.09</f>
        <v>3315.6749999999997</v>
      </c>
    </row>
    <row r="22" spans="1:5" ht="15.75">
      <c r="A22" s="9" t="s">
        <v>28</v>
      </c>
      <c r="B22" s="118">
        <v>7791.69</v>
      </c>
      <c r="C22" s="119">
        <v>2.7</v>
      </c>
      <c r="D22" s="20"/>
      <c r="E22" s="17"/>
    </row>
    <row r="23" spans="1:5" ht="15.75">
      <c r="A23" s="9" t="s">
        <v>149</v>
      </c>
      <c r="B23" s="129"/>
      <c r="C23" s="21" t="s">
        <v>6</v>
      </c>
      <c r="D23" s="20"/>
      <c r="E23" s="17"/>
    </row>
    <row r="24" spans="1:4" ht="15">
      <c r="A24" s="9" t="s">
        <v>29</v>
      </c>
      <c r="B24" s="16">
        <f>B26+B27+B28</f>
        <v>190784.54</v>
      </c>
      <c r="C24" s="152" t="s">
        <v>19</v>
      </c>
      <c r="D24" s="20" t="s">
        <v>30</v>
      </c>
    </row>
    <row r="25" spans="1:4" ht="15">
      <c r="A25" s="9" t="s">
        <v>20</v>
      </c>
      <c r="B25" s="25"/>
      <c r="C25" s="152"/>
      <c r="D25" s="20"/>
    </row>
    <row r="26" spans="1:5" ht="15">
      <c r="A26" s="9" t="s">
        <v>31</v>
      </c>
      <c r="B26" s="16">
        <v>21172.71</v>
      </c>
      <c r="C26" s="152" t="s">
        <v>19</v>
      </c>
      <c r="D26" s="27" t="s">
        <v>32</v>
      </c>
      <c r="E26" s="17"/>
    </row>
    <row r="27" spans="1:5" ht="15">
      <c r="A27" s="9" t="s">
        <v>33</v>
      </c>
      <c r="B27" s="16">
        <v>24389.94</v>
      </c>
      <c r="C27" s="152" t="s">
        <v>19</v>
      </c>
      <c r="D27" s="27" t="s">
        <v>32</v>
      </c>
      <c r="E27" s="17"/>
    </row>
    <row r="28" spans="1:5" ht="15">
      <c r="A28" s="9" t="s">
        <v>34</v>
      </c>
      <c r="B28" s="16">
        <v>145221.89</v>
      </c>
      <c r="C28" s="153"/>
      <c r="D28" s="28"/>
      <c r="E28" s="17"/>
    </row>
    <row r="29" spans="1:5" ht="15">
      <c r="A29" s="9"/>
      <c r="B29" s="25"/>
      <c r="C29" s="152"/>
      <c r="D29" s="20" t="s">
        <v>6</v>
      </c>
      <c r="E29" s="17"/>
    </row>
    <row r="30" spans="1:5" ht="25.5">
      <c r="A30" s="11" t="s">
        <v>36</v>
      </c>
      <c r="B30" s="18">
        <v>283764.08</v>
      </c>
      <c r="C30" s="13" t="s">
        <v>19</v>
      </c>
      <c r="D30" s="14" t="s">
        <v>19</v>
      </c>
      <c r="E30" s="1">
        <f>B30/B18</f>
        <v>1.0677994349579851</v>
      </c>
    </row>
    <row r="31" spans="1:4" ht="15">
      <c r="A31" s="9" t="s">
        <v>20</v>
      </c>
      <c r="B31" s="18"/>
      <c r="C31" s="13"/>
      <c r="D31" s="14"/>
    </row>
    <row r="32" spans="1:4" ht="15">
      <c r="A32" s="9" t="s">
        <v>77</v>
      </c>
      <c r="B32" s="18">
        <f>B20*E30</f>
        <v>71724.49380991315</v>
      </c>
      <c r="C32" s="18" t="s">
        <v>6</v>
      </c>
      <c r="D32" s="14" t="s">
        <v>19</v>
      </c>
    </row>
    <row r="33" spans="1:4" ht="15">
      <c r="A33" s="9" t="s">
        <v>28</v>
      </c>
      <c r="B33" s="18">
        <f>B22*E30</f>
        <v>8319.962179367783</v>
      </c>
      <c r="C33" s="13" t="s">
        <v>19</v>
      </c>
      <c r="D33" s="14" t="s">
        <v>19</v>
      </c>
    </row>
    <row r="34" spans="1:4" ht="15">
      <c r="A34" s="9" t="s">
        <v>29</v>
      </c>
      <c r="B34" s="18">
        <f>B36+B37+B38</f>
        <v>203719.62401071913</v>
      </c>
      <c r="C34" s="13"/>
      <c r="D34" s="14"/>
    </row>
    <row r="35" spans="1:4" ht="15">
      <c r="A35" s="9" t="s">
        <v>20</v>
      </c>
      <c r="B35" s="18"/>
      <c r="C35" s="13" t="s">
        <v>19</v>
      </c>
      <c r="D35" s="14"/>
    </row>
    <row r="36" spans="1:4" ht="15">
      <c r="A36" s="9" t="s">
        <v>31</v>
      </c>
      <c r="B36" s="18">
        <f>B26*E30</f>
        <v>22608.20777452928</v>
      </c>
      <c r="C36" s="13" t="s">
        <v>19</v>
      </c>
      <c r="D36" s="14"/>
    </row>
    <row r="37" spans="1:4" ht="15">
      <c r="A37" s="9" t="s">
        <v>33</v>
      </c>
      <c r="B37" s="18">
        <f>B27*E30</f>
        <v>26043.56415065916</v>
      </c>
      <c r="C37" s="13"/>
      <c r="D37" s="14"/>
    </row>
    <row r="38" spans="1:4" ht="15">
      <c r="A38" s="9" t="s">
        <v>34</v>
      </c>
      <c r="B38" s="18">
        <f>B28*E30</f>
        <v>155067.8520855307</v>
      </c>
      <c r="C38" s="13"/>
      <c r="D38" s="14"/>
    </row>
    <row r="39" spans="1:4" ht="15">
      <c r="A39" s="9" t="s">
        <v>35</v>
      </c>
      <c r="B39" s="18"/>
      <c r="C39" s="13"/>
      <c r="D39" s="14"/>
    </row>
    <row r="40" spans="1:4" ht="38.25">
      <c r="A40" s="11" t="s">
        <v>40</v>
      </c>
      <c r="B40" s="18">
        <f>B42+B43+B44</f>
        <v>203719.62401071913</v>
      </c>
      <c r="C40" s="13" t="s">
        <v>19</v>
      </c>
      <c r="D40" s="14" t="s">
        <v>19</v>
      </c>
    </row>
    <row r="41" spans="1:4" ht="15">
      <c r="A41" s="9" t="s">
        <v>20</v>
      </c>
      <c r="B41" s="18"/>
      <c r="C41" s="13"/>
      <c r="D41" s="14"/>
    </row>
    <row r="42" spans="1:4" ht="15">
      <c r="A42" s="9" t="s">
        <v>31</v>
      </c>
      <c r="B42" s="18">
        <f>B36</f>
        <v>22608.20777452928</v>
      </c>
      <c r="C42" s="13" t="s">
        <v>19</v>
      </c>
      <c r="D42" s="14"/>
    </row>
    <row r="43" spans="1:4" ht="15">
      <c r="A43" s="9" t="s">
        <v>33</v>
      </c>
      <c r="B43" s="18">
        <f>B37</f>
        <v>26043.56415065916</v>
      </c>
      <c r="C43" s="13" t="s">
        <v>19</v>
      </c>
      <c r="D43" s="14"/>
    </row>
    <row r="44" spans="1:4" ht="15">
      <c r="A44" s="9" t="s">
        <v>34</v>
      </c>
      <c r="B44" s="18">
        <f>B38</f>
        <v>155067.8520855307</v>
      </c>
      <c r="C44" s="13"/>
      <c r="D44" s="14"/>
    </row>
    <row r="45" spans="1:4" ht="15">
      <c r="A45" s="9" t="s">
        <v>35</v>
      </c>
      <c r="B45" s="18"/>
      <c r="C45" s="13" t="s">
        <v>19</v>
      </c>
      <c r="D45" s="14"/>
    </row>
    <row r="46" ht="12.75">
      <c r="A46" s="4"/>
    </row>
    <row r="47" spans="1:10" ht="13.5" customHeight="1">
      <c r="A47" s="291" t="s">
        <v>41</v>
      </c>
      <c r="B47" s="291"/>
      <c r="C47" s="291"/>
      <c r="D47" s="291"/>
      <c r="I47" s="141"/>
      <c r="J47" s="141"/>
    </row>
    <row r="48" spans="1:4" ht="9" customHeight="1">
      <c r="A48" s="291"/>
      <c r="B48" s="291"/>
      <c r="C48" s="291"/>
      <c r="D48" s="291"/>
    </row>
    <row r="49" spans="1:3" ht="12.75">
      <c r="A49" s="4"/>
      <c r="C49" s="6" t="s">
        <v>10</v>
      </c>
    </row>
    <row r="50" spans="1:14" ht="66.75" customHeight="1">
      <c r="A50" s="8" t="s">
        <v>42</v>
      </c>
      <c r="B50" s="8" t="s">
        <v>43</v>
      </c>
      <c r="C50" s="8" t="s">
        <v>44</v>
      </c>
      <c r="D50" s="8" t="s">
        <v>45</v>
      </c>
      <c r="I50" s="142"/>
      <c r="J50" s="142"/>
      <c r="K50" s="142"/>
      <c r="L50" s="3"/>
      <c r="M50" s="3"/>
      <c r="N50" s="3"/>
    </row>
    <row r="51" spans="1:14" ht="15">
      <c r="A51" s="31" t="s">
        <v>112</v>
      </c>
      <c r="B51" s="32" t="s">
        <v>47</v>
      </c>
      <c r="C51" s="19" t="s">
        <v>48</v>
      </c>
      <c r="D51" s="155">
        <f>(0.14+0.15)*6*442.09</f>
        <v>769.2366000000001</v>
      </c>
      <c r="E51" s="34">
        <f>347.32*12</f>
        <v>4167.84</v>
      </c>
      <c r="F51" s="35"/>
      <c r="G51" s="36"/>
      <c r="I51" s="45"/>
      <c r="J51" s="45"/>
      <c r="K51" s="45"/>
      <c r="L51" s="37"/>
      <c r="M51" s="37"/>
      <c r="N51" s="37"/>
    </row>
    <row r="52" spans="1:14" ht="15">
      <c r="A52" s="31" t="s">
        <v>49</v>
      </c>
      <c r="B52" s="32" t="s">
        <v>50</v>
      </c>
      <c r="C52" s="156" t="s">
        <v>51</v>
      </c>
      <c r="D52" s="155">
        <f>(2.1+2.23)*6*442.09</f>
        <v>11485.4982</v>
      </c>
      <c r="E52" s="34">
        <f aca="true" t="shared" si="0" ref="E52:E58">347.32*12</f>
        <v>4167.84</v>
      </c>
      <c r="F52" s="35"/>
      <c r="G52" s="36"/>
      <c r="I52" s="45"/>
      <c r="J52" s="45"/>
      <c r="K52" s="45"/>
      <c r="L52" s="37"/>
      <c r="M52" s="37"/>
      <c r="N52" s="37"/>
    </row>
    <row r="53" spans="1:14" ht="15">
      <c r="A53" s="31" t="s">
        <v>52</v>
      </c>
      <c r="B53" s="32" t="s">
        <v>50</v>
      </c>
      <c r="C53" s="156" t="s">
        <v>53</v>
      </c>
      <c r="D53" s="155">
        <f>(1.2+2)*6*442.09</f>
        <v>8488.128</v>
      </c>
      <c r="E53" s="34">
        <f t="shared" si="0"/>
        <v>4167.84</v>
      </c>
      <c r="F53" s="35"/>
      <c r="G53" s="36"/>
      <c r="I53" s="45"/>
      <c r="J53" s="45"/>
      <c r="K53" s="45"/>
      <c r="L53" s="37"/>
      <c r="M53" s="37"/>
      <c r="N53" s="37"/>
    </row>
    <row r="54" spans="1:14" ht="15">
      <c r="A54" s="31" t="s">
        <v>54</v>
      </c>
      <c r="B54" s="32" t="s">
        <v>47</v>
      </c>
      <c r="C54" s="156" t="s">
        <v>55</v>
      </c>
      <c r="D54" s="155">
        <f>(0.2+0.21)*6*442.09</f>
        <v>1087.5413999999998</v>
      </c>
      <c r="E54" s="34">
        <f t="shared" si="0"/>
        <v>4167.84</v>
      </c>
      <c r="F54" s="35"/>
      <c r="G54" s="36"/>
      <c r="I54" s="45"/>
      <c r="J54" s="45"/>
      <c r="K54" s="45"/>
      <c r="L54" s="37"/>
      <c r="M54" s="37"/>
      <c r="N54" s="37"/>
    </row>
    <row r="55" spans="1:14" ht="15">
      <c r="A55" s="31" t="s">
        <v>56</v>
      </c>
      <c r="B55" s="251" t="s">
        <v>47</v>
      </c>
      <c r="C55" s="40" t="s">
        <v>100</v>
      </c>
      <c r="D55" s="155">
        <f>(0.75+0.63)*6*442.09-424.04+1.81</f>
        <v>3238.2751999999996</v>
      </c>
      <c r="E55" s="34">
        <f t="shared" si="0"/>
        <v>4167.84</v>
      </c>
      <c r="F55" s="41"/>
      <c r="G55" s="42"/>
      <c r="H55" s="43">
        <f>347.18*12</f>
        <v>4166.16</v>
      </c>
      <c r="I55" s="45"/>
      <c r="J55" s="45"/>
      <c r="K55" s="45"/>
      <c r="L55" s="37"/>
      <c r="M55" s="37"/>
      <c r="N55" s="37"/>
    </row>
    <row r="56" spans="1:14" ht="15">
      <c r="A56" s="31" t="s">
        <v>115</v>
      </c>
      <c r="B56" s="39" t="s">
        <v>47</v>
      </c>
      <c r="C56" s="40" t="s">
        <v>60</v>
      </c>
      <c r="D56" s="155">
        <f>(0.69+0.73)*6*442.09</f>
        <v>3766.6067999999996</v>
      </c>
      <c r="E56" s="34">
        <f t="shared" si="0"/>
        <v>4167.84</v>
      </c>
      <c r="F56" s="41"/>
      <c r="G56" s="42"/>
      <c r="I56" s="45"/>
      <c r="J56" s="45"/>
      <c r="K56" s="45"/>
      <c r="L56" s="37"/>
      <c r="M56" s="37"/>
      <c r="N56" s="37"/>
    </row>
    <row r="57" spans="1:14" ht="15">
      <c r="A57" s="31" t="s">
        <v>63</v>
      </c>
      <c r="B57" s="39" t="s">
        <v>64</v>
      </c>
      <c r="C57" s="40" t="s">
        <v>65</v>
      </c>
      <c r="D57" s="155">
        <f>(1.14+1.21)*6*442.09</f>
        <v>6233.468999999999</v>
      </c>
      <c r="E57" s="34">
        <f t="shared" si="0"/>
        <v>4167.84</v>
      </c>
      <c r="F57" s="41"/>
      <c r="G57" s="42"/>
      <c r="I57" s="45"/>
      <c r="J57" s="45"/>
      <c r="K57" s="45"/>
      <c r="L57" s="37"/>
      <c r="M57" s="37"/>
      <c r="N57" s="37"/>
    </row>
    <row r="58" spans="1:14" ht="15">
      <c r="A58" s="31" t="s">
        <v>66</v>
      </c>
      <c r="B58" s="39" t="s">
        <v>67</v>
      </c>
      <c r="C58" s="40">
        <v>4.88</v>
      </c>
      <c r="D58" s="155">
        <f>4.88*12*442.09</f>
        <v>25888.790399999998</v>
      </c>
      <c r="E58" s="34">
        <f t="shared" si="0"/>
        <v>4167.84</v>
      </c>
      <c r="F58" s="41"/>
      <c r="H58" s="45"/>
      <c r="I58" s="45"/>
      <c r="J58" s="45"/>
      <c r="K58" s="45"/>
      <c r="L58" s="37"/>
      <c r="M58" s="37"/>
      <c r="N58" s="37"/>
    </row>
    <row r="59" spans="1:14" ht="15">
      <c r="A59" s="31" t="s">
        <v>102</v>
      </c>
      <c r="B59" s="39"/>
      <c r="C59" s="40" t="s">
        <v>103</v>
      </c>
      <c r="D59" s="155">
        <f>(0.62+0.66)*6*442.09-41.5</f>
        <v>3353.7511999999997</v>
      </c>
      <c r="E59" s="34"/>
      <c r="F59" s="41"/>
      <c r="H59" s="45"/>
      <c r="I59" s="45"/>
      <c r="J59" s="45"/>
      <c r="K59" s="45"/>
      <c r="L59" s="37"/>
      <c r="M59" s="37"/>
      <c r="N59" s="37"/>
    </row>
    <row r="60" spans="1:14" ht="15">
      <c r="A60" s="46" t="s">
        <v>68</v>
      </c>
      <c r="B60" s="157"/>
      <c r="C60" s="158"/>
      <c r="D60" s="159">
        <f>SUM(D51:D59)</f>
        <v>64311.2968</v>
      </c>
      <c r="E60" s="34">
        <f>D60+B21</f>
        <v>67626.97679999999</v>
      </c>
      <c r="F60" s="41"/>
      <c r="H60" s="50">
        <f>E60-B20</f>
        <v>456.5967999999848</v>
      </c>
      <c r="I60" s="45" t="s">
        <v>161</v>
      </c>
      <c r="J60" s="45"/>
      <c r="K60" s="45"/>
      <c r="L60" s="37"/>
      <c r="M60" s="37"/>
      <c r="N60" s="37"/>
    </row>
    <row r="61" spans="1:14" ht="15.75">
      <c r="A61" s="51" t="s">
        <v>69</v>
      </c>
      <c r="B61" s="52"/>
      <c r="C61" s="53"/>
      <c r="D61" s="122">
        <f>D62</f>
        <v>953.44</v>
      </c>
      <c r="E61" s="34"/>
      <c r="F61" s="41"/>
      <c r="H61" s="50"/>
      <c r="I61" s="45"/>
      <c r="J61" s="45"/>
      <c r="K61" s="45"/>
      <c r="L61" s="37"/>
      <c r="M61" s="37"/>
      <c r="N61" s="37"/>
    </row>
    <row r="62" spans="1:14" ht="15.75">
      <c r="A62" s="51" t="s">
        <v>162</v>
      </c>
      <c r="B62" s="52"/>
      <c r="C62" s="53"/>
      <c r="D62" s="122">
        <v>953.44</v>
      </c>
      <c r="E62" s="34"/>
      <c r="F62" s="41"/>
      <c r="H62" s="50"/>
      <c r="I62" s="45"/>
      <c r="J62" s="45"/>
      <c r="K62" s="45"/>
      <c r="L62" s="37"/>
      <c r="M62" s="37"/>
      <c r="N62" s="37"/>
    </row>
    <row r="63" spans="1:14" ht="15.75">
      <c r="A63" s="56" t="s">
        <v>71</v>
      </c>
      <c r="B63" s="57"/>
      <c r="C63" s="58"/>
      <c r="D63" s="122">
        <f>D60+D61</f>
        <v>65264.7368</v>
      </c>
      <c r="E63" s="34"/>
      <c r="F63" s="45"/>
      <c r="H63" s="50"/>
      <c r="I63" s="45"/>
      <c r="J63" s="45"/>
      <c r="K63" s="45"/>
      <c r="L63" s="37"/>
      <c r="M63" s="37"/>
      <c r="N63" s="37"/>
    </row>
    <row r="64" spans="1:8" ht="13.5" customHeight="1">
      <c r="A64" s="302" t="s">
        <v>72</v>
      </c>
      <c r="B64" s="302"/>
      <c r="C64" s="302"/>
      <c r="D64" s="124">
        <f>D65</f>
        <v>0</v>
      </c>
      <c r="E64" s="61"/>
      <c r="H64" s="34">
        <f>347.32*12</f>
        <v>4167.84</v>
      </c>
    </row>
    <row r="65" spans="1:8" ht="13.5" customHeight="1">
      <c r="A65" s="145"/>
      <c r="B65" s="145"/>
      <c r="C65" s="146"/>
      <c r="D65" s="124">
        <v>0</v>
      </c>
      <c r="E65" s="61"/>
      <c r="H65" s="34"/>
    </row>
    <row r="66" spans="1:5" ht="25.5" customHeight="1">
      <c r="A66" s="293" t="s">
        <v>73</v>
      </c>
      <c r="B66" s="293"/>
      <c r="C66" s="293"/>
      <c r="D66" s="124">
        <f>D67+D68</f>
        <v>-13977.46</v>
      </c>
      <c r="E66" s="61"/>
    </row>
    <row r="67" spans="1:5" ht="15.75">
      <c r="A67" s="78" t="s">
        <v>74</v>
      </c>
      <c r="B67" s="114"/>
      <c r="C67" s="115"/>
      <c r="D67" s="124">
        <f>B16+B21-D61</f>
        <v>-20039.78</v>
      </c>
      <c r="E67" s="61"/>
    </row>
    <row r="68" spans="1:5" ht="15.75">
      <c r="A68" s="114" t="s">
        <v>75</v>
      </c>
      <c r="B68" s="114"/>
      <c r="C68" s="115"/>
      <c r="D68" s="124">
        <f>B17+B22-D64</f>
        <v>6062.32</v>
      </c>
      <c r="E68" s="61"/>
    </row>
    <row r="69" spans="1:5" ht="13.5" customHeight="1">
      <c r="A69" s="294" t="s">
        <v>76</v>
      </c>
      <c r="B69" s="294"/>
      <c r="C69" s="294"/>
      <c r="D69" s="160">
        <v>0</v>
      </c>
      <c r="E69" s="61"/>
    </row>
    <row r="70" spans="1:4" ht="15">
      <c r="A70" s="290" t="s">
        <v>20</v>
      </c>
      <c r="B70" s="290"/>
      <c r="C70" s="290"/>
      <c r="D70" s="154"/>
    </row>
    <row r="71" spans="1:4" ht="13.5" customHeight="1">
      <c r="A71" s="290" t="s">
        <v>77</v>
      </c>
      <c r="B71" s="290"/>
      <c r="C71" s="290"/>
      <c r="D71" s="154">
        <f>D69*E21</f>
        <v>0</v>
      </c>
    </row>
    <row r="72" spans="1:4" ht="13.5" customHeight="1">
      <c r="A72" s="290" t="s">
        <v>28</v>
      </c>
      <c r="B72" s="290"/>
      <c r="C72" s="290"/>
      <c r="D72" s="154">
        <f>D69-D71-D73</f>
        <v>0</v>
      </c>
    </row>
    <row r="73" spans="1:4" ht="13.5" customHeight="1">
      <c r="A73" s="290" t="s">
        <v>29</v>
      </c>
      <c r="B73" s="290"/>
      <c r="C73" s="290"/>
      <c r="D73" s="154">
        <f>SUM(D75:D77)</f>
        <v>0</v>
      </c>
    </row>
    <row r="74" spans="1:4" ht="15">
      <c r="A74" s="290" t="s">
        <v>20</v>
      </c>
      <c r="B74" s="290"/>
      <c r="C74" s="290"/>
      <c r="D74" s="154"/>
    </row>
    <row r="75" spans="1:4" ht="13.5" customHeight="1">
      <c r="A75" s="290" t="s">
        <v>31</v>
      </c>
      <c r="B75" s="290"/>
      <c r="C75" s="290"/>
      <c r="D75" s="154">
        <f>D69*E26</f>
        <v>0</v>
      </c>
    </row>
    <row r="76" spans="1:4" ht="15">
      <c r="A76" s="290" t="s">
        <v>33</v>
      </c>
      <c r="B76" s="290"/>
      <c r="C76" s="290"/>
      <c r="D76" s="154">
        <f>D69*E27</f>
        <v>0</v>
      </c>
    </row>
    <row r="77" spans="1:4" ht="15" customHeight="1">
      <c r="A77" s="290" t="s">
        <v>34</v>
      </c>
      <c r="B77" s="290"/>
      <c r="C77" s="290"/>
      <c r="D77" s="154">
        <f>D69*E28</f>
        <v>0</v>
      </c>
    </row>
    <row r="78" spans="1:4" ht="15">
      <c r="A78" s="290" t="s">
        <v>78</v>
      </c>
      <c r="B78" s="290"/>
      <c r="C78" s="290"/>
      <c r="D78" s="154"/>
    </row>
    <row r="79" spans="1:4" ht="15" customHeight="1">
      <c r="A79" s="290" t="s">
        <v>35</v>
      </c>
      <c r="B79" s="290"/>
      <c r="C79" s="290"/>
      <c r="D79" s="66">
        <f>D69*E29</f>
        <v>0</v>
      </c>
    </row>
    <row r="80" spans="1:4" ht="25.5" customHeight="1">
      <c r="A80" s="295" t="s">
        <v>79</v>
      </c>
      <c r="B80" s="295"/>
      <c r="C80" s="295"/>
      <c r="D80" s="295"/>
    </row>
    <row r="81" spans="1:4" ht="38.25">
      <c r="A81" s="67" t="s">
        <v>80</v>
      </c>
      <c r="B81" s="68" t="s">
        <v>81</v>
      </c>
      <c r="C81" s="68" t="s">
        <v>82</v>
      </c>
      <c r="D81" s="67" t="s">
        <v>83</v>
      </c>
    </row>
    <row r="82" spans="1:4" ht="18.75" customHeight="1">
      <c r="A82" s="31" t="s">
        <v>77</v>
      </c>
      <c r="B82" s="296" t="s">
        <v>84</v>
      </c>
      <c r="C82" s="70" t="s">
        <v>159</v>
      </c>
      <c r="D82" s="67" t="s">
        <v>85</v>
      </c>
    </row>
    <row r="83" spans="1:4" ht="20.25" customHeight="1">
      <c r="A83" s="31" t="s">
        <v>28</v>
      </c>
      <c r="B83" s="296"/>
      <c r="C83" s="70">
        <v>2.7</v>
      </c>
      <c r="D83" s="71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31" t="s">
        <v>33</v>
      </c>
      <c r="B85" s="297"/>
      <c r="C85" s="70" t="s">
        <v>89</v>
      </c>
      <c r="D85" s="249" t="s">
        <v>718</v>
      </c>
    </row>
    <row r="86" spans="1:4" ht="39.75" customHeight="1">
      <c r="A86" s="72" t="s">
        <v>34</v>
      </c>
      <c r="B86" s="73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3">
    <mergeCell ref="A78:C78"/>
    <mergeCell ref="A79:C79"/>
    <mergeCell ref="A80:D80"/>
    <mergeCell ref="B82:B83"/>
    <mergeCell ref="B84:B85"/>
    <mergeCell ref="A72:C72"/>
    <mergeCell ref="A73:C73"/>
    <mergeCell ref="A74:C74"/>
    <mergeCell ref="A75:C75"/>
    <mergeCell ref="A76:C76"/>
    <mergeCell ref="A77:C77"/>
    <mergeCell ref="A47:D48"/>
    <mergeCell ref="A64:C64"/>
    <mergeCell ref="A66:C66"/>
    <mergeCell ref="A69:C69"/>
    <mergeCell ref="A70:C70"/>
    <mergeCell ref="A71:C71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2" horizontalDpi="300" verticalDpi="300" orientation="landscape" paperSize="9" scale="67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43">
      <selection activeCell="D71" sqref="D7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694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695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3292.55</v>
      </c>
      <c r="C15" s="13"/>
      <c r="D15" s="14"/>
    </row>
    <row r="16" spans="1:4" ht="15.75">
      <c r="A16" s="15" t="s">
        <v>16</v>
      </c>
      <c r="B16" s="12">
        <v>1591.55</v>
      </c>
      <c r="C16" s="13"/>
      <c r="D16" s="14"/>
    </row>
    <row r="17" spans="1:4" ht="15.75">
      <c r="A17" s="15" t="s">
        <v>17</v>
      </c>
      <c r="B17" s="174">
        <v>1701</v>
      </c>
      <c r="C17" s="175" t="s">
        <v>19</v>
      </c>
      <c r="D17" s="14"/>
    </row>
    <row r="18" spans="1:5" ht="25.5">
      <c r="A18" s="11" t="s">
        <v>18</v>
      </c>
      <c r="B18" s="16">
        <f>B20+B22+B25</f>
        <v>23087.07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11825.88</v>
      </c>
      <c r="C20" s="105" t="s">
        <v>696</v>
      </c>
      <c r="D20" s="14"/>
    </row>
    <row r="21" spans="1:5" ht="15">
      <c r="A21" s="9" t="s">
        <v>147</v>
      </c>
      <c r="B21" s="16">
        <v>632.4000000000001</v>
      </c>
      <c r="C21" s="19" t="s">
        <v>697</v>
      </c>
      <c r="D21" s="20"/>
      <c r="E21" s="17">
        <f>(0.44+0.56)*6*105.4</f>
        <v>632.4000000000001</v>
      </c>
    </row>
    <row r="22" spans="1:5" ht="15.75">
      <c r="A22" s="9" t="s">
        <v>28</v>
      </c>
      <c r="B22" s="118">
        <v>1701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9560.19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9560.19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21028.19</v>
      </c>
      <c r="C31" s="13" t="s">
        <v>19</v>
      </c>
      <c r="D31" s="14" t="s">
        <v>19</v>
      </c>
      <c r="E31" s="1">
        <f>B31/B18</f>
        <v>0.9108210786383893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10771.260777448155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1549.3066547639003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8707.622567787945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8707.622567787945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8707.622567787945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8707.622567787945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(0.14+0.15)*6*105.4</f>
        <v>183.39600000000004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(1.2+2)*6*105.4</f>
        <v>2023.6800000000005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(0.2+0.21)*6*105.4</f>
        <v>259.284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(0.2+0.21)*6*105.4</f>
        <v>259.284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(1.14+1.21)*6*105.4</f>
        <v>1486.1399999999999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4.88*12*105.4</f>
        <v>6172.224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103</v>
      </c>
      <c r="D60" s="207">
        <f>(0.62+0.66)*6*105.4</f>
        <v>809.472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11193.480000000001</v>
      </c>
      <c r="E61" s="34">
        <f>D61+B21</f>
        <v>11825.880000000001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11193.480000000001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5625.95</v>
      </c>
      <c r="E67" s="61"/>
    </row>
    <row r="68" spans="1:5" ht="15.75">
      <c r="A68" s="78" t="s">
        <v>74</v>
      </c>
      <c r="B68" s="114"/>
      <c r="C68" s="115"/>
      <c r="D68" s="113">
        <f>B16+B21-D62</f>
        <v>2223.95</v>
      </c>
      <c r="E68" s="61"/>
    </row>
    <row r="69" spans="1:5" ht="15.75">
      <c r="A69" s="63" t="s">
        <v>75</v>
      </c>
      <c r="B69" s="63"/>
      <c r="C69" s="64"/>
      <c r="D69" s="60">
        <f>B17+B22-D65</f>
        <v>3402</v>
      </c>
      <c r="E69" s="61"/>
    </row>
    <row r="70" spans="1:5" ht="13.5" customHeight="1">
      <c r="A70" s="294" t="s">
        <v>76</v>
      </c>
      <c r="B70" s="294"/>
      <c r="C70" s="294"/>
      <c r="D70" s="65">
        <v>6444.18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3300.8995675241595</v>
      </c>
    </row>
    <row r="73" spans="1:4" ht="13.5" customHeight="1">
      <c r="A73" s="290" t="s">
        <v>28</v>
      </c>
      <c r="B73" s="290"/>
      <c r="C73" s="290"/>
      <c r="D73" s="66">
        <f>D70*B22/B18</f>
        <v>474.79174187109925</v>
      </c>
    </row>
    <row r="74" spans="1:4" ht="13.5" customHeight="1">
      <c r="A74" s="290" t="s">
        <v>29</v>
      </c>
      <c r="B74" s="290"/>
      <c r="C74" s="290"/>
      <c r="D74" s="66">
        <f>SUM(D76:D78)</f>
        <v>2668.4886906047414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2668.4886906047414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537</v>
      </c>
      <c r="C83" s="70" t="s">
        <v>696</v>
      </c>
      <c r="D83" s="67" t="s">
        <v>85</v>
      </c>
    </row>
    <row r="84" spans="1:4" ht="24.75" customHeight="1">
      <c r="A84" s="31" t="s">
        <v>28</v>
      </c>
      <c r="B84" s="296"/>
      <c r="C84" s="70">
        <v>2.7</v>
      </c>
      <c r="D84" s="71" t="s">
        <v>85</v>
      </c>
    </row>
    <row r="85" spans="1:4" ht="44.2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80" zoomScaleNormal="80" zoomScalePageLayoutView="0" workbookViewId="0" topLeftCell="A42">
      <selection activeCell="D71" sqref="D71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698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699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-27445.600000000002</v>
      </c>
      <c r="C15" s="13"/>
      <c r="D15" s="14"/>
    </row>
    <row r="16" spans="1:4" ht="15.75">
      <c r="A16" s="15" t="s">
        <v>16</v>
      </c>
      <c r="B16" s="12">
        <v>1903.96</v>
      </c>
      <c r="C16" s="13"/>
      <c r="D16" s="14"/>
    </row>
    <row r="17" spans="1:4" ht="15.75">
      <c r="A17" s="15" t="s">
        <v>17</v>
      </c>
      <c r="B17" s="174">
        <v>-29349.56</v>
      </c>
      <c r="C17" s="175" t="s">
        <v>19</v>
      </c>
      <c r="D17" s="14"/>
    </row>
    <row r="18" spans="1:5" ht="25.5">
      <c r="A18" s="11" t="s">
        <v>18</v>
      </c>
      <c r="B18" s="16">
        <f>B20+B22+B25</f>
        <v>29871.48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15274.86</v>
      </c>
      <c r="C20" s="105" t="s">
        <v>700</v>
      </c>
      <c r="D20" s="14"/>
    </row>
    <row r="21" spans="1:5" ht="15">
      <c r="A21" s="9" t="s">
        <v>147</v>
      </c>
      <c r="B21" s="16">
        <v>1952.26</v>
      </c>
      <c r="C21" s="19" t="s">
        <v>701</v>
      </c>
      <c r="D21" s="20"/>
      <c r="E21" s="17">
        <f>(1.18+1.38)*6*127.1</f>
        <v>1952.2559999999996</v>
      </c>
    </row>
    <row r="22" spans="1:5" ht="15.75">
      <c r="A22" s="9" t="s">
        <v>28</v>
      </c>
      <c r="B22" s="118">
        <v>1639.44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12957.18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12957.18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25579.54</v>
      </c>
      <c r="C31" s="13" t="s">
        <v>19</v>
      </c>
      <c r="D31" s="14" t="s">
        <v>19</v>
      </c>
      <c r="E31" s="1">
        <f>B31/B18</f>
        <v>0.8563198073881844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13080.165173081483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1403.884945024485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SUM(B37:B39)</f>
        <v>11095.489881894035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11095.489881894035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11095.489881894035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11095.489881894035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(0.14+0.15)*6*127.1</f>
        <v>221.15400000000002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33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33">
        <f>(1.2+2)*6*127.1</f>
        <v>2440.32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(0.2+0.21)*6*127.1</f>
        <v>312.666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33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33">
        <f>(0.2+0.21)*6*127.1</f>
        <v>312.666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33">
        <f>(1.14+1.21)*6*127.1</f>
        <v>1792.1099999999997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33">
        <f>4.88*12*127.1-0.02</f>
        <v>7442.955999999999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702</v>
      </c>
      <c r="D60" s="121">
        <f>(0.51+0.54)*6*127.1</f>
        <v>800.73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13322.601999999999</v>
      </c>
      <c r="E61" s="34">
        <f>D61+B21</f>
        <v>15274.862</v>
      </c>
      <c r="F61" s="41"/>
      <c r="H61" s="50">
        <f>E61-B20</f>
        <v>0.0019999999985884642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13322.601999999999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-23853.9</v>
      </c>
      <c r="E67" s="61"/>
    </row>
    <row r="68" spans="1:5" ht="15.75">
      <c r="A68" s="78" t="s">
        <v>74</v>
      </c>
      <c r="B68" s="114"/>
      <c r="C68" s="115"/>
      <c r="D68" s="113">
        <f>B16+B21-D62</f>
        <v>3856.2200000000003</v>
      </c>
      <c r="E68" s="61"/>
    </row>
    <row r="69" spans="1:5" ht="15.75">
      <c r="A69" s="63" t="s">
        <v>75</v>
      </c>
      <c r="B69" s="63"/>
      <c r="C69" s="64"/>
      <c r="D69" s="60">
        <f>B17+B22-D65</f>
        <v>-27710.120000000003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>
        <v>0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537</v>
      </c>
      <c r="C83" s="70" t="s">
        <v>700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44.2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43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703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704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2970.33</v>
      </c>
      <c r="C15" s="13"/>
      <c r="D15" s="14"/>
    </row>
    <row r="16" spans="1:4" ht="15.75">
      <c r="A16" s="15" t="s">
        <v>16</v>
      </c>
      <c r="B16" s="12">
        <v>1191.57</v>
      </c>
      <c r="C16" s="13"/>
      <c r="D16" s="14"/>
    </row>
    <row r="17" spans="1:4" ht="15.75">
      <c r="A17" s="15" t="s">
        <v>17</v>
      </c>
      <c r="B17" s="174">
        <v>1778.76</v>
      </c>
      <c r="C17" s="175" t="s">
        <v>19</v>
      </c>
      <c r="D17" s="14"/>
    </row>
    <row r="18" spans="1:5" ht="25.5">
      <c r="A18" s="11" t="s">
        <v>18</v>
      </c>
      <c r="B18" s="16">
        <f>B20+B22+B25</f>
        <v>18406.739999999998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7108.44</v>
      </c>
      <c r="C20" s="105" t="s">
        <v>705</v>
      </c>
      <c r="D20" s="14"/>
    </row>
    <row r="21" spans="1:5" ht="15">
      <c r="A21" s="9" t="s">
        <v>147</v>
      </c>
      <c r="B21" s="16">
        <v>681.8579999999998</v>
      </c>
      <c r="C21" s="19" t="s">
        <v>706</v>
      </c>
      <c r="D21" s="20"/>
      <c r="E21" s="17">
        <f>(0.92+1.15)*6*54.9</f>
        <v>681.8579999999998</v>
      </c>
    </row>
    <row r="22" spans="1:5" ht="15.75">
      <c r="A22" s="9" t="s">
        <v>28</v>
      </c>
      <c r="B22" s="118">
        <v>1778.76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9519.54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9519.54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18287.63</v>
      </c>
      <c r="C31" s="13" t="s">
        <v>19</v>
      </c>
      <c r="D31" s="14" t="s">
        <v>19</v>
      </c>
      <c r="E31" s="1">
        <f>B31/B18</f>
        <v>0.9935290007899282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7062.441290375157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1767.2496454450927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9457.939064179754</v>
      </c>
      <c r="C35" s="13"/>
      <c r="D35" s="14"/>
    </row>
    <row r="36" spans="1:4" ht="15">
      <c r="A36" s="9" t="s">
        <v>20</v>
      </c>
      <c r="B36" s="18">
        <v>0</v>
      </c>
      <c r="C36" s="13" t="s">
        <v>19</v>
      </c>
      <c r="D36" s="14"/>
    </row>
    <row r="37" spans="1:4" ht="15">
      <c r="A37" s="9" t="s">
        <v>31</v>
      </c>
      <c r="B37" s="18">
        <f>B27*E31</f>
        <v>9457.939064179754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9457.939064179754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9457.939064179754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(0.14+0.15)*6*54.9</f>
        <v>95.52600000000001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(1.2+2)*6*54.9</f>
        <v>1054.0800000000002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(0.2+0.21)*6*54.9</f>
        <v>135.054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(0.2+0.21)*6*54.9</f>
        <v>135.054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(1.14+1.21)*6*54.9</f>
        <v>774.0899999999999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4.88*12*54.9-0.01</f>
        <v>3214.9339999999997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298</v>
      </c>
      <c r="D60" s="207">
        <f>(1.5+1.59)*6*54.9</f>
        <v>1017.8459999999999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6426.583999999999</v>
      </c>
      <c r="E61" s="34">
        <f>D61+B21</f>
        <v>7108.441999999999</v>
      </c>
      <c r="F61" s="41"/>
      <c r="H61" s="50">
        <f>E61-B20</f>
        <v>0.001999999999497959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6426.583999999999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>
        <f>347.32*12</f>
        <v>4167.84</v>
      </c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5430.948</v>
      </c>
      <c r="E67" s="61"/>
    </row>
    <row r="68" spans="1:5" ht="15.75">
      <c r="A68" s="78" t="s">
        <v>74</v>
      </c>
      <c r="B68" s="114"/>
      <c r="C68" s="115"/>
      <c r="D68" s="113">
        <f>B16+B21-D62</f>
        <v>1873.4279999999999</v>
      </c>
      <c r="E68" s="61"/>
    </row>
    <row r="69" spans="1:5" ht="15.75">
      <c r="A69" s="63" t="s">
        <v>75</v>
      </c>
      <c r="B69" s="63"/>
      <c r="C69" s="64"/>
      <c r="D69" s="60">
        <f>B17+B22-D65</f>
        <v>3557.52</v>
      </c>
      <c r="E69" s="61"/>
    </row>
    <row r="70" spans="1:5" ht="13.5" customHeight="1">
      <c r="A70" s="294" t="s">
        <v>76</v>
      </c>
      <c r="B70" s="294"/>
      <c r="C70" s="294"/>
      <c r="D70" s="65">
        <v>0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D70*E21</f>
        <v>0</v>
      </c>
    </row>
    <row r="73" spans="1:4" ht="13.5" customHeight="1">
      <c r="A73" s="290" t="s">
        <v>28</v>
      </c>
      <c r="B73" s="290"/>
      <c r="C73" s="290"/>
      <c r="D73" s="66">
        <f>D70-D72-D74</f>
        <v>0</v>
      </c>
    </row>
    <row r="74" spans="1:4" ht="13.5" customHeight="1">
      <c r="A74" s="290" t="s">
        <v>29</v>
      </c>
      <c r="B74" s="290"/>
      <c r="C74" s="290"/>
      <c r="D74" s="66">
        <f>SUM(D76:D78)</f>
        <v>0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D70*E26</f>
        <v>0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1" customHeight="1">
      <c r="A83" s="31" t="s">
        <v>77</v>
      </c>
      <c r="B83" s="296" t="s">
        <v>537</v>
      </c>
      <c r="C83" s="70" t="s">
        <v>705</v>
      </c>
      <c r="D83" s="67" t="s">
        <v>85</v>
      </c>
    </row>
    <row r="84" spans="1:4" ht="20.25" customHeight="1">
      <c r="A84" s="31" t="s">
        <v>28</v>
      </c>
      <c r="B84" s="296"/>
      <c r="C84" s="70">
        <v>2.7</v>
      </c>
      <c r="D84" s="71" t="s">
        <v>85</v>
      </c>
    </row>
    <row r="85" spans="1:4" ht="41.2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51">
      <selection activeCell="D80" sqref="D80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707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708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10707.779999999999</v>
      </c>
      <c r="C15" s="13"/>
      <c r="D15" s="14"/>
    </row>
    <row r="16" spans="1:4" ht="15.75">
      <c r="A16" s="15" t="s">
        <v>16</v>
      </c>
      <c r="B16" s="12">
        <v>9022.98</v>
      </c>
      <c r="C16" s="13"/>
      <c r="D16" s="14"/>
    </row>
    <row r="17" spans="1:4" ht="15.75">
      <c r="A17" s="15" t="s">
        <v>17</v>
      </c>
      <c r="B17" s="174">
        <v>1684.8</v>
      </c>
      <c r="C17" s="175" t="s">
        <v>19</v>
      </c>
      <c r="D17" s="14"/>
    </row>
    <row r="18" spans="1:5" ht="25.5">
      <c r="A18" s="11" t="s">
        <v>18</v>
      </c>
      <c r="B18" s="16">
        <f>B20+B22+B25</f>
        <v>16904.579999999998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12174.9</v>
      </c>
      <c r="C20" s="105" t="s">
        <v>221</v>
      </c>
      <c r="D20" s="14"/>
    </row>
    <row r="21" spans="1:5" ht="15">
      <c r="A21" s="9" t="s">
        <v>147</v>
      </c>
      <c r="B21" s="16">
        <v>784.0800000000002</v>
      </c>
      <c r="C21" s="19" t="s">
        <v>709</v>
      </c>
      <c r="D21" s="20"/>
      <c r="E21" s="17">
        <f>(0.58+0.77)*6*96.8</f>
        <v>784.0800000000002</v>
      </c>
    </row>
    <row r="22" spans="1:5" ht="15.75">
      <c r="A22" s="9" t="s">
        <v>28</v>
      </c>
      <c r="B22" s="118">
        <v>1655.64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3074.04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3074.04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11094.48</v>
      </c>
      <c r="C31" s="13" t="s">
        <v>19</v>
      </c>
      <c r="D31" s="14" t="s">
        <v>19</v>
      </c>
      <c r="E31" s="1">
        <f>B31/B18</f>
        <v>0.6563002452589772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B20*E31</f>
        <v>7990.389856003521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1086.5969380605732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SUM(B37:B39)</f>
        <v>2017.4932059359064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2017.4932059359064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2017.4932059359064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2017.4932059359064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207">
        <f>(0.14+0.15)*6*96.8</f>
        <v>168.43200000000002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38">
        <v>0</v>
      </c>
      <c r="D53" s="207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38" t="s">
        <v>53</v>
      </c>
      <c r="D54" s="207">
        <f>(1.2+2)*6*96.8</f>
        <v>1858.5600000000002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207">
        <f>(0.2+0.21)*6*96.8</f>
        <v>238.128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31" t="s">
        <v>56</v>
      </c>
      <c r="B56" s="39" t="s">
        <v>57</v>
      </c>
      <c r="C56" s="44">
        <v>0</v>
      </c>
      <c r="D56" s="207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55</v>
      </c>
      <c r="D57" s="207">
        <f>(0.2+0.21)*6*96.8</f>
        <v>238.128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4" t="s">
        <v>65</v>
      </c>
      <c r="D58" s="207">
        <f>(1.14+1.21)*6*96.8</f>
        <v>1364.8799999999997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4">
        <v>4.88</v>
      </c>
      <c r="D59" s="207">
        <f>4.88*12*96.8+105.88</f>
        <v>5774.488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31" t="s">
        <v>536</v>
      </c>
      <c r="B60" s="39"/>
      <c r="C60" s="44" t="s">
        <v>710</v>
      </c>
      <c r="D60" s="207">
        <f>(1.46+1.55)*6*96.8</f>
        <v>1748.2079999999999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214">
        <f>SUM(D52:D60)</f>
        <v>11390.824</v>
      </c>
      <c r="E61" s="34">
        <f>D61+B21</f>
        <v>12174.904</v>
      </c>
      <c r="F61" s="41"/>
      <c r="H61" s="50">
        <f>E61-B20</f>
        <v>0.004000000000814907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11390.824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13147.5</v>
      </c>
      <c r="E67" s="61"/>
    </row>
    <row r="68" spans="1:5" ht="15.75">
      <c r="A68" s="78" t="s">
        <v>74</v>
      </c>
      <c r="B68" s="114"/>
      <c r="C68" s="115"/>
      <c r="D68" s="113">
        <f>B16+B21-D62</f>
        <v>9807.06</v>
      </c>
      <c r="E68" s="61"/>
    </row>
    <row r="69" spans="1:5" ht="15.75">
      <c r="A69" s="63" t="s">
        <v>75</v>
      </c>
      <c r="B69" s="63"/>
      <c r="C69" s="64"/>
      <c r="D69" s="60">
        <f>B17+B22-D65</f>
        <v>3340.44</v>
      </c>
      <c r="E69" s="61"/>
    </row>
    <row r="70" spans="1:5" ht="13.5" customHeight="1">
      <c r="A70" s="294" t="s">
        <v>76</v>
      </c>
      <c r="B70" s="294"/>
      <c r="C70" s="294"/>
      <c r="D70" s="65">
        <v>30888.92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22246.60489098221</v>
      </c>
    </row>
    <row r="73" spans="1:4" ht="13.5" customHeight="1">
      <c r="A73" s="290" t="s">
        <v>28</v>
      </c>
      <c r="B73" s="290"/>
      <c r="C73" s="290"/>
      <c r="D73" s="66">
        <f>D70*B22/B18</f>
        <v>3025.270755546722</v>
      </c>
    </row>
    <row r="74" spans="1:4" ht="13.5" customHeight="1">
      <c r="A74" s="290" t="s">
        <v>29</v>
      </c>
      <c r="B74" s="290"/>
      <c r="C74" s="290"/>
      <c r="D74" s="66">
        <f>SUM(D76:D78)</f>
        <v>5617.044353471071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5617.044353471071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537</v>
      </c>
      <c r="C83" s="70" t="s">
        <v>221</v>
      </c>
      <c r="D83" s="67" t="s">
        <v>85</v>
      </c>
    </row>
    <row r="84" spans="1:4" ht="23.25" customHeight="1">
      <c r="A84" s="31" t="s">
        <v>28</v>
      </c>
      <c r="B84" s="296"/>
      <c r="C84" s="70">
        <v>2.7</v>
      </c>
      <c r="D84" s="71" t="s">
        <v>85</v>
      </c>
    </row>
    <row r="85" spans="1:4" ht="44.2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="64" zoomScaleNormal="64" zoomScalePageLayoutView="0" workbookViewId="0" topLeftCell="A2">
      <selection activeCell="B44" sqref="B44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711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712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4" ht="38.25">
      <c r="A13" s="7" t="s">
        <v>11</v>
      </c>
      <c r="B13" s="7" t="s">
        <v>12</v>
      </c>
      <c r="C13" s="7" t="s">
        <v>13</v>
      </c>
      <c r="D13" s="8" t="s">
        <v>14</v>
      </c>
    </row>
    <row r="14" spans="1:4" ht="3" customHeight="1">
      <c r="A14" s="9">
        <v>1</v>
      </c>
      <c r="B14" s="9">
        <v>2</v>
      </c>
      <c r="C14" s="9">
        <v>3</v>
      </c>
      <c r="D14" s="10">
        <v>4</v>
      </c>
    </row>
    <row r="15" spans="1:4" ht="46.5" customHeight="1">
      <c r="A15" s="11" t="s">
        <v>15</v>
      </c>
      <c r="B15" s="12">
        <f>B16+B17</f>
        <v>27640.95</v>
      </c>
      <c r="C15" s="13"/>
      <c r="D15" s="14"/>
    </row>
    <row r="16" spans="1:4" ht="15.75">
      <c r="A16" s="15" t="s">
        <v>16</v>
      </c>
      <c r="B16" s="12">
        <v>24384.75</v>
      </c>
      <c r="C16" s="13"/>
      <c r="D16" s="14"/>
    </row>
    <row r="17" spans="1:4" ht="15.75">
      <c r="A17" s="15" t="s">
        <v>17</v>
      </c>
      <c r="B17" s="174">
        <v>3256.2</v>
      </c>
      <c r="C17" s="175" t="s">
        <v>19</v>
      </c>
      <c r="D17" s="14"/>
    </row>
    <row r="18" spans="1:5" ht="25.5">
      <c r="A18" s="11" t="s">
        <v>18</v>
      </c>
      <c r="B18" s="16">
        <f>B20+B22+B25</f>
        <v>19633.98</v>
      </c>
      <c r="C18" s="105"/>
      <c r="D18" s="14" t="s">
        <v>19</v>
      </c>
      <c r="E18" s="17"/>
    </row>
    <row r="19" spans="1:4" ht="15">
      <c r="A19" s="9" t="s">
        <v>20</v>
      </c>
      <c r="B19" s="16"/>
      <c r="C19" s="105"/>
      <c r="D19" s="14"/>
    </row>
    <row r="20" spans="1:4" ht="15">
      <c r="A20" s="9" t="s">
        <v>77</v>
      </c>
      <c r="B20" s="16">
        <v>14212.68</v>
      </c>
      <c r="C20" s="105" t="s">
        <v>713</v>
      </c>
      <c r="D20" s="14"/>
    </row>
    <row r="21" spans="1:5" ht="15">
      <c r="A21" s="9" t="s">
        <v>147</v>
      </c>
      <c r="B21" s="16">
        <v>2532.6000000000004</v>
      </c>
      <c r="C21" s="19" t="s">
        <v>714</v>
      </c>
      <c r="D21" s="20"/>
      <c r="E21" s="17">
        <f>(1.93+2.27)*6*100.5</f>
        <v>2532.6000000000004</v>
      </c>
    </row>
    <row r="22" spans="1:5" ht="15.75">
      <c r="A22" s="9" t="s">
        <v>28</v>
      </c>
      <c r="B22" s="118">
        <v>3256.2</v>
      </c>
      <c r="C22" s="119">
        <v>2.7</v>
      </c>
      <c r="D22" s="20"/>
      <c r="E22" s="17"/>
    </row>
    <row r="23" spans="1:5" ht="15">
      <c r="A23" s="9" t="s">
        <v>149</v>
      </c>
      <c r="B23" s="16">
        <v>0</v>
      </c>
      <c r="C23" s="19"/>
      <c r="D23" s="20"/>
      <c r="E23" s="17"/>
    </row>
    <row r="24" spans="1:4" ht="15.75">
      <c r="A24" s="9" t="s">
        <v>167</v>
      </c>
      <c r="B24" s="120">
        <v>0</v>
      </c>
      <c r="C24" s="196"/>
      <c r="D24" s="20" t="s">
        <v>30</v>
      </c>
    </row>
    <row r="25" spans="1:4" ht="15">
      <c r="A25" s="9" t="s">
        <v>29</v>
      </c>
      <c r="B25" s="16">
        <f>B27+B28+B29+B30</f>
        <v>2165.1</v>
      </c>
      <c r="C25" s="19"/>
      <c r="D25" s="20"/>
    </row>
    <row r="26" spans="1:5" ht="15">
      <c r="A26" s="9" t="s">
        <v>20</v>
      </c>
      <c r="B26" s="16">
        <v>0</v>
      </c>
      <c r="C26" s="19"/>
      <c r="D26" s="27" t="s">
        <v>32</v>
      </c>
      <c r="E26" s="17"/>
    </row>
    <row r="27" spans="1:5" ht="15">
      <c r="A27" s="9" t="s">
        <v>31</v>
      </c>
      <c r="B27" s="16">
        <v>2165.1</v>
      </c>
      <c r="C27" s="19"/>
      <c r="D27" s="27" t="s">
        <v>32</v>
      </c>
      <c r="E27" s="17"/>
    </row>
    <row r="28" spans="1:5" ht="15">
      <c r="A28" s="9" t="s">
        <v>33</v>
      </c>
      <c r="B28" s="16">
        <v>0</v>
      </c>
      <c r="C28" s="19"/>
      <c r="D28" s="28"/>
      <c r="E28" s="17"/>
    </row>
    <row r="29" spans="1:5" ht="15">
      <c r="A29" s="9" t="s">
        <v>34</v>
      </c>
      <c r="B29" s="16">
        <v>0</v>
      </c>
      <c r="C29" s="19"/>
      <c r="D29" s="28"/>
      <c r="E29" s="17"/>
    </row>
    <row r="30" spans="1:5" ht="15">
      <c r="A30" s="9" t="s">
        <v>35</v>
      </c>
      <c r="B30" s="16">
        <v>0</v>
      </c>
      <c r="C30" s="19"/>
      <c r="D30" s="28"/>
      <c r="E30" s="17"/>
    </row>
    <row r="31" spans="1:5" ht="25.5">
      <c r="A31" s="11" t="s">
        <v>36</v>
      </c>
      <c r="B31" s="18">
        <v>14084.47</v>
      </c>
      <c r="C31" s="13" t="s">
        <v>19</v>
      </c>
      <c r="D31" s="14" t="s">
        <v>19</v>
      </c>
      <c r="E31" s="1">
        <f>B31/B18</f>
        <v>0.7173517544583421</v>
      </c>
    </row>
    <row r="32" spans="1:4" ht="15">
      <c r="A32" s="9" t="s">
        <v>20</v>
      </c>
      <c r="B32" s="18"/>
      <c r="C32" s="13"/>
      <c r="D32" s="14"/>
    </row>
    <row r="33" spans="1:4" ht="15">
      <c r="A33" s="9" t="s">
        <v>77</v>
      </c>
      <c r="B33" s="18">
        <f>B31*E31</f>
        <v>10103.519265115885</v>
      </c>
      <c r="C33" s="18" t="s">
        <v>6</v>
      </c>
      <c r="D33" s="14" t="s">
        <v>19</v>
      </c>
    </row>
    <row r="34" spans="1:4" ht="15">
      <c r="A34" s="9" t="s">
        <v>28</v>
      </c>
      <c r="B34" s="18">
        <f>B22*E31</f>
        <v>2335.8407828672534</v>
      </c>
      <c r="C34" s="13" t="s">
        <v>19</v>
      </c>
      <c r="D34" s="14" t="s">
        <v>19</v>
      </c>
    </row>
    <row r="35" spans="1:4" ht="15">
      <c r="A35" s="9" t="s">
        <v>29</v>
      </c>
      <c r="B35" s="18">
        <f>SUM(B37:B40)</f>
        <v>1553.1382835777565</v>
      </c>
      <c r="C35" s="13"/>
      <c r="D35" s="14"/>
    </row>
    <row r="36" spans="1:4" ht="15">
      <c r="A36" s="9" t="s">
        <v>20</v>
      </c>
      <c r="B36" s="18"/>
      <c r="C36" s="13" t="s">
        <v>19</v>
      </c>
      <c r="D36" s="14"/>
    </row>
    <row r="37" spans="1:4" ht="15">
      <c r="A37" s="9" t="s">
        <v>31</v>
      </c>
      <c r="B37" s="18">
        <f>B27*E31</f>
        <v>1553.1382835777565</v>
      </c>
      <c r="C37" s="13" t="s">
        <v>19</v>
      </c>
      <c r="D37" s="14"/>
    </row>
    <row r="38" spans="1:4" ht="15">
      <c r="A38" s="9" t="s">
        <v>33</v>
      </c>
      <c r="B38" s="18">
        <v>0</v>
      </c>
      <c r="C38" s="13"/>
      <c r="D38" s="14"/>
    </row>
    <row r="39" spans="1:4" ht="15">
      <c r="A39" s="9" t="s">
        <v>34</v>
      </c>
      <c r="B39" s="18">
        <v>0</v>
      </c>
      <c r="C39" s="13"/>
      <c r="D39" s="14"/>
    </row>
    <row r="40" spans="1:4" ht="15">
      <c r="A40" s="9" t="s">
        <v>35</v>
      </c>
      <c r="B40" s="18"/>
      <c r="C40" s="13"/>
      <c r="D40" s="14"/>
    </row>
    <row r="41" spans="1:4" ht="38.25">
      <c r="A41" s="11" t="s">
        <v>40</v>
      </c>
      <c r="B41" s="18">
        <f>B43+B44+B45+B46</f>
        <v>1553.1382835777565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B37</f>
        <v>1553.1382835777565</v>
      </c>
      <c r="C43" s="13"/>
      <c r="D43" s="14"/>
    </row>
    <row r="44" spans="1:4" ht="15">
      <c r="A44" s="9" t="s">
        <v>33</v>
      </c>
      <c r="B44" s="18">
        <v>0</v>
      </c>
      <c r="C44" s="13"/>
      <c r="D44" s="14"/>
    </row>
    <row r="45" spans="1:4" ht="15">
      <c r="A45" s="9" t="s">
        <v>34</v>
      </c>
      <c r="B45" s="18">
        <v>0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30"/>
      <c r="J48" s="30"/>
    </row>
    <row r="49" spans="1:10" ht="9" customHeight="1">
      <c r="A49" s="291"/>
      <c r="B49" s="291"/>
      <c r="C49" s="291"/>
      <c r="D49" s="291"/>
      <c r="I49" s="4"/>
      <c r="J49" s="4"/>
    </row>
    <row r="50" spans="1:10" ht="12.75">
      <c r="A50" s="4"/>
      <c r="C50" s="6" t="s">
        <v>10</v>
      </c>
      <c r="I50" s="4"/>
      <c r="J50" s="4"/>
    </row>
    <row r="51" spans="1:14" ht="66.75" customHeight="1">
      <c r="A51" s="8" t="s">
        <v>42</v>
      </c>
      <c r="B51" s="8" t="s">
        <v>43</v>
      </c>
      <c r="C51" s="8" t="s">
        <v>44</v>
      </c>
      <c r="D51" s="8" t="s">
        <v>45</v>
      </c>
      <c r="I51" s="3"/>
      <c r="J51" s="3"/>
      <c r="K51" s="3"/>
      <c r="L51" s="3"/>
      <c r="M51" s="3"/>
      <c r="N51" s="3"/>
    </row>
    <row r="52" spans="1:14" ht="15">
      <c r="A52" s="179" t="s">
        <v>112</v>
      </c>
      <c r="B52" s="180" t="s">
        <v>47</v>
      </c>
      <c r="C52" s="19" t="s">
        <v>48</v>
      </c>
      <c r="D52" s="230">
        <f>(0.14+0.15)*6*100.5</f>
        <v>174.87000000000003</v>
      </c>
      <c r="E52" s="34"/>
      <c r="F52" s="35"/>
      <c r="G52" s="36"/>
      <c r="I52" s="37"/>
      <c r="J52" s="37"/>
      <c r="K52" s="37"/>
      <c r="L52" s="37"/>
      <c r="M52" s="37"/>
      <c r="N52" s="37"/>
    </row>
    <row r="53" spans="1:14" ht="15">
      <c r="A53" s="179" t="s">
        <v>49</v>
      </c>
      <c r="B53" s="180" t="s">
        <v>50</v>
      </c>
      <c r="C53" s="156">
        <v>0</v>
      </c>
      <c r="D53" s="230">
        <v>0</v>
      </c>
      <c r="E53" s="34"/>
      <c r="F53" s="35"/>
      <c r="G53" s="36"/>
      <c r="I53" s="37"/>
      <c r="J53" s="37"/>
      <c r="K53" s="37"/>
      <c r="L53" s="37"/>
      <c r="M53" s="37"/>
      <c r="N53" s="37"/>
    </row>
    <row r="54" spans="1:14" ht="15">
      <c r="A54" s="179" t="s">
        <v>52</v>
      </c>
      <c r="B54" s="180" t="s">
        <v>50</v>
      </c>
      <c r="C54" s="156" t="s">
        <v>53</v>
      </c>
      <c r="D54" s="230">
        <f>(1.2+2)*6*100.5</f>
        <v>1929.6000000000004</v>
      </c>
      <c r="E54" s="34"/>
      <c r="F54" s="35"/>
      <c r="G54" s="36"/>
      <c r="I54" s="37"/>
      <c r="J54" s="37"/>
      <c r="K54" s="37"/>
      <c r="L54" s="37"/>
      <c r="M54" s="37"/>
      <c r="N54" s="37"/>
    </row>
    <row r="55" spans="1:14" ht="15">
      <c r="A55" s="179" t="s">
        <v>54</v>
      </c>
      <c r="B55" s="180" t="s">
        <v>47</v>
      </c>
      <c r="C55" s="156" t="s">
        <v>55</v>
      </c>
      <c r="D55" s="230">
        <f>(0.2+0.21)*6*100.5</f>
        <v>247.23</v>
      </c>
      <c r="E55" s="34"/>
      <c r="F55" s="35"/>
      <c r="G55" s="36"/>
      <c r="I55" s="37"/>
      <c r="J55" s="37"/>
      <c r="K55" s="37"/>
      <c r="L55" s="37"/>
      <c r="M55" s="37"/>
      <c r="N55" s="37"/>
    </row>
    <row r="56" spans="1:14" ht="15">
      <c r="A56" s="179" t="s">
        <v>56</v>
      </c>
      <c r="B56" s="162" t="s">
        <v>57</v>
      </c>
      <c r="C56" s="40">
        <v>0</v>
      </c>
      <c r="D56" s="230">
        <v>0</v>
      </c>
      <c r="E56" s="34"/>
      <c r="F56" s="41"/>
      <c r="G56" s="42"/>
      <c r="H56" s="43"/>
      <c r="I56" s="37"/>
      <c r="J56" s="37"/>
      <c r="K56" s="37"/>
      <c r="L56" s="37"/>
      <c r="M56" s="37"/>
      <c r="N56" s="37"/>
    </row>
    <row r="57" spans="1:14" ht="15">
      <c r="A57" s="179" t="s">
        <v>115</v>
      </c>
      <c r="B57" s="162" t="s">
        <v>47</v>
      </c>
      <c r="C57" s="40" t="s">
        <v>55</v>
      </c>
      <c r="D57" s="230">
        <f>(0.2+0.21)*6*100.5</f>
        <v>247.23</v>
      </c>
      <c r="E57" s="34"/>
      <c r="F57" s="41"/>
      <c r="G57" s="42"/>
      <c r="I57" s="37"/>
      <c r="J57" s="37"/>
      <c r="K57" s="37"/>
      <c r="L57" s="37"/>
      <c r="M57" s="37"/>
      <c r="N57" s="37"/>
    </row>
    <row r="58" spans="1:14" ht="15">
      <c r="A58" s="179" t="s">
        <v>63</v>
      </c>
      <c r="B58" s="162" t="s">
        <v>64</v>
      </c>
      <c r="C58" s="40" t="s">
        <v>65</v>
      </c>
      <c r="D58" s="230">
        <f>(1.14+1.21)*6*100.5</f>
        <v>1417.0499999999997</v>
      </c>
      <c r="E58" s="34"/>
      <c r="F58" s="41"/>
      <c r="G58" s="42"/>
      <c r="I58" s="37"/>
      <c r="J58" s="37"/>
      <c r="K58" s="37"/>
      <c r="L58" s="37"/>
      <c r="M58" s="37"/>
      <c r="N58" s="37"/>
    </row>
    <row r="59" spans="1:14" ht="15">
      <c r="A59" s="179" t="s">
        <v>66</v>
      </c>
      <c r="B59" s="162" t="s">
        <v>67</v>
      </c>
      <c r="C59" s="40">
        <v>4.88</v>
      </c>
      <c r="D59" s="230">
        <f>4.88*12*100.5-0.03</f>
        <v>5885.250000000001</v>
      </c>
      <c r="E59" s="34"/>
      <c r="F59" s="41"/>
      <c r="H59" s="45"/>
      <c r="I59" s="37"/>
      <c r="J59" s="37"/>
      <c r="K59" s="37"/>
      <c r="L59" s="37"/>
      <c r="M59" s="37"/>
      <c r="N59" s="37"/>
    </row>
    <row r="60" spans="1:14" ht="15">
      <c r="A60" s="179" t="s">
        <v>536</v>
      </c>
      <c r="B60" s="162"/>
      <c r="C60" s="40" t="s">
        <v>600</v>
      </c>
      <c r="D60" s="230">
        <f>(1.43+1.52)*6*100.5</f>
        <v>1778.8500000000004</v>
      </c>
      <c r="E60" s="34"/>
      <c r="F60" s="41"/>
      <c r="H60" s="45"/>
      <c r="I60" s="37"/>
      <c r="J60" s="37"/>
      <c r="K60" s="37"/>
      <c r="L60" s="37"/>
      <c r="M60" s="37"/>
      <c r="N60" s="37"/>
    </row>
    <row r="61" spans="1:14" ht="15">
      <c r="A61" s="181" t="s">
        <v>68</v>
      </c>
      <c r="B61" s="182"/>
      <c r="C61" s="158"/>
      <c r="D61" s="231">
        <f>SUM(D52:D60)</f>
        <v>11680.080000000002</v>
      </c>
      <c r="E61" s="34">
        <f>D61+B21</f>
        <v>14212.680000000002</v>
      </c>
      <c r="F61" s="41"/>
      <c r="H61" s="50">
        <f>E61-B20</f>
        <v>0</v>
      </c>
      <c r="I61" s="37"/>
      <c r="J61" s="37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212">
        <f>D63</f>
        <v>0</v>
      </c>
      <c r="E62" s="34"/>
      <c r="F62" s="41"/>
      <c r="H62" s="50"/>
      <c r="I62" s="37"/>
      <c r="J62" s="37"/>
      <c r="K62" s="37"/>
      <c r="L62" s="37"/>
      <c r="M62" s="37"/>
      <c r="N62" s="37"/>
    </row>
    <row r="63" spans="1:14" ht="15.75">
      <c r="A63" s="51"/>
      <c r="B63" s="52"/>
      <c r="C63" s="53"/>
      <c r="D63" s="212"/>
      <c r="E63" s="34"/>
      <c r="F63" s="45"/>
      <c r="H63" s="50"/>
      <c r="I63" s="37"/>
      <c r="J63" s="37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212">
        <f>D61+D62</f>
        <v>11680.080000000002</v>
      </c>
      <c r="E64" s="34"/>
      <c r="F64" s="45"/>
      <c r="H64" s="50"/>
      <c r="I64" s="37"/>
      <c r="J64" s="37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13">
        <f>D66</f>
        <v>0</v>
      </c>
      <c r="E65" s="61"/>
      <c r="H65" s="34"/>
    </row>
    <row r="66" spans="1:8" ht="17.25" customHeight="1">
      <c r="A66" s="114"/>
      <c r="B66" s="215"/>
      <c r="C66" s="215"/>
      <c r="D66" s="217"/>
      <c r="E66" s="61"/>
      <c r="H66" s="34"/>
    </row>
    <row r="67" spans="1:5" ht="25.5" customHeight="1">
      <c r="A67" s="291" t="s">
        <v>73</v>
      </c>
      <c r="B67" s="291"/>
      <c r="C67" s="291"/>
      <c r="D67" s="113">
        <f>D68+D69</f>
        <v>33429.75</v>
      </c>
      <c r="E67" s="61"/>
    </row>
    <row r="68" spans="1:5" ht="15.75">
      <c r="A68" s="78" t="s">
        <v>74</v>
      </c>
      <c r="B68" s="114"/>
      <c r="C68" s="115"/>
      <c r="D68" s="113">
        <f>B16+B21-D62</f>
        <v>26917.35</v>
      </c>
      <c r="E68" s="61"/>
    </row>
    <row r="69" spans="1:5" ht="15.75">
      <c r="A69" s="63" t="s">
        <v>75</v>
      </c>
      <c r="B69" s="63"/>
      <c r="C69" s="64"/>
      <c r="D69" s="60">
        <f>B17+B22-D65</f>
        <v>6512.4</v>
      </c>
      <c r="E69" s="61"/>
    </row>
    <row r="70" spans="1:5" ht="13.5" customHeight="1">
      <c r="A70" s="294" t="s">
        <v>76</v>
      </c>
      <c r="B70" s="294"/>
      <c r="C70" s="294"/>
      <c r="D70" s="65">
        <v>19428.85</v>
      </c>
      <c r="E70" s="61"/>
    </row>
    <row r="71" spans="1:4" ht="15">
      <c r="A71" s="290" t="s">
        <v>20</v>
      </c>
      <c r="B71" s="290"/>
      <c r="C71" s="290"/>
      <c r="D71" s="66"/>
    </row>
    <row r="72" spans="1:4" ht="13.5" customHeight="1">
      <c r="A72" s="290" t="s">
        <v>77</v>
      </c>
      <c r="B72" s="290"/>
      <c r="C72" s="290"/>
      <c r="D72" s="66">
        <f>D70*B20/B18</f>
        <v>14064.190134552442</v>
      </c>
    </row>
    <row r="73" spans="1:4" ht="13.5" customHeight="1">
      <c r="A73" s="290" t="s">
        <v>28</v>
      </c>
      <c r="B73" s="290"/>
      <c r="C73" s="290"/>
      <c r="D73" s="66">
        <f>D70*B22/B18</f>
        <v>3222.1801881228357</v>
      </c>
    </row>
    <row r="74" spans="1:4" ht="13.5" customHeight="1">
      <c r="A74" s="290" t="s">
        <v>29</v>
      </c>
      <c r="B74" s="290"/>
      <c r="C74" s="290"/>
      <c r="D74" s="66">
        <f>SUM(D76:D78)</f>
        <v>2142.4796773247194</v>
      </c>
    </row>
    <row r="75" spans="1:4" ht="15">
      <c r="A75" s="290" t="s">
        <v>20</v>
      </c>
      <c r="B75" s="290"/>
      <c r="C75" s="290"/>
      <c r="D75" s="66"/>
    </row>
    <row r="76" spans="1:4" ht="13.5" customHeight="1">
      <c r="A76" s="290" t="s">
        <v>31</v>
      </c>
      <c r="B76" s="290"/>
      <c r="C76" s="290"/>
      <c r="D76" s="66">
        <f>D70*B27/B18</f>
        <v>2142.4796773247194</v>
      </c>
    </row>
    <row r="77" spans="1:4" ht="15">
      <c r="A77" s="290" t="s">
        <v>33</v>
      </c>
      <c r="B77" s="290"/>
      <c r="C77" s="290"/>
      <c r="D77" s="66">
        <f>D70*E27</f>
        <v>0</v>
      </c>
    </row>
    <row r="78" spans="1:4" ht="15" customHeight="1">
      <c r="A78" s="290" t="s">
        <v>34</v>
      </c>
      <c r="B78" s="290"/>
      <c r="C78" s="290"/>
      <c r="D78" s="66">
        <f>D70*E28</f>
        <v>0</v>
      </c>
    </row>
    <row r="79" spans="1:4" ht="15">
      <c r="A79" s="290" t="s">
        <v>78</v>
      </c>
      <c r="B79" s="290"/>
      <c r="C79" s="290"/>
      <c r="D79" s="66"/>
    </row>
    <row r="80" spans="1:4" ht="15" customHeight="1">
      <c r="A80" s="290" t="s">
        <v>35</v>
      </c>
      <c r="B80" s="290"/>
      <c r="C80" s="290"/>
      <c r="D80" s="66"/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20.25" customHeight="1">
      <c r="A83" s="31" t="s">
        <v>77</v>
      </c>
      <c r="B83" s="296" t="s">
        <v>537</v>
      </c>
      <c r="C83" s="70" t="s">
        <v>713</v>
      </c>
      <c r="D83" s="67" t="s">
        <v>85</v>
      </c>
    </row>
    <row r="84" spans="1:4" ht="22.5" customHeight="1">
      <c r="A84" s="31" t="s">
        <v>28</v>
      </c>
      <c r="B84" s="296"/>
      <c r="C84" s="70">
        <v>2.7</v>
      </c>
      <c r="D84" s="71" t="s">
        <v>85</v>
      </c>
    </row>
    <row r="85" spans="1:4" ht="42.75" customHeight="1">
      <c r="A85" s="31" t="s">
        <v>31</v>
      </c>
      <c r="B85" s="140" t="s">
        <v>86</v>
      </c>
      <c r="C85" s="70" t="s">
        <v>87</v>
      </c>
      <c r="D85" s="71" t="s">
        <v>88</v>
      </c>
    </row>
    <row r="87" ht="12.75">
      <c r="A87" t="s">
        <v>93</v>
      </c>
    </row>
    <row r="89" ht="12.75">
      <c r="A89" t="s">
        <v>95</v>
      </c>
    </row>
  </sheetData>
  <sheetProtection selectLockedCells="1" selectUnlockedCells="1"/>
  <mergeCells count="22">
    <mergeCell ref="A79:C79"/>
    <mergeCell ref="A80:C80"/>
    <mergeCell ref="A81:D81"/>
    <mergeCell ref="B83:B84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3" fitToWidth="1" horizontalDpi="300" verticalDpi="300" orientation="landscape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2" sqref="B42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56">
      <selection activeCell="D85" sqref="D85"/>
    </sheetView>
  </sheetViews>
  <sheetFormatPr defaultColWidth="11.57421875" defaultRowHeight="12.75"/>
  <cols>
    <col min="1" max="1" width="51.42187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287" t="s">
        <v>0</v>
      </c>
      <c r="B1" s="287"/>
      <c r="C1" s="287"/>
      <c r="D1" s="287"/>
    </row>
    <row r="2" spans="1:4" ht="15.75">
      <c r="A2" s="287" t="s">
        <v>1</v>
      </c>
      <c r="B2" s="287"/>
      <c r="C2" s="287"/>
      <c r="D2" s="287"/>
    </row>
    <row r="3" spans="1:4" ht="15.75">
      <c r="A3" s="287" t="s">
        <v>2</v>
      </c>
      <c r="B3" s="287"/>
      <c r="C3" s="287"/>
      <c r="D3" s="287"/>
    </row>
    <row r="4" spans="1:4" ht="12.75">
      <c r="A4" s="288" t="s">
        <v>163</v>
      </c>
      <c r="B4" s="288"/>
      <c r="C4" s="288"/>
      <c r="D4" s="288"/>
    </row>
    <row r="5" spans="1:4" ht="12.75">
      <c r="A5" s="288" t="s">
        <v>4</v>
      </c>
      <c r="B5" s="288"/>
      <c r="C5" s="288"/>
      <c r="D5" s="288"/>
    </row>
    <row r="6" ht="9" customHeight="1">
      <c r="A6" s="2"/>
    </row>
    <row r="7" spans="1:4" ht="36.75" customHeight="1">
      <c r="A7" s="301" t="s">
        <v>164</v>
      </c>
      <c r="B7" s="301"/>
      <c r="C7" s="301"/>
      <c r="D7" s="301"/>
    </row>
    <row r="8" ht="12.75">
      <c r="A8" s="4" t="s">
        <v>7</v>
      </c>
    </row>
    <row r="9" ht="12.75">
      <c r="A9" s="4" t="s">
        <v>8</v>
      </c>
    </row>
    <row r="10" ht="12.75">
      <c r="A10" s="4"/>
    </row>
    <row r="11" ht="15.75">
      <c r="A11" s="5" t="s">
        <v>9</v>
      </c>
    </row>
    <row r="12" spans="1:3" ht="12.75">
      <c r="A12" s="2"/>
      <c r="C12" s="6" t="s">
        <v>10</v>
      </c>
    </row>
    <row r="13" spans="1:5" ht="38.25">
      <c r="A13" s="7" t="s">
        <v>11</v>
      </c>
      <c r="B13" s="7" t="s">
        <v>12</v>
      </c>
      <c r="C13" s="7" t="s">
        <v>13</v>
      </c>
      <c r="D13" s="8"/>
      <c r="E13" s="161" t="s">
        <v>6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39">
      <c r="A15" s="11" t="s">
        <v>15</v>
      </c>
      <c r="B15" s="12">
        <f>B16+B17</f>
        <v>13972.94</v>
      </c>
      <c r="C15" s="13"/>
      <c r="D15" s="14"/>
    </row>
    <row r="16" spans="1:4" ht="15.75">
      <c r="A16" s="15" t="s">
        <v>16</v>
      </c>
      <c r="B16" s="12">
        <v>12456.62</v>
      </c>
      <c r="C16" s="13"/>
      <c r="D16" s="14"/>
    </row>
    <row r="17" spans="1:4" ht="15.75">
      <c r="A17" s="15" t="s">
        <v>17</v>
      </c>
      <c r="B17" s="12">
        <v>1516.32</v>
      </c>
      <c r="C17" s="13"/>
      <c r="D17" s="14"/>
    </row>
    <row r="18" spans="1:5" ht="25.5">
      <c r="A18" s="11" t="s">
        <v>18</v>
      </c>
      <c r="B18" s="16">
        <f>B20+B22+B23+B25</f>
        <v>261682.12</v>
      </c>
      <c r="C18" s="148" t="s">
        <v>19</v>
      </c>
      <c r="D18" s="14" t="s">
        <v>19</v>
      </c>
      <c r="E18" s="17"/>
    </row>
    <row r="19" spans="1:4" ht="15">
      <c r="A19" s="9" t="s">
        <v>20</v>
      </c>
      <c r="B19" s="25"/>
      <c r="C19" s="148"/>
      <c r="D19" s="14"/>
    </row>
    <row r="20" spans="1:4" ht="15">
      <c r="A20" s="9" t="s">
        <v>77</v>
      </c>
      <c r="B20" s="16">
        <v>59532.25</v>
      </c>
      <c r="C20" s="105" t="s">
        <v>165</v>
      </c>
      <c r="D20" s="14"/>
    </row>
    <row r="21" spans="1:5" ht="15">
      <c r="A21" s="9" t="s">
        <v>147</v>
      </c>
      <c r="B21" s="16">
        <v>4972.4400000000005</v>
      </c>
      <c r="C21" s="21" t="s">
        <v>166</v>
      </c>
      <c r="D21" s="20"/>
      <c r="E21" s="17">
        <f>(0.79+1.41)*6*376.7</f>
        <v>4972.4400000000005</v>
      </c>
    </row>
    <row r="22" spans="1:5" ht="15.75">
      <c r="A22" s="9" t="s">
        <v>28</v>
      </c>
      <c r="B22" s="118">
        <v>0</v>
      </c>
      <c r="C22" s="119">
        <v>0</v>
      </c>
      <c r="D22" s="20"/>
      <c r="E22" s="17"/>
    </row>
    <row r="23" spans="1:5" ht="15">
      <c r="A23" s="9" t="s">
        <v>167</v>
      </c>
      <c r="B23" s="16">
        <v>640.8</v>
      </c>
      <c r="C23" s="21"/>
      <c r="D23" s="20"/>
      <c r="E23" s="17"/>
    </row>
    <row r="24" spans="1:4" ht="15">
      <c r="A24" s="9" t="s">
        <v>35</v>
      </c>
      <c r="B24" s="25"/>
      <c r="C24" s="152" t="s">
        <v>19</v>
      </c>
      <c r="D24" s="20" t="s">
        <v>30</v>
      </c>
    </row>
    <row r="25" spans="1:4" ht="15">
      <c r="A25" s="9" t="s">
        <v>29</v>
      </c>
      <c r="B25" s="16">
        <f>B27+B28+B29</f>
        <v>201509.07</v>
      </c>
      <c r="C25" s="152"/>
      <c r="D25" s="20"/>
    </row>
    <row r="26" spans="1:5" ht="15">
      <c r="A26" s="9" t="s">
        <v>20</v>
      </c>
      <c r="B26" s="25"/>
      <c r="C26" s="153"/>
      <c r="D26" s="27" t="s">
        <v>32</v>
      </c>
      <c r="E26" s="17"/>
    </row>
    <row r="27" spans="1:5" ht="15">
      <c r="A27" s="9" t="s">
        <v>31</v>
      </c>
      <c r="B27" s="16">
        <v>34736.61</v>
      </c>
      <c r="C27" s="152" t="s">
        <v>19</v>
      </c>
      <c r="D27" s="27" t="s">
        <v>32</v>
      </c>
      <c r="E27" s="17"/>
    </row>
    <row r="28" spans="1:5" ht="15">
      <c r="A28" s="9" t="s">
        <v>33</v>
      </c>
      <c r="B28" s="16">
        <v>40014.52</v>
      </c>
      <c r="C28" s="152" t="s">
        <v>19</v>
      </c>
      <c r="D28" s="28"/>
      <c r="E28" s="17"/>
    </row>
    <row r="29" spans="1:5" ht="15">
      <c r="A29" s="9" t="s">
        <v>34</v>
      </c>
      <c r="B29" s="16">
        <v>126757.94</v>
      </c>
      <c r="C29" s="153"/>
      <c r="D29" s="28"/>
      <c r="E29" s="17"/>
    </row>
    <row r="30" spans="1:5" ht="15">
      <c r="A30" s="9" t="s">
        <v>35</v>
      </c>
      <c r="B30" s="25"/>
      <c r="C30" s="152" t="s">
        <v>19</v>
      </c>
      <c r="D30" s="20" t="s">
        <v>6</v>
      </c>
      <c r="E30" s="17"/>
    </row>
    <row r="31" spans="1:5" ht="25.5">
      <c r="A31" s="11" t="s">
        <v>36</v>
      </c>
      <c r="B31" s="18">
        <v>201218.73</v>
      </c>
      <c r="C31" s="13" t="s">
        <v>19</v>
      </c>
      <c r="D31" s="14" t="s">
        <v>19</v>
      </c>
      <c r="E31" s="1">
        <f>B31/B18</f>
        <v>0.7689433653319532</v>
      </c>
    </row>
    <row r="32" spans="1:4" ht="15">
      <c r="A32" s="9" t="s">
        <v>77</v>
      </c>
      <c r="B32" s="18">
        <f>B20*E31</f>
        <v>45776.92866078317</v>
      </c>
      <c r="C32" s="13"/>
      <c r="D32" s="14"/>
    </row>
    <row r="33" spans="1:4" ht="15">
      <c r="A33" s="9" t="s">
        <v>28</v>
      </c>
      <c r="B33" s="18">
        <f>B22*E31</f>
        <v>0</v>
      </c>
      <c r="C33" s="18" t="s">
        <v>6</v>
      </c>
      <c r="D33" s="14" t="s">
        <v>19</v>
      </c>
    </row>
    <row r="34" spans="1:4" ht="15">
      <c r="A34" s="9" t="s">
        <v>29</v>
      </c>
      <c r="B34" s="18">
        <f>B36+B37+B38</f>
        <v>154949.06243071213</v>
      </c>
      <c r="C34" s="13" t="s">
        <v>19</v>
      </c>
      <c r="D34" s="14" t="s">
        <v>19</v>
      </c>
    </row>
    <row r="35" spans="1:4" ht="15">
      <c r="A35" s="9" t="s">
        <v>20</v>
      </c>
      <c r="B35" s="18"/>
      <c r="C35" s="13"/>
      <c r="D35" s="14"/>
    </row>
    <row r="36" spans="1:4" ht="15">
      <c r="A36" s="9" t="s">
        <v>31</v>
      </c>
      <c r="B36" s="18">
        <f>B27*E31</f>
        <v>26710.48579362358</v>
      </c>
      <c r="C36" s="13" t="s">
        <v>19</v>
      </c>
      <c r="D36" s="14"/>
    </row>
    <row r="37" spans="1:4" ht="15">
      <c r="A37" s="9" t="s">
        <v>33</v>
      </c>
      <c r="B37" s="18">
        <f>B28*E31</f>
        <v>30768.899670942745</v>
      </c>
      <c r="C37" s="13" t="s">
        <v>19</v>
      </c>
      <c r="D37" s="14"/>
    </row>
    <row r="38" spans="1:4" ht="15">
      <c r="A38" s="9" t="s">
        <v>34</v>
      </c>
      <c r="B38" s="18">
        <f>B29*E31</f>
        <v>97469.67696614581</v>
      </c>
      <c r="C38" s="13"/>
      <c r="D38" s="14"/>
    </row>
    <row r="39" spans="1:4" ht="15">
      <c r="A39" s="9" t="s">
        <v>35</v>
      </c>
      <c r="B39" s="18">
        <v>0</v>
      </c>
      <c r="C39" s="13"/>
      <c r="D39" s="14"/>
    </row>
    <row r="40" spans="1:4" ht="15">
      <c r="A40" s="9"/>
      <c r="B40" s="18"/>
      <c r="C40" s="13"/>
      <c r="D40" s="14"/>
    </row>
    <row r="41" spans="1:4" ht="38.25">
      <c r="A41" s="11" t="s">
        <v>40</v>
      </c>
      <c r="B41" s="18">
        <f>B43+B44+B45</f>
        <v>154949.06243071213</v>
      </c>
      <c r="C41" s="13" t="s">
        <v>19</v>
      </c>
      <c r="D41" s="14" t="s">
        <v>19</v>
      </c>
    </row>
    <row r="42" spans="1:4" ht="15">
      <c r="A42" s="9" t="s">
        <v>20</v>
      </c>
      <c r="B42" s="18"/>
      <c r="C42" s="13"/>
      <c r="D42" s="14"/>
    </row>
    <row r="43" spans="1:4" ht="15">
      <c r="A43" s="9" t="s">
        <v>31</v>
      </c>
      <c r="B43" s="18">
        <f>B36</f>
        <v>26710.48579362358</v>
      </c>
      <c r="C43" s="13" t="s">
        <v>19</v>
      </c>
      <c r="D43" s="14"/>
    </row>
    <row r="44" spans="1:4" ht="15">
      <c r="A44" s="9" t="s">
        <v>33</v>
      </c>
      <c r="B44" s="18">
        <f>B37</f>
        <v>30768.899670942745</v>
      </c>
      <c r="C44" s="13" t="s">
        <v>19</v>
      </c>
      <c r="D44" s="14"/>
    </row>
    <row r="45" spans="1:4" ht="15">
      <c r="A45" s="9" t="s">
        <v>34</v>
      </c>
      <c r="B45" s="18">
        <f>B38</f>
        <v>97469.67696614581</v>
      </c>
      <c r="C45" s="13"/>
      <c r="D45" s="14"/>
    </row>
    <row r="46" spans="1:4" ht="15">
      <c r="A46" s="9" t="s">
        <v>35</v>
      </c>
      <c r="B46" s="18">
        <v>0</v>
      </c>
      <c r="C46" s="13" t="s">
        <v>19</v>
      </c>
      <c r="D46" s="14"/>
    </row>
    <row r="47" ht="12.75">
      <c r="A47" s="4"/>
    </row>
    <row r="48" spans="1:10" ht="13.5" customHeight="1">
      <c r="A48" s="291" t="s">
        <v>41</v>
      </c>
      <c r="B48" s="291"/>
      <c r="C48" s="291"/>
      <c r="D48" s="291"/>
      <c r="I48" s="141"/>
      <c r="J48" s="141"/>
    </row>
    <row r="49" spans="1:4" ht="9" customHeight="1">
      <c r="A49" s="291"/>
      <c r="B49" s="291"/>
      <c r="C49" s="291"/>
      <c r="D49" s="291"/>
    </row>
    <row r="50" spans="1:3" ht="12.75">
      <c r="A50" s="4"/>
      <c r="C50" s="6" t="s">
        <v>10</v>
      </c>
    </row>
    <row r="51" spans="1:14" ht="66.75" customHeight="1">
      <c r="A51" s="8" t="s">
        <v>42</v>
      </c>
      <c r="B51" s="8" t="s">
        <v>43</v>
      </c>
      <c r="C51" s="8" t="s">
        <v>44</v>
      </c>
      <c r="D51" s="248" t="s">
        <v>715</v>
      </c>
      <c r="I51" s="142"/>
      <c r="J51" s="142"/>
      <c r="K51" s="3"/>
      <c r="L51" s="3"/>
      <c r="M51" s="3"/>
      <c r="N51" s="3"/>
    </row>
    <row r="52" spans="1:14" ht="15">
      <c r="A52" s="31" t="s">
        <v>112</v>
      </c>
      <c r="B52" s="32" t="s">
        <v>47</v>
      </c>
      <c r="C52" s="21" t="s">
        <v>48</v>
      </c>
      <c r="D52" s="33">
        <f>(0.14+0.15)*6*376.7</f>
        <v>655.4580000000001</v>
      </c>
      <c r="E52" s="34"/>
      <c r="F52" s="35"/>
      <c r="G52" s="36"/>
      <c r="I52" s="45"/>
      <c r="J52" s="45"/>
      <c r="K52" s="37"/>
      <c r="L52" s="37"/>
      <c r="M52" s="37"/>
      <c r="N52" s="37"/>
    </row>
    <row r="53" spans="1:14" ht="15">
      <c r="A53" s="31" t="s">
        <v>49</v>
      </c>
      <c r="B53" s="32" t="s">
        <v>50</v>
      </c>
      <c r="C53" s="156" t="s">
        <v>51</v>
      </c>
      <c r="D53" s="33">
        <f>(2.1+2.23)*6*376.7</f>
        <v>9786.666</v>
      </c>
      <c r="E53" s="34"/>
      <c r="F53" s="35"/>
      <c r="G53" s="36"/>
      <c r="I53" s="45"/>
      <c r="J53" s="45"/>
      <c r="K53" s="37"/>
      <c r="L53" s="37"/>
      <c r="M53" s="37"/>
      <c r="N53" s="37"/>
    </row>
    <row r="54" spans="1:14" ht="15">
      <c r="A54" s="31" t="s">
        <v>52</v>
      </c>
      <c r="B54" s="32" t="s">
        <v>50</v>
      </c>
      <c r="C54" s="156" t="s">
        <v>53</v>
      </c>
      <c r="D54" s="33">
        <f>(1.2+2)*6*376.7</f>
        <v>7232.640000000001</v>
      </c>
      <c r="E54" s="34"/>
      <c r="F54" s="35"/>
      <c r="G54" s="36"/>
      <c r="I54" s="45"/>
      <c r="J54" s="45"/>
      <c r="K54" s="37"/>
      <c r="L54" s="37"/>
      <c r="M54" s="37"/>
      <c r="N54" s="37"/>
    </row>
    <row r="55" spans="1:14" ht="15">
      <c r="A55" s="31" t="s">
        <v>54</v>
      </c>
      <c r="B55" s="32" t="s">
        <v>47</v>
      </c>
      <c r="C55" s="38" t="s">
        <v>55</v>
      </c>
      <c r="D55" s="33">
        <f>(0.2+0.21)*6*376.7</f>
        <v>926.6819999999999</v>
      </c>
      <c r="E55" s="34"/>
      <c r="F55" s="35"/>
      <c r="G55" s="36"/>
      <c r="I55" s="45"/>
      <c r="J55" s="45"/>
      <c r="K55" s="37"/>
      <c r="L55" s="37"/>
      <c r="M55" s="37"/>
      <c r="N55" s="37"/>
    </row>
    <row r="56" spans="1:14" ht="15">
      <c r="A56" s="31" t="s">
        <v>56</v>
      </c>
      <c r="B56" s="251" t="s">
        <v>47</v>
      </c>
      <c r="C56" s="44" t="s">
        <v>168</v>
      </c>
      <c r="D56" s="33">
        <f>(0.84+0.65)*6*376.7-519.84</f>
        <v>2847.8579999999997</v>
      </c>
      <c r="E56" s="34"/>
      <c r="F56" s="41"/>
      <c r="G56" s="42"/>
      <c r="H56" s="43"/>
      <c r="I56" s="45"/>
      <c r="J56" s="45"/>
      <c r="K56" s="37"/>
      <c r="L56" s="37"/>
      <c r="M56" s="37"/>
      <c r="N56" s="37"/>
    </row>
    <row r="57" spans="1:14" ht="15">
      <c r="A57" s="31" t="s">
        <v>115</v>
      </c>
      <c r="B57" s="39" t="s">
        <v>47</v>
      </c>
      <c r="C57" s="44" t="s">
        <v>60</v>
      </c>
      <c r="D57" s="33">
        <f>(0.69+0.73)*6*376.7</f>
        <v>3209.484</v>
      </c>
      <c r="E57" s="34"/>
      <c r="F57" s="41"/>
      <c r="G57" s="42"/>
      <c r="I57" s="45"/>
      <c r="J57" s="45"/>
      <c r="K57" s="37"/>
      <c r="L57" s="37"/>
      <c r="M57" s="37"/>
      <c r="N57" s="37"/>
    </row>
    <row r="58" spans="1:14" ht="15">
      <c r="A58" s="31" t="s">
        <v>63</v>
      </c>
      <c r="B58" s="39" t="s">
        <v>64</v>
      </c>
      <c r="C58" s="40" t="s">
        <v>65</v>
      </c>
      <c r="D58" s="33">
        <f>(1.14+1.21)*6*376.7</f>
        <v>5311.469999999999</v>
      </c>
      <c r="E58" s="34"/>
      <c r="F58" s="41"/>
      <c r="G58" s="42"/>
      <c r="I58" s="45"/>
      <c r="J58" s="45"/>
      <c r="K58" s="37"/>
      <c r="L58" s="37"/>
      <c r="M58" s="37"/>
      <c r="N58" s="37"/>
    </row>
    <row r="59" spans="1:14" ht="15">
      <c r="A59" s="31" t="s">
        <v>66</v>
      </c>
      <c r="B59" s="39" t="s">
        <v>67</v>
      </c>
      <c r="C59" s="40">
        <v>4.88</v>
      </c>
      <c r="D59" s="33">
        <f>4.88*12*376.7</f>
        <v>22059.552</v>
      </c>
      <c r="E59" s="34"/>
      <c r="F59" s="41"/>
      <c r="H59" s="45"/>
      <c r="I59" s="45"/>
      <c r="J59" s="45"/>
      <c r="K59" s="37"/>
      <c r="L59" s="37"/>
      <c r="M59" s="37"/>
      <c r="N59" s="37"/>
    </row>
    <row r="60" spans="1:14" ht="15">
      <c r="A60" s="31" t="s">
        <v>102</v>
      </c>
      <c r="B60" s="162"/>
      <c r="C60" s="40" t="s">
        <v>169</v>
      </c>
      <c r="D60" s="33">
        <f>(0.73+0.77)*6*376.7-71.68-0.03</f>
        <v>3318.5899999999997</v>
      </c>
      <c r="E60" s="34"/>
      <c r="F60" s="41"/>
      <c r="H60" s="45"/>
      <c r="I60" s="45"/>
      <c r="J60" s="45"/>
      <c r="K60" s="37"/>
      <c r="L60" s="37"/>
      <c r="M60" s="37"/>
      <c r="N60" s="37"/>
    </row>
    <row r="61" spans="1:14" ht="15">
      <c r="A61" s="46" t="s">
        <v>68</v>
      </c>
      <c r="B61" s="47"/>
      <c r="C61" s="48"/>
      <c r="D61" s="49">
        <f>SUM(D52:D60)</f>
        <v>55348.399999999994</v>
      </c>
      <c r="E61" s="34">
        <f>D61+B21</f>
        <v>60320.84</v>
      </c>
      <c r="F61" s="41"/>
      <c r="H61" s="50">
        <f>E61-B20</f>
        <v>788.5899999999965</v>
      </c>
      <c r="I61" s="45" t="s">
        <v>161</v>
      </c>
      <c r="J61" s="45"/>
      <c r="K61" s="37"/>
      <c r="L61" s="37"/>
      <c r="M61" s="37"/>
      <c r="N61" s="37"/>
    </row>
    <row r="62" spans="1:14" ht="15.75">
      <c r="A62" s="51" t="s">
        <v>69</v>
      </c>
      <c r="B62" s="52"/>
      <c r="C62" s="53"/>
      <c r="D62" s="122">
        <f>D63</f>
        <v>1026.94</v>
      </c>
      <c r="E62" s="34"/>
      <c r="F62" s="41"/>
      <c r="H62" s="50"/>
      <c r="I62" s="45"/>
      <c r="J62" s="45"/>
      <c r="K62" s="37"/>
      <c r="L62" s="37"/>
      <c r="M62" s="37"/>
      <c r="N62" s="37"/>
    </row>
    <row r="63" spans="1:14" ht="15.75">
      <c r="A63" s="51" t="s">
        <v>170</v>
      </c>
      <c r="B63" s="52"/>
      <c r="C63" s="53"/>
      <c r="D63" s="122">
        <v>1026.94</v>
      </c>
      <c r="E63" s="34"/>
      <c r="F63" s="41"/>
      <c r="H63" s="50"/>
      <c r="I63" s="45"/>
      <c r="J63" s="45"/>
      <c r="K63" s="37"/>
      <c r="L63" s="37"/>
      <c r="M63" s="37"/>
      <c r="N63" s="37"/>
    </row>
    <row r="64" spans="1:14" ht="15.75">
      <c r="A64" s="56" t="s">
        <v>71</v>
      </c>
      <c r="B64" s="57"/>
      <c r="C64" s="58"/>
      <c r="D64" s="122">
        <f>D61+D62</f>
        <v>56375.34</v>
      </c>
      <c r="E64" s="34"/>
      <c r="F64" s="45"/>
      <c r="H64" s="50"/>
      <c r="I64" s="45"/>
      <c r="J64" s="45"/>
      <c r="K64" s="37"/>
      <c r="L64" s="37"/>
      <c r="M64" s="37"/>
      <c r="N64" s="37"/>
    </row>
    <row r="65" spans="1:8" ht="13.5" customHeight="1">
      <c r="A65" s="302" t="s">
        <v>72</v>
      </c>
      <c r="B65" s="302"/>
      <c r="C65" s="302"/>
      <c r="D65" s="124">
        <f>D66</f>
        <v>0</v>
      </c>
      <c r="E65" s="61"/>
      <c r="H65" s="34"/>
    </row>
    <row r="66" spans="1:8" ht="13.5" customHeight="1">
      <c r="A66" s="145"/>
      <c r="B66" s="145"/>
      <c r="C66" s="146"/>
      <c r="D66" s="124">
        <v>0</v>
      </c>
      <c r="E66" s="61"/>
      <c r="H66" s="34"/>
    </row>
    <row r="67" spans="1:5" ht="25.5" customHeight="1">
      <c r="A67" s="293" t="s">
        <v>73</v>
      </c>
      <c r="B67" s="293"/>
      <c r="C67" s="293"/>
      <c r="D67" s="124">
        <f>D68+D69</f>
        <v>17918.440000000002</v>
      </c>
      <c r="E67" s="61"/>
    </row>
    <row r="68" spans="1:5" ht="15.75">
      <c r="A68" s="78" t="s">
        <v>74</v>
      </c>
      <c r="B68" s="114"/>
      <c r="C68" s="115"/>
      <c r="D68" s="124">
        <f>B16+B21-D62</f>
        <v>16402.120000000003</v>
      </c>
      <c r="E68" s="61"/>
    </row>
    <row r="69" spans="1:5" ht="15.75">
      <c r="A69" s="114" t="s">
        <v>75</v>
      </c>
      <c r="B69" s="114"/>
      <c r="C69" s="115"/>
      <c r="D69" s="124">
        <f>B17+B22-D65</f>
        <v>1516.32</v>
      </c>
      <c r="E69" s="61"/>
    </row>
    <row r="70" spans="1:5" ht="13.5" customHeight="1">
      <c r="A70" s="294" t="s">
        <v>76</v>
      </c>
      <c r="B70" s="294"/>
      <c r="C70" s="294"/>
      <c r="D70" s="125">
        <v>220205.91</v>
      </c>
      <c r="E70" s="61"/>
    </row>
    <row r="71" spans="1:4" ht="15" customHeight="1">
      <c r="A71" s="290" t="s">
        <v>20</v>
      </c>
      <c r="B71" s="290"/>
      <c r="C71" s="290"/>
      <c r="D71" s="117"/>
    </row>
    <row r="72" spans="1:4" ht="13.5" customHeight="1">
      <c r="A72" s="290" t="s">
        <v>77</v>
      </c>
      <c r="B72" s="290"/>
      <c r="C72" s="290"/>
      <c r="D72" s="117">
        <f>D70*B20/B18</f>
        <v>50096.480743879256</v>
      </c>
    </row>
    <row r="73" spans="1:4" ht="13.5" customHeight="1">
      <c r="A73" s="290" t="s">
        <v>28</v>
      </c>
      <c r="B73" s="290"/>
      <c r="C73" s="290"/>
      <c r="D73" s="117">
        <f>D70*B22/B18</f>
        <v>0</v>
      </c>
    </row>
    <row r="74" spans="1:4" ht="13.5" customHeight="1">
      <c r="A74" s="290" t="s">
        <v>29</v>
      </c>
      <c r="B74" s="290"/>
      <c r="C74" s="290"/>
      <c r="D74" s="117">
        <f>SUM(D76:D78)</f>
        <v>169570.1950618701</v>
      </c>
    </row>
    <row r="75" spans="1:4" ht="15">
      <c r="A75" s="290" t="s">
        <v>20</v>
      </c>
      <c r="B75" s="290"/>
      <c r="C75" s="290"/>
      <c r="D75" s="117"/>
    </row>
    <row r="76" spans="1:4" ht="13.5" customHeight="1">
      <c r="A76" s="290" t="s">
        <v>31</v>
      </c>
      <c r="B76" s="290"/>
      <c r="C76" s="290"/>
      <c r="D76" s="117">
        <f>D70*B27/B18</f>
        <v>29230.911211530616</v>
      </c>
    </row>
    <row r="77" spans="1:4" ht="15">
      <c r="A77" s="290" t="s">
        <v>33</v>
      </c>
      <c r="B77" s="290"/>
      <c r="C77" s="290"/>
      <c r="D77" s="117">
        <f>D70*B28/B18</f>
        <v>33672.28066561522</v>
      </c>
    </row>
    <row r="78" spans="1:4" ht="15" customHeight="1">
      <c r="A78" s="290" t="s">
        <v>34</v>
      </c>
      <c r="B78" s="290"/>
      <c r="C78" s="290"/>
      <c r="D78" s="117">
        <f>D70*B29/B18</f>
        <v>106667.00318472428</v>
      </c>
    </row>
    <row r="79" spans="1:4" ht="15">
      <c r="A79" s="290" t="s">
        <v>78</v>
      </c>
      <c r="B79" s="290"/>
      <c r="C79" s="290"/>
      <c r="D79" s="117"/>
    </row>
    <row r="80" spans="1:4" ht="15" customHeight="1">
      <c r="A80" s="290" t="s">
        <v>35</v>
      </c>
      <c r="B80" s="290"/>
      <c r="C80" s="290"/>
      <c r="D80" s="117">
        <f>D70*E30</f>
        <v>0</v>
      </c>
    </row>
    <row r="81" spans="1:4" ht="25.5" customHeight="1">
      <c r="A81" s="295" t="s">
        <v>79</v>
      </c>
      <c r="B81" s="295"/>
      <c r="C81" s="295"/>
      <c r="D81" s="295"/>
    </row>
    <row r="82" spans="1:4" ht="38.25">
      <c r="A82" s="67" t="s">
        <v>80</v>
      </c>
      <c r="B82" s="68" t="s">
        <v>81</v>
      </c>
      <c r="C82" s="68" t="s">
        <v>82</v>
      </c>
      <c r="D82" s="67" t="s">
        <v>83</v>
      </c>
    </row>
    <row r="83" spans="1:4" ht="42.75" customHeight="1">
      <c r="A83" s="72" t="s">
        <v>77</v>
      </c>
      <c r="B83" s="69" t="s">
        <v>84</v>
      </c>
      <c r="C83" s="163" t="s">
        <v>165</v>
      </c>
      <c r="D83" s="67" t="s">
        <v>85</v>
      </c>
    </row>
    <row r="84" spans="1:4" ht="19.5" customHeight="1">
      <c r="A84" s="31" t="s">
        <v>31</v>
      </c>
      <c r="B84" s="297" t="s">
        <v>86</v>
      </c>
      <c r="C84" s="70" t="s">
        <v>87</v>
      </c>
      <c r="D84" s="249" t="s">
        <v>716</v>
      </c>
    </row>
    <row r="85" spans="1:4" ht="21" customHeight="1">
      <c r="A85" s="31" t="s">
        <v>33</v>
      </c>
      <c r="B85" s="297"/>
      <c r="C85" s="70" t="s">
        <v>89</v>
      </c>
      <c r="D85" s="249" t="s">
        <v>718</v>
      </c>
    </row>
    <row r="86" spans="1:4" ht="39.75" customHeight="1">
      <c r="A86" s="72" t="s">
        <v>34</v>
      </c>
      <c r="B86" s="73" t="s">
        <v>90</v>
      </c>
      <c r="C86" s="147" t="s">
        <v>91</v>
      </c>
      <c r="D86" s="71" t="s">
        <v>92</v>
      </c>
    </row>
    <row r="88" ht="12.75">
      <c r="A88" t="s">
        <v>93</v>
      </c>
    </row>
    <row r="90" ht="12.75">
      <c r="A90" t="s">
        <v>95</v>
      </c>
    </row>
  </sheetData>
  <sheetProtection selectLockedCells="1" selectUnlockedCells="1"/>
  <mergeCells count="22">
    <mergeCell ref="A79:C79"/>
    <mergeCell ref="A80:C80"/>
    <mergeCell ref="A81:D81"/>
    <mergeCell ref="B84:B85"/>
    <mergeCell ref="A73:C73"/>
    <mergeCell ref="A74:C74"/>
    <mergeCell ref="A75:C75"/>
    <mergeCell ref="A76:C76"/>
    <mergeCell ref="A77:C77"/>
    <mergeCell ref="A78:C78"/>
    <mergeCell ref="A48:D49"/>
    <mergeCell ref="A65:C65"/>
    <mergeCell ref="A67:C67"/>
    <mergeCell ref="A70:C70"/>
    <mergeCell ref="A71:C71"/>
    <mergeCell ref="A72:C72"/>
    <mergeCell ref="A1:D1"/>
    <mergeCell ref="A2:D2"/>
    <mergeCell ref="A3:D3"/>
    <mergeCell ref="A4:D4"/>
    <mergeCell ref="A5:D5"/>
    <mergeCell ref="A7:D7"/>
  </mergeCells>
  <printOptions/>
  <pageMargins left="0.3625" right="0.27569444444444446" top="0.34097222222222223" bottom="0.7875" header="0.5118055555555555" footer="0.5118055555555555"/>
  <pageSetup fitToHeight="2" fitToWidth="2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Сметчик</cp:lastModifiedBy>
  <cp:lastPrinted>2014-03-04T06:21:53Z</cp:lastPrinted>
  <dcterms:modified xsi:type="dcterms:W3CDTF">2014-03-04T06:22:23Z</dcterms:modified>
  <cp:category/>
  <cp:version/>
  <cp:contentType/>
  <cp:contentStatus/>
</cp:coreProperties>
</file>