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firstSheet="1" activeTab="9"/>
  </bookViews>
  <sheets>
    <sheet name="Рожд 1" sheetId="1" r:id="rId1"/>
    <sheet name="Рожд 2" sheetId="2" r:id="rId2"/>
    <sheet name="Рожд 3" sheetId="3" r:id="rId3"/>
    <sheet name="Рожд 4" sheetId="4" r:id="rId4"/>
    <sheet name="Рожд 5" sheetId="5" r:id="rId5"/>
    <sheet name="Рожд 6" sheetId="6" r:id="rId6"/>
    <sheet name="Рожд 7" sheetId="7" r:id="rId7"/>
    <sheet name="Рожд 8" sheetId="8" r:id="rId8"/>
    <sheet name="Рожд 10" sheetId="9" r:id="rId9"/>
    <sheet name="Весенняя,1" sheetId="10" r:id="rId10"/>
    <sheet name="Весенняя,2" sheetId="11" r:id="rId11"/>
    <sheet name="Весенняя,3" sheetId="12" r:id="rId12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<sst xmlns="http://schemas.openxmlformats.org/spreadsheetml/2006/main" count="2219" uniqueCount="408">
  <si>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</si>
  <si>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</si>
  <si>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</si>
  <si>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Рождественская д.1</t>
  </si>
  <si>
    <t>ЗА 2013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</si>
  <si>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2301,2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1022,60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</si>
  <si>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</si>
  <si>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</si>
  <si>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до июля / с июля</t>
  </si>
  <si>
    <t xml:space="preserve">Вид показателя         </t>
  </si>
  <si>
    <t>Сумма в   год     (тыс.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</si>
  <si>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</si>
  <si>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</si>
  <si>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1.'ОСТАТОК ДЕНЕЖНЫХ СРЕДСТВ НА НАЧАЛО ГОДА ПО ТЕКУЩЕМУ КАПИТАЛЬНОМУ РЕМОНТУ в том числе</t>
  </si>
  <si>
    <t>по текущему ремонту</t>
  </si>
  <si>
    <t>по капитальному ремонту</t>
  </si>
  <si>
    <t xml:space="preserve">2. Начисленные платежи населения за жилищные  и коммунальные услуги - всего  </t>
  </si>
  <si>
    <t xml:space="preserve">x       </t>
  </si>
  <si>
    <t xml:space="preserve">в том числе:                   </t>
  </si>
  <si>
    <t>Антенна</t>
  </si>
  <si>
    <t>Найм</t>
  </si>
  <si>
    <t>0,14 / 0,15</t>
  </si>
  <si>
    <t xml:space="preserve">содержание и ремонт жилья      </t>
  </si>
  <si>
    <t>в т.ч текущий ремонт</t>
  </si>
  <si>
    <t>1,79 / 4,13</t>
  </si>
  <si>
    <t xml:space="preserve"> по содержанию  (1,2 этаж)</t>
  </si>
  <si>
    <t>21,38 / 24,14</t>
  </si>
  <si>
    <t xml:space="preserve"> по содержанию (с 3 этажа)</t>
  </si>
  <si>
    <t xml:space="preserve">24,34 / 28,45 </t>
  </si>
  <si>
    <t xml:space="preserve">капитальный ремонт          </t>
  </si>
  <si>
    <t xml:space="preserve">коммунальные услуги - всего    </t>
  </si>
  <si>
    <t>х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</si>
  <si>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</si>
  <si>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</si>
  <si>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</si>
  <si>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горячее водоснабжение          </t>
  </si>
  <si>
    <t xml:space="preserve">электроснабжение               </t>
  </si>
  <si>
    <t xml:space="preserve"> </t>
  </si>
  <si>
    <t xml:space="preserve">3.Фактические платежи населения за жилищные и коммунальные услуги - всего  </t>
  </si>
  <si>
    <t xml:space="preserve">доходы     от     собственников помещений                      </t>
  </si>
  <si>
    <t xml:space="preserve">содержание и ремонт жилья    </t>
  </si>
  <si>
    <t xml:space="preserve">капитальный ремонт             </t>
  </si>
  <si>
    <t>4.Фактические платежи управляющей компании за коммунальные услуги ресурсоснабжающим организациям</t>
  </si>
  <si>
    <t>5.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</si>
  <si>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</si>
  <si>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</si>
  <si>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</si>
  <si>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</si>
  <si>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</si>
  <si>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</si>
  <si>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0,23 / 0,35</t>
  </si>
  <si>
    <t>Содержание придомовой территории</t>
  </si>
  <si>
    <t>250 раз в год</t>
  </si>
  <si>
    <t>2,10 / 2,23</t>
  </si>
  <si>
    <t>Вывоз и утилизация ТБО</t>
  </si>
  <si>
    <t>1,20 / 2,27</t>
  </si>
  <si>
    <t>Проверка дымоходов и вентканалов</t>
  </si>
  <si>
    <t>0,11 / 0,12</t>
  </si>
  <si>
    <t>Обслуживание по эл/снабжению</t>
  </si>
  <si>
    <t>2,07 / 1,80</t>
  </si>
  <si>
    <t xml:space="preserve">Обслуживание внутридомовых систем  </t>
  </si>
  <si>
    <t>0,89 / 0,94</t>
  </si>
  <si>
    <t xml:space="preserve">Аварийное обслуживание  </t>
  </si>
  <si>
    <t>По мере поступления заявки</t>
  </si>
  <si>
    <t>1,14 / 1,21</t>
  </si>
  <si>
    <t>Управление многоквартирным домом</t>
  </si>
  <si>
    <t>ежедневно</t>
  </si>
  <si>
    <t>Уборка лестничных клеток</t>
  </si>
  <si>
    <t>3,08 / 3,26</t>
  </si>
  <si>
    <t>Обслуживание лифтов (1,2 этаж)</t>
  </si>
  <si>
    <t>1,89 / 0,83</t>
  </si>
  <si>
    <t>Обслуживание лифтов (с 3-го этажа)</t>
  </si>
  <si>
    <t>4,85 / 5,14</t>
  </si>
  <si>
    <t>Обслуживание мусоропроводов</t>
  </si>
  <si>
    <t>2,00 / 2,12</t>
  </si>
  <si>
    <t>ИТОГО по содержанию жилья (без текущего ремонта)</t>
  </si>
  <si>
    <t>ТЕКУЩИЙ РЕМОНТ итого</t>
  </si>
  <si>
    <t>Ремонт остекления МОП</t>
  </si>
  <si>
    <t>Ремонт уч-ка канализации в кв.512</t>
  </si>
  <si>
    <t>Смена гибких подводок в кв.22, смесителей в кв.521</t>
  </si>
  <si>
    <t xml:space="preserve">Смена нагрев. Элементов э/плиты </t>
  </si>
  <si>
    <t>Смена уч-в стояков ГВС,ХВС,отопления в кв.№ 615,715,13,8,20</t>
  </si>
  <si>
    <t>Смена кранов на сбросниках в подвале</t>
  </si>
  <si>
    <t>Ремонт электрики: смена трансформаторов;,см.выключат. в кв.722,пакетн. выключат. в кв. 32,см. автомата в кв №825</t>
  </si>
  <si>
    <t>Смена смесителей в кв. 12; уч-канализации в кв. 726,уч-ка ГВС в кв. 325</t>
  </si>
  <si>
    <t>Смена уч-в канализации,стояков ГВС,ХВС в кв.12,16</t>
  </si>
  <si>
    <t>Монтаж системы видеонаблюдения</t>
  </si>
  <si>
    <t xml:space="preserve">Ремонт кровли </t>
  </si>
  <si>
    <t>Смена  уч-в стояков отопления и ХВС в подвале</t>
  </si>
  <si>
    <t>Ремонт лифта</t>
  </si>
  <si>
    <t>Расходы по содержанию и ремонту всего по дому (включая текущий ремонт)</t>
  </si>
  <si>
    <t>Капитальный ремонт</t>
  </si>
  <si>
    <t xml:space="preserve">СПРАВОЧНО: Субсидии, полученные от Администрации г. Заволжья </t>
  </si>
  <si>
    <t>Доходы от размещения средств связи</t>
  </si>
  <si>
    <t>Доходы от размещения рекламы</t>
  </si>
  <si>
    <t>6.ОСТАТОК ДЕНЕЖНЫХ СРЕДСТВ НА КОНЕЦ ОТЧЕТНОГО ПЕРИОДА ПО ТЕКУЩЕМУ И КАПИТАЛЬНОМУ РЕМОНТУ</t>
  </si>
  <si>
    <t xml:space="preserve">в том числе:     по текущему ремонту             </t>
  </si>
  <si>
    <t>7.СПРАВОЧНО: ЗАДОЛЖЕННОСТЬ ЖИТЕЛЕЙ ЗА ЖИЛИЩНЫЕ И КОМУНАЛЬНЫЕ УСЛУГИ-ВСЕГО</t>
  </si>
  <si>
    <t>8.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</si>
  <si>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</si>
  <si>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</si>
  <si>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r>
      <t xml:space="preserve">Размер платы                            </t>
    </r>
    <r>
      <rPr>
        <sz val="10"/>
        <color indexed="60"/>
        <rFont val="Arial"/>
        <family val="2"/>
      </rPr>
      <t xml:space="preserve"> до июля / с июля   </t>
    </r>
    <r>
      <rPr>
        <sz val="10"/>
        <color indexed="12"/>
        <rFont val="Arial"/>
        <family val="2"/>
      </rPr>
      <t xml:space="preserve">               </t>
    </r>
  </si>
  <si>
    <t>Единица измерения</t>
  </si>
  <si>
    <t xml:space="preserve">содержание и ремонт жилья 1-2 этажи                                                                                  с 3-го этажа     </t>
  </si>
  <si>
    <t>Решение думы города Заволжье № 200 от 30.11.2010г.                         №22 от 16.05.2013</t>
  </si>
  <si>
    <t>руб/кв .м в месяц</t>
  </si>
  <si>
    <t xml:space="preserve">содержание и ремонт жилья с 3-го этажа                                                                               с 3-го этажа     </t>
  </si>
  <si>
    <t>Решение РСТ Нижегородской области №57/117 от 30.11.2011 №67/11 от 27.11.2012</t>
  </si>
  <si>
    <t>26,64 / 28,45</t>
  </si>
  <si>
    <t>руб/куб.м в месяц</t>
  </si>
  <si>
    <t>30,69 / 32,77</t>
  </si>
  <si>
    <t>Решение РСТ Нижегородской области №57/127 от 30.11.2011 №67/9 от27.11.2012</t>
  </si>
  <si>
    <t>1370,11 / 1507,12</t>
  </si>
  <si>
    <t>руб/Гкал</t>
  </si>
  <si>
    <t>Решение РСТ Нижегородской области №57/128 от 30.11.2011 №67/10 от 27.11.2012</t>
  </si>
  <si>
    <t xml:space="preserve">96,24 / 105,01 </t>
  </si>
  <si>
    <t>Руководитель управляющей организации /____________________________________/_____________________________________________</t>
  </si>
  <si>
    <t>М.П.</t>
  </si>
  <si>
    <t>ПО АДРЕСУ г. Заволжье, ул. Рождественская д.2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</si>
  <si>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6083,7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827,59</t>
    </r>
    <r>
      <rPr>
        <sz val="10"/>
        <rFont val="Arial"/>
        <family val="2"/>
      </rPr>
      <t xml:space="preserve"> кв. м</t>
    </r>
  </si>
  <si>
    <t>полугодие</t>
  </si>
  <si>
    <t>1-е полугодие</t>
  </si>
  <si>
    <t>в т.ч.текущий ремонт</t>
  </si>
  <si>
    <t>1,81 / 3,06</t>
  </si>
  <si>
    <t>18,74 / 21,13</t>
  </si>
  <si>
    <t>23,47 / 26,14</t>
  </si>
  <si>
    <t>0,13 / 0,14</t>
  </si>
  <si>
    <t xml:space="preserve">капитальный ремонт            </t>
  </si>
  <si>
    <t>0,19 / 0,27</t>
  </si>
  <si>
    <t>0,20 / 0,21</t>
  </si>
  <si>
    <t>1,07 / 0,50</t>
  </si>
  <si>
    <t>0,89 / 1,27</t>
  </si>
  <si>
    <t xml:space="preserve"> 1,14 / 1,21</t>
  </si>
  <si>
    <t>2,15 / 2,28</t>
  </si>
  <si>
    <t>0,78 / 0,83</t>
  </si>
  <si>
    <t>5,51 / 5,84</t>
  </si>
  <si>
    <t>Ремонт двери выхода на крышу</t>
  </si>
  <si>
    <t>Демонтаж детской площадки</t>
  </si>
  <si>
    <t>смена кранов на стояках отопления в подвале 1-го пд-да</t>
  </si>
  <si>
    <t>Ремонт стояка ГВС в кв.60, уч-ка ХВС в кв.42,52</t>
  </si>
  <si>
    <t>установка светильников в 1,2,3 п-х 4 в кв. №22,кв.29,Смена выключателя в тамбуре2-го под-да</t>
  </si>
  <si>
    <t>Ремонт конвектора отопления в кв.1</t>
  </si>
  <si>
    <t>Смена кранов ХВС,ГВС в кв.62, Смена задвижек на вводе</t>
  </si>
  <si>
    <t>Бетонирование у порогов дверей в под-ды</t>
  </si>
  <si>
    <t>Смена крана на отоплении в подвале 1-го под-да; смена радиатора в кв.№34</t>
  </si>
  <si>
    <t>Смена участка ХВСв кв.№37 ,смена участка канализации в подвале</t>
  </si>
  <si>
    <t>Ремонт лифтов в1,2,3 под-х</t>
  </si>
  <si>
    <t>КАПИТАЛЬНЫЙ РЕМОНТ итого</t>
  </si>
  <si>
    <t>кап.ремонт кровли лоджий кв. №34,67,68,69,7</t>
  </si>
  <si>
    <t xml:space="preserve">кап.ремонт кровли </t>
  </si>
  <si>
    <r>
      <t xml:space="preserve">Размер платы                   </t>
    </r>
    <r>
      <rPr>
        <sz val="10"/>
        <color indexed="60"/>
        <rFont val="Arial"/>
        <family val="2"/>
      </rPr>
      <t>до июля / с июля</t>
    </r>
  </si>
  <si>
    <t>ПО АДРЕСУ г. Заволжье, ул. Рождественская д.3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</si>
  <si>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6132,2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1159,10</t>
    </r>
    <r>
      <rPr>
        <sz val="10"/>
        <rFont val="Arial"/>
        <family val="2"/>
      </rPr>
      <t>кв. м</t>
    </r>
  </si>
  <si>
    <t>в т.ч. текущий ремонт</t>
  </si>
  <si>
    <t>2,23 / 3,32</t>
  </si>
  <si>
    <t xml:space="preserve">  по содержанию  (1,2 этаж)</t>
  </si>
  <si>
    <t>18,77 / 21,17</t>
  </si>
  <si>
    <t xml:space="preserve">  по содержанию (с 3 этажа)</t>
  </si>
  <si>
    <t>23,49 / 26,17</t>
  </si>
  <si>
    <t xml:space="preserve">капитальный ремонт           </t>
  </si>
  <si>
    <t>0,13 / 14</t>
  </si>
  <si>
    <t>0,91 / 0,50</t>
  </si>
  <si>
    <t>0,89 / 1,05</t>
  </si>
  <si>
    <t>5,50 / 5,83</t>
  </si>
  <si>
    <t>Убыток засор ливневки</t>
  </si>
  <si>
    <t>Смена шаровых кранов в кв.5,25,6,10,81,78,62,95,49,66,103,71,44,85,2,86 в подвале 1-го под-да</t>
  </si>
  <si>
    <t>Ремонт участка канализации в кв.54</t>
  </si>
  <si>
    <t>Ремонт участков  системы отопления в кв. №44, в подвале 2,3 под-в</t>
  </si>
  <si>
    <t>Смена свет-в тамбуре у кв.16,см пакетного выключателя (кв.38,66), смена выключателя в 3 п-де 1-го этажа</t>
  </si>
  <si>
    <t>Смена уч-ка ХВС на техэтаже 3-го подъезда</t>
  </si>
  <si>
    <t xml:space="preserve">Смена уч отопления и ГВС(обратка) в подвале 3го под-да </t>
  </si>
  <si>
    <t>Бетонирование у порогов дверей</t>
  </si>
  <si>
    <t>Смена уч-в ГВС в подвале 1,2 под-в</t>
  </si>
  <si>
    <t>КАПИТАЛЬНЫЙ РЕМОНТ, итого</t>
  </si>
  <si>
    <t>Утепление фасада по кв.№72</t>
  </si>
  <si>
    <t>Ремонт кровли лоджий в кв. №34,35,70</t>
  </si>
  <si>
    <t>Ремонт кровли</t>
  </si>
  <si>
    <t>Ремонт общей антенны</t>
  </si>
  <si>
    <r>
      <t xml:space="preserve">Размер платы                        </t>
    </r>
    <r>
      <rPr>
        <sz val="10"/>
        <color indexed="60"/>
        <rFont val="Arial"/>
        <family val="2"/>
      </rPr>
      <t>до июля / с июля</t>
    </r>
  </si>
  <si>
    <t>ПО АДРЕСУ г. Заволжье, ул. Рождественская д.4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</si>
  <si>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4109,6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558,5</t>
    </r>
    <r>
      <rPr>
        <sz val="10"/>
        <rFont val="Arial"/>
        <family val="2"/>
      </rPr>
      <t xml:space="preserve"> кв. м</t>
    </r>
  </si>
  <si>
    <t xml:space="preserve">в т.ч. текущий ремонт </t>
  </si>
  <si>
    <t xml:space="preserve"> 1,83 / 3,45</t>
  </si>
  <si>
    <t>18,79 / 21,19</t>
  </si>
  <si>
    <t>23,40 / 26,07</t>
  </si>
  <si>
    <t xml:space="preserve">капитальный ремонт        </t>
  </si>
  <si>
    <t>1,43 / 0,50</t>
  </si>
  <si>
    <t>5,39 / 5,71</t>
  </si>
  <si>
    <t>Убыток кв69 4500р+кв31 6942р протекание</t>
  </si>
  <si>
    <t>смена шаровых кранов в подвале в кв.№28,67,59,2</t>
  </si>
  <si>
    <t>Смена уч-ка ХВС в кв. 36</t>
  </si>
  <si>
    <t>Смена уч-ка ГВС в кв, №44</t>
  </si>
  <si>
    <t>Смена уч-в стояков ГВС,ХВС в кв.№4</t>
  </si>
  <si>
    <t>смена уч-ка отопления в кв№2,37,9 , в подвале, техэтаже 1 под-да</t>
  </si>
  <si>
    <t>Ремонт швов по кв. №66,41,25,26,9,3</t>
  </si>
  <si>
    <t>Ремонт кровли тамбура 1го подъезда</t>
  </si>
  <si>
    <t>ПО АДРЕСУ г. Заволжье, ул. Рождественская д.5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</si>
  <si>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4933,7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168,0</t>
    </r>
    <r>
      <rPr>
        <sz val="10"/>
        <rFont val="Arial"/>
        <family val="2"/>
      </rPr>
      <t>кв. м</t>
    </r>
  </si>
  <si>
    <t>13,08 / 14,80</t>
  </si>
  <si>
    <t>В том числе текущий ремонт</t>
  </si>
  <si>
    <t xml:space="preserve"> 1,73 / 2,33</t>
  </si>
  <si>
    <t xml:space="preserve">капитальный ремонт      </t>
  </si>
  <si>
    <t>0,22 / 0,32</t>
  </si>
  <si>
    <t>0,81 / 0,50</t>
  </si>
  <si>
    <t>Смена шаровых кранов в кв №28,36 в подвале 3-го под-да</t>
  </si>
  <si>
    <t>Смена участка стояка ГВС в кв.№41,45</t>
  </si>
  <si>
    <t>Смена пакетных выключат. В кв.№20,32</t>
  </si>
  <si>
    <t>Смена участ-в стояков ГВС,ХВС в кв. №41</t>
  </si>
  <si>
    <t>Смена светильника 1пд-д,1этаж</t>
  </si>
  <si>
    <t>Смена п/сушит. По кв. №63-67-71</t>
  </si>
  <si>
    <t>Бетонирование у входных дверей</t>
  </si>
  <si>
    <t>Смена уч-ка ГВС в кв.№20,кранов ГВС,ХВС в 4 под-де</t>
  </si>
  <si>
    <t>Установка поручней в 1м под-де</t>
  </si>
  <si>
    <r>
      <t xml:space="preserve">Размер платы                             </t>
    </r>
    <r>
      <rPr>
        <sz val="10"/>
        <color indexed="60"/>
        <rFont val="Arial"/>
        <family val="2"/>
      </rPr>
      <t>до июля / с июля</t>
    </r>
  </si>
  <si>
    <t xml:space="preserve">содержание и ремонт жилья   </t>
  </si>
  <si>
    <t>ПО АДРЕСУ г. Заволжье, ул. Рождественская д.6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</si>
  <si>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5842,9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743,8</t>
    </r>
    <r>
      <rPr>
        <sz val="10"/>
        <rFont val="Arial"/>
        <family val="2"/>
      </rPr>
      <t>кв. м</t>
    </r>
  </si>
  <si>
    <t>июль</t>
  </si>
  <si>
    <t>август</t>
  </si>
  <si>
    <t>сентябрь</t>
  </si>
  <si>
    <t>октябрь</t>
  </si>
  <si>
    <t>ноябрь</t>
  </si>
  <si>
    <t>декабрь</t>
  </si>
  <si>
    <t>13,37 / 15,12</t>
  </si>
  <si>
    <t>1,92 / 2,51</t>
  </si>
  <si>
    <t>43652руб прорвало трубу, затопление суд ущерб.</t>
  </si>
  <si>
    <t xml:space="preserve">капитальный ремонт   </t>
  </si>
  <si>
    <t>0,24 / 0,37</t>
  </si>
  <si>
    <t>0,72 / 0,50</t>
  </si>
  <si>
    <t>1,06 / 1,03</t>
  </si>
  <si>
    <t>прорвало трубу ущерб 43652 руб.</t>
  </si>
  <si>
    <t>Убыток протопление сорвало кран</t>
  </si>
  <si>
    <t>Смена шаровых кранов ГВС,ХВС в кв № 38,72,71</t>
  </si>
  <si>
    <t>остекление створок,установка мусорных урн (6шт)</t>
  </si>
  <si>
    <t>Смена пакетных выключат. В кв.№,32</t>
  </si>
  <si>
    <t>Смена задвижки на отопл. В 4м под-де; смена кранов ХВС,ГВС в кв.69,подвале</t>
  </si>
  <si>
    <t>смена участка стояков ГВС кв.47,61</t>
  </si>
  <si>
    <t>Смена выключателя в 1под-де на 3эт.</t>
  </si>
  <si>
    <t>смена задвижки на ГВС в 4м под-де,смена кранов ХВС,ГВС в кв.51,66 подвале,смена уч-в стояка по кв .26</t>
  </si>
  <si>
    <t>Смена участка отопления в подвале 4-го под-да, см. кранов в кв.88</t>
  </si>
  <si>
    <t>Ремонт кровли над 1м подъездом</t>
  </si>
  <si>
    <t>Смена кранов в кв.20,78,75,98 в подвале 1,7 под-в,смена участка отопления в подвале 5 под-да</t>
  </si>
  <si>
    <t>Смена кранов ХВС,ГВС в кв.28,84,89,98,94,90 смена участка ГВС в подвале 7го под-да</t>
  </si>
  <si>
    <t>Корректировка объемов по акту 31 от 27.11.09</t>
  </si>
  <si>
    <t>Утепление фасада кв.85</t>
  </si>
  <si>
    <t>Ремонт швов кв.№15,28,26,6,55,13,35,7,92,12</t>
  </si>
  <si>
    <t>ремонт покрытия лоджии кв.26,28</t>
  </si>
  <si>
    <t>ПО АДРЕСУ г. Заволжье, ул. Рождественская д.7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</si>
  <si>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2169,8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372</t>
    </r>
    <r>
      <rPr>
        <sz val="10"/>
        <rFont val="Arial"/>
        <family val="2"/>
      </rPr>
      <t>кв. м</t>
    </r>
  </si>
  <si>
    <t>13,54 / 15,31</t>
  </si>
  <si>
    <t xml:space="preserve">В том числе текущий ремонт </t>
  </si>
  <si>
    <t xml:space="preserve"> 1,20 / 2,73</t>
  </si>
  <si>
    <t xml:space="preserve">капитальный ремонт    </t>
  </si>
  <si>
    <t>0,23 / 0,34</t>
  </si>
  <si>
    <t>1,70 / 0,50</t>
  </si>
  <si>
    <t>Смена шаровых кранов в кв №5,37,20; в подвале 1го подъезда</t>
  </si>
  <si>
    <t>отделочные работы в 1под-де</t>
  </si>
  <si>
    <t>ремонт электрики МОП</t>
  </si>
  <si>
    <t>смена участка канализации в подвале 1под-да</t>
  </si>
  <si>
    <t>Установка входной двери</t>
  </si>
  <si>
    <t>ПО АДРЕСУ г. Заволжье, ул. Рождественская д.8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</si>
  <si>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4260,1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986,1</t>
    </r>
    <r>
      <rPr>
        <sz val="10"/>
        <rFont val="Arial"/>
        <family val="2"/>
      </rPr>
      <t xml:space="preserve"> кв. м</t>
    </r>
  </si>
  <si>
    <t xml:space="preserve">  до июля / с июля</t>
  </si>
  <si>
    <t xml:space="preserve"> 1,58 / 3,07</t>
  </si>
  <si>
    <t>18,42 / 20,78</t>
  </si>
  <si>
    <t>23,01 / 25,64</t>
  </si>
  <si>
    <t xml:space="preserve">капитальный ремонт       </t>
  </si>
  <si>
    <t xml:space="preserve"> ежемесячно снято/дон</t>
  </si>
  <si>
    <t>0,18 / 0,23</t>
  </si>
  <si>
    <t>1,32 / 0,50</t>
  </si>
  <si>
    <t xml:space="preserve">0,78 / 0,83 </t>
  </si>
  <si>
    <t>5,37 / 5,69</t>
  </si>
  <si>
    <t xml:space="preserve"> 2,00 / 2,12</t>
  </si>
  <si>
    <t>Убыток 81780руб. кв. 76 58320р кв. 29 23460р промерзание стен</t>
  </si>
  <si>
    <t>смена шаровых кранов в подвале в кв.№ 65,18,68,40,30,8,9,28, в подвале1,2 под-в</t>
  </si>
  <si>
    <t>Смена уч-в стояков ГВСв подвале 2го под-да</t>
  </si>
  <si>
    <t>Смена участка ГВС в подвале 1го под-да</t>
  </si>
  <si>
    <t xml:space="preserve">Ремонт крышки мусоропровола 1под-да </t>
  </si>
  <si>
    <t>смена сбросников в подвале 2го под-да</t>
  </si>
  <si>
    <t>Ремонт лифта во 2-м под-де</t>
  </si>
  <si>
    <r>
      <t xml:space="preserve">Размер платы                             </t>
    </r>
    <r>
      <rPr>
        <sz val="10"/>
        <color indexed="60"/>
        <rFont val="Arial"/>
        <family val="2"/>
      </rPr>
      <t xml:space="preserve">  до июля / с июля</t>
    </r>
  </si>
  <si>
    <t>ПО АДРЕСУ г. Заволжье, ул. Рождественская д.10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</si>
  <si>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 xml:space="preserve">4188,2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1070,4</t>
    </r>
    <r>
      <rPr>
        <sz val="10"/>
        <rFont val="Arial"/>
        <family val="2"/>
      </rPr>
      <t>кв. м</t>
    </r>
  </si>
  <si>
    <t>1-еполугодие</t>
  </si>
  <si>
    <t>13,75 / 15,55</t>
  </si>
  <si>
    <t xml:space="preserve"> В т.ч текущий ремонт</t>
  </si>
  <si>
    <t>2,43 / 2,80</t>
  </si>
  <si>
    <t>0,68 / 0,50</t>
  </si>
  <si>
    <t>0,89 / 1,10</t>
  </si>
  <si>
    <t>Убытки 8000 т.р. Протопление: май кв.79 4000 т.р., июль кв.60 4000 т.р. Протопление кровли.</t>
  </si>
  <si>
    <t>Смена шаровых кранов в кв №1,16</t>
  </si>
  <si>
    <t>Установка оптоакустических светильников</t>
  </si>
  <si>
    <t>смена участка ГВС в кв.№ 13,27</t>
  </si>
  <si>
    <t>Переподключения питания мест общего пользования</t>
  </si>
  <si>
    <t>Установка общедомового узла учета</t>
  </si>
  <si>
    <t>Наладка общедомового узла учета</t>
  </si>
  <si>
    <t>Смена сбросников в подвале 2-го под-да</t>
  </si>
  <si>
    <t>смена сбросников в подвале на стояках отопл. По кв.28 . Смена радиатора отопления в кв.28</t>
  </si>
  <si>
    <t>ПО АДРЕСУ г. Заволжье, ул. Весенняя,1</t>
  </si>
  <si>
    <t>1,85 / 3,31</t>
  </si>
  <si>
    <t>Итого расходы по содержанию  (1,2 этаж)</t>
  </si>
  <si>
    <t>18,65 / 21,03</t>
  </si>
  <si>
    <t>год</t>
  </si>
  <si>
    <t>Итого расходы по содержанию (с 3 этажа)</t>
  </si>
  <si>
    <t>23,37 / 26,03</t>
  </si>
  <si>
    <t>Итого расходы по содержанию  (1,2 этаж) 3-й подъезд с ноября</t>
  </si>
  <si>
    <t>Итого расходы по содержанию (с 3 этажа) 3-й подъезд с ноября</t>
  </si>
  <si>
    <t>найм</t>
  </si>
  <si>
    <t>0,13 / 1,14</t>
  </si>
  <si>
    <t>антенна</t>
  </si>
  <si>
    <t xml:space="preserve">капитальный ремонт     </t>
  </si>
  <si>
    <t>0,19 / 0,25</t>
  </si>
  <si>
    <t>1,27 / 0,50</t>
  </si>
  <si>
    <t xml:space="preserve"> 2,15 / 2,28</t>
  </si>
  <si>
    <t>Обслуживание мусоропроводов (кроме 3-го подъезда)</t>
  </si>
  <si>
    <t>Обслуживание мусоропроводов (3-й подъезд: 6м-цев до июля)</t>
  </si>
  <si>
    <t>2,00 /</t>
  </si>
  <si>
    <t>Обслуживание мусоропроводов (3-й подъезд: 4м-ца до ноября)</t>
  </si>
  <si>
    <t xml:space="preserve"> / 2,12</t>
  </si>
  <si>
    <t xml:space="preserve">Убытки протекание крыши </t>
  </si>
  <si>
    <t>Отвод воды в ливневку на техэтаже 2-го под-да</t>
  </si>
  <si>
    <t>Ремонт кровли над 4м под-м</t>
  </si>
  <si>
    <t>Смена участка ХВС в кв. №124</t>
  </si>
  <si>
    <t>Смена крана ГВС,уч-ка трубы в подвале 4 под-да</t>
  </si>
  <si>
    <t>Ремонт системы отопления в 4м подъезде</t>
  </si>
  <si>
    <t>Освещение фойе во 2м подъезде</t>
  </si>
  <si>
    <t>Смена уч-ка канализации на техэтаже ,смена участка ГВС по 140кв.</t>
  </si>
  <si>
    <t>Смена кранов ГВС на обратке в подвале ,на техэтаже 1,2,4 под-в</t>
  </si>
  <si>
    <t>Ремонт остекления в 3 под-де, бетониров. У входных дверей,ремонт ступени 3го под-да</t>
  </si>
  <si>
    <t>Ремонт системы отопления в1,2 подъездах ,установка радиатора в кв. №54</t>
  </si>
  <si>
    <t>Смена шар. кранов в кв.№ 44,участка ХВС в кв.51,уч-в ГВС в подвале 1,2,4 под-в, на техэтаже 2 под-да</t>
  </si>
  <si>
    <t>Приваривание петель на дверь на крышу</t>
  </si>
  <si>
    <t>Ремонт кровли над кв.34</t>
  </si>
  <si>
    <t>Монтаж парапетных сливов на кровле</t>
  </si>
  <si>
    <t>Ремонт межпанельных швов по кв. 33,34,5,6,21,22,104,108,97,61,103,69</t>
  </si>
  <si>
    <t>ПО АДРЕСУ г. Заволжье, ул. Весенняя,2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</si>
  <si>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4849,5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869,6</t>
    </r>
    <r>
      <rPr>
        <sz val="10"/>
        <rFont val="Arial"/>
        <family val="2"/>
      </rPr>
      <t xml:space="preserve"> кв. м</t>
    </r>
  </si>
  <si>
    <t>1,48 / 3,31</t>
  </si>
  <si>
    <t>23,23 / 25,88</t>
  </si>
  <si>
    <t>1,64 / 0,50</t>
  </si>
  <si>
    <t>5,36 / 5,68</t>
  </si>
  <si>
    <t>Ремонт лифта в 1,2м подъездах</t>
  </si>
  <si>
    <t>смена уч-в ГВС в кв.2,27</t>
  </si>
  <si>
    <t>Смена кранов в кв.8 ; смена уч-ка ГВС(обратка) во 2м подъезде</t>
  </si>
  <si>
    <t>Ремонт электрики во 2под-де</t>
  </si>
  <si>
    <t>Смена уч-ка труб и кранов ХВС,ГВС . Вывод из подвала в подъезд</t>
  </si>
  <si>
    <t>Ремонт швов в кв.64</t>
  </si>
  <si>
    <t>смена радиаторов и стояков отопления в кв.64</t>
  </si>
  <si>
    <t>Смена участка отопления в подвале 2-го подъезда</t>
  </si>
  <si>
    <t>Ремонт межпанельных швов по кв.75,27,90,35,40</t>
  </si>
  <si>
    <t>Утепление фасада по кв.30,38,29,89</t>
  </si>
  <si>
    <t>ПО АДРЕСУ г. Заволжье, ул. Весенняя,3</t>
  </si>
  <si>
    <r>
      <t xml:space="preserve">Общая площадь помещений в многоквартирном доме </t>
    </r>
    <r>
      <rPr>
        <b/>
        <sz val="14"/>
        <color indexed="60"/>
        <rFont val="Arial"/>
        <family val="2"/>
      </rPr>
      <t>7517,9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149,2</t>
    </r>
    <r>
      <rPr>
        <sz val="10"/>
        <rFont val="Arial"/>
        <family val="2"/>
      </rPr>
      <t xml:space="preserve"> кв. м</t>
    </r>
  </si>
  <si>
    <t>0,12 / 0,26</t>
  </si>
  <si>
    <t>подъезды №1 и №2</t>
  </si>
  <si>
    <t>12,54 / 14,05</t>
  </si>
  <si>
    <t>17,01 / 18,49</t>
  </si>
  <si>
    <t>подъезд  №3</t>
  </si>
  <si>
    <t xml:space="preserve">12,79 / 14,32 </t>
  </si>
  <si>
    <t>16,23 / 18,49</t>
  </si>
  <si>
    <t>подъезд  №4</t>
  </si>
  <si>
    <t>15,09 / 14,80</t>
  </si>
  <si>
    <t>18,51 / 19,24</t>
  </si>
  <si>
    <t>0,19 / 0,28</t>
  </si>
  <si>
    <t>Обслуживание по эл/снабжению Под.1,2,3   Эт 1,2</t>
  </si>
  <si>
    <t>Обслуживание по эл/снабжению Под.1,2    Эт с 3-го</t>
  </si>
  <si>
    <t>1,17 / 0,94</t>
  </si>
  <si>
    <t>Обслуживание по эл/снабжению Под.3       Эт с 3-го</t>
  </si>
  <si>
    <t>0,39 / 0,94</t>
  </si>
  <si>
    <t>Обслуживание по эл/снабжению Под.4       Эт 1,2</t>
  </si>
  <si>
    <t>2,73 / 0,94</t>
  </si>
  <si>
    <t>Обслуживание по эл/снабжению Под.4       Эт с 3-го</t>
  </si>
  <si>
    <t>1,96 / 0,94</t>
  </si>
  <si>
    <t>4,97 / 5,27</t>
  </si>
  <si>
    <t xml:space="preserve">убыток протопление  сорвало кран
</t>
  </si>
  <si>
    <t>смена шарового крана в кв.64</t>
  </si>
  <si>
    <t>Ремонт остекления подвала,заваривание мусоропровода ,установка мусорной урны</t>
  </si>
  <si>
    <t>Смена сгона в подвале на п/п отопление</t>
  </si>
  <si>
    <t>проверка по перерасчету</t>
  </si>
  <si>
    <t>Ремонт кровли над 4 подъездом</t>
  </si>
  <si>
    <t>Смена кранов в подвале 2,4го под-в; Смена учасика канализации в подвале2го под-да; участка отопления в кв.№ 96</t>
  </si>
  <si>
    <t>Смена вводного автомата в э/щите на лестн. Клетке</t>
  </si>
  <si>
    <t xml:space="preserve">содержание и ремонт жилья подъезд 1,2  1-2 этажи                                                                                    с 3-го этажа     </t>
  </si>
  <si>
    <t xml:space="preserve">содержание и ремонт жилья подъезд 1,2  с 3-го этажа                                                                                  с 3-го этажа     </t>
  </si>
  <si>
    <t xml:space="preserve">содержание и ремонт жилья подъезд 3  1-2 этажи                                                                                    с 3-го этажа     </t>
  </si>
  <si>
    <t xml:space="preserve">содержание и ремонт жилья подъезд 3  с 3-го этажа                                                                                  с 3-го этажа     </t>
  </si>
  <si>
    <t xml:space="preserve">содержание и ремонт жилья подъезд 4  1-2 этажи                                                                                    с 3-го этажа     </t>
  </si>
  <si>
    <t xml:space="preserve">содержание и ремонт жилья подъезд 4  с 3-го этажа                                                                                  с 3-го этажа     </t>
  </si>
  <si>
    <t>Сумма в   год     ( руб.)</t>
  </si>
  <si>
    <t xml:space="preserve">Расходы по содержанию жилья за год </t>
  </si>
  <si>
    <t>Решение думы города Заволжье № 200 от 30.11.2010г.  (до 01,07,13)                       №22 от 16.05.2013(опо01.07.13)</t>
  </si>
  <si>
    <t>руб/куб.м</t>
  </si>
  <si>
    <t xml:space="preserve">руб/куб.м </t>
  </si>
  <si>
    <t>Расходы по содержанию жилья за год (руб)</t>
  </si>
  <si>
    <t>Смена запорной арм. В 2,3 под-х. Смена радиаторов отопления в кв.105,106</t>
  </si>
  <si>
    <t>Смена сбросников на ГВС в подвале 1го под-да</t>
  </si>
  <si>
    <t>Смена выключ. В 2 -м под-де, смена патронов в 1м под-де</t>
  </si>
  <si>
    <t>Смена уч-ка канализации на кухне в кв. №68 , смена задвижек отопления в подвале</t>
  </si>
  <si>
    <t>Смена учас-ка стояка ГВС в кв.№26,смена крана в кв.№60,смена задвижек  отопл.(2шт) в 3м под-де</t>
  </si>
  <si>
    <t>по содержанию (с 3 этажа)</t>
  </si>
  <si>
    <t>по содержанию  (1,2 этаж) 3-й подъезд с ноября</t>
  </si>
  <si>
    <t>по содержанию (с 3 этажа) 3-й подъезд с ноября</t>
  </si>
  <si>
    <t>смена шаровых кранов в подвале;  в кв.№54,73,133,4,5,62,116 ;в 1, 2,4-й под-дах, на техэтаже</t>
  </si>
  <si>
    <t>Установка почтового ящика,пружин на дверь ,демонтаж короба мусоропровода во 2м под-де</t>
  </si>
  <si>
    <t>Смена стояка ХВС с выводом в подвал по кв.118,110,114</t>
  </si>
  <si>
    <t>Ремонт кровли на лоджии кв. №69</t>
  </si>
  <si>
    <t>смена шаровых кранов в подвале ,в кв.№ 12,75,78,41 , смена задвижки в подвале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</si>
  <si>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8163,2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 xml:space="preserve">1643,49 </t>
    </r>
    <r>
      <rPr>
        <sz val="10"/>
        <rFont val="Arial"/>
        <family val="2"/>
      </rPr>
      <t>кв. м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</si>
</sst>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#,##0.00_ ;\-#,##0.00\ "/>
    <numFmt numFmtId="166" formatCode="#,###.00"/>
  </numFmts>
  <fonts count="64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3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4" fontId="9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1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6" xfId="0" applyFont="1" applyFill="1" applyBorder="1" applyAlignment="1">
      <alignment/>
    </xf>
    <xf numFmtId="164" fontId="10" fillId="33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164" fontId="7" fillId="33" borderId="16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2" fontId="4" fillId="33" borderId="16" xfId="0" applyNumberFormat="1" applyFont="1" applyFill="1" applyBorder="1" applyAlignment="1">
      <alignment/>
    </xf>
    <xf numFmtId="164" fontId="12" fillId="33" borderId="15" xfId="0" applyNumberFormat="1" applyFont="1" applyFill="1" applyBorder="1" applyAlignment="1">
      <alignment horizontal="left"/>
    </xf>
    <xf numFmtId="164" fontId="13" fillId="33" borderId="11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166" fontId="3" fillId="33" borderId="11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166" fontId="6" fillId="33" borderId="11" xfId="0" applyNumberFormat="1" applyFont="1" applyFill="1" applyBorder="1" applyAlignment="1">
      <alignment horizontal="right"/>
    </xf>
    <xf numFmtId="16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166" fontId="6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166" fontId="6" fillId="33" borderId="14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wrapText="1"/>
    </xf>
    <xf numFmtId="166" fontId="16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166" fontId="16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164" fontId="10" fillId="33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166" fontId="3" fillId="0" borderId="11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164" fontId="7" fillId="33" borderId="11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19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2" fontId="20" fillId="33" borderId="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0" fillId="33" borderId="21" xfId="0" applyFont="1" applyFill="1" applyBorder="1" applyAlignment="1">
      <alignment/>
    </xf>
    <xf numFmtId="166" fontId="5" fillId="33" borderId="2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0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2" fontId="1" fillId="33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20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2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166" fontId="3" fillId="33" borderId="13" xfId="0" applyNumberFormat="1" applyFont="1" applyFill="1" applyBorder="1" applyAlignment="1">
      <alignment/>
    </xf>
    <xf numFmtId="166" fontId="3" fillId="0" borderId="14" xfId="0" applyNumberFormat="1" applyFont="1" applyBorder="1" applyAlignment="1">
      <alignment/>
    </xf>
    <xf numFmtId="166" fontId="5" fillId="33" borderId="11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2" fontId="10" fillId="33" borderId="11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166" fontId="15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2" fontId="28" fillId="33" borderId="0" xfId="0" applyNumberFormat="1" applyFont="1" applyFill="1" applyBorder="1" applyAlignment="1">
      <alignment horizontal="center"/>
    </xf>
    <xf numFmtId="164" fontId="13" fillId="33" borderId="21" xfId="0" applyNumberFormat="1" applyFont="1" applyFill="1" applyBorder="1" applyAlignment="1">
      <alignment horizontal="right"/>
    </xf>
    <xf numFmtId="166" fontId="3" fillId="33" borderId="15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29" fillId="0" borderId="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33" borderId="11" xfId="0" applyFont="1" applyFill="1" applyBorder="1" applyAlignment="1" quotePrefix="1">
      <alignment horizontal="center"/>
    </xf>
    <xf numFmtId="0" fontId="0" fillId="33" borderId="21" xfId="0" applyFont="1" applyFill="1" applyBorder="1" applyAlignment="1" quotePrefix="1">
      <alignment horizontal="center"/>
    </xf>
    <xf numFmtId="0" fontId="0" fillId="33" borderId="16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16" fillId="33" borderId="13" xfId="0" applyFont="1" applyFill="1" applyBorder="1" applyAlignment="1" quotePrefix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zoomScale="80" zoomScaleNormal="80" zoomScalePageLayoutView="0" workbookViewId="0" topLeftCell="A1">
      <selection activeCell="A28" sqref="A28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3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5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v>-119093.91</v>
      </c>
      <c r="C14" s="11"/>
      <c r="D14" s="12"/>
    </row>
    <row r="15" spans="1:4" ht="15.75">
      <c r="A15" s="13" t="s">
        <v>14</v>
      </c>
      <c r="B15" s="10">
        <v>-63778.94</v>
      </c>
      <c r="C15" s="11"/>
      <c r="D15" s="12"/>
    </row>
    <row r="16" spans="1:4" ht="15.75">
      <c r="A16" s="14" t="s">
        <v>15</v>
      </c>
      <c r="B16" s="10">
        <v>-55314.97</v>
      </c>
      <c r="C16" s="11"/>
      <c r="D16" s="12"/>
    </row>
    <row r="17" spans="1:8" ht="31.5">
      <c r="A17" s="15" t="s">
        <v>16</v>
      </c>
      <c r="B17" s="16">
        <v>2823481.46</v>
      </c>
      <c r="C17" s="11" t="s">
        <v>17</v>
      </c>
      <c r="D17" s="12" t="s">
        <v>17</v>
      </c>
      <c r="E17" s="17">
        <f>B21+B25+B26+B20+B19</f>
        <v>2823481.46</v>
      </c>
      <c r="H17" s="17">
        <f>B17-E17</f>
        <v>0</v>
      </c>
    </row>
    <row r="18" spans="1:4" ht="15">
      <c r="A18" s="7" t="s">
        <v>18</v>
      </c>
      <c r="B18" s="16"/>
      <c r="C18" s="11"/>
      <c r="D18" s="12"/>
    </row>
    <row r="19" spans="1:4" ht="15">
      <c r="A19" s="7" t="s">
        <v>19</v>
      </c>
      <c r="B19" s="16">
        <v>5767.2</v>
      </c>
      <c r="C19" s="11"/>
      <c r="D19" s="12"/>
    </row>
    <row r="20" spans="1:5" ht="15">
      <c r="A20" s="7" t="s">
        <v>20</v>
      </c>
      <c r="B20" s="16">
        <v>1623.95</v>
      </c>
      <c r="C20" s="18" t="s">
        <v>21</v>
      </c>
      <c r="D20" s="19"/>
      <c r="E20" s="1">
        <f>B20/12/1022.6</f>
        <v>0.13233832062064022</v>
      </c>
    </row>
    <row r="21" spans="1:5" ht="15">
      <c r="A21" s="7" t="s">
        <v>22</v>
      </c>
      <c r="B21" s="20">
        <v>711821.82</v>
      </c>
      <c r="C21" s="21"/>
      <c r="D21" s="19"/>
      <c r="E21" s="22">
        <f>B21/B17*1</f>
        <v>0.25210784277648485</v>
      </c>
    </row>
    <row r="22" spans="1:5" ht="15">
      <c r="A22" s="7" t="s">
        <v>23</v>
      </c>
      <c r="B22" s="20">
        <v>81738.62</v>
      </c>
      <c r="C22" s="18" t="s">
        <v>24</v>
      </c>
      <c r="D22" s="19"/>
      <c r="E22" s="22">
        <f>(1.79+4.13)*6*2301.2</f>
        <v>81738.62399999998</v>
      </c>
    </row>
    <row r="23" spans="1:5" ht="15">
      <c r="A23" s="7" t="s">
        <v>25</v>
      </c>
      <c r="B23" s="16"/>
      <c r="C23" s="18" t="s">
        <v>26</v>
      </c>
      <c r="D23" s="19"/>
      <c r="E23" s="22"/>
    </row>
    <row r="24" spans="1:4" ht="15">
      <c r="A24" s="7" t="s">
        <v>27</v>
      </c>
      <c r="B24" s="16"/>
      <c r="C24" s="18" t="s">
        <v>28</v>
      </c>
      <c r="D24" s="19"/>
    </row>
    <row r="25" spans="1:5" ht="15.75">
      <c r="A25" s="7" t="s">
        <v>29</v>
      </c>
      <c r="B25" s="23">
        <v>44250.84</v>
      </c>
      <c r="C25" s="18">
        <v>2.7</v>
      </c>
      <c r="D25" s="19"/>
      <c r="E25" s="22">
        <f>B25/B17*1</f>
        <v>0.015672438663719788</v>
      </c>
    </row>
    <row r="26" spans="1:5" ht="15">
      <c r="A26" s="7" t="s">
        <v>30</v>
      </c>
      <c r="B26" s="16">
        <f>SUM(B28:B32)</f>
        <v>2060017.65</v>
      </c>
      <c r="C26" s="24" t="s">
        <v>31</v>
      </c>
      <c r="D26" s="19" t="s">
        <v>31</v>
      </c>
      <c r="E26" s="17">
        <f>B28+B29+B30+B31+B32</f>
        <v>2060017.65</v>
      </c>
    </row>
    <row r="27" spans="1:4" ht="15">
      <c r="A27" s="7" t="s">
        <v>18</v>
      </c>
      <c r="B27" s="16"/>
      <c r="C27" s="24"/>
      <c r="D27" s="19"/>
    </row>
    <row r="28" spans="1:5" ht="15">
      <c r="A28" s="7" t="s">
        <v>32</v>
      </c>
      <c r="B28" s="16">
        <v>156023.72</v>
      </c>
      <c r="C28" s="25"/>
      <c r="D28" s="26">
        <v>65.21</v>
      </c>
      <c r="E28" s="22">
        <f>B28/B17*1</f>
        <v>0.05525933929808769</v>
      </c>
    </row>
    <row r="29" spans="1:5" ht="15">
      <c r="A29" s="7" t="s">
        <v>33</v>
      </c>
      <c r="B29" s="16">
        <v>286745.8</v>
      </c>
      <c r="C29" s="25"/>
      <c r="D29" s="26">
        <v>119.63</v>
      </c>
      <c r="E29" s="22">
        <f>B29/B17*1</f>
        <v>0.101557528909717</v>
      </c>
    </row>
    <row r="30" spans="1:5" ht="15">
      <c r="A30" s="7" t="s">
        <v>34</v>
      </c>
      <c r="B30" s="16">
        <v>794530.32</v>
      </c>
      <c r="C30" s="25"/>
      <c r="D30" s="26"/>
      <c r="E30" s="22">
        <f>B30/B17*1</f>
        <v>0.28140093400861216</v>
      </c>
    </row>
    <row r="31" spans="1:5" ht="15">
      <c r="A31" s="7" t="s">
        <v>35</v>
      </c>
      <c r="B31" s="16">
        <v>339340.37</v>
      </c>
      <c r="C31" s="25"/>
      <c r="D31" s="26">
        <v>139.18</v>
      </c>
      <c r="E31" s="22">
        <f>B31/B17*1</f>
        <v>0.12018508880168102</v>
      </c>
    </row>
    <row r="32" spans="1:5" ht="15">
      <c r="A32" s="7" t="s">
        <v>36</v>
      </c>
      <c r="B32" s="16">
        <v>483377.44</v>
      </c>
      <c r="C32" s="25"/>
      <c r="D32" s="19" t="s">
        <v>37</v>
      </c>
      <c r="E32" s="22">
        <f>B32/B17*1</f>
        <v>0.1711990841264458</v>
      </c>
    </row>
    <row r="33" spans="1:5" ht="31.5">
      <c r="A33" s="27" t="s">
        <v>38</v>
      </c>
      <c r="B33" s="28">
        <v>2673321.16</v>
      </c>
      <c r="C33" s="29" t="s">
        <v>17</v>
      </c>
      <c r="D33" s="12" t="s">
        <v>17</v>
      </c>
      <c r="E33" s="1">
        <f>B33/B17</f>
        <v>0.9468173238863768</v>
      </c>
    </row>
    <row r="34" spans="1:4" ht="15">
      <c r="A34" s="30" t="s">
        <v>18</v>
      </c>
      <c r="B34" s="28"/>
      <c r="C34" s="29"/>
      <c r="D34" s="12"/>
    </row>
    <row r="35" spans="1:4" ht="15">
      <c r="A35" s="30" t="s">
        <v>39</v>
      </c>
      <c r="B35" s="28">
        <f>B37+B38+B39+B40+B41</f>
        <v>2673321.16</v>
      </c>
      <c r="C35" s="29" t="s">
        <v>17</v>
      </c>
      <c r="D35" s="12" t="s">
        <v>17</v>
      </c>
    </row>
    <row r="36" spans="1:4" ht="15">
      <c r="A36" s="30" t="s">
        <v>18</v>
      </c>
      <c r="B36" s="28"/>
      <c r="C36" s="29"/>
      <c r="D36" s="12"/>
    </row>
    <row r="37" spans="1:4" ht="15">
      <c r="A37" s="30" t="s">
        <v>19</v>
      </c>
      <c r="B37" s="28">
        <f>B19*E33</f>
        <v>5460.484870317512</v>
      </c>
      <c r="C37" s="29"/>
      <c r="D37" s="12"/>
    </row>
    <row r="38" spans="1:4" ht="15">
      <c r="A38" s="30" t="s">
        <v>20</v>
      </c>
      <c r="B38" s="28">
        <f>B20*E33</f>
        <v>1537.5839931252817</v>
      </c>
      <c r="C38" s="29"/>
      <c r="D38" s="12" t="s">
        <v>17</v>
      </c>
    </row>
    <row r="39" spans="1:4" ht="15">
      <c r="A39" s="30" t="s">
        <v>40</v>
      </c>
      <c r="B39" s="28">
        <f>B21*E33</f>
        <v>673965.2306963302</v>
      </c>
      <c r="C39" s="29"/>
      <c r="D39" s="12"/>
    </row>
    <row r="40" spans="1:4" ht="15">
      <c r="A40" s="30" t="s">
        <v>41</v>
      </c>
      <c r="B40" s="28">
        <f>B25*E33</f>
        <v>41897.46190852424</v>
      </c>
      <c r="C40" s="28" t="s">
        <v>37</v>
      </c>
      <c r="D40" s="12" t="s">
        <v>17</v>
      </c>
    </row>
    <row r="41" spans="1:4" ht="15">
      <c r="A41" s="30" t="s">
        <v>30</v>
      </c>
      <c r="B41" s="28">
        <f>B26*E33</f>
        <v>1950460.3985317028</v>
      </c>
      <c r="C41" s="29" t="s">
        <v>17</v>
      </c>
      <c r="D41" s="12" t="s">
        <v>17</v>
      </c>
    </row>
    <row r="42" spans="1:4" ht="15">
      <c r="A42" s="30" t="s">
        <v>18</v>
      </c>
      <c r="B42" s="28"/>
      <c r="C42" s="29"/>
      <c r="D42" s="12"/>
    </row>
    <row r="43" spans="1:4" ht="15">
      <c r="A43" s="30" t="s">
        <v>32</v>
      </c>
      <c r="B43" s="28">
        <f>B28*E33</f>
        <v>147725.96103319738</v>
      </c>
      <c r="C43" s="29" t="s">
        <v>17</v>
      </c>
      <c r="D43" s="12"/>
    </row>
    <row r="44" spans="1:4" ht="15">
      <c r="A44" s="30" t="s">
        <v>33</v>
      </c>
      <c r="B44" s="28">
        <f>B29*E33</f>
        <v>271495.8909916582</v>
      </c>
      <c r="C44" s="29" t="s">
        <v>17</v>
      </c>
      <c r="D44" s="12"/>
    </row>
    <row r="45" spans="1:4" ht="15">
      <c r="A45" s="30" t="s">
        <v>34</v>
      </c>
      <c r="B45" s="28">
        <f>B30*E33</f>
        <v>752275.0713289866</v>
      </c>
      <c r="C45" s="29"/>
      <c r="D45" s="12"/>
    </row>
    <row r="46" spans="1:4" ht="15">
      <c r="A46" s="30" t="s">
        <v>35</v>
      </c>
      <c r="B46" s="28">
        <f>B31*E33</f>
        <v>321293.34101001295</v>
      </c>
      <c r="C46" s="29" t="s">
        <v>17</v>
      </c>
      <c r="D46" s="12"/>
    </row>
    <row r="47" spans="1:4" ht="15">
      <c r="A47" s="30" t="s">
        <v>36</v>
      </c>
      <c r="B47" s="28">
        <f>B32*E33</f>
        <v>457670.1341678477</v>
      </c>
      <c r="C47" s="29" t="s">
        <v>17</v>
      </c>
      <c r="D47" s="12"/>
    </row>
    <row r="48" spans="1:4" ht="47.25">
      <c r="A48" s="31" t="s">
        <v>42</v>
      </c>
      <c r="B48" s="28">
        <f>B50+B51+B52+B53+B54</f>
        <v>1950460.3985317026</v>
      </c>
      <c r="C48" s="29" t="s">
        <v>17</v>
      </c>
      <c r="D48" s="12" t="s">
        <v>17</v>
      </c>
    </row>
    <row r="49" spans="1:4" ht="15">
      <c r="A49" s="30" t="s">
        <v>18</v>
      </c>
      <c r="B49" s="28"/>
      <c r="C49" s="29"/>
      <c r="D49" s="12"/>
    </row>
    <row r="50" spans="1:4" ht="15">
      <c r="A50" s="30" t="s">
        <v>32</v>
      </c>
      <c r="B50" s="28">
        <f>B43</f>
        <v>147725.96103319738</v>
      </c>
      <c r="C50" s="29" t="s">
        <v>17</v>
      </c>
      <c r="D50" s="12"/>
    </row>
    <row r="51" spans="1:4" ht="15">
      <c r="A51" s="30" t="s">
        <v>33</v>
      </c>
      <c r="B51" s="28">
        <f>B44</f>
        <v>271495.8909916582</v>
      </c>
      <c r="C51" s="29" t="s">
        <v>17</v>
      </c>
      <c r="D51" s="12"/>
    </row>
    <row r="52" spans="1:4" ht="15">
      <c r="A52" s="30" t="s">
        <v>34</v>
      </c>
      <c r="B52" s="28">
        <f>B45</f>
        <v>752275.0713289866</v>
      </c>
      <c r="C52" s="29"/>
      <c r="D52" s="12"/>
    </row>
    <row r="53" spans="1:8" ht="15">
      <c r="A53" s="30" t="s">
        <v>35</v>
      </c>
      <c r="B53" s="28">
        <f>B46</f>
        <v>321293.34101001295</v>
      </c>
      <c r="C53" s="29" t="s">
        <v>17</v>
      </c>
      <c r="D53" s="12"/>
      <c r="H53" s="32"/>
    </row>
    <row r="54" spans="1:4" ht="15">
      <c r="A54" s="33" t="s">
        <v>36</v>
      </c>
      <c r="B54" s="34">
        <f>B47</f>
        <v>457670.1341678477</v>
      </c>
      <c r="C54" s="35" t="s">
        <v>17</v>
      </c>
      <c r="D54" s="36"/>
    </row>
    <row r="55" spans="1:10" ht="31.5" customHeight="1">
      <c r="A55" s="37" t="s">
        <v>43</v>
      </c>
      <c r="B55" s="37"/>
      <c r="C55" s="38" t="s">
        <v>8</v>
      </c>
      <c r="D55" s="37"/>
      <c r="I55" s="32"/>
      <c r="J55" s="32"/>
    </row>
    <row r="56" spans="1:14" ht="63.75">
      <c r="A56" s="39" t="s">
        <v>44</v>
      </c>
      <c r="B56" s="39" t="s">
        <v>45</v>
      </c>
      <c r="C56" s="39" t="s">
        <v>46</v>
      </c>
      <c r="D56" s="191" t="s">
        <v>389</v>
      </c>
      <c r="H56" s="1" t="s">
        <v>37</v>
      </c>
      <c r="I56" s="40"/>
      <c r="J56" s="40"/>
      <c r="K56" s="41"/>
      <c r="L56" s="41"/>
      <c r="M56" s="41"/>
      <c r="N56" s="41"/>
    </row>
    <row r="57" spans="1:14" ht="15">
      <c r="A57" s="42" t="s">
        <v>48</v>
      </c>
      <c r="B57" s="43" t="s">
        <v>49</v>
      </c>
      <c r="C57" s="44" t="s">
        <v>50</v>
      </c>
      <c r="D57" s="45">
        <f>(0.23+0.35)*6*2301.2</f>
        <v>8008.175999999999</v>
      </c>
      <c r="E57" s="46"/>
      <c r="F57" s="47"/>
      <c r="G57" s="48"/>
      <c r="I57" s="49"/>
      <c r="J57" s="49"/>
      <c r="K57" s="50"/>
      <c r="L57" s="50"/>
      <c r="M57" s="50"/>
      <c r="N57" s="50"/>
    </row>
    <row r="58" spans="1:14" ht="15">
      <c r="A58" s="42" t="s">
        <v>51</v>
      </c>
      <c r="B58" s="43" t="s">
        <v>52</v>
      </c>
      <c r="C58" s="44" t="s">
        <v>53</v>
      </c>
      <c r="D58" s="45">
        <f>(2.1+2.23)*6*2301.2</f>
        <v>59785.176</v>
      </c>
      <c r="E58" s="46"/>
      <c r="F58" s="47"/>
      <c r="G58" s="48"/>
      <c r="I58" s="49"/>
      <c r="J58" s="49"/>
      <c r="K58" s="50"/>
      <c r="L58" s="50"/>
      <c r="M58" s="50"/>
      <c r="N58" s="50"/>
    </row>
    <row r="59" spans="1:14" ht="15">
      <c r="A59" s="42" t="s">
        <v>54</v>
      </c>
      <c r="B59" s="43" t="s">
        <v>52</v>
      </c>
      <c r="C59" s="44" t="s">
        <v>55</v>
      </c>
      <c r="D59" s="45">
        <f>(1.2+2.27)*6*2301.2</f>
        <v>47910.984</v>
      </c>
      <c r="E59" s="46"/>
      <c r="F59" s="47"/>
      <c r="G59" s="48"/>
      <c r="I59" s="49"/>
      <c r="J59" s="49"/>
      <c r="K59" s="50"/>
      <c r="L59" s="50"/>
      <c r="M59" s="50"/>
      <c r="N59" s="50"/>
    </row>
    <row r="60" spans="1:14" ht="15">
      <c r="A60" s="42" t="s">
        <v>56</v>
      </c>
      <c r="B60" s="43" t="s">
        <v>49</v>
      </c>
      <c r="C60" s="44" t="s">
        <v>57</v>
      </c>
      <c r="D60" s="45">
        <f>(0.11+0.12)*6*2301.2</f>
        <v>3175.6559999999995</v>
      </c>
      <c r="E60" s="46"/>
      <c r="F60" s="47"/>
      <c r="G60" s="48"/>
      <c r="I60" s="49"/>
      <c r="J60" s="49"/>
      <c r="K60" s="50"/>
      <c r="L60" s="50"/>
      <c r="M60" s="50"/>
      <c r="N60" s="50"/>
    </row>
    <row r="61" spans="1:14" ht="15">
      <c r="A61" s="42" t="s">
        <v>58</v>
      </c>
      <c r="B61" s="194" t="s">
        <v>49</v>
      </c>
      <c r="C61" s="52" t="s">
        <v>59</v>
      </c>
      <c r="D61" s="45">
        <v>48325.48</v>
      </c>
      <c r="E61" s="46">
        <f>(2.07+1.8)*6*2301.2-0.37*2301.2*6</f>
        <v>48325.2</v>
      </c>
      <c r="F61" s="53"/>
      <c r="G61" s="54"/>
      <c r="H61" s="46"/>
      <c r="I61" s="49"/>
      <c r="J61" s="49"/>
      <c r="K61" s="50"/>
      <c r="L61" s="50"/>
      <c r="M61" s="50"/>
      <c r="N61" s="50"/>
    </row>
    <row r="62" spans="1:14" ht="15">
      <c r="A62" s="42" t="s">
        <v>60</v>
      </c>
      <c r="B62" s="51" t="s">
        <v>49</v>
      </c>
      <c r="C62" s="55" t="s">
        <v>61</v>
      </c>
      <c r="D62" s="45">
        <f>(0.89+0.94)*6*2301.2</f>
        <v>25267.176</v>
      </c>
      <c r="E62" s="46"/>
      <c r="F62" s="53"/>
      <c r="G62" s="54"/>
      <c r="I62" s="49"/>
      <c r="J62" s="49"/>
      <c r="K62" s="50"/>
      <c r="L62" s="50"/>
      <c r="M62" s="50"/>
      <c r="N62" s="50"/>
    </row>
    <row r="63" spans="1:14" ht="15">
      <c r="A63" s="42" t="s">
        <v>62</v>
      </c>
      <c r="B63" s="51" t="s">
        <v>63</v>
      </c>
      <c r="C63" s="55" t="s">
        <v>64</v>
      </c>
      <c r="D63" s="45">
        <f>(1.14+1.21)*6*2301.2</f>
        <v>32446.91999999999</v>
      </c>
      <c r="E63" s="46"/>
      <c r="F63" s="53"/>
      <c r="G63" s="54"/>
      <c r="I63" s="49"/>
      <c r="J63" s="49"/>
      <c r="K63" s="50"/>
      <c r="L63" s="50"/>
      <c r="M63" s="50"/>
      <c r="N63" s="50"/>
    </row>
    <row r="64" spans="1:14" ht="15">
      <c r="A64" s="42" t="s">
        <v>65</v>
      </c>
      <c r="B64" s="51" t="s">
        <v>66</v>
      </c>
      <c r="C64" s="55">
        <v>4.88</v>
      </c>
      <c r="D64" s="45">
        <f>4.88*12*2301.2</f>
        <v>134758.272</v>
      </c>
      <c r="E64" s="46"/>
      <c r="F64" s="53"/>
      <c r="H64" s="49"/>
      <c r="I64" s="49"/>
      <c r="J64" s="49"/>
      <c r="K64" s="50"/>
      <c r="L64" s="50"/>
      <c r="M64" s="50"/>
      <c r="N64" s="50"/>
    </row>
    <row r="65" spans="1:14" ht="15">
      <c r="A65" s="42" t="s">
        <v>67</v>
      </c>
      <c r="B65" s="51" t="s">
        <v>66</v>
      </c>
      <c r="C65" s="56" t="s">
        <v>68</v>
      </c>
      <c r="D65" s="45">
        <f>(3.08+3.26)*6*2301.2</f>
        <v>87537.64799999999</v>
      </c>
      <c r="E65" s="46"/>
      <c r="F65" s="53"/>
      <c r="H65" s="49"/>
      <c r="I65" s="49"/>
      <c r="J65" s="49" t="s">
        <v>37</v>
      </c>
      <c r="K65" s="50"/>
      <c r="L65" s="50"/>
      <c r="M65" s="50"/>
      <c r="N65" s="50"/>
    </row>
    <row r="66" spans="1:14" ht="15">
      <c r="A66" s="57" t="s">
        <v>69</v>
      </c>
      <c r="B66" s="51" t="s">
        <v>66</v>
      </c>
      <c r="C66" s="58" t="s">
        <v>70</v>
      </c>
      <c r="D66" s="45">
        <f>(1.89+0.83)*6*274</f>
        <v>4471.68</v>
      </c>
      <c r="E66" s="46"/>
      <c r="F66" s="53"/>
      <c r="H66" s="49" t="s">
        <v>37</v>
      </c>
      <c r="I66" s="49"/>
      <c r="J66" s="49"/>
      <c r="K66" s="50"/>
      <c r="L66" s="50"/>
      <c r="M66" s="50"/>
      <c r="N66" s="50"/>
    </row>
    <row r="67" spans="1:14" ht="15">
      <c r="A67" s="57" t="s">
        <v>71</v>
      </c>
      <c r="B67" s="51" t="s">
        <v>66</v>
      </c>
      <c r="C67" s="58" t="s">
        <v>72</v>
      </c>
      <c r="D67" s="45">
        <f>(4.85+5.14)*6*2027.2</f>
        <v>121510.36799999999</v>
      </c>
      <c r="E67" s="46"/>
      <c r="F67" s="53"/>
      <c r="H67" s="49"/>
      <c r="I67" s="49"/>
      <c r="J67" s="49"/>
      <c r="K67" s="50"/>
      <c r="L67" s="50"/>
      <c r="M67" s="50"/>
      <c r="N67" s="50"/>
    </row>
    <row r="68" spans="1:14" ht="15">
      <c r="A68" s="42" t="s">
        <v>73</v>
      </c>
      <c r="B68" s="51" t="s">
        <v>66</v>
      </c>
      <c r="C68" s="56" t="s">
        <v>74</v>
      </c>
      <c r="D68" s="45">
        <f>(2+2.12)*6*2301.2</f>
        <v>56885.66399999999</v>
      </c>
      <c r="E68" s="46"/>
      <c r="F68" s="53"/>
      <c r="H68" s="49"/>
      <c r="I68" s="49"/>
      <c r="J68" s="49" t="s">
        <v>37</v>
      </c>
      <c r="K68" s="50"/>
      <c r="L68" s="50"/>
      <c r="M68" s="50"/>
      <c r="N68" s="50"/>
    </row>
    <row r="69" spans="1:14" ht="15.75">
      <c r="A69" s="59" t="s">
        <v>75</v>
      </c>
      <c r="B69" s="60"/>
      <c r="C69" s="61"/>
      <c r="D69" s="62">
        <f>SUM(D57:D68)</f>
        <v>630083.2</v>
      </c>
      <c r="E69" s="63">
        <f>D69+B22</f>
        <v>711821.82</v>
      </c>
      <c r="F69" s="49"/>
      <c r="H69" s="64">
        <f>E69-B21</f>
        <v>0</v>
      </c>
      <c r="I69" s="49"/>
      <c r="J69" s="49"/>
      <c r="K69" s="50"/>
      <c r="L69" s="50"/>
      <c r="M69" s="50"/>
      <c r="N69" s="50"/>
    </row>
    <row r="70" spans="1:5" ht="16.5" customHeight="1">
      <c r="A70" s="202" t="s">
        <v>76</v>
      </c>
      <c r="B70" s="202"/>
      <c r="C70" s="202"/>
      <c r="D70" s="65">
        <f>D71+D72+D73+D74+D75+D76+D77+D78+D79+D80+D81+D82+D83</f>
        <v>98046.32</v>
      </c>
      <c r="E70" s="66"/>
    </row>
    <row r="71" spans="1:5" ht="13.5" customHeight="1">
      <c r="A71" s="67" t="s">
        <v>77</v>
      </c>
      <c r="B71" s="68"/>
      <c r="C71" s="69"/>
      <c r="D71" s="65">
        <v>16579.32</v>
      </c>
      <c r="E71" s="66"/>
    </row>
    <row r="72" spans="1:5" ht="13.5" customHeight="1">
      <c r="A72" s="67" t="s">
        <v>78</v>
      </c>
      <c r="B72" s="68"/>
      <c r="C72" s="69"/>
      <c r="D72" s="65">
        <v>326.68</v>
      </c>
      <c r="E72" s="66"/>
    </row>
    <row r="73" spans="1:5" ht="13.5" customHeight="1">
      <c r="A73" s="67" t="s">
        <v>79</v>
      </c>
      <c r="B73" s="68"/>
      <c r="C73" s="69"/>
      <c r="D73" s="65">
        <v>3537.76</v>
      </c>
      <c r="E73" s="66"/>
    </row>
    <row r="74" spans="1:5" ht="13.5" customHeight="1">
      <c r="A74" s="67" t="s">
        <v>80</v>
      </c>
      <c r="B74" s="68"/>
      <c r="C74" s="69"/>
      <c r="D74" s="65">
        <v>1521.02</v>
      </c>
      <c r="E74" s="66"/>
    </row>
    <row r="75" spans="1:5" ht="13.5" customHeight="1">
      <c r="A75" s="67" t="s">
        <v>81</v>
      </c>
      <c r="B75" s="68"/>
      <c r="C75" s="69"/>
      <c r="D75" s="65">
        <v>11247.37</v>
      </c>
      <c r="E75" s="66"/>
    </row>
    <row r="76" spans="1:5" ht="13.5" customHeight="1">
      <c r="A76" s="67" t="s">
        <v>82</v>
      </c>
      <c r="B76" s="68"/>
      <c r="C76" s="69"/>
      <c r="D76" s="65">
        <v>3614.81</v>
      </c>
      <c r="E76" s="66"/>
    </row>
    <row r="77" spans="1:5" ht="13.5" customHeight="1">
      <c r="A77" s="70" t="s">
        <v>83</v>
      </c>
      <c r="B77" s="71"/>
      <c r="C77" s="72"/>
      <c r="D77" s="65">
        <v>11851.18</v>
      </c>
      <c r="E77" s="66"/>
    </row>
    <row r="78" spans="1:5" ht="13.5" customHeight="1">
      <c r="A78" s="70" t="s">
        <v>84</v>
      </c>
      <c r="B78" s="71"/>
      <c r="C78" s="72"/>
      <c r="D78" s="65">
        <v>6945.48</v>
      </c>
      <c r="E78" s="66"/>
    </row>
    <row r="79" spans="1:5" ht="13.5" customHeight="1">
      <c r="A79" s="70" t="s">
        <v>85</v>
      </c>
      <c r="B79" s="71"/>
      <c r="C79" s="72"/>
      <c r="D79" s="65">
        <v>5116.26</v>
      </c>
      <c r="E79" s="66"/>
    </row>
    <row r="80" spans="1:5" ht="13.5" customHeight="1">
      <c r="A80" s="70" t="s">
        <v>86</v>
      </c>
      <c r="B80" s="71"/>
      <c r="C80" s="72"/>
      <c r="D80" s="65">
        <v>18230</v>
      </c>
      <c r="E80" s="66"/>
    </row>
    <row r="81" spans="1:8" ht="13.5" customHeight="1">
      <c r="A81" s="70" t="s">
        <v>87</v>
      </c>
      <c r="B81" s="71"/>
      <c r="C81" s="72"/>
      <c r="D81" s="65">
        <v>11939.58</v>
      </c>
      <c r="E81" s="66"/>
      <c r="H81" s="1" t="s">
        <v>37</v>
      </c>
    </row>
    <row r="82" spans="1:5" ht="13.5" customHeight="1">
      <c r="A82" s="70" t="s">
        <v>88</v>
      </c>
      <c r="B82" s="71"/>
      <c r="C82" s="72"/>
      <c r="D82" s="65">
        <v>5772.2</v>
      </c>
      <c r="E82" s="66"/>
    </row>
    <row r="83" spans="1:5" ht="13.5" customHeight="1">
      <c r="A83" s="70" t="s">
        <v>89</v>
      </c>
      <c r="B83" s="71"/>
      <c r="C83" s="72"/>
      <c r="D83" s="65">
        <v>1364.66</v>
      </c>
      <c r="E83" s="66"/>
    </row>
    <row r="84" spans="1:8" ht="13.5" customHeight="1">
      <c r="A84" s="73" t="s">
        <v>90</v>
      </c>
      <c r="B84" s="74"/>
      <c r="C84" s="75"/>
      <c r="D84" s="65">
        <f>D69+D70</f>
        <v>728129.52</v>
      </c>
      <c r="E84" s="66"/>
      <c r="H84" s="1" t="s">
        <v>37</v>
      </c>
    </row>
    <row r="85" spans="1:5" ht="13.5" customHeight="1">
      <c r="A85" s="70" t="s">
        <v>91</v>
      </c>
      <c r="B85" s="71"/>
      <c r="C85" s="72"/>
      <c r="D85" s="76">
        <v>0</v>
      </c>
      <c r="E85" s="66"/>
    </row>
    <row r="86" spans="1:5" ht="21" customHeight="1">
      <c r="A86" s="203" t="s">
        <v>92</v>
      </c>
      <c r="B86" s="203"/>
      <c r="C86" s="203"/>
      <c r="D86" s="77">
        <v>454927.76</v>
      </c>
      <c r="E86" s="66"/>
    </row>
    <row r="87" spans="1:5" ht="18" customHeight="1">
      <c r="A87" s="204" t="s">
        <v>93</v>
      </c>
      <c r="B87" s="204"/>
      <c r="C87" s="204"/>
      <c r="D87" s="77">
        <v>1036.8</v>
      </c>
      <c r="E87" s="66"/>
    </row>
    <row r="88" spans="1:5" ht="18" customHeight="1">
      <c r="A88" s="78" t="s">
        <v>94</v>
      </c>
      <c r="B88" s="78"/>
      <c r="C88" s="78"/>
      <c r="D88" s="77">
        <v>1760</v>
      </c>
      <c r="E88" s="66"/>
    </row>
    <row r="89" spans="1:8" ht="25.5" customHeight="1">
      <c r="A89" s="205" t="s">
        <v>95</v>
      </c>
      <c r="B89" s="205"/>
      <c r="C89" s="205"/>
      <c r="D89" s="79">
        <f>B14+B22+B25-D70+D87+D88</f>
        <v>-88353.97000000002</v>
      </c>
      <c r="E89" s="66"/>
      <c r="H89" s="17"/>
    </row>
    <row r="90" spans="1:5" ht="15">
      <c r="A90" s="80" t="s">
        <v>96</v>
      </c>
      <c r="B90" s="81"/>
      <c r="C90" s="82"/>
      <c r="D90" s="83">
        <f>B15+B22-D70+D87+D88</f>
        <v>-77289.84000000001</v>
      </c>
      <c r="E90" s="66"/>
    </row>
    <row r="91" spans="1:5" ht="15">
      <c r="A91" s="81" t="s">
        <v>15</v>
      </c>
      <c r="B91" s="81"/>
      <c r="C91" s="82"/>
      <c r="D91" s="83">
        <f>B16+B25-D85</f>
        <v>-11064.130000000005</v>
      </c>
      <c r="E91" s="66"/>
    </row>
    <row r="92" spans="1:5" ht="13.5" customHeight="1">
      <c r="A92" s="206" t="s">
        <v>97</v>
      </c>
      <c r="B92" s="206"/>
      <c r="C92" s="206"/>
      <c r="D92" s="84">
        <v>880297.38</v>
      </c>
      <c r="E92" s="66"/>
    </row>
    <row r="93" spans="1:4" ht="15">
      <c r="A93" s="207" t="s">
        <v>18</v>
      </c>
      <c r="B93" s="207"/>
      <c r="C93" s="207"/>
      <c r="D93" s="85"/>
    </row>
    <row r="94" spans="1:4" ht="13.5" customHeight="1">
      <c r="A94" s="207" t="s">
        <v>22</v>
      </c>
      <c r="B94" s="207"/>
      <c r="C94" s="207"/>
      <c r="D94" s="85">
        <f>D92*B21/B17</f>
        <v>221929.87347359155</v>
      </c>
    </row>
    <row r="95" spans="1:4" ht="13.5" customHeight="1">
      <c r="A95" s="207" t="s">
        <v>41</v>
      </c>
      <c r="B95" s="207"/>
      <c r="C95" s="207"/>
      <c r="D95" s="85">
        <f>D92*B25/B17</f>
        <v>13796.40669388323</v>
      </c>
    </row>
    <row r="96" spans="1:4" ht="13.5" customHeight="1">
      <c r="A96" s="208" t="s">
        <v>30</v>
      </c>
      <c r="B96" s="208"/>
      <c r="C96" s="208"/>
      <c r="D96" s="86">
        <f>D98+D99+D100+D101+D102</f>
        <v>642266.707162567</v>
      </c>
    </row>
    <row r="97" spans="1:4" ht="15">
      <c r="A97" s="208" t="s">
        <v>18</v>
      </c>
      <c r="B97" s="208"/>
      <c r="C97" s="208"/>
      <c r="D97" s="86"/>
    </row>
    <row r="98" spans="1:4" ht="13.5" customHeight="1">
      <c r="A98" s="208" t="s">
        <v>32</v>
      </c>
      <c r="B98" s="208"/>
      <c r="C98" s="208"/>
      <c r="D98" s="86">
        <f>D92*B28/B17</f>
        <v>48644.651604637635</v>
      </c>
    </row>
    <row r="99" spans="1:4" ht="15">
      <c r="A99" s="208" t="s">
        <v>33</v>
      </c>
      <c r="B99" s="208"/>
      <c r="C99" s="208"/>
      <c r="D99" s="86">
        <f>D92*B29/B17</f>
        <v>89400.82661849815</v>
      </c>
    </row>
    <row r="100" spans="1:4" ht="15">
      <c r="A100" s="208" t="s">
        <v>34</v>
      </c>
      <c r="B100" s="208"/>
      <c r="C100" s="208"/>
      <c r="D100" s="86">
        <f>D92*B30/B17</f>
        <v>247716.5049373342</v>
      </c>
    </row>
    <row r="101" spans="1:4" ht="15" customHeight="1">
      <c r="A101" s="208" t="s">
        <v>35</v>
      </c>
      <c r="B101" s="208"/>
      <c r="C101" s="208"/>
      <c r="D101" s="86">
        <f>D92*B31/B17</f>
        <v>105798.61878718715</v>
      </c>
    </row>
    <row r="102" spans="1:4" ht="15">
      <c r="A102" s="208" t="s">
        <v>36</v>
      </c>
      <c r="B102" s="208"/>
      <c r="C102" s="208"/>
      <c r="D102" s="86">
        <f>D92*B32/B17</f>
        <v>150706.10521490983</v>
      </c>
    </row>
    <row r="103" spans="1:4" ht="25.5" customHeight="1">
      <c r="A103" s="209" t="s">
        <v>98</v>
      </c>
      <c r="B103" s="209"/>
      <c r="C103" s="209"/>
      <c r="D103" s="209"/>
    </row>
    <row r="104" spans="1:8" ht="38.25">
      <c r="A104" s="87" t="s">
        <v>99</v>
      </c>
      <c r="B104" s="6" t="s">
        <v>100</v>
      </c>
      <c r="C104" s="6" t="s">
        <v>101</v>
      </c>
      <c r="D104" s="87" t="s">
        <v>102</v>
      </c>
      <c r="H104" s="1" t="s">
        <v>37</v>
      </c>
    </row>
    <row r="105" spans="1:4" ht="12.75" customHeight="1">
      <c r="A105" s="88" t="s">
        <v>103</v>
      </c>
      <c r="B105" s="210" t="s">
        <v>390</v>
      </c>
      <c r="C105" s="89" t="s">
        <v>26</v>
      </c>
      <c r="D105" s="90" t="s">
        <v>105</v>
      </c>
    </row>
    <row r="106" spans="1:4" ht="12.75" customHeight="1">
      <c r="A106" s="88" t="s">
        <v>106</v>
      </c>
      <c r="B106" s="211"/>
      <c r="C106" s="89" t="s">
        <v>28</v>
      </c>
      <c r="D106" s="90" t="s">
        <v>105</v>
      </c>
    </row>
    <row r="107" spans="1:4" ht="12.75">
      <c r="A107" s="42" t="s">
        <v>41</v>
      </c>
      <c r="B107" s="211"/>
      <c r="C107" s="91">
        <v>2.7</v>
      </c>
      <c r="D107" s="92" t="s">
        <v>105</v>
      </c>
    </row>
    <row r="108" spans="1:4" ht="19.5" customHeight="1">
      <c r="A108" s="42" t="s">
        <v>32</v>
      </c>
      <c r="B108" s="212" t="s">
        <v>107</v>
      </c>
      <c r="C108" s="93" t="s">
        <v>108</v>
      </c>
      <c r="D108" s="192" t="s">
        <v>391</v>
      </c>
    </row>
    <row r="109" spans="1:8" ht="22.5" customHeight="1">
      <c r="A109" s="42" t="s">
        <v>33</v>
      </c>
      <c r="B109" s="212"/>
      <c r="C109" s="93" t="s">
        <v>110</v>
      </c>
      <c r="D109" s="192" t="s">
        <v>392</v>
      </c>
      <c r="H109" s="1" t="s">
        <v>37</v>
      </c>
    </row>
    <row r="110" spans="1:4" ht="39.75" customHeight="1">
      <c r="A110" s="42" t="s">
        <v>34</v>
      </c>
      <c r="B110" s="94" t="s">
        <v>111</v>
      </c>
      <c r="C110" s="93" t="s">
        <v>112</v>
      </c>
      <c r="D110" s="92" t="s">
        <v>113</v>
      </c>
    </row>
    <row r="111" spans="1:4" ht="39" customHeight="1">
      <c r="A111" s="42" t="s">
        <v>35</v>
      </c>
      <c r="B111" s="95" t="s">
        <v>114</v>
      </c>
      <c r="C111" s="93" t="s">
        <v>115</v>
      </c>
      <c r="D111" s="192" t="s">
        <v>392</v>
      </c>
    </row>
    <row r="112" ht="12.75">
      <c r="H112" s="1" t="s">
        <v>37</v>
      </c>
    </row>
    <row r="113" ht="12.75">
      <c r="A113" t="s">
        <v>116</v>
      </c>
    </row>
    <row r="114" ht="12.75">
      <c r="H114" s="1" t="s">
        <v>37</v>
      </c>
    </row>
    <row r="115" ht="12.75">
      <c r="A115" t="s">
        <v>117</v>
      </c>
    </row>
    <row r="119" ht="12.75">
      <c r="E119" s="1" t="s">
        <v>37</v>
      </c>
    </row>
  </sheetData>
  <sheetProtection selectLockedCells="1" selectUnlockedCells="1"/>
  <mergeCells count="24">
    <mergeCell ref="A100:C100"/>
    <mergeCell ref="A101:C101"/>
    <mergeCell ref="A102:C102"/>
    <mergeCell ref="A103:D103"/>
    <mergeCell ref="B105:B107"/>
    <mergeCell ref="B108:B109"/>
    <mergeCell ref="A94:C94"/>
    <mergeCell ref="A95:C95"/>
    <mergeCell ref="A96:C96"/>
    <mergeCell ref="A97:C97"/>
    <mergeCell ref="A98:C98"/>
    <mergeCell ref="A99:C99"/>
    <mergeCell ref="A70:C70"/>
    <mergeCell ref="A86:C86"/>
    <mergeCell ref="A87:C87"/>
    <mergeCell ref="A89:C89"/>
    <mergeCell ref="A92:C92"/>
    <mergeCell ref="A93:C9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landscape" paperSize="12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80" zoomScaleNormal="80" zoomScalePageLayoutView="0" workbookViewId="0" topLeftCell="A61">
      <selection activeCell="D94" sqref="D94"/>
    </sheetView>
  </sheetViews>
  <sheetFormatPr defaultColWidth="11.57421875" defaultRowHeight="12.75"/>
  <cols>
    <col min="1" max="1" width="60.2812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17" width="11.57421875" style="1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298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19" t="s">
        <v>407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v>-177231.87</v>
      </c>
      <c r="C14" s="96"/>
      <c r="D14" s="12"/>
    </row>
    <row r="15" spans="1:4" ht="15.75">
      <c r="A15" s="13" t="s">
        <v>14</v>
      </c>
      <c r="B15" s="10">
        <v>-133430.49</v>
      </c>
      <c r="C15" s="96"/>
      <c r="D15" s="12"/>
    </row>
    <row r="16" spans="1:13" ht="15.75">
      <c r="A16" s="14" t="s">
        <v>15</v>
      </c>
      <c r="B16" s="10">
        <v>-43801.38</v>
      </c>
      <c r="C16" s="96"/>
      <c r="D16" s="12"/>
      <c r="H16" s="32">
        <v>1</v>
      </c>
      <c r="I16" s="32">
        <v>2</v>
      </c>
      <c r="J16" s="32">
        <v>3</v>
      </c>
      <c r="K16" s="32">
        <v>4</v>
      </c>
      <c r="L16" s="32">
        <v>5</v>
      </c>
      <c r="M16" s="32">
        <v>6</v>
      </c>
    </row>
    <row r="17" spans="1:13" ht="31.5">
      <c r="A17" s="174" t="s">
        <v>16</v>
      </c>
      <c r="B17" s="97">
        <f>B19+B25+B26+B27+B28</f>
        <v>7196358.020000001</v>
      </c>
      <c r="C17" s="11" t="s">
        <v>17</v>
      </c>
      <c r="D17" s="12" t="s">
        <v>17</v>
      </c>
      <c r="E17" s="22">
        <f>E19-E18</f>
        <v>70811.57400000002</v>
      </c>
      <c r="H17" s="1">
        <f aca="true" t="shared" si="0" ref="H17:M17">H19-H18</f>
        <v>10551.929000000004</v>
      </c>
      <c r="I17" s="1">
        <f t="shared" si="0"/>
        <v>10551.929000000004</v>
      </c>
      <c r="J17" s="1">
        <f t="shared" si="0"/>
        <v>10551.929000000004</v>
      </c>
      <c r="K17" s="175">
        <f t="shared" si="0"/>
        <v>15051.929000000004</v>
      </c>
      <c r="L17" s="1">
        <f t="shared" si="0"/>
        <v>10551.929000000004</v>
      </c>
      <c r="M17" s="175">
        <f t="shared" si="0"/>
        <v>13551.929000000004</v>
      </c>
    </row>
    <row r="18" spans="1:13" ht="15">
      <c r="A18" s="7" t="s">
        <v>18</v>
      </c>
      <c r="B18" s="16"/>
      <c r="C18" s="11"/>
      <c r="D18" s="12"/>
      <c r="E18" s="1">
        <v>1023348.96</v>
      </c>
      <c r="H18" s="1">
        <v>171808.16</v>
      </c>
      <c r="I18" s="1">
        <v>171808.16</v>
      </c>
      <c r="J18" s="1">
        <v>171808.16</v>
      </c>
      <c r="K18" s="1">
        <v>167308.16</v>
      </c>
      <c r="L18" s="1">
        <v>171808.16</v>
      </c>
      <c r="M18" s="1">
        <v>168808.16</v>
      </c>
    </row>
    <row r="19" spans="1:13" ht="15">
      <c r="A19" s="7" t="s">
        <v>22</v>
      </c>
      <c r="B19" s="97">
        <v>2232898.16</v>
      </c>
      <c r="C19" s="11"/>
      <c r="D19" s="12"/>
      <c r="E19" s="1">
        <f>18.65*6*1783.1+23.37*6*6380.2</f>
        <v>1094160.534</v>
      </c>
      <c r="H19" s="1">
        <f>E19/6</f>
        <v>182360.089</v>
      </c>
      <c r="I19" s="1">
        <v>182360.089</v>
      </c>
      <c r="J19" s="1">
        <v>182360.089</v>
      </c>
      <c r="K19" s="1">
        <v>182360.089</v>
      </c>
      <c r="L19" s="1">
        <v>182360.089</v>
      </c>
      <c r="M19" s="1">
        <v>182360.089</v>
      </c>
    </row>
    <row r="20" spans="1:5" ht="15">
      <c r="A20" s="7" t="s">
        <v>153</v>
      </c>
      <c r="B20" s="97">
        <v>252732.67</v>
      </c>
      <c r="C20" s="18" t="s">
        <v>299</v>
      </c>
      <c r="D20" s="19"/>
      <c r="E20" s="1">
        <f>(1.85+3.31)*6*8163.2</f>
        <v>252732.672</v>
      </c>
    </row>
    <row r="21" spans="1:8" ht="15">
      <c r="A21" s="197" t="s">
        <v>25</v>
      </c>
      <c r="B21" s="16"/>
      <c r="C21" s="25" t="s">
        <v>301</v>
      </c>
      <c r="D21" s="19"/>
      <c r="E21" s="22">
        <f>18.65*6*1783+21.03*6*1329.1+18.91*4*453.9</f>
        <v>401556.5339999999</v>
      </c>
      <c r="H21" s="1" t="s">
        <v>302</v>
      </c>
    </row>
    <row r="22" spans="1:8" ht="15">
      <c r="A22" s="197" t="s">
        <v>399</v>
      </c>
      <c r="B22" s="16"/>
      <c r="C22" s="25" t="s">
        <v>304</v>
      </c>
      <c r="D22" s="19"/>
      <c r="E22" s="22">
        <f>23.37*6*6380.2+26.03*6*4794.9+23.91*4*1585.3</f>
        <v>1795117.2179999999</v>
      </c>
      <c r="H22" s="1" t="s">
        <v>302</v>
      </c>
    </row>
    <row r="23" spans="1:5" ht="15">
      <c r="A23" s="7" t="s">
        <v>400</v>
      </c>
      <c r="B23" s="16"/>
      <c r="C23" s="25">
        <v>18.910000000000004</v>
      </c>
      <c r="D23" s="19"/>
      <c r="E23" s="22"/>
    </row>
    <row r="24" spans="1:5" ht="15">
      <c r="A24" s="7" t="s">
        <v>401</v>
      </c>
      <c r="B24" s="16"/>
      <c r="C24" s="25">
        <v>23.910000000000004</v>
      </c>
      <c r="D24" s="19"/>
      <c r="E24" s="22"/>
    </row>
    <row r="25" spans="1:8" ht="15">
      <c r="A25" s="131" t="s">
        <v>307</v>
      </c>
      <c r="B25" s="97">
        <v>2661.2</v>
      </c>
      <c r="C25" s="25" t="s">
        <v>308</v>
      </c>
      <c r="D25" s="19"/>
      <c r="E25" s="22">
        <f>SUM(E21:E22)</f>
        <v>2196673.752</v>
      </c>
      <c r="H25" s="1" t="s">
        <v>302</v>
      </c>
    </row>
    <row r="26" spans="1:4" ht="15">
      <c r="A26" s="7" t="s">
        <v>309</v>
      </c>
      <c r="B26" s="97">
        <v>12361.14</v>
      </c>
      <c r="C26" s="25"/>
      <c r="D26" s="19"/>
    </row>
    <row r="27" spans="1:8" ht="15.75">
      <c r="A27" s="131" t="s">
        <v>310</v>
      </c>
      <c r="B27" s="101">
        <v>211223.16</v>
      </c>
      <c r="C27" s="18">
        <v>2.7</v>
      </c>
      <c r="D27" s="19"/>
      <c r="E27" s="22"/>
      <c r="H27" s="1" t="s">
        <v>37</v>
      </c>
    </row>
    <row r="28" spans="1:4" ht="15">
      <c r="A28" s="7" t="s">
        <v>30</v>
      </c>
      <c r="B28" s="97">
        <f>B30+B31+B32+B33</f>
        <v>4737214.36</v>
      </c>
      <c r="C28" s="24" t="s">
        <v>17</v>
      </c>
      <c r="D28" s="19" t="s">
        <v>31</v>
      </c>
    </row>
    <row r="29" spans="1:4" ht="15">
      <c r="A29" s="7" t="s">
        <v>18</v>
      </c>
      <c r="B29" s="16"/>
      <c r="C29" s="24"/>
      <c r="D29" s="19"/>
    </row>
    <row r="30" spans="1:5" ht="15">
      <c r="A30" s="7" t="s">
        <v>32</v>
      </c>
      <c r="B30" s="97">
        <v>307095.53</v>
      </c>
      <c r="C30" s="133" t="s">
        <v>17</v>
      </c>
      <c r="D30" s="26">
        <v>65.21</v>
      </c>
      <c r="E30" s="22"/>
    </row>
    <row r="31" spans="1:5" ht="15">
      <c r="A31" s="7" t="s">
        <v>33</v>
      </c>
      <c r="B31" s="97">
        <v>675918.39</v>
      </c>
      <c r="C31" s="133" t="s">
        <v>17</v>
      </c>
      <c r="D31" s="26">
        <v>119.63</v>
      </c>
      <c r="E31" s="22"/>
    </row>
    <row r="32" spans="1:15" ht="15">
      <c r="A32" s="7" t="s">
        <v>34</v>
      </c>
      <c r="B32" s="97">
        <v>2755684.2</v>
      </c>
      <c r="C32" s="133"/>
      <c r="D32" s="26"/>
      <c r="E32" s="22"/>
      <c r="O32" s="1" t="s">
        <v>37</v>
      </c>
    </row>
    <row r="33" spans="1:5" ht="15">
      <c r="A33" s="7" t="s">
        <v>35</v>
      </c>
      <c r="B33" s="97">
        <v>998516.24</v>
      </c>
      <c r="C33" s="133" t="s">
        <v>17</v>
      </c>
      <c r="D33" s="26">
        <v>139.18</v>
      </c>
      <c r="E33" s="22"/>
    </row>
    <row r="34" spans="1:5" ht="31.5">
      <c r="A34" s="27" t="s">
        <v>38</v>
      </c>
      <c r="B34" s="28">
        <v>6965057.8</v>
      </c>
      <c r="C34" s="11"/>
      <c r="D34" s="12" t="s">
        <v>17</v>
      </c>
      <c r="E34" s="1">
        <v>96.7858711</v>
      </c>
    </row>
    <row r="35" spans="1:4" ht="15">
      <c r="A35" s="30" t="s">
        <v>18</v>
      </c>
      <c r="B35" s="28"/>
      <c r="C35" s="96"/>
      <c r="D35" s="12"/>
    </row>
    <row r="36" spans="1:5" ht="15">
      <c r="A36" s="30" t="s">
        <v>22</v>
      </c>
      <c r="B36" s="28">
        <f>B34*E36/100</f>
        <v>2161129.9358218485</v>
      </c>
      <c r="C36" s="96" t="s">
        <v>17</v>
      </c>
      <c r="D36" s="12"/>
      <c r="E36" s="1">
        <f>B19/B17*100</f>
        <v>31.028169440630464</v>
      </c>
    </row>
    <row r="37" spans="1:5" ht="15">
      <c r="A37" s="30" t="s">
        <v>41</v>
      </c>
      <c r="B37" s="28">
        <f>B34*E37/100</f>
        <v>204434.17545513494</v>
      </c>
      <c r="C37" s="102"/>
      <c r="D37" s="12" t="s">
        <v>17</v>
      </c>
      <c r="E37" s="1">
        <f>B27/B17*100</f>
        <v>2.9351396833366548</v>
      </c>
    </row>
    <row r="38" spans="1:4" ht="15">
      <c r="A38" s="30" t="s">
        <v>30</v>
      </c>
      <c r="B38" s="28">
        <f>B40+B41+B42+B43</f>
        <v>4584954.186088424</v>
      </c>
      <c r="C38" s="96" t="s">
        <v>17</v>
      </c>
      <c r="D38" s="12" t="s">
        <v>17</v>
      </c>
    </row>
    <row r="39" spans="1:4" ht="15">
      <c r="A39" s="30" t="s">
        <v>18</v>
      </c>
      <c r="B39" s="28"/>
      <c r="C39" s="96" t="s">
        <v>17</v>
      </c>
      <c r="D39" s="12"/>
    </row>
    <row r="40" spans="1:5" ht="15">
      <c r="A40" s="30" t="s">
        <v>32</v>
      </c>
      <c r="B40" s="28">
        <f>B34*E40/100</f>
        <v>297225.08394206234</v>
      </c>
      <c r="C40" s="96"/>
      <c r="D40" s="12"/>
      <c r="E40" s="1">
        <f>B30/B17*100</f>
        <v>4.267374262738528</v>
      </c>
    </row>
    <row r="41" spans="1:5" ht="15">
      <c r="A41" s="30" t="s">
        <v>33</v>
      </c>
      <c r="B41" s="28">
        <f>B34*E41/100</f>
        <v>654193.5019559993</v>
      </c>
      <c r="C41" s="96" t="s">
        <v>17</v>
      </c>
      <c r="D41" s="12"/>
      <c r="E41" s="1">
        <f>B31/B17*100</f>
        <v>9.392506433413939</v>
      </c>
    </row>
    <row r="42" spans="1:5" ht="15">
      <c r="A42" s="30" t="s">
        <v>34</v>
      </c>
      <c r="B42" s="28">
        <f>B34*E42/100</f>
        <v>2667112.9588334123</v>
      </c>
      <c r="C42" s="96" t="s">
        <v>17</v>
      </c>
      <c r="D42" s="12"/>
      <c r="E42" s="1">
        <f>B32/B17*100</f>
        <v>38.29276131539658</v>
      </c>
    </row>
    <row r="43" spans="1:5" ht="15">
      <c r="A43" s="30" t="s">
        <v>35</v>
      </c>
      <c r="B43" s="28">
        <f>B34*E43/100</f>
        <v>966422.6413569499</v>
      </c>
      <c r="C43" s="96" t="s">
        <v>17</v>
      </c>
      <c r="D43" s="12"/>
      <c r="E43" s="1">
        <f>B33/B17*100</f>
        <v>13.875299661647459</v>
      </c>
    </row>
    <row r="44" spans="1:4" ht="15">
      <c r="A44" s="30" t="s">
        <v>36</v>
      </c>
      <c r="B44" s="28"/>
      <c r="C44" s="96"/>
      <c r="D44" s="12"/>
    </row>
    <row r="45" spans="1:4" ht="47.25">
      <c r="A45" s="31" t="s">
        <v>42</v>
      </c>
      <c r="B45" s="28">
        <f>B47+B48+B49+B50</f>
        <v>4584954.186088424</v>
      </c>
      <c r="C45" s="96" t="s">
        <v>17</v>
      </c>
      <c r="D45" s="12" t="s">
        <v>17</v>
      </c>
    </row>
    <row r="46" spans="1:4" ht="15">
      <c r="A46" s="30" t="s">
        <v>18</v>
      </c>
      <c r="B46" s="28"/>
      <c r="C46" s="96" t="s">
        <v>17</v>
      </c>
      <c r="D46" s="12"/>
    </row>
    <row r="47" spans="1:4" ht="15">
      <c r="A47" s="30" t="s">
        <v>32</v>
      </c>
      <c r="B47" s="28">
        <f>B40</f>
        <v>297225.08394206234</v>
      </c>
      <c r="C47" s="96"/>
      <c r="D47" s="12"/>
    </row>
    <row r="48" spans="1:4" ht="15">
      <c r="A48" s="30" t="s">
        <v>33</v>
      </c>
      <c r="B48" s="28">
        <f>B41</f>
        <v>654193.5019559993</v>
      </c>
      <c r="C48" s="96" t="s">
        <v>17</v>
      </c>
      <c r="D48" s="12"/>
    </row>
    <row r="49" spans="1:4" ht="15">
      <c r="A49" s="30" t="s">
        <v>34</v>
      </c>
      <c r="B49" s="28">
        <f>B42</f>
        <v>2667112.9588334123</v>
      </c>
      <c r="C49" s="96" t="s">
        <v>17</v>
      </c>
      <c r="D49" s="12"/>
    </row>
    <row r="50" spans="1:4" ht="15">
      <c r="A50" s="30" t="s">
        <v>35</v>
      </c>
      <c r="B50" s="28">
        <f>B43</f>
        <v>966422.6413569499</v>
      </c>
      <c r="C50" s="96" t="s">
        <v>17</v>
      </c>
      <c r="D50" s="12"/>
    </row>
    <row r="51" spans="1:4" ht="15">
      <c r="A51" s="33" t="s">
        <v>36</v>
      </c>
      <c r="B51" s="34"/>
      <c r="C51" s="103" t="s">
        <v>17</v>
      </c>
      <c r="D51" s="36"/>
    </row>
    <row r="52" spans="1:10" ht="31.5" customHeight="1">
      <c r="A52" s="37" t="s">
        <v>43</v>
      </c>
      <c r="B52" s="37"/>
      <c r="C52" s="128" t="s">
        <v>8</v>
      </c>
      <c r="D52" s="37"/>
      <c r="I52" s="32"/>
      <c r="J52" s="32"/>
    </row>
    <row r="53" spans="1:14" ht="63.75">
      <c r="A53" s="39" t="s">
        <v>44</v>
      </c>
      <c r="B53" s="39" t="s">
        <v>45</v>
      </c>
      <c r="C53" s="39" t="s">
        <v>46</v>
      </c>
      <c r="D53" s="191" t="s">
        <v>389</v>
      </c>
      <c r="I53" s="40"/>
      <c r="J53" s="40"/>
      <c r="K53" s="40"/>
      <c r="L53" s="40"/>
      <c r="M53" s="40"/>
      <c r="N53" s="40"/>
    </row>
    <row r="54" spans="1:14" ht="15">
      <c r="A54" s="42" t="s">
        <v>48</v>
      </c>
      <c r="B54" s="43" t="s">
        <v>49</v>
      </c>
      <c r="C54" s="44" t="s">
        <v>311</v>
      </c>
      <c r="D54" s="129">
        <f>(0.19+0.25)*6*8163.2</f>
        <v>21550.848</v>
      </c>
      <c r="E54" s="46"/>
      <c r="F54" s="47"/>
      <c r="G54" s="48"/>
      <c r="I54" s="49"/>
      <c r="J54" s="49"/>
      <c r="K54" s="49"/>
      <c r="L54" s="49"/>
      <c r="M54" s="49"/>
      <c r="N54" s="49"/>
    </row>
    <row r="55" spans="1:14" ht="15">
      <c r="A55" s="42" t="s">
        <v>51</v>
      </c>
      <c r="B55" s="43" t="s">
        <v>52</v>
      </c>
      <c r="C55" s="156" t="s">
        <v>53</v>
      </c>
      <c r="D55" s="129">
        <f>(2.1+2.23)*6*8163.2</f>
        <v>212079.936</v>
      </c>
      <c r="E55" s="46"/>
      <c r="F55" s="47"/>
      <c r="G55" s="48"/>
      <c r="I55" s="49"/>
      <c r="J55" s="49"/>
      <c r="K55" s="49"/>
      <c r="L55" s="49"/>
      <c r="M55" s="49"/>
      <c r="N55" s="49"/>
    </row>
    <row r="56" spans="1:14" ht="15">
      <c r="A56" s="42" t="s">
        <v>54</v>
      </c>
      <c r="B56" s="43" t="s">
        <v>52</v>
      </c>
      <c r="C56" s="156" t="s">
        <v>55</v>
      </c>
      <c r="D56" s="129">
        <f>(1.2+2.27)*6*8163.2</f>
        <v>169957.824</v>
      </c>
      <c r="E56" s="46"/>
      <c r="F56" s="47"/>
      <c r="G56" s="48"/>
      <c r="I56" s="49"/>
      <c r="J56" s="49"/>
      <c r="K56" s="49"/>
      <c r="L56" s="49"/>
      <c r="M56" s="49"/>
      <c r="N56" s="49"/>
    </row>
    <row r="57" spans="1:14" ht="15">
      <c r="A57" s="42" t="s">
        <v>56</v>
      </c>
      <c r="B57" s="43" t="s">
        <v>49</v>
      </c>
      <c r="C57" s="44" t="s">
        <v>129</v>
      </c>
      <c r="D57" s="129">
        <f>(0.2+0.21)*6*8163.2</f>
        <v>20081.471999999998</v>
      </c>
      <c r="E57" s="46">
        <f>(1.27+0.5)*6*8163.2</f>
        <v>86693.18400000001</v>
      </c>
      <c r="F57" s="47"/>
      <c r="G57" s="48"/>
      <c r="I57" s="49"/>
      <c r="J57" s="49"/>
      <c r="K57" s="49"/>
      <c r="L57" s="49"/>
      <c r="M57" s="49"/>
      <c r="N57" s="49"/>
    </row>
    <row r="58" spans="1:14" ht="15">
      <c r="A58" s="42" t="s">
        <v>58</v>
      </c>
      <c r="B58" s="194" t="s">
        <v>49</v>
      </c>
      <c r="C58" s="55" t="s">
        <v>312</v>
      </c>
      <c r="D58" s="129">
        <f>23392.67-0.04</f>
        <v>23392.629999999997</v>
      </c>
      <c r="E58" s="46">
        <f>(1.27+0.5)*6*8163.2-0.8*6*1783-1.43*6*6380.2</f>
        <v>23392.668000000012</v>
      </c>
      <c r="F58" s="53"/>
      <c r="G58" s="54"/>
      <c r="H58" s="46">
        <f>0.8*6*1783+1.43*6*6380.2</f>
        <v>63300.516</v>
      </c>
      <c r="I58" s="49">
        <v>0.8</v>
      </c>
      <c r="J58" s="49"/>
      <c r="K58" s="49"/>
      <c r="L58" s="49"/>
      <c r="M58" s="49"/>
      <c r="N58" s="49"/>
    </row>
    <row r="59" spans="1:14" ht="15">
      <c r="A59" s="42" t="s">
        <v>60</v>
      </c>
      <c r="B59" s="51" t="s">
        <v>49</v>
      </c>
      <c r="C59" s="55" t="s">
        <v>61</v>
      </c>
      <c r="D59" s="129">
        <f>(0.89+0.94)*6*8163.2</f>
        <v>89631.936</v>
      </c>
      <c r="E59" s="46"/>
      <c r="F59" s="53"/>
      <c r="G59" s="54"/>
      <c r="I59" s="49">
        <v>1.43</v>
      </c>
      <c r="J59" s="49"/>
      <c r="K59" s="49"/>
      <c r="L59" s="49"/>
      <c r="M59" s="49"/>
      <c r="N59" s="49"/>
    </row>
    <row r="60" spans="1:14" ht="15">
      <c r="A60" s="42" t="s">
        <v>62</v>
      </c>
      <c r="B60" s="51" t="s">
        <v>63</v>
      </c>
      <c r="C60" s="52" t="s">
        <v>132</v>
      </c>
      <c r="D60" s="129">
        <f>(1.14+1.21)*6*8163.2</f>
        <v>115101.11999999998</v>
      </c>
      <c r="E60" s="46"/>
      <c r="F60" s="53"/>
      <c r="G60" s="54"/>
      <c r="I60" s="49"/>
      <c r="J60" s="49"/>
      <c r="K60" s="49"/>
      <c r="L60" s="49"/>
      <c r="M60" s="49"/>
      <c r="N60" s="49"/>
    </row>
    <row r="61" spans="1:14" ht="15">
      <c r="A61" s="42" t="s">
        <v>65</v>
      </c>
      <c r="B61" s="51" t="s">
        <v>66</v>
      </c>
      <c r="C61" s="55">
        <v>4.88</v>
      </c>
      <c r="D61" s="129">
        <f>4.88*12*8163.2</f>
        <v>478036.992</v>
      </c>
      <c r="E61" s="46"/>
      <c r="F61" s="53"/>
      <c r="H61" s="49" t="s">
        <v>37</v>
      </c>
      <c r="I61" s="49"/>
      <c r="J61" s="49"/>
      <c r="K61" s="49"/>
      <c r="L61" s="49"/>
      <c r="M61" s="49"/>
      <c r="N61" s="49"/>
    </row>
    <row r="62" spans="1:14" ht="15">
      <c r="A62" s="42" t="s">
        <v>67</v>
      </c>
      <c r="B62" s="51" t="s">
        <v>66</v>
      </c>
      <c r="C62" s="56" t="s">
        <v>313</v>
      </c>
      <c r="D62" s="129">
        <f>(2.15+2.28)*6*8163.2</f>
        <v>216977.85599999997</v>
      </c>
      <c r="E62" s="46">
        <f>E63+E64</f>
        <v>8163.2</v>
      </c>
      <c r="F62" s="53"/>
      <c r="H62" s="49"/>
      <c r="I62" s="49"/>
      <c r="J62" s="49"/>
      <c r="K62" s="49"/>
      <c r="L62" s="49"/>
      <c r="M62" s="49"/>
      <c r="N62" s="49"/>
    </row>
    <row r="63" spans="1:14" ht="15">
      <c r="A63" s="57" t="s">
        <v>69</v>
      </c>
      <c r="B63" s="51" t="s">
        <v>66</v>
      </c>
      <c r="C63" s="58" t="s">
        <v>270</v>
      </c>
      <c r="D63" s="129">
        <f>(0.78+0.83)*6*1783</f>
        <v>17223.78</v>
      </c>
      <c r="E63" s="46">
        <v>1783</v>
      </c>
      <c r="F63" s="53"/>
      <c r="H63" s="49"/>
      <c r="I63" s="49"/>
      <c r="J63" s="49"/>
      <c r="K63" s="49"/>
      <c r="L63" s="49"/>
      <c r="M63" s="49"/>
      <c r="N63" s="49"/>
    </row>
    <row r="64" spans="1:14" ht="15">
      <c r="A64" s="57" t="s">
        <v>71</v>
      </c>
      <c r="B64" s="51" t="s">
        <v>66</v>
      </c>
      <c r="C64" s="58" t="s">
        <v>163</v>
      </c>
      <c r="D64" s="129">
        <f>(5.5+5.83)*6*6380.2</f>
        <v>433725.996</v>
      </c>
      <c r="E64" s="46">
        <v>6380.2</v>
      </c>
      <c r="F64" s="53"/>
      <c r="H64" s="49"/>
      <c r="I64" s="49"/>
      <c r="J64" s="49"/>
      <c r="K64" s="49"/>
      <c r="L64" s="49"/>
      <c r="M64" s="49"/>
      <c r="N64" s="49"/>
    </row>
    <row r="65" spans="1:14" ht="15">
      <c r="A65" s="42" t="s">
        <v>314</v>
      </c>
      <c r="B65" s="51" t="s">
        <v>66</v>
      </c>
      <c r="C65" s="176" t="s">
        <v>74</v>
      </c>
      <c r="D65" s="129">
        <f>(2+2.12)*6*6124</f>
        <v>151385.28</v>
      </c>
      <c r="E65" s="46">
        <f>E62-2039.2</f>
        <v>6124</v>
      </c>
      <c r="F65" s="53"/>
      <c r="H65" s="49"/>
      <c r="I65" s="49"/>
      <c r="J65" s="49"/>
      <c r="K65" s="49"/>
      <c r="L65" s="49"/>
      <c r="M65" s="49"/>
      <c r="N65" s="49"/>
    </row>
    <row r="66" spans="1:14" ht="15">
      <c r="A66" s="42" t="s">
        <v>315</v>
      </c>
      <c r="B66" s="51"/>
      <c r="C66" s="176" t="s">
        <v>316</v>
      </c>
      <c r="D66" s="129">
        <f>2*6*2039.2</f>
        <v>24470.4</v>
      </c>
      <c r="E66" s="46">
        <v>2039.2</v>
      </c>
      <c r="F66" s="49"/>
      <c r="H66" s="49"/>
      <c r="I66" s="49"/>
      <c r="J66" s="49"/>
      <c r="K66" s="49"/>
      <c r="L66" s="49"/>
      <c r="M66" s="49"/>
      <c r="N66" s="49"/>
    </row>
    <row r="67" spans="1:14" ht="15">
      <c r="A67" s="42" t="s">
        <v>317</v>
      </c>
      <c r="B67" s="51"/>
      <c r="C67" s="177" t="s">
        <v>318</v>
      </c>
      <c r="D67" s="129">
        <f>2.12*4*2039.2</f>
        <v>17292.416</v>
      </c>
      <c r="E67" s="46"/>
      <c r="F67" s="49"/>
      <c r="H67" s="49"/>
      <c r="I67" s="49"/>
      <c r="J67" s="49"/>
      <c r="K67" s="49"/>
      <c r="L67" s="49"/>
      <c r="M67" s="49"/>
      <c r="N67" s="49"/>
    </row>
    <row r="68" spans="1:15" ht="15.75">
      <c r="A68" s="59" t="s">
        <v>75</v>
      </c>
      <c r="B68" s="60"/>
      <c r="C68" s="61"/>
      <c r="D68" s="62">
        <f>SUM(D54:D67)</f>
        <v>1990908.486</v>
      </c>
      <c r="E68" s="63">
        <f>D68+B20</f>
        <v>2243641.156</v>
      </c>
      <c r="F68" s="49"/>
      <c r="H68" s="64">
        <f>E68-B19</f>
        <v>10742.99599999981</v>
      </c>
      <c r="I68" s="49" t="s">
        <v>319</v>
      </c>
      <c r="J68" s="153"/>
      <c r="K68" s="153"/>
      <c r="L68" s="153"/>
      <c r="M68" s="153"/>
      <c r="N68" s="153"/>
      <c r="O68" s="99"/>
    </row>
    <row r="69" spans="1:5" ht="16.5" customHeight="1">
      <c r="A69" s="202" t="s">
        <v>76</v>
      </c>
      <c r="B69" s="202"/>
      <c r="C69" s="202"/>
      <c r="D69" s="65">
        <f>D70+D71+D72+D73+D74+D75+D76+D77+D78+D79+D80+D81+D82+D83+D84+D85+D86</f>
        <v>83740.6</v>
      </c>
      <c r="E69" s="66"/>
    </row>
    <row r="70" spans="1:5" ht="21.75" customHeight="1">
      <c r="A70" s="194" t="s">
        <v>402</v>
      </c>
      <c r="B70" s="68"/>
      <c r="C70" s="69"/>
      <c r="D70" s="65">
        <v>6161.47</v>
      </c>
      <c r="E70" s="66"/>
    </row>
    <row r="71" spans="1:5" ht="13.5" customHeight="1">
      <c r="A71" s="67" t="s">
        <v>320</v>
      </c>
      <c r="B71" s="68"/>
      <c r="C71" s="69"/>
      <c r="D71" s="65">
        <v>2884.82</v>
      </c>
      <c r="E71" s="66"/>
    </row>
    <row r="72" spans="1:5" ht="13.5" customHeight="1">
      <c r="A72" s="194" t="s">
        <v>403</v>
      </c>
      <c r="B72" s="68"/>
      <c r="C72" s="69"/>
      <c r="D72" s="65">
        <v>3194.84</v>
      </c>
      <c r="E72" s="66"/>
    </row>
    <row r="73" spans="1:5" ht="13.5" customHeight="1">
      <c r="A73" s="67" t="s">
        <v>321</v>
      </c>
      <c r="B73" s="68"/>
      <c r="C73" s="69"/>
      <c r="D73" s="65">
        <v>1726.3</v>
      </c>
      <c r="E73" s="66"/>
    </row>
    <row r="74" spans="1:5" ht="13.5" customHeight="1">
      <c r="A74" s="67" t="s">
        <v>322</v>
      </c>
      <c r="B74" s="68"/>
      <c r="C74" s="69"/>
      <c r="D74" s="65">
        <v>1342.42</v>
      </c>
      <c r="E74" s="66"/>
    </row>
    <row r="75" spans="1:5" ht="13.5" customHeight="1">
      <c r="A75" s="67" t="s">
        <v>323</v>
      </c>
      <c r="B75" s="68"/>
      <c r="C75" s="69"/>
      <c r="D75" s="65">
        <v>1809.66</v>
      </c>
      <c r="E75" s="66"/>
    </row>
    <row r="76" spans="1:5" ht="13.5" customHeight="1">
      <c r="A76" s="67" t="s">
        <v>324</v>
      </c>
      <c r="B76" s="68"/>
      <c r="C76" s="69"/>
      <c r="D76" s="65">
        <v>14376.01</v>
      </c>
      <c r="E76" s="66"/>
    </row>
    <row r="77" spans="1:5" ht="13.5" customHeight="1">
      <c r="A77" s="67" t="s">
        <v>325</v>
      </c>
      <c r="B77" s="68"/>
      <c r="C77" s="69"/>
      <c r="D77" s="65">
        <v>2461.48</v>
      </c>
      <c r="E77" s="66"/>
    </row>
    <row r="78" spans="1:5" ht="13.5" customHeight="1">
      <c r="A78" s="67" t="s">
        <v>326</v>
      </c>
      <c r="B78" s="68"/>
      <c r="C78" s="69"/>
      <c r="D78" s="65">
        <v>4209.61</v>
      </c>
      <c r="E78" s="66"/>
    </row>
    <row r="79" spans="1:5" ht="13.5" customHeight="1">
      <c r="A79" s="67" t="s">
        <v>327</v>
      </c>
      <c r="B79" s="68"/>
      <c r="C79" s="69"/>
      <c r="D79" s="65">
        <v>2276.89</v>
      </c>
      <c r="E79" s="66"/>
    </row>
    <row r="80" spans="1:5" ht="13.5" customHeight="1">
      <c r="A80" s="194" t="s">
        <v>404</v>
      </c>
      <c r="B80" s="68"/>
      <c r="C80" s="69"/>
      <c r="D80" s="65">
        <v>5940.2</v>
      </c>
      <c r="E80" s="66"/>
    </row>
    <row r="81" spans="1:5" ht="13.5" customHeight="1">
      <c r="A81" s="67" t="s">
        <v>328</v>
      </c>
      <c r="B81" s="68"/>
      <c r="C81" s="69"/>
      <c r="D81" s="65">
        <v>2497</v>
      </c>
      <c r="E81" s="66"/>
    </row>
    <row r="82" spans="1:5" ht="13.5" customHeight="1">
      <c r="A82" s="67" t="s">
        <v>329</v>
      </c>
      <c r="B82" s="68"/>
      <c r="C82" s="69"/>
      <c r="D82" s="65">
        <v>5212.73</v>
      </c>
      <c r="E82" s="66"/>
    </row>
    <row r="83" spans="1:5" ht="13.5" customHeight="1">
      <c r="A83" s="67" t="s">
        <v>330</v>
      </c>
      <c r="B83" s="68"/>
      <c r="C83" s="69"/>
      <c r="D83" s="65">
        <v>7238.73</v>
      </c>
      <c r="E83" s="66"/>
    </row>
    <row r="84" spans="1:5" ht="13.5" customHeight="1">
      <c r="A84" s="70" t="s">
        <v>331</v>
      </c>
      <c r="B84" s="71"/>
      <c r="C84" s="72"/>
      <c r="D84" s="65">
        <v>825</v>
      </c>
      <c r="E84" s="66"/>
    </row>
    <row r="85" spans="1:5" ht="13.5" customHeight="1">
      <c r="A85" s="70" t="s">
        <v>332</v>
      </c>
      <c r="B85" s="71"/>
      <c r="C85" s="72"/>
      <c r="D85" s="65">
        <v>9987.54</v>
      </c>
      <c r="E85" s="66"/>
    </row>
    <row r="86" spans="1:5" ht="13.5" customHeight="1">
      <c r="A86" s="196" t="s">
        <v>405</v>
      </c>
      <c r="B86" s="71"/>
      <c r="C86" s="72"/>
      <c r="D86" s="65">
        <v>11595.9</v>
      </c>
      <c r="E86" s="66"/>
    </row>
    <row r="87" spans="1:8" ht="19.5" customHeight="1">
      <c r="A87" s="73" t="s">
        <v>90</v>
      </c>
      <c r="B87" s="74"/>
      <c r="C87" s="75"/>
      <c r="D87" s="65">
        <f>D68+D69</f>
        <v>2074649.0860000001</v>
      </c>
      <c r="E87" s="66"/>
      <c r="H87" s="1" t="s">
        <v>37</v>
      </c>
    </row>
    <row r="88" spans="1:5" ht="21.75" customHeight="1">
      <c r="A88" s="73" t="s">
        <v>173</v>
      </c>
      <c r="B88" s="71"/>
      <c r="C88" s="72"/>
      <c r="D88" s="65">
        <f>D89+D90</f>
        <v>117981</v>
      </c>
      <c r="E88" s="66"/>
    </row>
    <row r="89" spans="1:5" ht="21.75" customHeight="1">
      <c r="A89" s="70" t="s">
        <v>333</v>
      </c>
      <c r="B89" s="71"/>
      <c r="C89" s="72"/>
      <c r="D89" s="65">
        <v>33370</v>
      </c>
      <c r="E89" s="66"/>
    </row>
    <row r="90" spans="1:5" ht="13.5" customHeight="1">
      <c r="A90" s="70" t="s">
        <v>334</v>
      </c>
      <c r="B90" s="71"/>
      <c r="C90" s="72"/>
      <c r="D90" s="65">
        <v>84611</v>
      </c>
      <c r="E90" s="66"/>
    </row>
    <row r="91" spans="1:5" ht="18" customHeight="1">
      <c r="A91" s="217" t="s">
        <v>93</v>
      </c>
      <c r="B91" s="217"/>
      <c r="C91" s="217"/>
      <c r="D91" s="119">
        <v>2073.6</v>
      </c>
      <c r="E91" s="66"/>
    </row>
    <row r="92" spans="1:5" ht="18" customHeight="1">
      <c r="A92" s="118" t="s">
        <v>94</v>
      </c>
      <c r="B92" s="118"/>
      <c r="C92" s="118"/>
      <c r="D92" s="119">
        <v>7040</v>
      </c>
      <c r="E92" s="66"/>
    </row>
    <row r="93" spans="1:8" ht="25.5" customHeight="1">
      <c r="A93" s="215" t="s">
        <v>95</v>
      </c>
      <c r="B93" s="215"/>
      <c r="C93" s="215"/>
      <c r="D93" s="120">
        <f>D94+D95</f>
        <v>94115.96000000002</v>
      </c>
      <c r="E93" s="66"/>
      <c r="H93" s="17"/>
    </row>
    <row r="94" spans="1:5" ht="15">
      <c r="A94" s="121" t="s">
        <v>96</v>
      </c>
      <c r="B94" s="122"/>
      <c r="C94" s="123"/>
      <c r="D94" s="124">
        <f>B15+B20+D91+D92-D69</f>
        <v>44675.18000000002</v>
      </c>
      <c r="E94" s="66"/>
    </row>
    <row r="95" spans="1:5" ht="15">
      <c r="A95" s="122" t="s">
        <v>15</v>
      </c>
      <c r="B95" s="122"/>
      <c r="C95" s="123"/>
      <c r="D95" s="124">
        <f>B16+B27-D88</f>
        <v>49440.78</v>
      </c>
      <c r="E95" s="66"/>
    </row>
    <row r="96" spans="1:5" ht="13.5" customHeight="1">
      <c r="A96" s="216" t="s">
        <v>97</v>
      </c>
      <c r="B96" s="216"/>
      <c r="C96" s="216"/>
      <c r="D96" s="125">
        <v>986686.89</v>
      </c>
      <c r="E96" s="66"/>
    </row>
    <row r="97" spans="1:4" ht="15">
      <c r="A97" s="208" t="s">
        <v>18</v>
      </c>
      <c r="B97" s="208"/>
      <c r="C97" s="208"/>
      <c r="D97" s="86"/>
    </row>
    <row r="98" spans="1:4" ht="13.5" customHeight="1">
      <c r="A98" s="208" t="s">
        <v>22</v>
      </c>
      <c r="B98" s="208"/>
      <c r="C98" s="208"/>
      <c r="D98" s="86">
        <f>D96*B19/B17</f>
        <v>306150.88007768715</v>
      </c>
    </row>
    <row r="99" spans="1:4" ht="13.5" customHeight="1">
      <c r="A99" s="208" t="s">
        <v>41</v>
      </c>
      <c r="B99" s="208"/>
      <c r="C99" s="208"/>
      <c r="D99" s="86">
        <f>D96*B27/B17</f>
        <v>28960.638458670288</v>
      </c>
    </row>
    <row r="100" spans="1:4" ht="13.5" customHeight="1">
      <c r="A100" s="208" t="s">
        <v>30</v>
      </c>
      <c r="B100" s="208"/>
      <c r="C100" s="208"/>
      <c r="D100" s="86">
        <f>D102+D103+D104+D105</f>
        <v>649515.6704462767</v>
      </c>
    </row>
    <row r="101" spans="1:4" ht="15">
      <c r="A101" s="208" t="s">
        <v>18</v>
      </c>
      <c r="B101" s="208"/>
      <c r="C101" s="208"/>
      <c r="D101" s="86"/>
    </row>
    <row r="102" spans="1:4" ht="13.5" customHeight="1">
      <c r="A102" s="208" t="s">
        <v>32</v>
      </c>
      <c r="B102" s="208"/>
      <c r="C102" s="208"/>
      <c r="D102" s="86">
        <f>D96*B30/B17</f>
        <v>42105.622397675215</v>
      </c>
    </row>
    <row r="103" spans="1:4" ht="15" customHeight="1">
      <c r="A103" s="208" t="s">
        <v>33</v>
      </c>
      <c r="B103" s="208"/>
      <c r="C103" s="208"/>
      <c r="D103" s="86">
        <f>D96*B31/B17</f>
        <v>92674.6296209019</v>
      </c>
    </row>
    <row r="104" spans="1:4" ht="15">
      <c r="A104" s="208" t="s">
        <v>34</v>
      </c>
      <c r="B104" s="208"/>
      <c r="C104" s="208"/>
      <c r="D104" s="86">
        <f>D96*B32/B17</f>
        <v>377829.6557180096</v>
      </c>
    </row>
    <row r="105" spans="1:4" ht="15" customHeight="1">
      <c r="A105" s="208" t="s">
        <v>35</v>
      </c>
      <c r="B105" s="208"/>
      <c r="C105" s="208"/>
      <c r="D105" s="86">
        <f>D96*B33/B17</f>
        <v>136905.76270968985</v>
      </c>
    </row>
    <row r="106" spans="1:4" ht="15" customHeight="1">
      <c r="A106" s="208" t="s">
        <v>36</v>
      </c>
      <c r="B106" s="208"/>
      <c r="C106" s="208"/>
      <c r="D106" s="86"/>
    </row>
    <row r="107" spans="1:4" ht="25.5" customHeight="1">
      <c r="A107" s="209" t="s">
        <v>98</v>
      </c>
      <c r="B107" s="209"/>
      <c r="C107" s="209"/>
      <c r="D107" s="209"/>
    </row>
    <row r="108" spans="1:4" ht="38.25">
      <c r="A108" s="87" t="s">
        <v>99</v>
      </c>
      <c r="B108" s="6" t="s">
        <v>100</v>
      </c>
      <c r="C108" s="6" t="s">
        <v>213</v>
      </c>
      <c r="D108" s="87" t="s">
        <v>102</v>
      </c>
    </row>
    <row r="109" spans="1:4" ht="12.75" customHeight="1">
      <c r="A109" s="43" t="s">
        <v>300</v>
      </c>
      <c r="B109" s="211" t="s">
        <v>104</v>
      </c>
      <c r="C109" s="25" t="s">
        <v>301</v>
      </c>
      <c r="D109" s="90" t="s">
        <v>105</v>
      </c>
    </row>
    <row r="110" spans="1:4" ht="12.75" customHeight="1">
      <c r="A110" s="43" t="s">
        <v>303</v>
      </c>
      <c r="B110" s="211"/>
      <c r="C110" s="25" t="s">
        <v>304</v>
      </c>
      <c r="D110" s="90" t="s">
        <v>105</v>
      </c>
    </row>
    <row r="111" spans="1:4" ht="12.75" customHeight="1">
      <c r="A111" s="43" t="s">
        <v>305</v>
      </c>
      <c r="B111" s="211"/>
      <c r="C111" s="25">
        <v>18.910000000000004</v>
      </c>
      <c r="D111" s="90" t="s">
        <v>105</v>
      </c>
    </row>
    <row r="112" spans="1:4" ht="12.75" customHeight="1">
      <c r="A112" s="43" t="s">
        <v>306</v>
      </c>
      <c r="B112" s="211"/>
      <c r="C112" s="25">
        <v>23.910000000000004</v>
      </c>
      <c r="D112" s="90" t="s">
        <v>105</v>
      </c>
    </row>
    <row r="113" spans="1:4" ht="12.75">
      <c r="A113" s="42" t="s">
        <v>41</v>
      </c>
      <c r="B113" s="211"/>
      <c r="C113" s="91">
        <v>2.7</v>
      </c>
      <c r="D113" s="92" t="s">
        <v>105</v>
      </c>
    </row>
    <row r="114" spans="1:4" ht="19.5" customHeight="1">
      <c r="A114" s="42" t="s">
        <v>32</v>
      </c>
      <c r="B114" s="212" t="s">
        <v>107</v>
      </c>
      <c r="C114" s="93" t="s">
        <v>108</v>
      </c>
      <c r="D114" s="192" t="s">
        <v>392</v>
      </c>
    </row>
    <row r="115" spans="1:4" ht="22.5" customHeight="1">
      <c r="A115" s="42" t="s">
        <v>33</v>
      </c>
      <c r="B115" s="212"/>
      <c r="C115" s="93" t="s">
        <v>110</v>
      </c>
      <c r="D115" s="192" t="s">
        <v>392</v>
      </c>
    </row>
    <row r="116" spans="1:4" ht="39.75" customHeight="1">
      <c r="A116" s="42" t="s">
        <v>34</v>
      </c>
      <c r="B116" s="94" t="s">
        <v>111</v>
      </c>
      <c r="C116" s="93" t="s">
        <v>112</v>
      </c>
      <c r="D116" s="92" t="s">
        <v>113</v>
      </c>
    </row>
    <row r="117" spans="1:4" ht="39" customHeight="1">
      <c r="A117" s="42" t="s">
        <v>35</v>
      </c>
      <c r="B117" s="95" t="s">
        <v>114</v>
      </c>
      <c r="C117" s="93" t="s">
        <v>115</v>
      </c>
      <c r="D117" s="192" t="s">
        <v>392</v>
      </c>
    </row>
    <row r="118" ht="12.75">
      <c r="H118" s="1" t="s">
        <v>37</v>
      </c>
    </row>
    <row r="119" ht="12.75">
      <c r="A119" t="s">
        <v>116</v>
      </c>
    </row>
    <row r="121" ht="12.75">
      <c r="A121" t="s">
        <v>117</v>
      </c>
    </row>
  </sheetData>
  <sheetProtection selectLockedCells="1" selectUnlockedCells="1"/>
  <mergeCells count="23">
    <mergeCell ref="A105:C105"/>
    <mergeCell ref="A106:C106"/>
    <mergeCell ref="A107:D107"/>
    <mergeCell ref="B109:B113"/>
    <mergeCell ref="B114:B115"/>
    <mergeCell ref="A99:C99"/>
    <mergeCell ref="A100:C100"/>
    <mergeCell ref="A101:C101"/>
    <mergeCell ref="A102:C102"/>
    <mergeCell ref="A103:C103"/>
    <mergeCell ref="A104:C104"/>
    <mergeCell ref="A69:C69"/>
    <mergeCell ref="A91:C91"/>
    <mergeCell ref="A93:C93"/>
    <mergeCell ref="A96:C96"/>
    <mergeCell ref="A97:C97"/>
    <mergeCell ref="A98:C9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="80" zoomScaleNormal="80" zoomScalePageLayoutView="0" workbookViewId="0" topLeftCell="A1">
      <selection activeCell="A1" sqref="A1:D1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335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336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8" ht="36.75" customHeight="1">
      <c r="A14" s="9" t="s">
        <v>13</v>
      </c>
      <c r="B14" s="10">
        <f>B15+B16</f>
        <v>-218308.61000000002</v>
      </c>
      <c r="C14" s="96"/>
      <c r="D14" s="12"/>
      <c r="E14" s="1"/>
      <c r="F14" s="1"/>
      <c r="G14" s="1"/>
      <c r="H14" s="1"/>
    </row>
    <row r="15" spans="1:8" ht="15.75">
      <c r="A15" s="13" t="s">
        <v>14</v>
      </c>
      <c r="B15" s="10">
        <v>-174024.17</v>
      </c>
      <c r="C15" s="96"/>
      <c r="D15" s="12"/>
      <c r="E15" s="1"/>
      <c r="F15" s="1"/>
      <c r="G15" s="1"/>
      <c r="H15" s="1"/>
    </row>
    <row r="16" spans="1:8" ht="15.75">
      <c r="A16" s="14" t="s">
        <v>15</v>
      </c>
      <c r="B16" s="10">
        <v>-44284.44</v>
      </c>
      <c r="C16" s="96"/>
      <c r="D16" s="12"/>
      <c r="E16" s="1"/>
      <c r="F16" s="1"/>
      <c r="G16" s="1"/>
      <c r="H16" s="1"/>
    </row>
    <row r="17" spans="1:8" ht="31.5">
      <c r="A17" s="15" t="s">
        <v>16</v>
      </c>
      <c r="B17" s="97">
        <f>B19+B23+B24+B25</f>
        <v>3937704.84</v>
      </c>
      <c r="C17" s="11" t="s">
        <v>17</v>
      </c>
      <c r="D17" s="12" t="s">
        <v>17</v>
      </c>
      <c r="E17" s="22">
        <f>SUM(E18:E31)</f>
        <v>139375.85673531573</v>
      </c>
      <c r="F17" s="1"/>
      <c r="G17" s="1"/>
      <c r="H17" s="1"/>
    </row>
    <row r="18" spans="1:8" ht="15">
      <c r="A18" s="7" t="s">
        <v>18</v>
      </c>
      <c r="B18" s="16"/>
      <c r="C18" s="11"/>
      <c r="D18" s="12"/>
      <c r="E18" s="1"/>
      <c r="F18" s="1"/>
      <c r="G18" s="1"/>
      <c r="H18" s="1"/>
    </row>
    <row r="19" spans="1:8" ht="15">
      <c r="A19" s="7" t="s">
        <v>22</v>
      </c>
      <c r="B19" s="97">
        <v>1325312.28</v>
      </c>
      <c r="C19" s="11"/>
      <c r="D19" s="12"/>
      <c r="E19" s="1"/>
      <c r="F19" s="1"/>
      <c r="G19" s="1"/>
      <c r="H19" s="1"/>
    </row>
    <row r="20" spans="1:8" ht="15">
      <c r="A20" s="7" t="s">
        <v>153</v>
      </c>
      <c r="B20" s="97">
        <v>139374.63</v>
      </c>
      <c r="C20" s="18" t="s">
        <v>337</v>
      </c>
      <c r="D20" s="19"/>
      <c r="E20" s="1">
        <f>(1.48+3.31)*6*4849.5</f>
        <v>139374.63</v>
      </c>
      <c r="F20" s="1"/>
      <c r="G20" s="1"/>
      <c r="H20" s="1"/>
    </row>
    <row r="21" spans="1:8" ht="15">
      <c r="A21" s="7" t="s">
        <v>155</v>
      </c>
      <c r="B21" s="16"/>
      <c r="C21" s="25" t="s">
        <v>301</v>
      </c>
      <c r="D21" s="19"/>
      <c r="E21" s="22">
        <f>B21/B17*1</f>
        <v>0</v>
      </c>
      <c r="F21" s="1"/>
      <c r="G21" s="1"/>
      <c r="H21" s="1"/>
    </row>
    <row r="22" spans="1:8" ht="15">
      <c r="A22" s="7" t="s">
        <v>157</v>
      </c>
      <c r="B22" s="16"/>
      <c r="C22" s="25" t="s">
        <v>338</v>
      </c>
      <c r="D22" s="19"/>
      <c r="E22" s="22"/>
      <c r="F22" s="1"/>
      <c r="G22" s="1"/>
      <c r="H22" s="1"/>
    </row>
    <row r="23" spans="1:8" ht="15.75">
      <c r="A23" s="131" t="s">
        <v>159</v>
      </c>
      <c r="B23" s="101">
        <v>130074.66</v>
      </c>
      <c r="C23" s="18">
        <v>2.7</v>
      </c>
      <c r="D23" s="19"/>
      <c r="E23" s="22"/>
      <c r="F23" s="1"/>
      <c r="G23" s="1"/>
      <c r="H23" s="1"/>
    </row>
    <row r="24" spans="1:8" ht="15">
      <c r="A24" s="7" t="s">
        <v>307</v>
      </c>
      <c r="B24" s="97">
        <v>1350.3</v>
      </c>
      <c r="C24" s="18" t="s">
        <v>126</v>
      </c>
      <c r="D24" s="19"/>
      <c r="E24" s="1"/>
      <c r="F24" s="1"/>
      <c r="G24" s="1"/>
      <c r="H24" s="1"/>
    </row>
    <row r="25" spans="1:8" ht="15">
      <c r="A25" s="131" t="s">
        <v>30</v>
      </c>
      <c r="B25" s="97">
        <f>B27+B28+B29+B30</f>
        <v>2480967.6</v>
      </c>
      <c r="C25" s="18"/>
      <c r="D25" s="19"/>
      <c r="E25" s="22">
        <f>B25/B17*1</f>
        <v>0.6300542323024902</v>
      </c>
      <c r="F25" s="1"/>
      <c r="G25" s="1"/>
      <c r="H25" s="1"/>
    </row>
    <row r="26" spans="1:8" ht="15">
      <c r="A26" s="7" t="s">
        <v>18</v>
      </c>
      <c r="B26" s="16"/>
      <c r="C26" s="24" t="s">
        <v>17</v>
      </c>
      <c r="D26" s="19" t="s">
        <v>31</v>
      </c>
      <c r="E26" s="1"/>
      <c r="F26" s="1"/>
      <c r="G26" s="1"/>
      <c r="H26" s="1"/>
    </row>
    <row r="27" spans="1:8" ht="15">
      <c r="A27" s="7" t="s">
        <v>32</v>
      </c>
      <c r="B27" s="97">
        <v>131413.61</v>
      </c>
      <c r="C27" s="24"/>
      <c r="D27" s="19"/>
      <c r="E27" s="1"/>
      <c r="F27" s="1"/>
      <c r="G27" s="1"/>
      <c r="H27" s="1"/>
    </row>
    <row r="28" spans="1:8" ht="15">
      <c r="A28" s="7" t="s">
        <v>33</v>
      </c>
      <c r="B28" s="97">
        <v>285658.46</v>
      </c>
      <c r="C28" s="133" t="s">
        <v>17</v>
      </c>
      <c r="D28" s="26">
        <v>65.21</v>
      </c>
      <c r="E28" s="22">
        <f>B28/B17*1</f>
        <v>0.07254440635017226</v>
      </c>
      <c r="F28" s="1"/>
      <c r="G28" s="1"/>
      <c r="H28" s="1"/>
    </row>
    <row r="29" spans="1:8" ht="15">
      <c r="A29" s="7" t="s">
        <v>34</v>
      </c>
      <c r="B29" s="97">
        <v>1660868</v>
      </c>
      <c r="C29" s="133" t="s">
        <v>17</v>
      </c>
      <c r="D29" s="26">
        <v>119.63</v>
      </c>
      <c r="E29" s="22">
        <f>B29/B17*1</f>
        <v>0.4217858035291442</v>
      </c>
      <c r="F29" s="1"/>
      <c r="G29" s="1"/>
      <c r="H29" s="1"/>
    </row>
    <row r="30" spans="1:8" ht="15">
      <c r="A30" s="7" t="s">
        <v>35</v>
      </c>
      <c r="B30" s="97">
        <v>403027.53</v>
      </c>
      <c r="C30" s="133"/>
      <c r="D30" s="26"/>
      <c r="E30" s="22">
        <f>B30/B17*1</f>
        <v>0.10235087351036704</v>
      </c>
      <c r="F30" s="1"/>
      <c r="G30" s="1"/>
      <c r="H30" s="1"/>
    </row>
    <row r="31" spans="1:8" ht="15">
      <c r="A31" s="7"/>
      <c r="B31" s="16"/>
      <c r="C31" s="133" t="s">
        <v>17</v>
      </c>
      <c r="D31" s="26">
        <v>139.18</v>
      </c>
      <c r="E31" s="22">
        <f>B31/B17*1</f>
        <v>0</v>
      </c>
      <c r="F31" s="1"/>
      <c r="G31" s="1"/>
      <c r="H31" s="1"/>
    </row>
    <row r="32" spans="1:8" ht="31.5">
      <c r="A32" s="27" t="s">
        <v>38</v>
      </c>
      <c r="B32" s="28">
        <v>3911026.76</v>
      </c>
      <c r="C32" s="96"/>
      <c r="D32" s="12" t="s">
        <v>17</v>
      </c>
      <c r="E32" s="1">
        <f>B32/B17</f>
        <v>0.9932249670597454</v>
      </c>
      <c r="F32" s="1"/>
      <c r="G32" s="1"/>
      <c r="H32" s="1"/>
    </row>
    <row r="33" spans="1:4" ht="15">
      <c r="A33" s="30" t="s">
        <v>18</v>
      </c>
      <c r="B33" s="28"/>
      <c r="C33" s="102"/>
      <c r="D33" s="12" t="s">
        <v>17</v>
      </c>
    </row>
    <row r="34" spans="1:5" ht="15">
      <c r="A34" s="30" t="s">
        <v>22</v>
      </c>
      <c r="B34" s="28">
        <f>B32*E34</f>
        <v>1316333.245646876</v>
      </c>
      <c r="C34" s="96" t="s">
        <v>17</v>
      </c>
      <c r="D34" s="12" t="s">
        <v>17</v>
      </c>
      <c r="E34" s="1">
        <f>B19/B17</f>
        <v>0.3365697363949707</v>
      </c>
    </row>
    <row r="35" spans="1:5" ht="15">
      <c r="A35" s="30" t="s">
        <v>41</v>
      </c>
      <c r="B35" s="28">
        <f>B32*E35</f>
        <v>129193.3998938076</v>
      </c>
      <c r="C35" s="96" t="s">
        <v>17</v>
      </c>
      <c r="D35" s="12"/>
      <c r="E35" s="1">
        <f>B23/B17</f>
        <v>0.033033115808649594</v>
      </c>
    </row>
    <row r="36" spans="1:5" ht="15">
      <c r="A36" s="30" t="s">
        <v>30</v>
      </c>
      <c r="B36" s="28">
        <f>B38+B39+B40+B41</f>
        <v>2464158.9627862955</v>
      </c>
      <c r="C36" s="96"/>
      <c r="D36" s="12"/>
      <c r="E36" s="1"/>
    </row>
    <row r="37" spans="1:5" ht="15">
      <c r="A37" s="30" t="s">
        <v>18</v>
      </c>
      <c r="B37" s="28"/>
      <c r="C37" s="96" t="s">
        <v>17</v>
      </c>
      <c r="D37" s="12"/>
      <c r="E37" s="1"/>
    </row>
    <row r="38" spans="1:5" ht="15">
      <c r="A38" s="30" t="s">
        <v>32</v>
      </c>
      <c r="B38" s="28">
        <f>B32*E38</f>
        <v>130523.27846345221</v>
      </c>
      <c r="C38" s="96" t="s">
        <v>17</v>
      </c>
      <c r="D38" s="12"/>
      <c r="E38" s="1">
        <f>B27/B17</f>
        <v>0.03337314891280678</v>
      </c>
    </row>
    <row r="39" spans="1:5" ht="15">
      <c r="A39" s="30" t="s">
        <v>33</v>
      </c>
      <c r="B39" s="28">
        <f>B32*E39</f>
        <v>283723.11452383763</v>
      </c>
      <c r="C39" s="96" t="s">
        <v>17</v>
      </c>
      <c r="D39" s="12"/>
      <c r="E39" s="1">
        <f>B28/B17</f>
        <v>0.07254440635017226</v>
      </c>
    </row>
    <row r="40" spans="1:5" ht="15">
      <c r="A40" s="30" t="s">
        <v>34</v>
      </c>
      <c r="B40" s="28">
        <f>B32*E40</f>
        <v>1649615.5645905852</v>
      </c>
      <c r="C40" s="96"/>
      <c r="D40" s="12"/>
      <c r="E40" s="1">
        <f>B29/B17</f>
        <v>0.4217858035291442</v>
      </c>
    </row>
    <row r="41" spans="1:5" ht="15">
      <c r="A41" s="30" t="s">
        <v>35</v>
      </c>
      <c r="B41" s="28">
        <f>B32*E41</f>
        <v>400297.00520842057</v>
      </c>
      <c r="C41" s="96"/>
      <c r="D41" s="12"/>
      <c r="E41" s="1">
        <f>B30/B17</f>
        <v>0.10235087351036704</v>
      </c>
    </row>
    <row r="42" spans="1:4" ht="15">
      <c r="A42" s="30" t="s">
        <v>36</v>
      </c>
      <c r="B42" s="28"/>
      <c r="C42" s="96"/>
      <c r="D42" s="12"/>
    </row>
    <row r="43" spans="1:4" ht="47.25">
      <c r="A43" s="31" t="s">
        <v>42</v>
      </c>
      <c r="B43" s="28">
        <f>B45+B46+B47+B48</f>
        <v>2464158.9627862955</v>
      </c>
      <c r="C43" s="96" t="s">
        <v>17</v>
      </c>
      <c r="D43" s="12" t="s">
        <v>17</v>
      </c>
    </row>
    <row r="44" spans="1:4" ht="15">
      <c r="A44" s="30" t="s">
        <v>18</v>
      </c>
      <c r="B44" s="28"/>
      <c r="C44" s="96" t="s">
        <v>17</v>
      </c>
      <c r="D44" s="12"/>
    </row>
    <row r="45" spans="1:4" ht="15">
      <c r="A45" s="30" t="s">
        <v>32</v>
      </c>
      <c r="B45" s="28">
        <f>B38</f>
        <v>130523.27846345221</v>
      </c>
      <c r="C45" s="96"/>
      <c r="D45" s="12"/>
    </row>
    <row r="46" spans="1:4" ht="15">
      <c r="A46" s="30" t="s">
        <v>33</v>
      </c>
      <c r="B46" s="28">
        <f>B39</f>
        <v>283723.11452383763</v>
      </c>
      <c r="C46" s="96" t="s">
        <v>17</v>
      </c>
      <c r="D46" s="12"/>
    </row>
    <row r="47" spans="1:4" ht="15">
      <c r="A47" s="30" t="s">
        <v>34</v>
      </c>
      <c r="B47" s="28">
        <f>B40</f>
        <v>1649615.5645905852</v>
      </c>
      <c r="C47" s="96" t="s">
        <v>17</v>
      </c>
      <c r="D47" s="12"/>
    </row>
    <row r="48" spans="1:4" ht="15">
      <c r="A48" s="30" t="s">
        <v>35</v>
      </c>
      <c r="B48" s="28">
        <f>B41</f>
        <v>400297.00520842057</v>
      </c>
      <c r="C48" s="96" t="s">
        <v>17</v>
      </c>
      <c r="D48" s="12"/>
    </row>
    <row r="49" spans="1:4" ht="15">
      <c r="A49" s="33" t="s">
        <v>36</v>
      </c>
      <c r="B49" s="34"/>
      <c r="C49" s="103" t="s">
        <v>17</v>
      </c>
      <c r="D49" s="36"/>
    </row>
    <row r="50" spans="1:10" ht="31.5" customHeight="1">
      <c r="A50" s="178" t="s">
        <v>43</v>
      </c>
      <c r="B50" s="178"/>
      <c r="C50" s="128" t="s">
        <v>8</v>
      </c>
      <c r="D50" s="37"/>
      <c r="I50" s="148"/>
      <c r="J50" s="148"/>
    </row>
    <row r="51" spans="1:14" ht="63.75">
      <c r="A51" s="39" t="s">
        <v>44</v>
      </c>
      <c r="B51" s="39" t="s">
        <v>45</v>
      </c>
      <c r="C51" s="39" t="s">
        <v>46</v>
      </c>
      <c r="D51" s="191" t="s">
        <v>389</v>
      </c>
      <c r="E51" s="179"/>
      <c r="I51" s="41"/>
      <c r="J51" s="41"/>
      <c r="K51" s="41"/>
      <c r="L51" s="41"/>
      <c r="M51" s="41"/>
      <c r="N51" s="41"/>
    </row>
    <row r="52" spans="1:14" ht="15">
      <c r="A52" s="42" t="s">
        <v>48</v>
      </c>
      <c r="B52" s="43" t="s">
        <v>49</v>
      </c>
      <c r="C52" s="44" t="s">
        <v>311</v>
      </c>
      <c r="D52" s="129">
        <f>(0.19+0.25)*6*4849.5</f>
        <v>12802.68</v>
      </c>
      <c r="E52" s="46"/>
      <c r="F52" s="7"/>
      <c r="G52" s="8"/>
      <c r="H52" s="180"/>
      <c r="I52" s="50"/>
      <c r="J52" s="50"/>
      <c r="K52" s="50"/>
      <c r="L52" s="50"/>
      <c r="M52" s="50"/>
      <c r="N52" s="50"/>
    </row>
    <row r="53" spans="1:14" ht="15">
      <c r="A53" s="42" t="s">
        <v>51</v>
      </c>
      <c r="B53" s="43" t="s">
        <v>52</v>
      </c>
      <c r="C53" s="156" t="s">
        <v>53</v>
      </c>
      <c r="D53" s="129">
        <f>(2.1+2.23)*6*4849.5</f>
        <v>125990.01000000001</v>
      </c>
      <c r="E53" s="46"/>
      <c r="F53" s="7"/>
      <c r="G53" s="8"/>
      <c r="H53" s="180"/>
      <c r="I53" s="50"/>
      <c r="J53" s="50"/>
      <c r="K53" s="50"/>
      <c r="L53" s="50"/>
      <c r="M53" s="50"/>
      <c r="N53" s="50"/>
    </row>
    <row r="54" spans="1:14" ht="15">
      <c r="A54" s="42" t="s">
        <v>54</v>
      </c>
      <c r="B54" s="43" t="s">
        <v>52</v>
      </c>
      <c r="C54" s="156" t="s">
        <v>55</v>
      </c>
      <c r="D54" s="129">
        <f>(1.2+2.27)*6*4849.5</f>
        <v>100966.59</v>
      </c>
      <c r="E54" s="46"/>
      <c r="F54" s="7"/>
      <c r="G54" s="8"/>
      <c r="H54" s="180"/>
      <c r="I54" s="50"/>
      <c r="J54" s="50"/>
      <c r="K54" s="50"/>
      <c r="L54" s="50"/>
      <c r="M54" s="50"/>
      <c r="N54" s="50"/>
    </row>
    <row r="55" spans="1:14" ht="15">
      <c r="A55" s="42" t="s">
        <v>56</v>
      </c>
      <c r="B55" s="43" t="s">
        <v>49</v>
      </c>
      <c r="C55" s="44" t="s">
        <v>129</v>
      </c>
      <c r="D55" s="129">
        <f>(0.2+0.21)*6*4849.5</f>
        <v>11929.77</v>
      </c>
      <c r="E55" s="46"/>
      <c r="F55" s="7"/>
      <c r="G55" s="8"/>
      <c r="H55" s="180"/>
      <c r="I55" s="50"/>
      <c r="J55" s="50"/>
      <c r="K55" s="50"/>
      <c r="L55" s="50"/>
      <c r="M55" s="50"/>
      <c r="N55" s="50"/>
    </row>
    <row r="56" spans="1:14" ht="15">
      <c r="A56" s="42" t="s">
        <v>58</v>
      </c>
      <c r="B56" s="194" t="s">
        <v>49</v>
      </c>
      <c r="C56" s="52" t="s">
        <v>339</v>
      </c>
      <c r="D56" s="129">
        <f>12812.56+0.3</f>
        <v>12812.859999999999</v>
      </c>
      <c r="E56" s="46">
        <f>(1.64+0.5)*6*4849.5-1.17*6*957.7-1.83*6*3891.8</f>
        <v>12812.561999999976</v>
      </c>
      <c r="F56" s="53"/>
      <c r="G56" s="54"/>
      <c r="H56" s="46"/>
      <c r="I56" s="49">
        <v>1.17</v>
      </c>
      <c r="J56" s="50"/>
      <c r="K56" s="50"/>
      <c r="L56" s="50"/>
      <c r="M56" s="50"/>
      <c r="N56" s="50"/>
    </row>
    <row r="57" spans="1:14" ht="15">
      <c r="A57" s="42" t="s">
        <v>60</v>
      </c>
      <c r="B57" s="51" t="s">
        <v>49</v>
      </c>
      <c r="C57" s="55" t="s">
        <v>61</v>
      </c>
      <c r="D57" s="129">
        <f>(0.89+0.94)*6*4849.5</f>
        <v>53247.51</v>
      </c>
      <c r="E57" s="46"/>
      <c r="F57" s="53"/>
      <c r="G57" s="54"/>
      <c r="H57" s="1"/>
      <c r="I57" s="49">
        <v>1.83</v>
      </c>
      <c r="J57" s="50"/>
      <c r="K57" s="50"/>
      <c r="L57" s="50"/>
      <c r="M57" s="50"/>
      <c r="N57" s="50"/>
    </row>
    <row r="58" spans="1:14" ht="15">
      <c r="A58" s="42" t="s">
        <v>62</v>
      </c>
      <c r="B58" s="51" t="s">
        <v>63</v>
      </c>
      <c r="C58" s="52" t="s">
        <v>132</v>
      </c>
      <c r="D58" s="129">
        <f>(1.14+1.21)*6*4849.5</f>
        <v>68377.94999999998</v>
      </c>
      <c r="E58" s="46"/>
      <c r="F58" s="53"/>
      <c r="G58" s="54"/>
      <c r="H58" s="1"/>
      <c r="I58" s="49"/>
      <c r="J58" s="50"/>
      <c r="K58" s="50"/>
      <c r="L58" s="50"/>
      <c r="M58" s="50"/>
      <c r="N58" s="50"/>
    </row>
    <row r="59" spans="1:14" ht="15">
      <c r="A59" s="42" t="s">
        <v>65</v>
      </c>
      <c r="B59" s="51" t="s">
        <v>66</v>
      </c>
      <c r="C59" s="55">
        <v>4.88</v>
      </c>
      <c r="D59" s="129">
        <f>4.88*12*4849.5</f>
        <v>283986.72000000003</v>
      </c>
      <c r="E59" s="46"/>
      <c r="F59" s="53"/>
      <c r="G59" s="1"/>
      <c r="H59" s="49" t="s">
        <v>37</v>
      </c>
      <c r="I59" s="49"/>
      <c r="J59" s="50"/>
      <c r="K59" s="50"/>
      <c r="L59" s="50"/>
      <c r="M59" s="50"/>
      <c r="N59" s="50"/>
    </row>
    <row r="60" spans="1:14" ht="15">
      <c r="A60" s="42" t="s">
        <v>67</v>
      </c>
      <c r="B60" s="51" t="s">
        <v>66</v>
      </c>
      <c r="C60" s="56" t="s">
        <v>133</v>
      </c>
      <c r="D60" s="129">
        <f>(2.15+2.28)*6*4849.5</f>
        <v>128899.70999999999</v>
      </c>
      <c r="E60" s="46"/>
      <c r="F60" s="53"/>
      <c r="G60" s="1"/>
      <c r="H60" s="49"/>
      <c r="I60" s="49"/>
      <c r="J60" s="50" t="s">
        <v>37</v>
      </c>
      <c r="K60" s="50"/>
      <c r="L60" s="50"/>
      <c r="M60" s="50"/>
      <c r="N60" s="50"/>
    </row>
    <row r="61" spans="1:14" ht="15">
      <c r="A61" s="57" t="s">
        <v>69</v>
      </c>
      <c r="B61" s="51" t="s">
        <v>66</v>
      </c>
      <c r="C61" s="58" t="s">
        <v>270</v>
      </c>
      <c r="D61" s="129">
        <f>(0.78+0.83)*6*957.7</f>
        <v>9251.382000000001</v>
      </c>
      <c r="E61" s="46"/>
      <c r="F61" s="53"/>
      <c r="G61" s="1"/>
      <c r="H61" s="49"/>
      <c r="I61" s="49"/>
      <c r="J61" s="50"/>
      <c r="K61" s="50"/>
      <c r="L61" s="50"/>
      <c r="M61" s="50"/>
      <c r="N61" s="50"/>
    </row>
    <row r="62" spans="1:14" ht="15">
      <c r="A62" s="57" t="s">
        <v>71</v>
      </c>
      <c r="B62" s="51" t="s">
        <v>66</v>
      </c>
      <c r="C62" s="58" t="s">
        <v>340</v>
      </c>
      <c r="D62" s="129">
        <f>(5.36+5.68)*6*3891.8</f>
        <v>257792.832</v>
      </c>
      <c r="E62" s="46"/>
      <c r="F62" s="53"/>
      <c r="G62" s="1"/>
      <c r="H62" s="49"/>
      <c r="I62" s="49"/>
      <c r="J62" s="50"/>
      <c r="K62" s="50"/>
      <c r="L62" s="50"/>
      <c r="M62" s="50"/>
      <c r="N62" s="50"/>
    </row>
    <row r="63" spans="1:14" ht="15">
      <c r="A63" s="42" t="s">
        <v>73</v>
      </c>
      <c r="B63" s="51" t="s">
        <v>66</v>
      </c>
      <c r="C63" s="56" t="s">
        <v>272</v>
      </c>
      <c r="D63" s="129">
        <f>(2+2.12)*6*4849.5</f>
        <v>119879.64</v>
      </c>
      <c r="E63" s="46"/>
      <c r="F63" s="53"/>
      <c r="G63" s="1"/>
      <c r="H63" s="49"/>
      <c r="I63" s="49"/>
      <c r="J63" s="50" t="s">
        <v>37</v>
      </c>
      <c r="K63" s="50"/>
      <c r="L63" s="50"/>
      <c r="M63" s="50"/>
      <c r="N63" s="50"/>
    </row>
    <row r="64" spans="1:14" ht="15.75">
      <c r="A64" s="59" t="s">
        <v>75</v>
      </c>
      <c r="B64" s="60"/>
      <c r="C64" s="61"/>
      <c r="D64" s="62">
        <f>SUM(D52:D63)</f>
        <v>1185937.6539999999</v>
      </c>
      <c r="E64" s="63">
        <f>D64+B20</f>
        <v>1325312.284</v>
      </c>
      <c r="F64" s="49"/>
      <c r="G64" s="1"/>
      <c r="H64" s="64">
        <f>E64-B19</f>
        <v>0.003999999957159162</v>
      </c>
      <c r="I64" s="49"/>
      <c r="J64" s="50"/>
      <c r="K64" s="50"/>
      <c r="L64" s="50"/>
      <c r="M64" s="50"/>
      <c r="N64" s="50"/>
    </row>
    <row r="65" spans="1:5" ht="16.5" customHeight="1">
      <c r="A65" s="202" t="s">
        <v>76</v>
      </c>
      <c r="B65" s="202"/>
      <c r="C65" s="202"/>
      <c r="D65" s="65">
        <f>D66+D67+D68+D69+D70+D71+D72+D73+D74+D75</f>
        <v>117061.86</v>
      </c>
      <c r="E65" s="181"/>
    </row>
    <row r="66" spans="1:5" ht="21.75" customHeight="1">
      <c r="A66" s="194" t="s">
        <v>406</v>
      </c>
      <c r="B66" s="68"/>
      <c r="C66" s="69"/>
      <c r="D66" s="65">
        <v>4873.02</v>
      </c>
      <c r="E66" s="167"/>
    </row>
    <row r="67" spans="1:5" ht="13.5" customHeight="1">
      <c r="A67" s="67" t="s">
        <v>341</v>
      </c>
      <c r="B67" s="68"/>
      <c r="C67" s="69"/>
      <c r="D67" s="65">
        <v>31838.32</v>
      </c>
      <c r="E67" s="167"/>
    </row>
    <row r="68" spans="1:5" ht="13.5" customHeight="1">
      <c r="A68" s="67" t="s">
        <v>342</v>
      </c>
      <c r="B68" s="68"/>
      <c r="C68" s="69"/>
      <c r="D68" s="65">
        <v>4722.34</v>
      </c>
      <c r="E68" s="167"/>
    </row>
    <row r="69" spans="1:5" ht="13.5" customHeight="1">
      <c r="A69" s="67" t="s">
        <v>343</v>
      </c>
      <c r="B69" s="68"/>
      <c r="C69" s="69"/>
      <c r="D69" s="65">
        <v>1847.71</v>
      </c>
      <c r="E69" s="167"/>
    </row>
    <row r="70" spans="1:5" ht="13.5" customHeight="1">
      <c r="A70" s="67" t="s">
        <v>344</v>
      </c>
      <c r="B70" s="68"/>
      <c r="C70" s="69"/>
      <c r="D70" s="65">
        <v>848.42</v>
      </c>
      <c r="E70" s="167"/>
    </row>
    <row r="71" spans="1:5" ht="13.5" customHeight="1">
      <c r="A71" s="67" t="s">
        <v>345</v>
      </c>
      <c r="B71" s="68"/>
      <c r="C71" s="69"/>
      <c r="D71" s="65">
        <v>15141.76</v>
      </c>
      <c r="E71" s="167"/>
    </row>
    <row r="72" spans="1:5" ht="13.5" customHeight="1">
      <c r="A72" s="67" t="s">
        <v>346</v>
      </c>
      <c r="B72" s="68"/>
      <c r="C72" s="69"/>
      <c r="D72" s="65">
        <v>1828</v>
      </c>
      <c r="E72" s="167"/>
    </row>
    <row r="73" spans="1:5" ht="13.5" customHeight="1">
      <c r="A73" s="67" t="s">
        <v>347</v>
      </c>
      <c r="B73" s="68"/>
      <c r="C73" s="69"/>
      <c r="D73" s="65">
        <v>5083.6</v>
      </c>
      <c r="E73" s="167"/>
    </row>
    <row r="74" spans="1:5" ht="13.5" customHeight="1">
      <c r="A74" s="67" t="s">
        <v>348</v>
      </c>
      <c r="B74" s="68"/>
      <c r="C74" s="69"/>
      <c r="D74" s="65">
        <v>6666.69</v>
      </c>
      <c r="E74" s="167"/>
    </row>
    <row r="75" spans="1:5" ht="13.5" customHeight="1">
      <c r="A75" s="67" t="s">
        <v>349</v>
      </c>
      <c r="B75" s="68"/>
      <c r="C75" s="69"/>
      <c r="D75" s="65">
        <v>44212</v>
      </c>
      <c r="E75" s="167"/>
    </row>
    <row r="76" spans="1:8" ht="19.5" customHeight="1">
      <c r="A76" s="73" t="s">
        <v>90</v>
      </c>
      <c r="B76" s="74"/>
      <c r="C76" s="75"/>
      <c r="D76" s="65">
        <f>D64+D65</f>
        <v>1302999.514</v>
      </c>
      <c r="E76" s="167"/>
      <c r="H76" t="s">
        <v>37</v>
      </c>
    </row>
    <row r="77" spans="1:5" ht="21.75" customHeight="1">
      <c r="A77" s="73" t="s">
        <v>173</v>
      </c>
      <c r="B77" s="71"/>
      <c r="C77" s="72"/>
      <c r="D77" s="65">
        <f>D78</f>
        <v>139329</v>
      </c>
      <c r="E77" s="167"/>
    </row>
    <row r="78" spans="1:5" ht="21.75" customHeight="1">
      <c r="A78" s="70" t="s">
        <v>350</v>
      </c>
      <c r="B78" s="71"/>
      <c r="C78" s="72"/>
      <c r="D78" s="65">
        <v>139329</v>
      </c>
      <c r="E78" s="167"/>
    </row>
    <row r="79" spans="1:5" ht="18" customHeight="1">
      <c r="A79" s="204" t="s">
        <v>93</v>
      </c>
      <c r="B79" s="204"/>
      <c r="C79" s="204"/>
      <c r="D79" s="77">
        <v>1036.8</v>
      </c>
      <c r="E79" s="167"/>
    </row>
    <row r="80" spans="1:5" ht="18" customHeight="1">
      <c r="A80" s="118" t="s">
        <v>94</v>
      </c>
      <c r="B80" s="118"/>
      <c r="C80" s="118"/>
      <c r="D80" s="119">
        <v>3520</v>
      </c>
      <c r="E80" s="167"/>
    </row>
    <row r="81" spans="1:8" ht="25.5" customHeight="1">
      <c r="A81" s="215" t="s">
        <v>95</v>
      </c>
      <c r="B81" s="215"/>
      <c r="C81" s="215"/>
      <c r="D81" s="120">
        <f>D82+D83</f>
        <v>-200693.38</v>
      </c>
      <c r="E81" s="167"/>
      <c r="H81" s="168"/>
    </row>
    <row r="82" spans="1:5" ht="15">
      <c r="A82" s="121" t="s">
        <v>96</v>
      </c>
      <c r="B82" s="122"/>
      <c r="C82" s="123"/>
      <c r="D82" s="124">
        <f>B15+B20+D79+D80-D65</f>
        <v>-147154.6</v>
      </c>
      <c r="E82" s="167"/>
    </row>
    <row r="83" spans="1:5" ht="15">
      <c r="A83" s="122" t="s">
        <v>15</v>
      </c>
      <c r="B83" s="122"/>
      <c r="C83" s="123"/>
      <c r="D83" s="124">
        <f>B16+B23-D77</f>
        <v>-53538.78</v>
      </c>
      <c r="E83" s="167"/>
    </row>
    <row r="84" spans="1:5" ht="13.5" customHeight="1">
      <c r="A84" s="216" t="s">
        <v>97</v>
      </c>
      <c r="B84" s="216"/>
      <c r="C84" s="216"/>
      <c r="D84" s="125">
        <v>171073.8</v>
      </c>
      <c r="E84" s="167"/>
    </row>
    <row r="85" spans="1:4" ht="15">
      <c r="A85" s="208" t="s">
        <v>18</v>
      </c>
      <c r="B85" s="208"/>
      <c r="C85" s="208"/>
      <c r="D85" s="86"/>
    </row>
    <row r="86" spans="1:4" ht="13.5" customHeight="1">
      <c r="A86" s="208" t="s">
        <v>22</v>
      </c>
      <c r="B86" s="208"/>
      <c r="C86" s="208"/>
      <c r="D86" s="86">
        <f>D84*B19/B17</f>
        <v>57578.26377008592</v>
      </c>
    </row>
    <row r="87" spans="1:4" ht="13.5" customHeight="1">
      <c r="A87" s="208" t="s">
        <v>41</v>
      </c>
      <c r="B87" s="208"/>
      <c r="C87" s="208"/>
      <c r="D87" s="86">
        <f>D84*B23/B17</f>
        <v>5651.100647225759</v>
      </c>
    </row>
    <row r="88" spans="1:4" ht="13.5" customHeight="1">
      <c r="A88" s="208" t="s">
        <v>30</v>
      </c>
      <c r="B88" s="208"/>
      <c r="C88" s="208"/>
      <c r="D88" s="86">
        <f>D90+D91+D92+D93</f>
        <v>107785.77172606972</v>
      </c>
    </row>
    <row r="89" spans="1:4" ht="15" customHeight="1">
      <c r="A89" s="208" t="s">
        <v>18</v>
      </c>
      <c r="B89" s="208"/>
      <c r="C89" s="208"/>
      <c r="D89" s="86"/>
    </row>
    <row r="90" spans="1:4" ht="13.5" customHeight="1">
      <c r="A90" s="208" t="s">
        <v>32</v>
      </c>
      <c r="B90" s="208"/>
      <c r="C90" s="208"/>
      <c r="D90" s="86">
        <f>D84*B27/B17</f>
        <v>5709.271402479724</v>
      </c>
    </row>
    <row r="91" spans="1:4" ht="15">
      <c r="A91" s="208" t="s">
        <v>33</v>
      </c>
      <c r="B91" s="208"/>
      <c r="C91" s="208"/>
      <c r="D91" s="86">
        <f>D84*B28/B17</f>
        <v>12410.447263068098</v>
      </c>
    </row>
    <row r="92" spans="1:4" ht="15" customHeight="1">
      <c r="A92" s="208" t="s">
        <v>34</v>
      </c>
      <c r="B92" s="208"/>
      <c r="C92" s="208"/>
      <c r="D92" s="86">
        <f>D84*B29/B17</f>
        <v>72156.50019578409</v>
      </c>
    </row>
    <row r="93" spans="1:4" ht="15" customHeight="1">
      <c r="A93" s="208" t="s">
        <v>35</v>
      </c>
      <c r="B93" s="208"/>
      <c r="C93" s="208"/>
      <c r="D93" s="86">
        <f>D84*B30/B17</f>
        <v>17509.552864737827</v>
      </c>
    </row>
    <row r="94" spans="1:4" ht="15">
      <c r="A94" s="208" t="s">
        <v>36</v>
      </c>
      <c r="B94" s="208"/>
      <c r="C94" s="208"/>
      <c r="D94" s="86"/>
    </row>
    <row r="95" spans="1:4" ht="25.5" customHeight="1">
      <c r="A95" s="209" t="s">
        <v>98</v>
      </c>
      <c r="B95" s="209"/>
      <c r="C95" s="209"/>
      <c r="D95" s="209"/>
    </row>
    <row r="96" spans="1:4" ht="38.25">
      <c r="A96" s="87" t="s">
        <v>99</v>
      </c>
      <c r="B96" s="6" t="s">
        <v>100</v>
      </c>
      <c r="C96" s="6" t="s">
        <v>213</v>
      </c>
      <c r="D96" s="87" t="s">
        <v>102</v>
      </c>
    </row>
    <row r="97" spans="1:4" ht="12.75" customHeight="1">
      <c r="A97" s="88" t="s">
        <v>103</v>
      </c>
      <c r="B97" s="211" t="s">
        <v>104</v>
      </c>
      <c r="C97" s="25" t="s">
        <v>301</v>
      </c>
      <c r="D97" s="90" t="s">
        <v>105</v>
      </c>
    </row>
    <row r="98" spans="1:4" ht="12.75" customHeight="1">
      <c r="A98" s="88" t="s">
        <v>106</v>
      </c>
      <c r="B98" s="211"/>
      <c r="C98" s="25" t="s">
        <v>338</v>
      </c>
      <c r="D98" s="90" t="s">
        <v>105</v>
      </c>
    </row>
    <row r="99" spans="1:4" ht="12.75">
      <c r="A99" s="42" t="s">
        <v>41</v>
      </c>
      <c r="B99" s="211"/>
      <c r="C99" s="91">
        <v>2.7</v>
      </c>
      <c r="D99" s="92" t="s">
        <v>105</v>
      </c>
    </row>
    <row r="100" spans="1:4" ht="19.5" customHeight="1">
      <c r="A100" s="42" t="s">
        <v>32</v>
      </c>
      <c r="B100" s="212" t="s">
        <v>107</v>
      </c>
      <c r="C100" s="93" t="s">
        <v>108</v>
      </c>
      <c r="D100" s="192" t="s">
        <v>392</v>
      </c>
    </row>
    <row r="101" spans="1:4" ht="22.5" customHeight="1">
      <c r="A101" s="42" t="s">
        <v>33</v>
      </c>
      <c r="B101" s="212"/>
      <c r="C101" s="93" t="s">
        <v>110</v>
      </c>
      <c r="D101" s="192" t="s">
        <v>391</v>
      </c>
    </row>
    <row r="102" spans="1:4" ht="39.75" customHeight="1">
      <c r="A102" s="42" t="s">
        <v>34</v>
      </c>
      <c r="B102" s="94" t="s">
        <v>111</v>
      </c>
      <c r="C102" s="93" t="s">
        <v>112</v>
      </c>
      <c r="D102" s="92" t="s">
        <v>113</v>
      </c>
    </row>
    <row r="103" spans="1:4" ht="39" customHeight="1">
      <c r="A103" s="42" t="s">
        <v>35</v>
      </c>
      <c r="B103" s="95" t="s">
        <v>114</v>
      </c>
      <c r="C103" s="93" t="s">
        <v>115</v>
      </c>
      <c r="D103" s="192" t="s">
        <v>392</v>
      </c>
    </row>
    <row r="104" spans="1:8" ht="12.75">
      <c r="A104" s="182"/>
      <c r="B104" s="182"/>
      <c r="C104" s="182"/>
      <c r="D104" s="182"/>
      <c r="H104" t="s">
        <v>37</v>
      </c>
    </row>
    <row r="105" ht="12.75">
      <c r="A105" t="s">
        <v>116</v>
      </c>
    </row>
    <row r="107" ht="12.75">
      <c r="A107" t="s">
        <v>117</v>
      </c>
    </row>
  </sheetData>
  <sheetProtection selectLockedCells="1" selectUnlockedCells="1"/>
  <mergeCells count="23">
    <mergeCell ref="A93:C93"/>
    <mergeCell ref="A94:C94"/>
    <mergeCell ref="A95:D95"/>
    <mergeCell ref="B97:B99"/>
    <mergeCell ref="B100:B101"/>
    <mergeCell ref="A87:C87"/>
    <mergeCell ref="A88:C88"/>
    <mergeCell ref="A89:C89"/>
    <mergeCell ref="A90:C90"/>
    <mergeCell ref="A91:C91"/>
    <mergeCell ref="A92:C92"/>
    <mergeCell ref="A65:C65"/>
    <mergeCell ref="A79:C79"/>
    <mergeCell ref="A81:C81"/>
    <mergeCell ref="A84:C84"/>
    <mergeCell ref="A85:C85"/>
    <mergeCell ref="A86:C8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4" fitToWidth="2" horizontalDpi="300" verticalDpi="300" orientation="landscape" paperSize="1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="80" zoomScaleNormal="80" zoomScalePageLayoutView="0" workbookViewId="0" topLeftCell="A25">
      <selection activeCell="A43" sqref="A43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7.7109375" style="1" customWidth="1"/>
    <col min="9" max="9" width="13.003906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351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352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11" ht="12.75">
      <c r="A11" s="2"/>
      <c r="C11" s="4" t="s">
        <v>8</v>
      </c>
      <c r="K11" s="183"/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-101848.88</v>
      </c>
      <c r="C14" s="96"/>
      <c r="D14" s="12"/>
    </row>
    <row r="15" spans="1:4" ht="15.75">
      <c r="A15" s="13" t="s">
        <v>14</v>
      </c>
      <c r="B15" s="10">
        <v>-101848.88</v>
      </c>
      <c r="C15" s="96"/>
      <c r="D15" s="12"/>
    </row>
    <row r="16" spans="1:4" ht="15.75">
      <c r="A16" s="14" t="s">
        <v>15</v>
      </c>
      <c r="B16" s="10">
        <v>0</v>
      </c>
      <c r="C16" s="96"/>
      <c r="D16" s="12"/>
    </row>
    <row r="17" spans="1:5" ht="31.5">
      <c r="A17" s="15" t="s">
        <v>16</v>
      </c>
      <c r="B17" s="97">
        <f>B19+B31</f>
        <v>5422353.4</v>
      </c>
      <c r="C17" s="11" t="s">
        <v>17</v>
      </c>
      <c r="D17" s="12" t="s">
        <v>17</v>
      </c>
      <c r="E17" s="22"/>
    </row>
    <row r="18" spans="1:4" ht="15">
      <c r="A18" s="7" t="s">
        <v>18</v>
      </c>
      <c r="B18" s="16"/>
      <c r="C18" s="11"/>
      <c r="D18" s="12"/>
    </row>
    <row r="19" spans="1:4" ht="15">
      <c r="A19" s="7" t="s">
        <v>22</v>
      </c>
      <c r="B19" s="97">
        <v>1491528.78</v>
      </c>
      <c r="C19" s="11"/>
      <c r="D19" s="12"/>
    </row>
    <row r="20" spans="1:5" ht="15">
      <c r="A20" s="7" t="s">
        <v>153</v>
      </c>
      <c r="B20" s="97">
        <v>17140.81</v>
      </c>
      <c r="C20" s="18" t="s">
        <v>353</v>
      </c>
      <c r="D20" s="19"/>
      <c r="E20" s="1">
        <f>(0.12+0.26)*6*7517.9</f>
        <v>17140.812</v>
      </c>
    </row>
    <row r="21" spans="1:5" ht="15">
      <c r="A21" s="7" t="s">
        <v>354</v>
      </c>
      <c r="B21" s="16"/>
      <c r="C21" s="21"/>
      <c r="D21" s="19"/>
      <c r="E21" s="22"/>
    </row>
    <row r="22" spans="1:8" ht="15">
      <c r="A22" s="7" t="s">
        <v>155</v>
      </c>
      <c r="B22" s="16"/>
      <c r="C22" s="18" t="s">
        <v>355</v>
      </c>
      <c r="D22" s="19"/>
      <c r="E22" s="22">
        <v>12.539999999999997</v>
      </c>
      <c r="H22" s="1">
        <f>(12.54+14.05)*6*747.1</f>
        <v>119192.334</v>
      </c>
    </row>
    <row r="23" spans="1:8" ht="15.75">
      <c r="A23" s="131" t="s">
        <v>157</v>
      </c>
      <c r="B23" s="101"/>
      <c r="C23" s="18" t="s">
        <v>356</v>
      </c>
      <c r="D23" s="19"/>
      <c r="E23" s="22">
        <v>17.009999999999998</v>
      </c>
      <c r="H23" s="1">
        <f>(17.01+18.49)*6*3002.9</f>
        <v>639617.7000000001</v>
      </c>
    </row>
    <row r="24" spans="1:8" ht="15">
      <c r="A24" s="7" t="s">
        <v>357</v>
      </c>
      <c r="B24" s="16"/>
      <c r="C24" s="18"/>
      <c r="D24" s="19"/>
      <c r="E24" s="1">
        <v>12.789999999999997</v>
      </c>
      <c r="H24" s="1" t="s">
        <v>37</v>
      </c>
    </row>
    <row r="25" spans="1:8" ht="15.75">
      <c r="A25" s="131" t="s">
        <v>155</v>
      </c>
      <c r="B25" s="101"/>
      <c r="C25" s="18" t="s">
        <v>358</v>
      </c>
      <c r="D25" s="19"/>
      <c r="E25" s="22">
        <v>16.23</v>
      </c>
      <c r="H25" s="1">
        <f>(12.79+14.32)*6*366.4</f>
        <v>59598.623999999996</v>
      </c>
    </row>
    <row r="26" spans="1:8" ht="15">
      <c r="A26" s="7" t="s">
        <v>157</v>
      </c>
      <c r="B26" s="16"/>
      <c r="C26" s="25" t="s">
        <v>359</v>
      </c>
      <c r="D26" s="19" t="s">
        <v>31</v>
      </c>
      <c r="E26" s="1">
        <v>15.089999999999998</v>
      </c>
      <c r="H26" s="1">
        <f>(16.23+18.49)*6*1501.7</f>
        <v>312834.144</v>
      </c>
    </row>
    <row r="27" spans="1:8" ht="15">
      <c r="A27" s="7" t="s">
        <v>360</v>
      </c>
      <c r="B27" s="16"/>
      <c r="C27" s="25"/>
      <c r="D27" s="19"/>
      <c r="E27" s="1">
        <v>18.51</v>
      </c>
      <c r="H27" s="1" t="s">
        <v>37</v>
      </c>
    </row>
    <row r="28" spans="1:8" ht="15">
      <c r="A28" s="7" t="s">
        <v>155</v>
      </c>
      <c r="B28" s="16"/>
      <c r="C28" s="25" t="s">
        <v>361</v>
      </c>
      <c r="D28" s="26">
        <v>65.21</v>
      </c>
      <c r="E28" s="22"/>
      <c r="H28" s="1">
        <f>(15.09+14.8)*6*378.1</f>
        <v>67808.45400000001</v>
      </c>
    </row>
    <row r="29" spans="1:8" ht="15">
      <c r="A29" s="7" t="s">
        <v>157</v>
      </c>
      <c r="B29" s="16"/>
      <c r="C29" s="25" t="s">
        <v>362</v>
      </c>
      <c r="D29" s="26">
        <v>119.63</v>
      </c>
      <c r="E29" s="22" t="s">
        <v>37</v>
      </c>
      <c r="H29" s="1">
        <f>(18.51+19.24)*6*1521.7</f>
        <v>344665.05</v>
      </c>
    </row>
    <row r="30" spans="1:8" ht="15">
      <c r="A30" s="7" t="s">
        <v>41</v>
      </c>
      <c r="B30" s="16"/>
      <c r="C30" s="133"/>
      <c r="D30" s="26"/>
      <c r="E30" s="22"/>
      <c r="H30" s="184">
        <f>SUM(H22:H29)</f>
        <v>1543716.306</v>
      </c>
    </row>
    <row r="31" spans="1:8" ht="15">
      <c r="A31" s="7" t="s">
        <v>30</v>
      </c>
      <c r="B31" s="97">
        <f>B33+B34+B35+B36+B37</f>
        <v>3930824.62</v>
      </c>
      <c r="C31" s="133"/>
      <c r="D31" s="26"/>
      <c r="E31" s="22"/>
      <c r="H31" s="17">
        <f>H30-B19</f>
        <v>52187.52600000007</v>
      </c>
    </row>
    <row r="32" spans="1:5" ht="15">
      <c r="A32" s="7" t="s">
        <v>18</v>
      </c>
      <c r="B32" s="16"/>
      <c r="C32" s="133"/>
      <c r="D32" s="26"/>
      <c r="E32" s="22"/>
    </row>
    <row r="33" spans="1:8" ht="15">
      <c r="A33" s="7" t="s">
        <v>32</v>
      </c>
      <c r="B33" s="97">
        <v>185938.31</v>
      </c>
      <c r="C33" s="133"/>
      <c r="D33" s="26"/>
      <c r="E33" s="22"/>
      <c r="H33" s="1" t="s">
        <v>37</v>
      </c>
    </row>
    <row r="34" spans="1:5" ht="15">
      <c r="A34" s="7" t="s">
        <v>33</v>
      </c>
      <c r="B34" s="97">
        <v>384154.82</v>
      </c>
      <c r="C34" s="133"/>
      <c r="D34" s="26"/>
      <c r="E34" s="22"/>
    </row>
    <row r="35" spans="1:5" ht="15">
      <c r="A35" s="7" t="s">
        <v>34</v>
      </c>
      <c r="B35" s="97">
        <v>2224696.02</v>
      </c>
      <c r="C35" s="133"/>
      <c r="D35" s="26"/>
      <c r="E35" s="22"/>
    </row>
    <row r="36" spans="1:5" ht="15">
      <c r="A36" s="7" t="s">
        <v>35</v>
      </c>
      <c r="B36" s="97">
        <v>532554.46</v>
      </c>
      <c r="C36" s="133" t="s">
        <v>17</v>
      </c>
      <c r="D36" s="26"/>
      <c r="E36" s="22"/>
    </row>
    <row r="37" spans="1:5" ht="15">
      <c r="A37" s="7" t="s">
        <v>36</v>
      </c>
      <c r="B37" s="97">
        <v>603481.01</v>
      </c>
      <c r="C37" s="133" t="s">
        <v>17</v>
      </c>
      <c r="D37" s="26">
        <v>139.18</v>
      </c>
      <c r="E37" s="22"/>
    </row>
    <row r="38" spans="1:5" ht="31.5">
      <c r="A38" s="27" t="s">
        <v>38</v>
      </c>
      <c r="B38" s="28">
        <v>5073498.88</v>
      </c>
      <c r="C38" s="96"/>
      <c r="D38" s="12" t="s">
        <v>17</v>
      </c>
      <c r="E38" s="1">
        <f>B38/B17</f>
        <v>0.9356636326949843</v>
      </c>
    </row>
    <row r="39" spans="1:4" ht="15">
      <c r="A39" s="30" t="s">
        <v>18</v>
      </c>
      <c r="B39" s="28"/>
      <c r="C39" s="96" t="s">
        <v>17</v>
      </c>
      <c r="D39" s="12"/>
    </row>
    <row r="40" spans="1:4" ht="15">
      <c r="A40" s="30" t="s">
        <v>22</v>
      </c>
      <c r="B40" s="28">
        <f>B19*E38</f>
        <v>1395569.2365639182</v>
      </c>
      <c r="C40" s="96"/>
      <c r="D40" s="12"/>
    </row>
    <row r="41" spans="1:4" ht="15">
      <c r="A41" s="30" t="s">
        <v>41</v>
      </c>
      <c r="B41" s="28"/>
      <c r="C41" s="96" t="s">
        <v>17</v>
      </c>
      <c r="D41" s="12"/>
    </row>
    <row r="42" spans="1:4" ht="15">
      <c r="A42" s="30" t="s">
        <v>30</v>
      </c>
      <c r="B42" s="28">
        <f>B44+B45+B46+B47+B48</f>
        <v>3677929.6434360812</v>
      </c>
      <c r="C42" s="96" t="s">
        <v>17</v>
      </c>
      <c r="D42" s="12"/>
    </row>
    <row r="43" spans="1:4" ht="15">
      <c r="A43" s="30" t="s">
        <v>18</v>
      </c>
      <c r="B43" s="28"/>
      <c r="C43" s="96" t="s">
        <v>17</v>
      </c>
      <c r="D43" s="12"/>
    </row>
    <row r="44" spans="1:4" ht="15">
      <c r="A44" s="30" t="s">
        <v>32</v>
      </c>
      <c r="B44" s="28">
        <f>B33*E38</f>
        <v>173975.71459176613</v>
      </c>
      <c r="C44" s="96"/>
      <c r="D44" s="12"/>
    </row>
    <row r="45" spans="1:4" ht="15">
      <c r="A45" s="30" t="s">
        <v>33</v>
      </c>
      <c r="B45" s="28">
        <f>B34*E38</f>
        <v>359439.6943984878</v>
      </c>
      <c r="C45" s="96"/>
      <c r="D45" s="12"/>
    </row>
    <row r="46" spans="1:4" ht="15">
      <c r="A46" s="30" t="s">
        <v>34</v>
      </c>
      <c r="B46" s="28">
        <f>B35*E38</f>
        <v>2081567.1597152734</v>
      </c>
      <c r="C46" s="96"/>
      <c r="D46" s="12"/>
    </row>
    <row r="47" spans="1:4" ht="15">
      <c r="A47" s="30" t="s">
        <v>35</v>
      </c>
      <c r="B47" s="28">
        <f>B36*E38</f>
        <v>498291.8406515157</v>
      </c>
      <c r="C47" s="96"/>
      <c r="D47" s="12"/>
    </row>
    <row r="48" spans="1:4" ht="15">
      <c r="A48" s="30" t="s">
        <v>36</v>
      </c>
      <c r="B48" s="28">
        <f>B37*E38</f>
        <v>564655.2340790381</v>
      </c>
      <c r="C48" s="96"/>
      <c r="D48" s="12"/>
    </row>
    <row r="49" spans="1:4" ht="47.25">
      <c r="A49" s="31" t="s">
        <v>42</v>
      </c>
      <c r="B49" s="28">
        <f>B51+B52+B53+B54+B55</f>
        <v>3677929.6434360812</v>
      </c>
      <c r="C49" s="96" t="s">
        <v>17</v>
      </c>
      <c r="D49" s="12" t="s">
        <v>17</v>
      </c>
    </row>
    <row r="50" spans="1:4" ht="15">
      <c r="A50" s="30" t="s">
        <v>18</v>
      </c>
      <c r="B50" s="28"/>
      <c r="C50" s="96" t="s">
        <v>17</v>
      </c>
      <c r="D50" s="12"/>
    </row>
    <row r="51" spans="1:4" ht="15">
      <c r="A51" s="30" t="s">
        <v>32</v>
      </c>
      <c r="B51" s="28">
        <f>B44</f>
        <v>173975.71459176613</v>
      </c>
      <c r="C51" s="96"/>
      <c r="D51" s="12"/>
    </row>
    <row r="52" spans="1:4" ht="15">
      <c r="A52" s="30" t="s">
        <v>33</v>
      </c>
      <c r="B52" s="28">
        <f>B45</f>
        <v>359439.6943984878</v>
      </c>
      <c r="C52" s="96" t="s">
        <v>17</v>
      </c>
      <c r="D52" s="12"/>
    </row>
    <row r="53" spans="1:4" ht="15">
      <c r="A53" s="30" t="s">
        <v>34</v>
      </c>
      <c r="B53" s="28">
        <f>B46</f>
        <v>2081567.1597152734</v>
      </c>
      <c r="C53" s="96" t="s">
        <v>17</v>
      </c>
      <c r="D53" s="12"/>
    </row>
    <row r="54" spans="1:4" ht="15">
      <c r="A54" s="30" t="s">
        <v>35</v>
      </c>
      <c r="B54" s="28">
        <f>B47</f>
        <v>498291.8406515157</v>
      </c>
      <c r="C54" s="96" t="s">
        <v>17</v>
      </c>
      <c r="D54" s="12"/>
    </row>
    <row r="55" spans="1:9" ht="15">
      <c r="A55" s="33" t="s">
        <v>36</v>
      </c>
      <c r="B55" s="34">
        <f>B48</f>
        <v>564655.2340790381</v>
      </c>
      <c r="C55" s="103" t="s">
        <v>17</v>
      </c>
      <c r="D55" s="36"/>
      <c r="I55" s="1" t="s">
        <v>37</v>
      </c>
    </row>
    <row r="56" spans="1:10" ht="31.5" customHeight="1">
      <c r="A56" s="37" t="s">
        <v>43</v>
      </c>
      <c r="B56" s="37"/>
      <c r="C56" s="128" t="s">
        <v>8</v>
      </c>
      <c r="D56" s="37"/>
      <c r="I56" s="32" t="s">
        <v>37</v>
      </c>
      <c r="J56" s="32"/>
    </row>
    <row r="57" spans="1:14" ht="63.75">
      <c r="A57" s="39" t="s">
        <v>44</v>
      </c>
      <c r="B57" s="39" t="s">
        <v>45</v>
      </c>
      <c r="C57" s="39" t="s">
        <v>46</v>
      </c>
      <c r="D57" s="191" t="s">
        <v>389</v>
      </c>
      <c r="H57" s="1" t="s">
        <v>37</v>
      </c>
      <c r="I57" s="40"/>
      <c r="J57" s="40"/>
      <c r="K57" s="41"/>
      <c r="L57" s="41"/>
      <c r="M57" s="41"/>
      <c r="N57" s="41"/>
    </row>
    <row r="58" spans="1:14" ht="15">
      <c r="A58" s="42" t="s">
        <v>48</v>
      </c>
      <c r="B58" s="43" t="s">
        <v>49</v>
      </c>
      <c r="C58" s="44" t="s">
        <v>363</v>
      </c>
      <c r="D58" s="129">
        <f>(0.19+0.28)*6*7517.9</f>
        <v>21200.478000000003</v>
      </c>
      <c r="E58" s="46">
        <f aca="true" t="shared" si="0" ref="E58:E69">2303.2*12</f>
        <v>27638.399999999998</v>
      </c>
      <c r="F58" s="47"/>
      <c r="G58" s="48"/>
      <c r="I58" s="49"/>
      <c r="J58" s="49"/>
      <c r="K58" s="50"/>
      <c r="L58" s="50"/>
      <c r="M58" s="50"/>
      <c r="N58" s="50"/>
    </row>
    <row r="59" spans="1:14" ht="15">
      <c r="A59" s="42" t="s">
        <v>51</v>
      </c>
      <c r="B59" s="43" t="s">
        <v>52</v>
      </c>
      <c r="C59" s="156" t="s">
        <v>53</v>
      </c>
      <c r="D59" s="129">
        <f>(2.1+2.23)*6*7517.9</f>
        <v>195315.042</v>
      </c>
      <c r="E59" s="46">
        <f t="shared" si="0"/>
        <v>27638.399999999998</v>
      </c>
      <c r="F59" s="47"/>
      <c r="G59" s="48"/>
      <c r="H59" s="1" t="s">
        <v>37</v>
      </c>
      <c r="I59" s="49"/>
      <c r="J59" s="49"/>
      <c r="K59" s="50"/>
      <c r="L59" s="50"/>
      <c r="M59" s="50"/>
      <c r="N59" s="50"/>
    </row>
    <row r="60" spans="1:14" ht="15">
      <c r="A60" s="42" t="s">
        <v>54</v>
      </c>
      <c r="B60" s="43" t="s">
        <v>52</v>
      </c>
      <c r="C60" s="156" t="s">
        <v>55</v>
      </c>
      <c r="D60" s="129">
        <f>(1.2+2.27)*6*7517.9</f>
        <v>156522.67799999999</v>
      </c>
      <c r="E60" s="46">
        <f t="shared" si="0"/>
        <v>27638.399999999998</v>
      </c>
      <c r="F60" s="47"/>
      <c r="G60" s="48"/>
      <c r="I60" s="49"/>
      <c r="J60" s="49"/>
      <c r="K60" s="50"/>
      <c r="L60" s="50"/>
      <c r="M60" s="50"/>
      <c r="N60" s="50"/>
    </row>
    <row r="61" spans="1:14" ht="15">
      <c r="A61" s="42" t="s">
        <v>56</v>
      </c>
      <c r="B61" s="43" t="s">
        <v>49</v>
      </c>
      <c r="C61" s="44" t="s">
        <v>129</v>
      </c>
      <c r="D61" s="129">
        <f>(0.2+0.21)*6*7517.9</f>
        <v>18494.034</v>
      </c>
      <c r="E61" s="46">
        <f t="shared" si="0"/>
        <v>27638.399999999998</v>
      </c>
      <c r="F61" s="47"/>
      <c r="G61" s="48"/>
      <c r="I61" s="49"/>
      <c r="J61" s="49"/>
      <c r="K61" s="50"/>
      <c r="L61" s="50"/>
      <c r="M61" s="50"/>
      <c r="N61" s="50"/>
    </row>
    <row r="62" spans="1:14" ht="15">
      <c r="A62" s="42" t="s">
        <v>364</v>
      </c>
      <c r="B62" s="194" t="s">
        <v>49</v>
      </c>
      <c r="C62" s="55" t="s">
        <v>61</v>
      </c>
      <c r="D62" s="129">
        <v>12226.230000000001</v>
      </c>
      <c r="E62" s="46">
        <f>(0.89+0.94)*6*(747.1+366.4)</f>
        <v>12226.230000000001</v>
      </c>
      <c r="F62" s="53"/>
      <c r="G62" s="54"/>
      <c r="H62" s="46" t="s">
        <v>37</v>
      </c>
      <c r="I62" s="49" t="s">
        <v>37</v>
      </c>
      <c r="J62" s="49"/>
      <c r="K62" s="50"/>
      <c r="L62" s="50"/>
      <c r="M62" s="50"/>
      <c r="N62" s="50"/>
    </row>
    <row r="63" spans="1:14" ht="15">
      <c r="A63" s="42" t="s">
        <v>365</v>
      </c>
      <c r="B63" s="51"/>
      <c r="C63" s="55" t="s">
        <v>366</v>
      </c>
      <c r="D63" s="129">
        <v>26755.84</v>
      </c>
      <c r="E63" s="46">
        <f>(1.17+0.94)*6*3002.9-11260.87</f>
        <v>26755.843999999997</v>
      </c>
      <c r="F63" s="53"/>
      <c r="G63" s="54"/>
      <c r="H63" s="46"/>
      <c r="I63" s="49">
        <f>0.78*6*3002.9</f>
        <v>14053.572</v>
      </c>
      <c r="J63" s="49"/>
      <c r="K63" s="50"/>
      <c r="L63" s="50"/>
      <c r="M63" s="50"/>
      <c r="N63" s="50"/>
    </row>
    <row r="64" spans="1:14" ht="15">
      <c r="A64" s="42" t="s">
        <v>367</v>
      </c>
      <c r="B64" s="51"/>
      <c r="C64" s="55" t="s">
        <v>368</v>
      </c>
      <c r="D64" s="129">
        <v>11983.57</v>
      </c>
      <c r="E64" s="46">
        <f>(0.39+0.94)*6*(1501.7)</f>
        <v>11983.566</v>
      </c>
      <c r="F64" s="53"/>
      <c r="G64" s="54"/>
      <c r="H64" s="46"/>
      <c r="I64" s="49" t="s">
        <v>37</v>
      </c>
      <c r="J64" s="49"/>
      <c r="K64" s="50"/>
      <c r="L64" s="50"/>
      <c r="M64" s="50"/>
      <c r="N64" s="50"/>
    </row>
    <row r="65" spans="1:14" ht="15">
      <c r="A65" s="42" t="s">
        <v>369</v>
      </c>
      <c r="B65" s="51"/>
      <c r="C65" s="55" t="s">
        <v>370</v>
      </c>
      <c r="D65" s="129">
        <f>6246.21+1865.32</f>
        <v>8111.53</v>
      </c>
      <c r="E65" s="46">
        <f>(2.73+0.94)*6*378.1-2079.55</f>
        <v>6246.212</v>
      </c>
      <c r="F65" s="53"/>
      <c r="G65" s="54"/>
      <c r="H65" s="46"/>
      <c r="I65" s="49">
        <f>0.7*6*378.1</f>
        <v>1588.0199999999998</v>
      </c>
      <c r="J65" s="49"/>
      <c r="K65" s="50"/>
      <c r="L65" s="50"/>
      <c r="M65" s="50"/>
      <c r="N65" s="50"/>
    </row>
    <row r="66" spans="1:14" ht="15">
      <c r="A66" s="42" t="s">
        <v>371</v>
      </c>
      <c r="B66" s="51"/>
      <c r="C66" s="55" t="s">
        <v>372</v>
      </c>
      <c r="D66" s="129">
        <f>20162.52+7507.16</f>
        <v>27669.68</v>
      </c>
      <c r="E66" s="46">
        <f>(1.96+0.94)*6*1521.7-6315.06</f>
        <v>20162.519999999997</v>
      </c>
      <c r="F66" s="53"/>
      <c r="G66" s="53"/>
      <c r="H66" s="185">
        <v>747.1</v>
      </c>
      <c r="I66" s="49">
        <f>0.43*6*1521.7</f>
        <v>3925.9860000000003</v>
      </c>
      <c r="J66" s="49"/>
      <c r="K66" s="50"/>
      <c r="L66" s="50"/>
      <c r="M66" s="50"/>
      <c r="N66" s="50"/>
    </row>
    <row r="67" spans="1:14" ht="15">
      <c r="A67" s="42" t="s">
        <v>60</v>
      </c>
      <c r="B67" s="51" t="s">
        <v>49</v>
      </c>
      <c r="C67" s="55" t="s">
        <v>61</v>
      </c>
      <c r="D67" s="129">
        <f>(0.89+0.94)*6*7517.9</f>
        <v>82546.542</v>
      </c>
      <c r="E67" s="46">
        <f t="shared" si="0"/>
        <v>27638.399999999998</v>
      </c>
      <c r="F67" s="53"/>
      <c r="G67" s="53"/>
      <c r="H67" s="185">
        <v>3002.9</v>
      </c>
      <c r="I67" s="49">
        <f>SUM(I63:I66)</f>
        <v>19567.578</v>
      </c>
      <c r="J67" s="49"/>
      <c r="K67" s="50"/>
      <c r="L67" s="50"/>
      <c r="M67" s="50"/>
      <c r="N67" s="50"/>
    </row>
    <row r="68" spans="1:14" ht="15">
      <c r="A68" s="42" t="s">
        <v>62</v>
      </c>
      <c r="B68" s="51" t="s">
        <v>63</v>
      </c>
      <c r="C68" s="52" t="s">
        <v>132</v>
      </c>
      <c r="D68" s="129">
        <f>(1.14+1.21)*6*7517.9</f>
        <v>106002.38999999998</v>
      </c>
      <c r="E68" s="46">
        <f t="shared" si="0"/>
        <v>27638.399999999998</v>
      </c>
      <c r="F68" s="53"/>
      <c r="G68" s="53"/>
      <c r="H68" s="185">
        <v>366.4</v>
      </c>
      <c r="I68" s="49"/>
      <c r="J68" s="49"/>
      <c r="K68" s="50"/>
      <c r="L68" s="50"/>
      <c r="M68" s="50"/>
      <c r="N68" s="50"/>
    </row>
    <row r="69" spans="1:14" ht="15">
      <c r="A69" s="42" t="s">
        <v>65</v>
      </c>
      <c r="B69" s="51" t="s">
        <v>66</v>
      </c>
      <c r="C69" s="55">
        <v>4.88</v>
      </c>
      <c r="D69" s="129">
        <f>4.88*12*7517.9</f>
        <v>440248.224</v>
      </c>
      <c r="E69" s="46">
        <f t="shared" si="0"/>
        <v>27638.399999999998</v>
      </c>
      <c r="F69" s="53"/>
      <c r="H69" s="185">
        <v>1501.7</v>
      </c>
      <c r="I69" s="49"/>
      <c r="J69" s="49"/>
      <c r="K69" s="50"/>
      <c r="L69" s="50"/>
      <c r="M69" s="50"/>
      <c r="N69" s="50"/>
    </row>
    <row r="70" spans="1:14" ht="15">
      <c r="A70" s="57" t="s">
        <v>69</v>
      </c>
      <c r="B70" s="51" t="s">
        <v>66</v>
      </c>
      <c r="C70" s="58" t="s">
        <v>270</v>
      </c>
      <c r="D70" s="129">
        <f>(0.78+0.83)*6*(747.1+366.4+378.1)</f>
        <v>14408.856</v>
      </c>
      <c r="E70" s="46">
        <f>276*12</f>
        <v>3312</v>
      </c>
      <c r="F70" s="53"/>
      <c r="H70" s="185">
        <v>378.1</v>
      </c>
      <c r="I70" s="49"/>
      <c r="J70" s="49"/>
      <c r="K70" s="50"/>
      <c r="L70" s="50"/>
      <c r="M70" s="50"/>
      <c r="N70" s="50"/>
    </row>
    <row r="71" spans="1:14" ht="15">
      <c r="A71" s="57" t="s">
        <v>71</v>
      </c>
      <c r="B71" s="51" t="s">
        <v>66</v>
      </c>
      <c r="C71" s="58" t="s">
        <v>373</v>
      </c>
      <c r="D71" s="129">
        <f>(4.97+5.27)*6*(3002.9+1501.7+1521.7)</f>
        <v>370255.872</v>
      </c>
      <c r="E71" s="46"/>
      <c r="F71" s="53"/>
      <c r="H71" s="185">
        <v>1521.7</v>
      </c>
      <c r="I71" s="49"/>
      <c r="J71" s="49"/>
      <c r="K71" s="50"/>
      <c r="L71" s="50"/>
      <c r="M71" s="50"/>
      <c r="N71" s="50"/>
    </row>
    <row r="72" spans="1:14" ht="15.75">
      <c r="A72" s="59" t="s">
        <v>75</v>
      </c>
      <c r="B72" s="60"/>
      <c r="C72" s="61"/>
      <c r="D72" s="186">
        <f>SUM(D58:D71)</f>
        <v>1491740.9659999998</v>
      </c>
      <c r="E72" s="63">
        <f>D72+B20</f>
        <v>1508881.7759999998</v>
      </c>
      <c r="F72" s="49"/>
      <c r="H72" s="64">
        <f>E72-B19</f>
        <v>17352.99599999981</v>
      </c>
      <c r="I72" s="49"/>
      <c r="J72" s="49"/>
      <c r="K72" s="50"/>
      <c r="L72" s="50"/>
      <c r="M72" s="50"/>
      <c r="N72" s="50"/>
    </row>
    <row r="73" spans="1:10" ht="16.5" customHeight="1">
      <c r="A73" s="202" t="s">
        <v>76</v>
      </c>
      <c r="B73" s="202"/>
      <c r="C73" s="202"/>
      <c r="D73" s="187">
        <f>D74+D75+D76+D77+D78+D79</f>
        <v>21886.300000000003</v>
      </c>
      <c r="E73" s="66"/>
      <c r="H73" s="1">
        <v>17353</v>
      </c>
      <c r="I73" s="188" t="s">
        <v>374</v>
      </c>
      <c r="J73" s="189" t="s">
        <v>37</v>
      </c>
    </row>
    <row r="74" spans="1:9" ht="21.75" customHeight="1">
      <c r="A74" s="67" t="s">
        <v>375</v>
      </c>
      <c r="B74" s="68"/>
      <c r="C74" s="69"/>
      <c r="D74" s="65">
        <v>421.06</v>
      </c>
      <c r="E74" s="66"/>
      <c r="H74" s="155">
        <f>H72-H73</f>
        <v>-0.004000000189989805</v>
      </c>
      <c r="I74" s="1">
        <v>7688.584000000032</v>
      </c>
    </row>
    <row r="75" spans="1:5" ht="13.5" customHeight="1">
      <c r="A75" s="67" t="s">
        <v>376</v>
      </c>
      <c r="B75" s="68"/>
      <c r="C75" s="69"/>
      <c r="D75" s="65">
        <v>6370.49</v>
      </c>
      <c r="E75" s="66">
        <f>9372.48/1899.8*378.1</f>
        <v>1865.319869459943</v>
      </c>
    </row>
    <row r="76" spans="1:8" ht="13.5" customHeight="1">
      <c r="A76" s="67" t="s">
        <v>377</v>
      </c>
      <c r="B76" s="68"/>
      <c r="C76" s="69"/>
      <c r="D76" s="65">
        <v>1039.33</v>
      </c>
      <c r="E76" s="66">
        <v>2079.55</v>
      </c>
      <c r="H76" s="1" t="s">
        <v>378</v>
      </c>
    </row>
    <row r="77" spans="1:5" ht="13.5" customHeight="1">
      <c r="A77" s="67" t="s">
        <v>379</v>
      </c>
      <c r="B77" s="68"/>
      <c r="C77" s="69"/>
      <c r="D77" s="65">
        <v>8548.34</v>
      </c>
      <c r="E77" s="66">
        <v>6315.06</v>
      </c>
    </row>
    <row r="78" spans="1:5" ht="13.5" customHeight="1">
      <c r="A78" s="67" t="s">
        <v>380</v>
      </c>
      <c r="B78" s="68"/>
      <c r="C78" s="69"/>
      <c r="D78" s="65">
        <v>3416.08</v>
      </c>
      <c r="E78" s="66">
        <v>11260.87</v>
      </c>
    </row>
    <row r="79" spans="1:5" ht="13.5" customHeight="1">
      <c r="A79" s="67" t="s">
        <v>381</v>
      </c>
      <c r="B79" s="68"/>
      <c r="C79" s="69"/>
      <c r="D79" s="65">
        <v>2091</v>
      </c>
      <c r="E79" s="66">
        <f>SUM(E76:E78)</f>
        <v>19655.480000000003</v>
      </c>
    </row>
    <row r="80" spans="1:8" ht="19.5" customHeight="1">
      <c r="A80" s="73" t="s">
        <v>90</v>
      </c>
      <c r="B80" s="74"/>
      <c r="C80" s="75"/>
      <c r="D80" s="65">
        <f>D72+D73</f>
        <v>1513627.2659999998</v>
      </c>
      <c r="E80" s="66">
        <f>E79/6</f>
        <v>3275.913333333334</v>
      </c>
      <c r="H80" s="1" t="s">
        <v>37</v>
      </c>
    </row>
    <row r="81" spans="1:5" ht="21.75" customHeight="1">
      <c r="A81" s="73" t="s">
        <v>173</v>
      </c>
      <c r="B81" s="71"/>
      <c r="C81" s="72"/>
      <c r="D81" s="65"/>
      <c r="E81" s="66"/>
    </row>
    <row r="82" spans="1:5" ht="18" customHeight="1">
      <c r="A82" s="217" t="s">
        <v>93</v>
      </c>
      <c r="B82" s="217"/>
      <c r="C82" s="217"/>
      <c r="D82" s="119">
        <v>2073.6</v>
      </c>
      <c r="E82" s="66"/>
    </row>
    <row r="83" spans="1:5" ht="18" customHeight="1">
      <c r="A83" s="118" t="s">
        <v>94</v>
      </c>
      <c r="B83" s="118"/>
      <c r="C83" s="118"/>
      <c r="D83" s="119">
        <v>7040</v>
      </c>
      <c r="E83" s="66"/>
    </row>
    <row r="84" spans="1:8" ht="25.5" customHeight="1">
      <c r="A84" s="215" t="s">
        <v>95</v>
      </c>
      <c r="B84" s="215"/>
      <c r="C84" s="215"/>
      <c r="D84" s="120">
        <f>D85</f>
        <v>-97480.77</v>
      </c>
      <c r="E84" s="66"/>
      <c r="H84" s="17"/>
    </row>
    <row r="85" spans="1:5" ht="15">
      <c r="A85" s="121" t="s">
        <v>96</v>
      </c>
      <c r="B85" s="122"/>
      <c r="C85" s="123"/>
      <c r="D85" s="124">
        <f>B15+B20+D82+D83-D73</f>
        <v>-97480.77</v>
      </c>
      <c r="E85" s="66"/>
    </row>
    <row r="86" spans="1:5" ht="15">
      <c r="A86" s="122" t="s">
        <v>15</v>
      </c>
      <c r="B86" s="122"/>
      <c r="C86" s="123"/>
      <c r="D86" s="124">
        <f>B16+B25-D81</f>
        <v>0</v>
      </c>
      <c r="E86" s="66"/>
    </row>
    <row r="87" spans="1:5" ht="13.5" customHeight="1">
      <c r="A87" s="216" t="s">
        <v>97</v>
      </c>
      <c r="B87" s="216"/>
      <c r="C87" s="216"/>
      <c r="D87" s="125">
        <v>866686.36</v>
      </c>
      <c r="E87" s="66"/>
    </row>
    <row r="88" spans="1:4" ht="15" customHeight="1">
      <c r="A88" s="208" t="s">
        <v>18</v>
      </c>
      <c r="B88" s="208"/>
      <c r="C88" s="208"/>
      <c r="D88" s="86"/>
    </row>
    <row r="89" spans="1:4" ht="13.5" customHeight="1">
      <c r="A89" s="208" t="s">
        <v>22</v>
      </c>
      <c r="B89" s="208"/>
      <c r="C89" s="208"/>
      <c r="D89" s="86">
        <f>D87*B19/B17</f>
        <v>238399.7415538133</v>
      </c>
    </row>
    <row r="90" spans="1:4" ht="13.5" customHeight="1">
      <c r="A90" s="208" t="s">
        <v>41</v>
      </c>
      <c r="B90" s="208"/>
      <c r="C90" s="208"/>
      <c r="D90" s="86">
        <f>D87-D89-D91</f>
        <v>0</v>
      </c>
    </row>
    <row r="91" spans="1:4" ht="13.5" customHeight="1">
      <c r="A91" s="208" t="s">
        <v>30</v>
      </c>
      <c r="B91" s="208"/>
      <c r="C91" s="208"/>
      <c r="D91" s="86">
        <f>D93+D94+D95+D96+D97</f>
        <v>628286.6184461867</v>
      </c>
    </row>
    <row r="92" spans="1:4" ht="15">
      <c r="A92" s="208" t="s">
        <v>18</v>
      </c>
      <c r="B92" s="208"/>
      <c r="C92" s="208"/>
      <c r="D92" s="86"/>
    </row>
    <row r="93" spans="1:4" ht="13.5" customHeight="1">
      <c r="A93" s="208" t="s">
        <v>32</v>
      </c>
      <c r="B93" s="208"/>
      <c r="C93" s="208"/>
      <c r="D93" s="86">
        <f>D87*B33/B17</f>
        <v>29719.604236502106</v>
      </c>
    </row>
    <row r="94" spans="1:4" ht="15">
      <c r="A94" s="208" t="s">
        <v>33</v>
      </c>
      <c r="B94" s="208"/>
      <c r="C94" s="208"/>
      <c r="D94" s="86">
        <f>D87*B34/B17</f>
        <v>61401.70476941897</v>
      </c>
    </row>
    <row r="95" spans="1:4" ht="15">
      <c r="A95" s="208" t="s">
        <v>34</v>
      </c>
      <c r="B95" s="208"/>
      <c r="C95" s="208"/>
      <c r="D95" s="86">
        <f>D87*B35/B17</f>
        <v>355586.13639610563</v>
      </c>
    </row>
    <row r="96" spans="1:4" ht="15" customHeight="1">
      <c r="A96" s="208" t="s">
        <v>35</v>
      </c>
      <c r="B96" s="208"/>
      <c r="C96" s="208"/>
      <c r="D96" s="86">
        <f>D87*B36/B17</f>
        <v>85121.28450336076</v>
      </c>
    </row>
    <row r="97" spans="1:4" ht="15">
      <c r="A97" s="208" t="s">
        <v>36</v>
      </c>
      <c r="B97" s="208"/>
      <c r="C97" s="208"/>
      <c r="D97" s="86">
        <f>D87*B37/B17</f>
        <v>96457.8885407992</v>
      </c>
    </row>
    <row r="98" spans="1:4" ht="25.5" customHeight="1">
      <c r="A98" s="209" t="s">
        <v>98</v>
      </c>
      <c r="B98" s="209"/>
      <c r="C98" s="209"/>
      <c r="D98" s="209"/>
    </row>
    <row r="99" spans="1:4" ht="38.25">
      <c r="A99" s="87" t="s">
        <v>99</v>
      </c>
      <c r="B99" s="6" t="s">
        <v>100</v>
      </c>
      <c r="C99" s="6" t="s">
        <v>213</v>
      </c>
      <c r="D99" s="87" t="s">
        <v>102</v>
      </c>
    </row>
    <row r="100" spans="1:4" ht="12.75" customHeight="1">
      <c r="A100" s="88" t="s">
        <v>382</v>
      </c>
      <c r="B100" s="211" t="s">
        <v>104</v>
      </c>
      <c r="C100" s="89" t="s">
        <v>355</v>
      </c>
      <c r="D100" s="90" t="s">
        <v>105</v>
      </c>
    </row>
    <row r="101" spans="1:4" ht="12.75" customHeight="1">
      <c r="A101" s="88" t="s">
        <v>383</v>
      </c>
      <c r="B101" s="211"/>
      <c r="C101" s="89" t="s">
        <v>356</v>
      </c>
      <c r="D101" s="90" t="s">
        <v>105</v>
      </c>
    </row>
    <row r="102" spans="1:4" ht="12.75" customHeight="1">
      <c r="A102" s="88" t="s">
        <v>384</v>
      </c>
      <c r="B102" s="211"/>
      <c r="C102" s="89" t="s">
        <v>358</v>
      </c>
      <c r="D102" s="90" t="s">
        <v>105</v>
      </c>
    </row>
    <row r="103" spans="1:4" ht="12.75" customHeight="1">
      <c r="A103" s="88" t="s">
        <v>385</v>
      </c>
      <c r="B103" s="211"/>
      <c r="C103" s="89" t="s">
        <v>359</v>
      </c>
      <c r="D103" s="90" t="s">
        <v>105</v>
      </c>
    </row>
    <row r="104" spans="1:4" ht="12.75" customHeight="1">
      <c r="A104" s="88" t="s">
        <v>386</v>
      </c>
      <c r="B104" s="211"/>
      <c r="C104" s="89" t="s">
        <v>361</v>
      </c>
      <c r="D104" s="90" t="s">
        <v>105</v>
      </c>
    </row>
    <row r="105" spans="1:4" ht="12.75" customHeight="1">
      <c r="A105" s="88" t="s">
        <v>387</v>
      </c>
      <c r="B105" s="211"/>
      <c r="C105" s="89" t="s">
        <v>362</v>
      </c>
      <c r="D105" s="90" t="s">
        <v>105</v>
      </c>
    </row>
    <row r="106" spans="1:4" ht="12.75">
      <c r="A106" s="42" t="s">
        <v>41</v>
      </c>
      <c r="B106" s="211"/>
      <c r="C106" s="91"/>
      <c r="D106" s="92"/>
    </row>
    <row r="107" spans="1:4" ht="19.5" customHeight="1">
      <c r="A107" s="42" t="s">
        <v>32</v>
      </c>
      <c r="B107" s="212" t="s">
        <v>107</v>
      </c>
      <c r="C107" s="93" t="s">
        <v>108</v>
      </c>
      <c r="D107" s="192" t="s">
        <v>392</v>
      </c>
    </row>
    <row r="108" spans="1:4" ht="22.5" customHeight="1">
      <c r="A108" s="42" t="s">
        <v>33</v>
      </c>
      <c r="B108" s="212"/>
      <c r="C108" s="93" t="s">
        <v>110</v>
      </c>
      <c r="D108" s="192" t="s">
        <v>392</v>
      </c>
    </row>
    <row r="109" spans="1:4" ht="39.75" customHeight="1">
      <c r="A109" s="42" t="s">
        <v>34</v>
      </c>
      <c r="B109" s="94" t="s">
        <v>111</v>
      </c>
      <c r="C109" s="93" t="s">
        <v>112</v>
      </c>
      <c r="D109" s="92" t="s">
        <v>113</v>
      </c>
    </row>
    <row r="110" spans="1:4" ht="39" customHeight="1">
      <c r="A110" s="42" t="s">
        <v>35</v>
      </c>
      <c r="B110" s="95" t="s">
        <v>114</v>
      </c>
      <c r="C110" s="93" t="s">
        <v>115</v>
      </c>
      <c r="D110" s="192" t="s">
        <v>392</v>
      </c>
    </row>
    <row r="111" ht="12.75">
      <c r="H111" s="1" t="s">
        <v>37</v>
      </c>
    </row>
    <row r="112" ht="12.75">
      <c r="A112" t="s">
        <v>116</v>
      </c>
    </row>
    <row r="114" ht="12.75">
      <c r="A114" t="s">
        <v>117</v>
      </c>
    </row>
  </sheetData>
  <sheetProtection selectLockedCells="1" selectUnlockedCells="1"/>
  <mergeCells count="23">
    <mergeCell ref="A96:C96"/>
    <mergeCell ref="A97:C97"/>
    <mergeCell ref="A98:D98"/>
    <mergeCell ref="B100:B106"/>
    <mergeCell ref="B107:B108"/>
    <mergeCell ref="A90:C90"/>
    <mergeCell ref="A91:C91"/>
    <mergeCell ref="A92:C92"/>
    <mergeCell ref="A93:C93"/>
    <mergeCell ref="A94:C94"/>
    <mergeCell ref="A95:C95"/>
    <mergeCell ref="A73:C73"/>
    <mergeCell ref="A82:C82"/>
    <mergeCell ref="A84:C84"/>
    <mergeCell ref="A87:C87"/>
    <mergeCell ref="A88:C88"/>
    <mergeCell ref="A89:C8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zoomScale="80" zoomScaleNormal="80" zoomScalePageLayoutView="0" workbookViewId="0" topLeftCell="A1">
      <selection activeCell="A1" sqref="A1:D1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0.8515625" style="1" customWidth="1"/>
    <col min="9" max="19" width="10.7109375" style="1" customWidth="1"/>
    <col min="20" max="28" width="10.710937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118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119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179858.35</v>
      </c>
      <c r="C14" s="96"/>
      <c r="D14" s="12"/>
    </row>
    <row r="15" spans="1:4" ht="15.75">
      <c r="A15" s="13" t="s">
        <v>14</v>
      </c>
      <c r="B15" s="10">
        <v>155887.97</v>
      </c>
      <c r="C15" s="96"/>
      <c r="D15" s="12"/>
    </row>
    <row r="16" spans="1:4" ht="15.75">
      <c r="A16" s="14" t="s">
        <v>15</v>
      </c>
      <c r="B16" s="10">
        <v>23970.38</v>
      </c>
      <c r="C16" s="96"/>
      <c r="D16" s="12"/>
    </row>
    <row r="17" spans="1:23" ht="31.5">
      <c r="A17" s="15" t="s">
        <v>16</v>
      </c>
      <c r="B17" s="97">
        <f>B19+B23+B24+B25+B26</f>
        <v>5013354.24</v>
      </c>
      <c r="C17" s="11" t="s">
        <v>17</v>
      </c>
      <c r="D17" s="12" t="s">
        <v>17</v>
      </c>
      <c r="E17" s="22">
        <f>SUM(E18:E32)</f>
        <v>177766.37404423818</v>
      </c>
      <c r="H17" s="1" t="s">
        <v>120</v>
      </c>
      <c r="I17" s="32">
        <v>1</v>
      </c>
      <c r="J17" s="32">
        <v>2</v>
      </c>
      <c r="K17" s="32">
        <v>3</v>
      </c>
      <c r="L17" s="32">
        <v>4</v>
      </c>
      <c r="M17" s="32">
        <v>5</v>
      </c>
      <c r="N17" s="32">
        <v>6</v>
      </c>
      <c r="O17" s="1" t="s">
        <v>121</v>
      </c>
      <c r="T17" s="98"/>
      <c r="U17" s="98"/>
      <c r="V17" s="98"/>
      <c r="W17" s="98"/>
    </row>
    <row r="18" spans="1:14" ht="15">
      <c r="A18" s="7" t="s">
        <v>18</v>
      </c>
      <c r="B18" s="16"/>
      <c r="C18" s="11"/>
      <c r="D18" s="12"/>
      <c r="H18" s="1">
        <v>778256.82</v>
      </c>
      <c r="I18" s="1">
        <v>129709.47</v>
      </c>
      <c r="J18" s="1">
        <v>129709.47</v>
      </c>
      <c r="K18" s="1">
        <v>129709.47</v>
      </c>
      <c r="L18" s="1">
        <v>129709.47</v>
      </c>
      <c r="M18" s="1">
        <v>129709.47</v>
      </c>
      <c r="N18" s="1">
        <v>129709.47</v>
      </c>
    </row>
    <row r="19" spans="1:23" ht="15">
      <c r="A19" s="7" t="s">
        <v>22</v>
      </c>
      <c r="B19" s="97">
        <v>1692823.38</v>
      </c>
      <c r="C19" s="11"/>
      <c r="D19" s="12"/>
      <c r="H19" s="1">
        <f>18.74*6*1317.4+23.47*6*4766.3</f>
        <v>819318.822</v>
      </c>
      <c r="I19" s="1">
        <f>H19/6</f>
        <v>136553.13700000002</v>
      </c>
      <c r="J19" s="1">
        <v>136553.13700000002</v>
      </c>
      <c r="K19" s="1">
        <v>136553.13700000002</v>
      </c>
      <c r="L19" s="1">
        <v>136553.13700000002</v>
      </c>
      <c r="M19" s="1">
        <v>136553.13700000002</v>
      </c>
      <c r="N19" s="1">
        <v>136553.13700000002</v>
      </c>
      <c r="T19" s="99"/>
      <c r="U19" s="99"/>
      <c r="V19" s="99"/>
      <c r="W19" s="99"/>
    </row>
    <row r="20" spans="1:15" ht="15">
      <c r="A20" s="7" t="s">
        <v>122</v>
      </c>
      <c r="B20" s="97">
        <v>177765.71</v>
      </c>
      <c r="C20" s="21" t="s">
        <v>123</v>
      </c>
      <c r="D20" s="19"/>
      <c r="E20" s="1">
        <f>(1.81+3.06)*6*6083.7</f>
        <v>177765.71399999998</v>
      </c>
      <c r="H20" s="1">
        <f aca="true" t="shared" si="0" ref="H20:N20">H19-H18</f>
        <v>41062.002000000095</v>
      </c>
      <c r="I20" s="1">
        <f t="shared" si="0"/>
        <v>6843.667000000016</v>
      </c>
      <c r="J20" s="1">
        <f t="shared" si="0"/>
        <v>6843.667000000016</v>
      </c>
      <c r="K20" s="1">
        <f t="shared" si="0"/>
        <v>6843.667000000016</v>
      </c>
      <c r="L20" s="1">
        <f t="shared" si="0"/>
        <v>6843.667000000016</v>
      </c>
      <c r="M20" s="1">
        <f t="shared" si="0"/>
        <v>6843.667000000016</v>
      </c>
      <c r="N20" s="1">
        <f t="shared" si="0"/>
        <v>6843.667000000016</v>
      </c>
      <c r="O20" s="1">
        <f>SUM(I20:N20)</f>
        <v>41062.002000000095</v>
      </c>
    </row>
    <row r="21" spans="1:8" ht="15">
      <c r="A21" s="7" t="s">
        <v>25</v>
      </c>
      <c r="B21" s="16"/>
      <c r="C21" s="21" t="s">
        <v>124</v>
      </c>
      <c r="D21" s="19"/>
      <c r="E21" s="22">
        <f>B21/B17*1</f>
        <v>0</v>
      </c>
      <c r="H21" s="100"/>
    </row>
    <row r="22" spans="1:5" ht="15">
      <c r="A22" s="7" t="s">
        <v>27</v>
      </c>
      <c r="B22" s="16"/>
      <c r="C22" s="21" t="s">
        <v>125</v>
      </c>
      <c r="D22" s="19"/>
      <c r="E22" s="22"/>
    </row>
    <row r="23" spans="1:16" ht="15">
      <c r="A23" s="7" t="s">
        <v>20</v>
      </c>
      <c r="B23" s="97">
        <v>1340.64</v>
      </c>
      <c r="C23" s="21" t="s">
        <v>126</v>
      </c>
      <c r="D23" s="19"/>
      <c r="E23" s="22"/>
      <c r="P23" s="1" t="s">
        <v>37</v>
      </c>
    </row>
    <row r="24" spans="1:4" ht="15">
      <c r="A24" s="7" t="s">
        <v>19</v>
      </c>
      <c r="B24" s="97">
        <v>10154.64</v>
      </c>
      <c r="C24" s="21"/>
      <c r="D24" s="19"/>
    </row>
    <row r="25" spans="1:5" ht="15.75">
      <c r="A25" s="7" t="s">
        <v>127</v>
      </c>
      <c r="B25" s="101">
        <v>170298</v>
      </c>
      <c r="C25" s="21">
        <v>2.7</v>
      </c>
      <c r="D25" s="19"/>
      <c r="E25" s="22">
        <f>B25/B17*1</f>
        <v>0.03396887430001356</v>
      </c>
    </row>
    <row r="26" spans="1:4" ht="15">
      <c r="A26" s="7" t="s">
        <v>30</v>
      </c>
      <c r="B26" s="97">
        <f>B28+B29+B30+B31</f>
        <v>3138737.58</v>
      </c>
      <c r="C26" s="24"/>
      <c r="D26" s="19" t="s">
        <v>31</v>
      </c>
    </row>
    <row r="27" spans="1:4" ht="15">
      <c r="A27" s="7" t="s">
        <v>18</v>
      </c>
      <c r="B27" s="16"/>
      <c r="C27" s="24"/>
      <c r="D27" s="19"/>
    </row>
    <row r="28" spans="1:5" ht="15">
      <c r="A28" s="7" t="s">
        <v>32</v>
      </c>
      <c r="B28" s="97">
        <v>253138.47</v>
      </c>
      <c r="C28" s="24" t="s">
        <v>17</v>
      </c>
      <c r="D28" s="26">
        <v>65.21</v>
      </c>
      <c r="E28" s="22">
        <f>B28/B17*1</f>
        <v>0.05049283531179317</v>
      </c>
    </row>
    <row r="29" spans="1:5" ht="15">
      <c r="A29" s="7" t="s">
        <v>33</v>
      </c>
      <c r="B29" s="97">
        <v>463894.45</v>
      </c>
      <c r="C29" s="24" t="s">
        <v>17</v>
      </c>
      <c r="D29" s="26">
        <v>119.63</v>
      </c>
      <c r="E29" s="22">
        <f>B29/B17*1</f>
        <v>0.0925317517558863</v>
      </c>
    </row>
    <row r="30" spans="1:5" ht="15">
      <c r="A30" s="7" t="s">
        <v>34</v>
      </c>
      <c r="B30" s="97">
        <v>1778098.73</v>
      </c>
      <c r="C30" s="24"/>
      <c r="D30" s="26"/>
      <c r="E30" s="22">
        <f>B30/B17*1</f>
        <v>0.3546724697435304</v>
      </c>
    </row>
    <row r="31" spans="1:5" ht="15">
      <c r="A31" s="7" t="s">
        <v>35</v>
      </c>
      <c r="B31" s="97">
        <v>643605.93</v>
      </c>
      <c r="C31" s="24" t="s">
        <v>17</v>
      </c>
      <c r="D31" s="26">
        <v>139.18</v>
      </c>
      <c r="E31" s="22">
        <f>B31/B17*1</f>
        <v>0.12837830705535783</v>
      </c>
    </row>
    <row r="32" spans="1:5" ht="15">
      <c r="A32" s="7" t="s">
        <v>36</v>
      </c>
      <c r="B32" s="16"/>
      <c r="C32" s="24"/>
      <c r="D32" s="19" t="s">
        <v>37</v>
      </c>
      <c r="E32" s="22">
        <f>B32/B17*1</f>
        <v>0</v>
      </c>
    </row>
    <row r="33" spans="1:5" ht="31.5">
      <c r="A33" s="27" t="s">
        <v>38</v>
      </c>
      <c r="B33" s="28">
        <v>4846554</v>
      </c>
      <c r="C33" s="96" t="s">
        <v>17</v>
      </c>
      <c r="D33" s="12" t="s">
        <v>17</v>
      </c>
      <c r="E33" s="1">
        <f>B33/B17</f>
        <v>0.9667288142798383</v>
      </c>
    </row>
    <row r="34" spans="1:4" ht="15">
      <c r="A34" s="30" t="s">
        <v>18</v>
      </c>
      <c r="B34" s="28"/>
      <c r="C34" s="96"/>
      <c r="D34" s="12"/>
    </row>
    <row r="35" spans="1:4" ht="15">
      <c r="A35" s="30" t="s">
        <v>19</v>
      </c>
      <c r="B35" s="28">
        <f>B24*E33</f>
        <v>9816.783086638616</v>
      </c>
      <c r="C35" s="96"/>
      <c r="D35" s="12"/>
    </row>
    <row r="36" spans="1:4" ht="15">
      <c r="A36" s="30" t="s">
        <v>20</v>
      </c>
      <c r="B36" s="28">
        <f>B23*E33</f>
        <v>1296.0353175761225</v>
      </c>
      <c r="C36" s="96"/>
      <c r="D36" s="12" t="s">
        <v>17</v>
      </c>
    </row>
    <row r="37" spans="1:4" ht="15">
      <c r="A37" s="30" t="s">
        <v>40</v>
      </c>
      <c r="B37" s="28">
        <f>B19*E33</f>
        <v>1636501.138932588</v>
      </c>
      <c r="C37" s="96"/>
      <c r="D37" s="12"/>
    </row>
    <row r="38" spans="1:4" ht="15">
      <c r="A38" s="30" t="s">
        <v>41</v>
      </c>
      <c r="B38" s="28">
        <f>B25*E33</f>
        <v>164631.9836142279</v>
      </c>
      <c r="C38" s="102" t="s">
        <v>37</v>
      </c>
      <c r="D38" s="12" t="s">
        <v>17</v>
      </c>
    </row>
    <row r="39" spans="1:4" ht="15">
      <c r="A39" s="30" t="s">
        <v>30</v>
      </c>
      <c r="B39" s="28">
        <f>B41+B42+B43+B44</f>
        <v>3034308.059048969</v>
      </c>
      <c r="C39" s="96" t="s">
        <v>17</v>
      </c>
      <c r="D39" s="12" t="s">
        <v>17</v>
      </c>
    </row>
    <row r="40" spans="1:4" ht="15">
      <c r="A40" s="30" t="s">
        <v>18</v>
      </c>
      <c r="B40" s="28"/>
      <c r="C40" s="96"/>
      <c r="D40" s="12"/>
    </row>
    <row r="41" spans="1:4" ht="15">
      <c r="A41" s="30" t="s">
        <v>32</v>
      </c>
      <c r="B41" s="28">
        <f>B28*E33</f>
        <v>244716.2529517124</v>
      </c>
      <c r="C41" s="96" t="s">
        <v>17</v>
      </c>
      <c r="D41" s="12"/>
    </row>
    <row r="42" spans="1:4" ht="15">
      <c r="A42" s="30" t="s">
        <v>33</v>
      </c>
      <c r="B42" s="28">
        <f>B29*E33</f>
        <v>448460.13159949775</v>
      </c>
      <c r="C42" s="96" t="s">
        <v>17</v>
      </c>
      <c r="D42" s="12"/>
    </row>
    <row r="43" spans="1:4" ht="15">
      <c r="A43" s="30" t="s">
        <v>34</v>
      </c>
      <c r="B43" s="28">
        <f>B30*E33</f>
        <v>1718939.2769253862</v>
      </c>
      <c r="C43" s="96"/>
      <c r="D43" s="12"/>
    </row>
    <row r="44" spans="1:4" ht="15">
      <c r="A44" s="30" t="s">
        <v>35</v>
      </c>
      <c r="B44" s="28">
        <f>B31*E33</f>
        <v>622192.3975723726</v>
      </c>
      <c r="C44" s="96" t="s">
        <v>17</v>
      </c>
      <c r="D44" s="12"/>
    </row>
    <row r="45" spans="1:4" ht="15">
      <c r="A45" s="30" t="s">
        <v>36</v>
      </c>
      <c r="B45" s="28"/>
      <c r="C45" s="96" t="s">
        <v>17</v>
      </c>
      <c r="D45" s="12"/>
    </row>
    <row r="46" spans="1:4" ht="47.25">
      <c r="A46" s="31" t="s">
        <v>42</v>
      </c>
      <c r="B46" s="28">
        <f>B48+B49+B50+B51+B52</f>
        <v>3034308.059048969</v>
      </c>
      <c r="C46" s="96" t="s">
        <v>17</v>
      </c>
      <c r="D46" s="12" t="s">
        <v>17</v>
      </c>
    </row>
    <row r="47" spans="1:4" ht="15">
      <c r="A47" s="30" t="s">
        <v>18</v>
      </c>
      <c r="B47" s="28"/>
      <c r="C47" s="96"/>
      <c r="D47" s="12"/>
    </row>
    <row r="48" spans="1:4" ht="15">
      <c r="A48" s="30" t="s">
        <v>32</v>
      </c>
      <c r="B48" s="28">
        <f>B41</f>
        <v>244716.2529517124</v>
      </c>
      <c r="C48" s="96" t="s">
        <v>17</v>
      </c>
      <c r="D48" s="12"/>
    </row>
    <row r="49" spans="1:4" ht="15">
      <c r="A49" s="30" t="s">
        <v>33</v>
      </c>
      <c r="B49" s="28">
        <f>B42</f>
        <v>448460.13159949775</v>
      </c>
      <c r="C49" s="96" t="s">
        <v>17</v>
      </c>
      <c r="D49" s="12"/>
    </row>
    <row r="50" spans="1:4" ht="15">
      <c r="A50" s="30" t="s">
        <v>34</v>
      </c>
      <c r="B50" s="28">
        <f>B43</f>
        <v>1718939.2769253862</v>
      </c>
      <c r="C50" s="96"/>
      <c r="D50" s="12"/>
    </row>
    <row r="51" spans="1:4" ht="15">
      <c r="A51" s="30" t="s">
        <v>35</v>
      </c>
      <c r="B51" s="28">
        <f>B44</f>
        <v>622192.3975723726</v>
      </c>
      <c r="C51" s="96" t="s">
        <v>17</v>
      </c>
      <c r="D51" s="12"/>
    </row>
    <row r="52" spans="1:4" ht="15">
      <c r="A52" s="33" t="s">
        <v>36</v>
      </c>
      <c r="B52" s="34"/>
      <c r="C52" s="103" t="s">
        <v>17</v>
      </c>
      <c r="D52" s="36"/>
    </row>
    <row r="53" spans="1:10" ht="31.5" customHeight="1">
      <c r="A53" s="37" t="s">
        <v>43</v>
      </c>
      <c r="B53" s="37"/>
      <c r="C53" s="38" t="s">
        <v>8</v>
      </c>
      <c r="D53" s="37"/>
      <c r="I53" s="32"/>
      <c r="J53" s="32"/>
    </row>
    <row r="54" spans="1:14" ht="63.75">
      <c r="A54" s="39" t="s">
        <v>44</v>
      </c>
      <c r="B54" s="39" t="s">
        <v>45</v>
      </c>
      <c r="C54" s="39" t="s">
        <v>46</v>
      </c>
      <c r="D54" s="191" t="s">
        <v>393</v>
      </c>
      <c r="I54" s="40"/>
      <c r="J54" s="40"/>
      <c r="K54" s="40"/>
      <c r="L54" s="40"/>
      <c r="M54" s="40"/>
      <c r="N54" s="40"/>
    </row>
    <row r="55" spans="1:14" ht="15">
      <c r="A55" s="42" t="s">
        <v>48</v>
      </c>
      <c r="B55" s="43" t="s">
        <v>49</v>
      </c>
      <c r="C55" s="44" t="s">
        <v>128</v>
      </c>
      <c r="D55" s="45">
        <f>(0.19+0.27)*6*6083.7</f>
        <v>16791.012000000002</v>
      </c>
      <c r="E55" s="46"/>
      <c r="F55" s="47"/>
      <c r="G55" s="48"/>
      <c r="I55" s="49"/>
      <c r="J55" s="49"/>
      <c r="K55" s="49"/>
      <c r="L55" s="49"/>
      <c r="M55" s="49"/>
      <c r="N55" s="49"/>
    </row>
    <row r="56" spans="1:14" ht="15">
      <c r="A56" s="42" t="s">
        <v>51</v>
      </c>
      <c r="B56" s="43" t="s">
        <v>52</v>
      </c>
      <c r="C56" s="44" t="s">
        <v>53</v>
      </c>
      <c r="D56" s="45">
        <f>(2.1+2.23)*6*6083.7</f>
        <v>158054.52599999998</v>
      </c>
      <c r="E56" s="46"/>
      <c r="F56" s="47"/>
      <c r="G56" s="48"/>
      <c r="I56" s="49"/>
      <c r="J56" s="49"/>
      <c r="K56" s="49"/>
      <c r="L56" s="49"/>
      <c r="M56" s="49"/>
      <c r="N56" s="49"/>
    </row>
    <row r="57" spans="1:14" ht="15">
      <c r="A57" s="42" t="s">
        <v>54</v>
      </c>
      <c r="B57" s="43" t="s">
        <v>52</v>
      </c>
      <c r="C57" s="44" t="s">
        <v>55</v>
      </c>
      <c r="D57" s="45">
        <f>(1.2+2.27)*6*6083.7</f>
        <v>126662.63399999999</v>
      </c>
      <c r="E57" s="46"/>
      <c r="F57" s="47"/>
      <c r="G57" s="48"/>
      <c r="I57" s="49"/>
      <c r="J57" s="49"/>
      <c r="K57" s="49"/>
      <c r="L57" s="49"/>
      <c r="M57" s="49"/>
      <c r="N57" s="49"/>
    </row>
    <row r="58" spans="1:14" ht="15">
      <c r="A58" s="42" t="s">
        <v>56</v>
      </c>
      <c r="B58" s="43" t="s">
        <v>49</v>
      </c>
      <c r="C58" s="44" t="s">
        <v>129</v>
      </c>
      <c r="D58" s="45">
        <f>(0.2+0.21)*6*6083.7</f>
        <v>14965.902</v>
      </c>
      <c r="E58" s="46"/>
      <c r="F58" s="47"/>
      <c r="G58" s="48"/>
      <c r="I58" s="49"/>
      <c r="J58" s="49"/>
      <c r="K58" s="49"/>
      <c r="L58" s="49"/>
      <c r="M58" s="49"/>
      <c r="N58" s="49"/>
    </row>
    <row r="59" spans="1:14" ht="15">
      <c r="A59" s="42" t="s">
        <v>58</v>
      </c>
      <c r="B59" s="194" t="s">
        <v>49</v>
      </c>
      <c r="C59" s="52" t="s">
        <v>130</v>
      </c>
      <c r="D59" s="45">
        <f>16246.61+12045.67</f>
        <v>28292.28</v>
      </c>
      <c r="E59" s="46">
        <f>(1.07+0.5)*6*6083.7-0.6*1317.4*6-1.27*4766.3*6</f>
        <v>16246.608</v>
      </c>
      <c r="F59" s="53"/>
      <c r="G59" s="54"/>
      <c r="H59" s="46">
        <f>0.6*1317.4*6+1.27*4766.3*6</f>
        <v>41061.846</v>
      </c>
      <c r="I59" s="49"/>
      <c r="J59" s="49"/>
      <c r="K59" s="49"/>
      <c r="L59" s="49"/>
      <c r="M59" s="49"/>
      <c r="N59" s="49"/>
    </row>
    <row r="60" spans="1:14" ht="15">
      <c r="A60" s="42" t="s">
        <v>60</v>
      </c>
      <c r="B60" s="51" t="s">
        <v>49</v>
      </c>
      <c r="C60" s="55" t="s">
        <v>131</v>
      </c>
      <c r="D60" s="45">
        <f>(0.89+1.27)*6*6083.7</f>
        <v>78844.75200000001</v>
      </c>
      <c r="E60" s="46"/>
      <c r="F60" s="53"/>
      <c r="G60" s="54"/>
      <c r="I60" s="49"/>
      <c r="J60" s="49"/>
      <c r="K60" s="49"/>
      <c r="L60" s="49"/>
      <c r="M60" s="49"/>
      <c r="N60" s="49"/>
    </row>
    <row r="61" spans="1:14" ht="15">
      <c r="A61" s="42" t="s">
        <v>62</v>
      </c>
      <c r="B61" s="51" t="s">
        <v>63</v>
      </c>
      <c r="C61" s="52" t="s">
        <v>132</v>
      </c>
      <c r="D61" s="45">
        <f>(1.14+1.21)*6*6083.7</f>
        <v>85780.16999999998</v>
      </c>
      <c r="E61" s="46"/>
      <c r="F61" s="53"/>
      <c r="G61" s="54"/>
      <c r="I61" s="49"/>
      <c r="J61" s="49"/>
      <c r="K61" s="49"/>
      <c r="L61" s="49"/>
      <c r="M61" s="49"/>
      <c r="N61" s="49"/>
    </row>
    <row r="62" spans="1:14" ht="15">
      <c r="A62" s="42" t="s">
        <v>65</v>
      </c>
      <c r="B62" s="51" t="s">
        <v>66</v>
      </c>
      <c r="C62" s="52">
        <v>4.88</v>
      </c>
      <c r="D62" s="45">
        <f>4.88*12*6083.7</f>
        <v>356261.472</v>
      </c>
      <c r="E62" s="46"/>
      <c r="F62" s="53"/>
      <c r="H62" s="49"/>
      <c r="I62" s="49"/>
      <c r="J62" s="49"/>
      <c r="K62" s="49"/>
      <c r="L62" s="49"/>
      <c r="M62" s="49"/>
      <c r="N62" s="49"/>
    </row>
    <row r="63" spans="1:14" ht="15">
      <c r="A63" s="42" t="s">
        <v>67</v>
      </c>
      <c r="B63" s="51" t="s">
        <v>66</v>
      </c>
      <c r="C63" s="56" t="s">
        <v>133</v>
      </c>
      <c r="D63" s="45">
        <f>(2.15+2.28)*6*6083.7</f>
        <v>161704.74599999998</v>
      </c>
      <c r="E63" s="46"/>
      <c r="F63" s="53"/>
      <c r="H63" s="49"/>
      <c r="I63" s="49"/>
      <c r="J63" s="49" t="s">
        <v>37</v>
      </c>
      <c r="K63" s="49"/>
      <c r="L63" s="49"/>
      <c r="M63" s="49"/>
      <c r="N63" s="49"/>
    </row>
    <row r="64" spans="1:14" ht="15">
      <c r="A64" s="57" t="s">
        <v>69</v>
      </c>
      <c r="B64" s="51" t="s">
        <v>66</v>
      </c>
      <c r="C64" s="58" t="s">
        <v>134</v>
      </c>
      <c r="D64" s="45">
        <f>(0.78+0.83)*6*1317.4</f>
        <v>12726.084</v>
      </c>
      <c r="E64" s="46"/>
      <c r="F64" s="53"/>
      <c r="H64" s="49" t="s">
        <v>37</v>
      </c>
      <c r="I64" s="49"/>
      <c r="J64" s="49"/>
      <c r="K64" s="49"/>
      <c r="L64" s="49"/>
      <c r="M64" s="49"/>
      <c r="N64" s="49"/>
    </row>
    <row r="65" spans="1:14" ht="15">
      <c r="A65" s="57" t="s">
        <v>71</v>
      </c>
      <c r="B65" s="51"/>
      <c r="C65" s="58" t="s">
        <v>135</v>
      </c>
      <c r="D65" s="104">
        <f>(5.51+5.84)*6*4766.3</f>
        <v>324585.02999999997</v>
      </c>
      <c r="E65" s="46"/>
      <c r="F65" s="53"/>
      <c r="H65" s="49"/>
      <c r="I65" s="49"/>
      <c r="J65" s="49"/>
      <c r="K65" s="49"/>
      <c r="L65" s="49"/>
      <c r="M65" s="49"/>
      <c r="N65" s="49"/>
    </row>
    <row r="66" spans="1:14" ht="15">
      <c r="A66" s="42" t="s">
        <v>73</v>
      </c>
      <c r="B66" s="51" t="s">
        <v>66</v>
      </c>
      <c r="C66" s="56" t="s">
        <v>74</v>
      </c>
      <c r="D66" s="45">
        <f>(2+2.12)*6*6083.7</f>
        <v>150389.06399999998</v>
      </c>
      <c r="E66" s="46"/>
      <c r="F66" s="53"/>
      <c r="H66" s="105"/>
      <c r="I66" s="49"/>
      <c r="J66" s="49" t="s">
        <v>37</v>
      </c>
      <c r="K66" s="49"/>
      <c r="L66" s="49"/>
      <c r="M66" s="49"/>
      <c r="N66" s="49"/>
    </row>
    <row r="67" spans="1:14" ht="15.75">
      <c r="A67" s="59" t="s">
        <v>75</v>
      </c>
      <c r="B67" s="60"/>
      <c r="C67" s="61"/>
      <c r="D67" s="62">
        <f>SUM(D55:D66)</f>
        <v>1515057.672</v>
      </c>
      <c r="E67" s="63">
        <f>D67+B20</f>
        <v>1692823.382</v>
      </c>
      <c r="F67" s="49"/>
      <c r="H67" s="106">
        <f>E67-B19</f>
        <v>0.0020000000949949026</v>
      </c>
      <c r="I67" s="49"/>
      <c r="J67" s="49"/>
      <c r="K67" s="49"/>
      <c r="L67" s="49"/>
      <c r="M67" s="49"/>
      <c r="N67" s="49"/>
    </row>
    <row r="68" spans="1:5" ht="16.5" customHeight="1">
      <c r="A68" s="213" t="s">
        <v>76</v>
      </c>
      <c r="B68" s="213"/>
      <c r="C68" s="213"/>
      <c r="D68" s="107">
        <f>D69+D70+D72+D73+D74+D75+D76+D77+D78+D79+D71+D80+D81</f>
        <v>80825.69</v>
      </c>
      <c r="E68" s="66"/>
    </row>
    <row r="69" spans="1:5" ht="13.5" customHeight="1">
      <c r="A69" s="108" t="s">
        <v>136</v>
      </c>
      <c r="B69" s="109"/>
      <c r="C69" s="110"/>
      <c r="D69" s="107">
        <v>238.05</v>
      </c>
      <c r="E69" s="66"/>
    </row>
    <row r="70" spans="1:5" ht="13.5" customHeight="1">
      <c r="A70" s="108" t="s">
        <v>137</v>
      </c>
      <c r="B70" s="109"/>
      <c r="C70" s="110"/>
      <c r="D70" s="107">
        <v>5710.28</v>
      </c>
      <c r="E70" s="66"/>
    </row>
    <row r="71" spans="1:5" ht="13.5" customHeight="1">
      <c r="A71" s="108" t="s">
        <v>138</v>
      </c>
      <c r="B71" s="109"/>
      <c r="C71" s="110"/>
      <c r="D71" s="107">
        <v>3642.25</v>
      </c>
      <c r="E71" s="66"/>
    </row>
    <row r="72" spans="1:5" ht="13.5" customHeight="1">
      <c r="A72" s="108" t="s">
        <v>139</v>
      </c>
      <c r="B72" s="109"/>
      <c r="C72" s="110"/>
      <c r="D72" s="107">
        <v>1809.1</v>
      </c>
      <c r="E72" s="66"/>
    </row>
    <row r="73" spans="1:5" ht="13.5" customHeight="1">
      <c r="A73" s="108" t="s">
        <v>140</v>
      </c>
      <c r="B73" s="109"/>
      <c r="C73" s="110"/>
      <c r="D73" s="107">
        <v>7309.96</v>
      </c>
      <c r="E73" s="66"/>
    </row>
    <row r="74" spans="1:9" ht="13.5" customHeight="1">
      <c r="A74" s="108" t="s">
        <v>141</v>
      </c>
      <c r="B74" s="109"/>
      <c r="C74" s="110"/>
      <c r="D74" s="107">
        <v>133.31</v>
      </c>
      <c r="E74" s="66"/>
      <c r="I74" s="1" t="s">
        <v>37</v>
      </c>
    </row>
    <row r="75" spans="1:5" ht="13.5" customHeight="1">
      <c r="A75" s="108" t="s">
        <v>142</v>
      </c>
      <c r="B75" s="109"/>
      <c r="C75" s="110"/>
      <c r="D75" s="107">
        <v>5437.31</v>
      </c>
      <c r="E75" s="66"/>
    </row>
    <row r="76" spans="1:5" ht="13.5" customHeight="1">
      <c r="A76" s="111" t="s">
        <v>143</v>
      </c>
      <c r="B76" s="112"/>
      <c r="C76" s="113"/>
      <c r="D76" s="107">
        <v>133</v>
      </c>
      <c r="E76" s="66"/>
    </row>
    <row r="77" spans="1:5" ht="13.5" customHeight="1">
      <c r="A77" s="111" t="s">
        <v>144</v>
      </c>
      <c r="B77" s="112"/>
      <c r="C77" s="113"/>
      <c r="D77" s="107">
        <v>11981.2</v>
      </c>
      <c r="E77" s="66"/>
    </row>
    <row r="78" spans="1:5" ht="13.5" customHeight="1">
      <c r="A78" s="111" t="s">
        <v>145</v>
      </c>
      <c r="B78" s="112"/>
      <c r="C78" s="113"/>
      <c r="D78" s="107">
        <v>2719.59</v>
      </c>
      <c r="E78" s="66"/>
    </row>
    <row r="79" spans="1:5" ht="13.5" customHeight="1">
      <c r="A79" s="111" t="s">
        <v>77</v>
      </c>
      <c r="B79" s="112"/>
      <c r="C79" s="113"/>
      <c r="D79" s="107">
        <v>707</v>
      </c>
      <c r="E79" s="66"/>
    </row>
    <row r="80" spans="1:5" ht="13.5" customHeight="1">
      <c r="A80" s="195" t="s">
        <v>394</v>
      </c>
      <c r="B80" s="112"/>
      <c r="C80" s="113"/>
      <c r="D80" s="107">
        <v>25212.65</v>
      </c>
      <c r="E80" s="66"/>
    </row>
    <row r="81" spans="1:5" ht="13.5" customHeight="1">
      <c r="A81" s="111" t="s">
        <v>146</v>
      </c>
      <c r="B81" s="112"/>
      <c r="C81" s="113"/>
      <c r="D81" s="107">
        <v>15791.99</v>
      </c>
      <c r="E81" s="66"/>
    </row>
    <row r="82" spans="1:8" ht="13.5" customHeight="1">
      <c r="A82" s="114" t="s">
        <v>90</v>
      </c>
      <c r="B82" s="115"/>
      <c r="C82" s="116"/>
      <c r="D82" s="107">
        <f>D67+D68</f>
        <v>1595883.362</v>
      </c>
      <c r="E82" s="66"/>
      <c r="H82" s="1" t="s">
        <v>37</v>
      </c>
    </row>
    <row r="83" spans="1:5" ht="13.5" customHeight="1">
      <c r="A83" s="114" t="s">
        <v>147</v>
      </c>
      <c r="B83" s="112"/>
      <c r="C83" s="113"/>
      <c r="D83" s="107">
        <f>D84+D85</f>
        <v>149024.44</v>
      </c>
      <c r="E83" s="66"/>
    </row>
    <row r="84" spans="1:5" ht="13.5" customHeight="1">
      <c r="A84" s="111" t="s">
        <v>148</v>
      </c>
      <c r="B84" s="112"/>
      <c r="C84" s="113"/>
      <c r="D84" s="107">
        <v>44020.44</v>
      </c>
      <c r="E84" s="66"/>
    </row>
    <row r="85" spans="1:5" ht="13.5" customHeight="1">
      <c r="A85" s="111" t="s">
        <v>149</v>
      </c>
      <c r="B85" s="112"/>
      <c r="C85" s="113"/>
      <c r="D85" s="107">
        <v>105004</v>
      </c>
      <c r="E85" s="66"/>
    </row>
    <row r="86" spans="1:5" ht="18" customHeight="1">
      <c r="A86" s="214" t="s">
        <v>93</v>
      </c>
      <c r="B86" s="214"/>
      <c r="C86" s="214"/>
      <c r="D86" s="117">
        <v>1036.8</v>
      </c>
      <c r="E86" s="66"/>
    </row>
    <row r="87" spans="1:5" ht="18" customHeight="1">
      <c r="A87" s="118" t="s">
        <v>94</v>
      </c>
      <c r="B87" s="118"/>
      <c r="C87" s="118"/>
      <c r="D87" s="119">
        <v>5280</v>
      </c>
      <c r="E87" s="66"/>
    </row>
    <row r="88" spans="1:8" ht="25.5" customHeight="1">
      <c r="A88" s="215" t="s">
        <v>95</v>
      </c>
      <c r="B88" s="215"/>
      <c r="C88" s="215"/>
      <c r="D88" s="120">
        <f>D89+D90</f>
        <v>304388.73</v>
      </c>
      <c r="E88" s="66"/>
      <c r="H88" s="17"/>
    </row>
    <row r="89" spans="1:5" ht="15">
      <c r="A89" s="121" t="s">
        <v>96</v>
      </c>
      <c r="B89" s="122"/>
      <c r="C89" s="123"/>
      <c r="D89" s="124">
        <f>B15+B20+D86+D87-D68</f>
        <v>259144.78999999998</v>
      </c>
      <c r="E89" s="66"/>
    </row>
    <row r="90" spans="1:5" ht="15">
      <c r="A90" s="122" t="s">
        <v>15</v>
      </c>
      <c r="B90" s="122"/>
      <c r="C90" s="123"/>
      <c r="D90" s="124">
        <f>B16+B25-D83</f>
        <v>45243.94</v>
      </c>
      <c r="E90" s="66"/>
    </row>
    <row r="91" spans="1:5" ht="13.5" customHeight="1">
      <c r="A91" s="216" t="s">
        <v>97</v>
      </c>
      <c r="B91" s="216"/>
      <c r="C91" s="216"/>
      <c r="D91" s="125">
        <v>377353.84</v>
      </c>
      <c r="E91" s="66"/>
    </row>
    <row r="92" spans="1:4" ht="15" customHeight="1">
      <c r="A92" s="208" t="s">
        <v>18</v>
      </c>
      <c r="B92" s="208"/>
      <c r="C92" s="208"/>
      <c r="D92" s="86"/>
    </row>
    <row r="93" spans="1:4" ht="13.5" customHeight="1">
      <c r="A93" s="208" t="s">
        <v>22</v>
      </c>
      <c r="B93" s="208"/>
      <c r="C93" s="208"/>
      <c r="D93" s="86">
        <f>D91*B19/B17</f>
        <v>127418.36549032273</v>
      </c>
    </row>
    <row r="94" spans="1:4" ht="13.5" customHeight="1">
      <c r="A94" s="208" t="s">
        <v>41</v>
      </c>
      <c r="B94" s="208"/>
      <c r="C94" s="208"/>
      <c r="D94" s="86">
        <f>D91*B25/B17</f>
        <v>12818.285157587428</v>
      </c>
    </row>
    <row r="95" spans="1:4" ht="13.5" customHeight="1">
      <c r="A95" s="208" t="s">
        <v>30</v>
      </c>
      <c r="B95" s="208"/>
      <c r="C95" s="208"/>
      <c r="D95" s="86">
        <f>SUM(D97:D101)</f>
        <v>236251.9426844466</v>
      </c>
    </row>
    <row r="96" spans="1:4" ht="15">
      <c r="A96" s="208" t="s">
        <v>18</v>
      </c>
      <c r="B96" s="208"/>
      <c r="C96" s="208"/>
      <c r="D96" s="86"/>
    </row>
    <row r="97" spans="1:4" ht="13.5" customHeight="1">
      <c r="A97" s="208" t="s">
        <v>32</v>
      </c>
      <c r="B97" s="208"/>
      <c r="C97" s="208"/>
      <c r="D97" s="86">
        <f>D91*B28/B17</f>
        <v>19053.66529739275</v>
      </c>
    </row>
    <row r="98" spans="1:4" ht="15">
      <c r="A98" s="208" t="s">
        <v>33</v>
      </c>
      <c r="B98" s="208"/>
      <c r="C98" s="208"/>
      <c r="D98" s="86">
        <f>D91*B29/B17</f>
        <v>34917.21184701044</v>
      </c>
    </row>
    <row r="99" spans="1:4" ht="15">
      <c r="A99" s="208" t="s">
        <v>34</v>
      </c>
      <c r="B99" s="208"/>
      <c r="C99" s="208"/>
      <c r="D99" s="86">
        <f>D91*B30/B17</f>
        <v>133837.01840000504</v>
      </c>
    </row>
    <row r="100" spans="1:4" ht="15" customHeight="1">
      <c r="A100" s="208" t="s">
        <v>35</v>
      </c>
      <c r="B100" s="208"/>
      <c r="C100" s="208"/>
      <c r="D100" s="86">
        <f>D91*B31/B17</f>
        <v>48444.04714003837</v>
      </c>
    </row>
    <row r="101" spans="1:4" ht="15">
      <c r="A101" s="208" t="s">
        <v>36</v>
      </c>
      <c r="B101" s="208"/>
      <c r="C101" s="208"/>
      <c r="D101" s="86">
        <f>D91*E32</f>
        <v>0</v>
      </c>
    </row>
    <row r="102" spans="1:4" ht="25.5" customHeight="1">
      <c r="A102" s="209" t="s">
        <v>98</v>
      </c>
      <c r="B102" s="209"/>
      <c r="C102" s="209"/>
      <c r="D102" s="209"/>
    </row>
    <row r="103" spans="1:4" ht="38.25">
      <c r="A103" s="90" t="s">
        <v>99</v>
      </c>
      <c r="B103" s="126" t="s">
        <v>100</v>
      </c>
      <c r="C103" s="126" t="s">
        <v>150</v>
      </c>
      <c r="D103" s="90" t="s">
        <v>102</v>
      </c>
    </row>
    <row r="104" spans="1:4" ht="12.75" customHeight="1">
      <c r="A104" s="88" t="s">
        <v>103</v>
      </c>
      <c r="B104" s="210" t="s">
        <v>104</v>
      </c>
      <c r="C104" s="89" t="s">
        <v>124</v>
      </c>
      <c r="D104" s="90" t="s">
        <v>105</v>
      </c>
    </row>
    <row r="105" spans="1:4" ht="12.75" customHeight="1">
      <c r="A105" s="88" t="s">
        <v>106</v>
      </c>
      <c r="B105" s="211"/>
      <c r="C105" s="89" t="s">
        <v>125</v>
      </c>
      <c r="D105" s="90" t="s">
        <v>105</v>
      </c>
    </row>
    <row r="106" spans="1:4" ht="12.75">
      <c r="A106" s="42" t="s">
        <v>41</v>
      </c>
      <c r="B106" s="211"/>
      <c r="C106" s="91">
        <v>2.7</v>
      </c>
      <c r="D106" s="92" t="s">
        <v>105</v>
      </c>
    </row>
    <row r="107" spans="1:4" ht="19.5" customHeight="1">
      <c r="A107" s="42" t="s">
        <v>32</v>
      </c>
      <c r="B107" s="212" t="s">
        <v>107</v>
      </c>
      <c r="C107" s="93" t="s">
        <v>108</v>
      </c>
      <c r="D107" s="192" t="s">
        <v>392</v>
      </c>
    </row>
    <row r="108" spans="1:4" ht="22.5" customHeight="1">
      <c r="A108" s="42" t="s">
        <v>33</v>
      </c>
      <c r="B108" s="212"/>
      <c r="C108" s="93" t="s">
        <v>110</v>
      </c>
      <c r="D108" s="192" t="s">
        <v>392</v>
      </c>
    </row>
    <row r="109" spans="1:4" ht="39.75" customHeight="1">
      <c r="A109" s="42" t="s">
        <v>34</v>
      </c>
      <c r="B109" s="94" t="s">
        <v>111</v>
      </c>
      <c r="C109" s="93" t="s">
        <v>112</v>
      </c>
      <c r="D109" s="92" t="s">
        <v>113</v>
      </c>
    </row>
    <row r="110" spans="1:4" ht="39" customHeight="1">
      <c r="A110" s="42" t="s">
        <v>35</v>
      </c>
      <c r="B110" s="95" t="s">
        <v>114</v>
      </c>
      <c r="C110" s="93" t="s">
        <v>115</v>
      </c>
      <c r="D110" s="192" t="s">
        <v>392</v>
      </c>
    </row>
    <row r="111" ht="12.75">
      <c r="H111" s="1" t="s">
        <v>37</v>
      </c>
    </row>
    <row r="112" ht="12.75">
      <c r="A112" t="s">
        <v>116</v>
      </c>
    </row>
    <row r="114" ht="12.75">
      <c r="A114" t="s">
        <v>117</v>
      </c>
    </row>
  </sheetData>
  <sheetProtection selectLockedCells="1" selectUnlockedCells="1"/>
  <mergeCells count="23">
    <mergeCell ref="A100:C100"/>
    <mergeCell ref="A101:C101"/>
    <mergeCell ref="A102:D102"/>
    <mergeCell ref="B104:B106"/>
    <mergeCell ref="B107:B108"/>
    <mergeCell ref="A94:C94"/>
    <mergeCell ref="A95:C95"/>
    <mergeCell ref="A96:C96"/>
    <mergeCell ref="A97:C97"/>
    <mergeCell ref="A98:C98"/>
    <mergeCell ref="A99:C99"/>
    <mergeCell ref="A68:C68"/>
    <mergeCell ref="A86:C86"/>
    <mergeCell ref="A88:C88"/>
    <mergeCell ref="A91:C91"/>
    <mergeCell ref="A92:C92"/>
    <mergeCell ref="A93:C9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4" fitToWidth="2" horizontalDpi="300" verticalDpi="300" orientation="landscape" paperSize="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80" zoomScaleNormal="80" zoomScalePageLayoutView="0" workbookViewId="0" topLeftCell="A1">
      <selection activeCell="A34" sqref="A34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151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152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-65973.48000000001</v>
      </c>
      <c r="C14" s="96"/>
      <c r="D14" s="12"/>
    </row>
    <row r="15" spans="1:4" ht="15.75">
      <c r="A15" s="13" t="s">
        <v>14</v>
      </c>
      <c r="B15" s="10">
        <v>-124796.35</v>
      </c>
      <c r="C15" s="96"/>
      <c r="D15" s="12"/>
    </row>
    <row r="16" spans="1:4" ht="15.75">
      <c r="A16" s="14" t="s">
        <v>15</v>
      </c>
      <c r="B16" s="10">
        <v>58822.87</v>
      </c>
      <c r="C16" s="96"/>
      <c r="D16" s="12"/>
    </row>
    <row r="17" spans="1:5" ht="31.5">
      <c r="A17" s="15" t="s">
        <v>16</v>
      </c>
      <c r="B17" s="97">
        <f>B19+B23+B24+B25+B26</f>
        <v>5395834.76</v>
      </c>
      <c r="C17" s="11" t="s">
        <v>17</v>
      </c>
      <c r="D17" s="12" t="s">
        <v>17</v>
      </c>
      <c r="E17" s="22">
        <f>SUM(E18:E32)</f>
        <v>204202.9122491026</v>
      </c>
    </row>
    <row r="18" spans="1:4" ht="15">
      <c r="A18" s="7" t="s">
        <v>18</v>
      </c>
      <c r="B18" s="16"/>
      <c r="C18" s="11"/>
      <c r="D18" s="12"/>
    </row>
    <row r="19" spans="1:4" ht="15">
      <c r="A19" s="7" t="s">
        <v>22</v>
      </c>
      <c r="B19" s="97">
        <v>1710119.54</v>
      </c>
      <c r="C19" s="11"/>
      <c r="D19" s="12"/>
    </row>
    <row r="20" spans="1:5" ht="15">
      <c r="A20" s="7" t="s">
        <v>153</v>
      </c>
      <c r="B20" s="97">
        <v>204202.25999999998</v>
      </c>
      <c r="C20" s="21" t="s">
        <v>154</v>
      </c>
      <c r="D20" s="19"/>
      <c r="E20" s="1">
        <f>(2.23+3.32)*6*6132.2</f>
        <v>204202.25999999998</v>
      </c>
    </row>
    <row r="21" spans="1:5" ht="15">
      <c r="A21" s="7" t="s">
        <v>155</v>
      </c>
      <c r="B21" s="16"/>
      <c r="C21" s="21" t="s">
        <v>156</v>
      </c>
      <c r="D21" s="19"/>
      <c r="E21" s="22"/>
    </row>
    <row r="22" spans="1:5" ht="15">
      <c r="A22" s="7" t="s">
        <v>157</v>
      </c>
      <c r="B22" s="16"/>
      <c r="C22" s="21" t="s">
        <v>158</v>
      </c>
      <c r="D22" s="19"/>
      <c r="E22" s="22"/>
    </row>
    <row r="23" spans="1:5" ht="15.75">
      <c r="A23" s="7" t="s">
        <v>159</v>
      </c>
      <c r="B23" s="101">
        <v>164586.18</v>
      </c>
      <c r="C23" s="21">
        <v>2.7</v>
      </c>
      <c r="D23" s="19"/>
      <c r="E23" s="22"/>
    </row>
    <row r="24" spans="1:4" ht="15">
      <c r="A24" s="7" t="s">
        <v>20</v>
      </c>
      <c r="B24" s="97">
        <v>1700.66</v>
      </c>
      <c r="C24" s="21" t="s">
        <v>160</v>
      </c>
      <c r="D24" s="19"/>
    </row>
    <row r="25" spans="1:5" ht="15">
      <c r="A25" s="7" t="s">
        <v>19</v>
      </c>
      <c r="B25" s="97">
        <v>10225.84</v>
      </c>
      <c r="C25" s="21" t="s">
        <v>37</v>
      </c>
      <c r="D25" s="19"/>
      <c r="E25" s="22">
        <f>B25/B17*1</f>
        <v>0.00189513586957952</v>
      </c>
    </row>
    <row r="26" spans="1:4" ht="15">
      <c r="A26" s="7" t="s">
        <v>30</v>
      </c>
      <c r="B26" s="97">
        <f>B28+B29+B30+B31</f>
        <v>3509202.54</v>
      </c>
      <c r="C26" s="24" t="s">
        <v>37</v>
      </c>
      <c r="D26" s="19" t="s">
        <v>31</v>
      </c>
    </row>
    <row r="27" spans="1:4" ht="15">
      <c r="A27" s="7" t="s">
        <v>18</v>
      </c>
      <c r="B27" s="16"/>
      <c r="C27" s="24" t="s">
        <v>37</v>
      </c>
      <c r="D27" s="19"/>
    </row>
    <row r="28" spans="1:5" ht="15">
      <c r="A28" s="7" t="s">
        <v>32</v>
      </c>
      <c r="B28" s="97">
        <v>211868.33</v>
      </c>
      <c r="C28" s="24" t="s">
        <v>17</v>
      </c>
      <c r="D28" s="26">
        <v>65.21</v>
      </c>
      <c r="E28" s="22">
        <f>B28/B17*1</f>
        <v>0.039265162745643456</v>
      </c>
    </row>
    <row r="29" spans="1:5" ht="15">
      <c r="A29" s="7" t="s">
        <v>33</v>
      </c>
      <c r="B29" s="97">
        <v>468852.01</v>
      </c>
      <c r="C29" s="24" t="s">
        <v>17</v>
      </c>
      <c r="D29" s="26">
        <v>119.63</v>
      </c>
      <c r="E29" s="22">
        <f>B29/B17*1</f>
        <v>0.08689146922653354</v>
      </c>
    </row>
    <row r="30" spans="1:9" ht="15">
      <c r="A30" s="7" t="s">
        <v>34</v>
      </c>
      <c r="B30" s="97">
        <v>2117248.44</v>
      </c>
      <c r="C30" s="24" t="s">
        <v>37</v>
      </c>
      <c r="D30" s="26"/>
      <c r="E30" s="22">
        <f>B30/B17*1</f>
        <v>0.39238570752674423</v>
      </c>
      <c r="I30" s="1" t="s">
        <v>37</v>
      </c>
    </row>
    <row r="31" spans="1:5" ht="15">
      <c r="A31" s="7" t="s">
        <v>35</v>
      </c>
      <c r="B31" s="97">
        <v>711233.76</v>
      </c>
      <c r="C31" s="24" t="s">
        <v>17</v>
      </c>
      <c r="D31" s="26">
        <v>139.18</v>
      </c>
      <c r="E31" s="22">
        <f>B31/B17*1</f>
        <v>0.1318116272337443</v>
      </c>
    </row>
    <row r="32" spans="1:5" ht="15">
      <c r="A32" s="7"/>
      <c r="B32" s="102"/>
      <c r="C32" s="127"/>
      <c r="D32" s="19" t="s">
        <v>37</v>
      </c>
      <c r="E32" s="22">
        <f>B32/B17*1</f>
        <v>0</v>
      </c>
    </row>
    <row r="33" spans="1:5" ht="31.5">
      <c r="A33" s="27" t="s">
        <v>38</v>
      </c>
      <c r="B33" s="28">
        <v>5360176.94</v>
      </c>
      <c r="C33" s="96"/>
      <c r="D33" s="12" t="s">
        <v>17</v>
      </c>
      <c r="E33" s="1">
        <f>B33/B17</f>
        <v>0.9933916026739115</v>
      </c>
    </row>
    <row r="34" spans="1:4" ht="15">
      <c r="A34" s="30" t="s">
        <v>18</v>
      </c>
      <c r="B34" s="28"/>
      <c r="C34" s="96"/>
      <c r="D34" s="12"/>
    </row>
    <row r="35" spans="1:4" ht="15">
      <c r="A35" s="30" t="s">
        <v>22</v>
      </c>
      <c r="B35" s="28">
        <f>B19*E33</f>
        <v>1698818.3906045724</v>
      </c>
      <c r="C35" s="96"/>
      <c r="D35" s="12"/>
    </row>
    <row r="36" spans="1:4" ht="15">
      <c r="A36" s="30"/>
      <c r="B36" s="28"/>
      <c r="C36" s="96"/>
      <c r="D36" s="12" t="s">
        <v>17</v>
      </c>
    </row>
    <row r="37" spans="1:4" ht="15">
      <c r="A37" s="30" t="s">
        <v>41</v>
      </c>
      <c r="B37" s="28">
        <f>B23*E33</f>
        <v>163498.52912817686</v>
      </c>
      <c r="C37" s="96" t="s">
        <v>17</v>
      </c>
      <c r="D37" s="12"/>
    </row>
    <row r="38" spans="1:4" ht="15">
      <c r="A38" s="30" t="s">
        <v>30</v>
      </c>
      <c r="B38" s="28">
        <f>B40+B41+B42+B43</f>
        <v>3486012.3353179605</v>
      </c>
      <c r="C38" s="102"/>
      <c r="D38" s="12" t="s">
        <v>17</v>
      </c>
    </row>
    <row r="39" spans="1:4" ht="15">
      <c r="A39" s="30" t="s">
        <v>18</v>
      </c>
      <c r="B39" s="28"/>
      <c r="C39" s="96" t="s">
        <v>17</v>
      </c>
      <c r="D39" s="12" t="s">
        <v>17</v>
      </c>
    </row>
    <row r="40" spans="1:4" ht="15">
      <c r="A40" s="30" t="s">
        <v>32</v>
      </c>
      <c r="B40" s="28">
        <f>B28*E33</f>
        <v>210468.21989454515</v>
      </c>
      <c r="C40" s="96" t="s">
        <v>17</v>
      </c>
      <c r="D40" s="12"/>
    </row>
    <row r="41" spans="1:4" ht="15">
      <c r="A41" s="30" t="s">
        <v>33</v>
      </c>
      <c r="B41" s="28">
        <f>B29*E33</f>
        <v>465753.64963078476</v>
      </c>
      <c r="C41" s="96"/>
      <c r="D41" s="12"/>
    </row>
    <row r="42" spans="1:4" ht="15">
      <c r="A42" s="30" t="s">
        <v>34</v>
      </c>
      <c r="B42" s="28">
        <f>B30*E33</f>
        <v>2103256.8210704387</v>
      </c>
      <c r="C42" s="96" t="s">
        <v>17</v>
      </c>
      <c r="D42" s="12"/>
    </row>
    <row r="43" spans="1:4" ht="15">
      <c r="A43" s="30" t="s">
        <v>35</v>
      </c>
      <c r="B43" s="28">
        <f>B31*E33</f>
        <v>706533.6447221921</v>
      </c>
      <c r="C43" s="96" t="s">
        <v>17</v>
      </c>
      <c r="D43" s="12"/>
    </row>
    <row r="44" spans="1:4" ht="15">
      <c r="A44" s="30" t="s">
        <v>36</v>
      </c>
      <c r="B44" s="28"/>
      <c r="C44" s="96" t="s">
        <v>17</v>
      </c>
      <c r="D44" s="12"/>
    </row>
    <row r="45" spans="1:4" ht="15">
      <c r="A45" s="30"/>
      <c r="B45" s="28"/>
      <c r="C45" s="96"/>
      <c r="D45" s="12"/>
    </row>
    <row r="46" spans="1:4" ht="47.25">
      <c r="A46" s="31" t="s">
        <v>42</v>
      </c>
      <c r="B46" s="28">
        <f>B48+B49+B50+B51</f>
        <v>3486012.3353179605</v>
      </c>
      <c r="C46" s="96" t="s">
        <v>17</v>
      </c>
      <c r="D46" s="12" t="s">
        <v>17</v>
      </c>
    </row>
    <row r="47" spans="1:4" ht="15">
      <c r="A47" s="30" t="s">
        <v>18</v>
      </c>
      <c r="B47" s="28"/>
      <c r="C47" s="96" t="s">
        <v>17</v>
      </c>
      <c r="D47" s="12"/>
    </row>
    <row r="48" spans="1:4" ht="15">
      <c r="A48" s="30" t="s">
        <v>32</v>
      </c>
      <c r="B48" s="28">
        <f>B40</f>
        <v>210468.21989454515</v>
      </c>
      <c r="C48" s="96"/>
      <c r="D48" s="12"/>
    </row>
    <row r="49" spans="1:4" ht="15">
      <c r="A49" s="30" t="s">
        <v>33</v>
      </c>
      <c r="B49" s="28">
        <f>B41</f>
        <v>465753.64963078476</v>
      </c>
      <c r="C49" s="96" t="s">
        <v>17</v>
      </c>
      <c r="D49" s="12"/>
    </row>
    <row r="50" spans="1:4" ht="15">
      <c r="A50" s="30" t="s">
        <v>34</v>
      </c>
      <c r="B50" s="28">
        <f>B42</f>
        <v>2103256.8210704387</v>
      </c>
      <c r="C50" s="96" t="s">
        <v>17</v>
      </c>
      <c r="D50" s="12"/>
    </row>
    <row r="51" spans="1:4" ht="15">
      <c r="A51" s="30" t="s">
        <v>35</v>
      </c>
      <c r="B51" s="28">
        <f>B43</f>
        <v>706533.6447221921</v>
      </c>
      <c r="C51" s="96" t="s">
        <v>17</v>
      </c>
      <c r="D51" s="12"/>
    </row>
    <row r="52" spans="1:4" ht="15">
      <c r="A52" s="33" t="s">
        <v>36</v>
      </c>
      <c r="B52" s="34"/>
      <c r="C52" s="103" t="s">
        <v>17</v>
      </c>
      <c r="D52" s="36"/>
    </row>
    <row r="53" spans="1:10" ht="31.5" customHeight="1">
      <c r="A53" s="37" t="s">
        <v>43</v>
      </c>
      <c r="B53" s="37"/>
      <c r="C53" s="128" t="s">
        <v>8</v>
      </c>
      <c r="D53" s="37"/>
      <c r="I53" s="32"/>
      <c r="J53" s="32"/>
    </row>
    <row r="54" spans="1:14" ht="63.75">
      <c r="A54" s="39" t="s">
        <v>44</v>
      </c>
      <c r="B54" s="39" t="s">
        <v>45</v>
      </c>
      <c r="C54" s="39" t="s">
        <v>46</v>
      </c>
      <c r="D54" s="191" t="s">
        <v>389</v>
      </c>
      <c r="E54" s="100"/>
      <c r="I54" s="40"/>
      <c r="J54" s="40"/>
      <c r="K54" s="41"/>
      <c r="L54" s="41"/>
      <c r="M54" s="41"/>
      <c r="N54" s="41"/>
    </row>
    <row r="55" spans="1:14" ht="15">
      <c r="A55" s="42" t="s">
        <v>48</v>
      </c>
      <c r="B55" s="43" t="s">
        <v>49</v>
      </c>
      <c r="C55" s="44" t="s">
        <v>128</v>
      </c>
      <c r="D55" s="129">
        <f>(0.19+0.27)*6*6132.2</f>
        <v>16924.872</v>
      </c>
      <c r="E55" s="46"/>
      <c r="F55" s="47"/>
      <c r="G55" s="48"/>
      <c r="I55" s="49"/>
      <c r="J55" s="49"/>
      <c r="K55" s="50"/>
      <c r="L55" s="50"/>
      <c r="M55" s="50"/>
      <c r="N55" s="50"/>
    </row>
    <row r="56" spans="1:14" ht="15">
      <c r="A56" s="42" t="s">
        <v>51</v>
      </c>
      <c r="B56" s="43" t="s">
        <v>52</v>
      </c>
      <c r="C56" s="44" t="s">
        <v>53</v>
      </c>
      <c r="D56" s="129">
        <f>(2.1+2.23)*6*6132.2</f>
        <v>159314.556</v>
      </c>
      <c r="E56" s="46"/>
      <c r="F56" s="47"/>
      <c r="G56" s="48"/>
      <c r="I56" s="49" t="s">
        <v>37</v>
      </c>
      <c r="J56" s="49"/>
      <c r="K56" s="50"/>
      <c r="L56" s="50"/>
      <c r="M56" s="50"/>
      <c r="N56" s="50"/>
    </row>
    <row r="57" spans="1:14" ht="15">
      <c r="A57" s="42" t="s">
        <v>54</v>
      </c>
      <c r="B57" s="43" t="s">
        <v>52</v>
      </c>
      <c r="C57" s="44" t="s">
        <v>55</v>
      </c>
      <c r="D57" s="129">
        <f>(1.2+2.27)*6*6132.2</f>
        <v>127672.404</v>
      </c>
      <c r="E57" s="46"/>
      <c r="F57" s="47"/>
      <c r="G57" s="48"/>
      <c r="I57" s="49"/>
      <c r="J57" s="49"/>
      <c r="K57" s="50"/>
      <c r="L57" s="50"/>
      <c r="M57" s="50"/>
      <c r="N57" s="50"/>
    </row>
    <row r="58" spans="1:14" ht="15">
      <c r="A58" s="42" t="s">
        <v>56</v>
      </c>
      <c r="B58" s="43" t="s">
        <v>49</v>
      </c>
      <c r="C58" s="44" t="s">
        <v>129</v>
      </c>
      <c r="D58" s="129">
        <f>(0.2+0.21)*6*6132.2</f>
        <v>15085.212</v>
      </c>
      <c r="E58" s="46"/>
      <c r="F58" s="47"/>
      <c r="G58" s="48"/>
      <c r="I58" s="49"/>
      <c r="J58" s="49"/>
      <c r="K58" s="50"/>
      <c r="L58" s="50"/>
      <c r="M58" s="50"/>
      <c r="N58" s="50"/>
    </row>
    <row r="59" spans="1:14" ht="15">
      <c r="A59" s="42" t="s">
        <v>58</v>
      </c>
      <c r="B59" s="194" t="s">
        <v>49</v>
      </c>
      <c r="C59" s="52" t="s">
        <v>161</v>
      </c>
      <c r="D59" s="129">
        <f>17614.9</f>
        <v>17614.9</v>
      </c>
      <c r="E59" s="46">
        <f>(0.91+0.5)*6*6132.2-0.44*1350.6*6-1.07*4781.6*6</f>
        <v>17614.956</v>
      </c>
      <c r="F59" s="53"/>
      <c r="G59" s="54"/>
      <c r="H59" s="46">
        <f>0.44*1350.6*6+1.07*4781.6*6</f>
        <v>34263.456000000006</v>
      </c>
      <c r="I59" s="49"/>
      <c r="J59" s="49"/>
      <c r="K59" s="50"/>
      <c r="L59" s="50"/>
      <c r="M59" s="50"/>
      <c r="N59" s="50"/>
    </row>
    <row r="60" spans="1:14" ht="15">
      <c r="A60" s="42" t="s">
        <v>60</v>
      </c>
      <c r="B60" s="51" t="s">
        <v>49</v>
      </c>
      <c r="C60" s="55" t="s">
        <v>162</v>
      </c>
      <c r="D60" s="129">
        <f>(0.89+1.05)*6*6132.2</f>
        <v>71378.808</v>
      </c>
      <c r="E60" s="46"/>
      <c r="F60" s="53"/>
      <c r="G60" s="54"/>
      <c r="H60" s="1">
        <f>H59/6</f>
        <v>5710.576000000001</v>
      </c>
      <c r="I60" s="49"/>
      <c r="J60" s="49"/>
      <c r="K60" s="50"/>
      <c r="L60" s="50"/>
      <c r="M60" s="50"/>
      <c r="N60" s="50"/>
    </row>
    <row r="61" spans="1:14" ht="15">
      <c r="A61" s="42" t="s">
        <v>62</v>
      </c>
      <c r="B61" s="51" t="s">
        <v>63</v>
      </c>
      <c r="C61" s="52" t="s">
        <v>132</v>
      </c>
      <c r="D61" s="129">
        <f>(1.14+1.21)*6*6132.2</f>
        <v>86464.01999999999</v>
      </c>
      <c r="E61" s="46"/>
      <c r="F61" s="53"/>
      <c r="G61" s="54"/>
      <c r="I61" s="49"/>
      <c r="J61" s="49"/>
      <c r="K61" s="50"/>
      <c r="L61" s="50"/>
      <c r="M61" s="50"/>
      <c r="N61" s="50"/>
    </row>
    <row r="62" spans="1:14" ht="15">
      <c r="A62" s="42" t="s">
        <v>65</v>
      </c>
      <c r="B62" s="51" t="s">
        <v>66</v>
      </c>
      <c r="C62" s="55">
        <v>4.88</v>
      </c>
      <c r="D62" s="129">
        <f>4.88*6132.2*12</f>
        <v>359101.632</v>
      </c>
      <c r="E62" s="46"/>
      <c r="F62" s="53"/>
      <c r="H62" s="49"/>
      <c r="I62" s="49"/>
      <c r="J62" s="49"/>
      <c r="K62" s="50"/>
      <c r="L62" s="50"/>
      <c r="M62" s="50"/>
      <c r="N62" s="50"/>
    </row>
    <row r="63" spans="1:14" ht="15">
      <c r="A63" s="42" t="s">
        <v>67</v>
      </c>
      <c r="B63" s="51" t="s">
        <v>66</v>
      </c>
      <c r="C63" s="56" t="s">
        <v>133</v>
      </c>
      <c r="D63" s="129">
        <f>(2.15+2.28)*6*6132.2</f>
        <v>162993.876</v>
      </c>
      <c r="E63" s="46"/>
      <c r="F63" s="53"/>
      <c r="H63" s="49"/>
      <c r="I63" s="49"/>
      <c r="J63" s="49" t="s">
        <v>37</v>
      </c>
      <c r="K63" s="50"/>
      <c r="L63" s="50"/>
      <c r="M63" s="50"/>
      <c r="N63" s="50"/>
    </row>
    <row r="64" spans="1:14" ht="15">
      <c r="A64" s="57" t="s">
        <v>69</v>
      </c>
      <c r="B64" s="51" t="s">
        <v>66</v>
      </c>
      <c r="C64" s="58" t="s">
        <v>134</v>
      </c>
      <c r="D64" s="129">
        <f>(0.78+0.83)*6*1350.6</f>
        <v>13046.795999999998</v>
      </c>
      <c r="E64" s="46"/>
      <c r="F64" s="53"/>
      <c r="H64" s="49" t="s">
        <v>37</v>
      </c>
      <c r="I64" s="49"/>
      <c r="J64" s="49"/>
      <c r="K64" s="50"/>
      <c r="L64" s="50"/>
      <c r="M64" s="50"/>
      <c r="N64" s="50"/>
    </row>
    <row r="65" spans="1:14" ht="15">
      <c r="A65" s="57" t="s">
        <v>71</v>
      </c>
      <c r="B65" s="51" t="s">
        <v>66</v>
      </c>
      <c r="C65" s="58" t="s">
        <v>163</v>
      </c>
      <c r="D65" s="129">
        <f>(5.5+5.83)*6*4781.6</f>
        <v>325053.16800000006</v>
      </c>
      <c r="E65" s="46"/>
      <c r="F65" s="53"/>
      <c r="H65" s="49"/>
      <c r="I65" s="49"/>
      <c r="J65" s="49"/>
      <c r="K65" s="50"/>
      <c r="L65" s="50"/>
      <c r="M65" s="50"/>
      <c r="N65" s="50"/>
    </row>
    <row r="66" spans="1:14" ht="15">
      <c r="A66" s="42" t="s">
        <v>73</v>
      </c>
      <c r="B66" s="51" t="s">
        <v>66</v>
      </c>
      <c r="C66" s="56" t="s">
        <v>74</v>
      </c>
      <c r="D66" s="129">
        <f>(2+2.12)*6*6132.2</f>
        <v>151587.984</v>
      </c>
      <c r="E66" s="46"/>
      <c r="F66" s="53"/>
      <c r="H66" s="49">
        <v>34584.46</v>
      </c>
      <c r="I66" s="49"/>
      <c r="J66" s="49" t="s">
        <v>37</v>
      </c>
      <c r="K66" s="50"/>
      <c r="L66" s="50"/>
      <c r="M66" s="50"/>
      <c r="N66" s="50"/>
    </row>
    <row r="67" spans="1:14" ht="15.75">
      <c r="A67" s="59" t="s">
        <v>75</v>
      </c>
      <c r="B67" s="60"/>
      <c r="C67" s="61"/>
      <c r="D67" s="62">
        <f>SUM(D55:D66)</f>
        <v>1506238.228</v>
      </c>
      <c r="E67" s="63">
        <f>D67+B20</f>
        <v>1710440.488</v>
      </c>
      <c r="F67" s="49"/>
      <c r="H67" s="64">
        <f>E67-B19</f>
        <v>320.94799999985844</v>
      </c>
      <c r="I67" s="49" t="s">
        <v>164</v>
      </c>
      <c r="J67" s="49"/>
      <c r="K67" s="50"/>
      <c r="L67" s="50"/>
      <c r="M67" s="50"/>
      <c r="N67" s="50"/>
    </row>
    <row r="68" spans="1:5" ht="16.5" customHeight="1">
      <c r="A68" s="202" t="s">
        <v>76</v>
      </c>
      <c r="B68" s="202"/>
      <c r="C68" s="202"/>
      <c r="D68" s="65">
        <f>D69+D70+D71+D72+D73+D74+D75+D76+D77</f>
        <v>51280.17999999999</v>
      </c>
      <c r="E68" s="66"/>
    </row>
    <row r="69" spans="1:5" ht="13.5" customHeight="1">
      <c r="A69" s="67" t="s">
        <v>165</v>
      </c>
      <c r="B69" s="68"/>
      <c r="C69" s="69"/>
      <c r="D69" s="65">
        <v>16066.83</v>
      </c>
      <c r="E69" s="66"/>
    </row>
    <row r="70" spans="1:5" ht="13.5" customHeight="1">
      <c r="A70" s="67" t="s">
        <v>166</v>
      </c>
      <c r="B70" s="68"/>
      <c r="C70" s="69"/>
      <c r="D70" s="65">
        <v>1070.95</v>
      </c>
      <c r="E70" s="66"/>
    </row>
    <row r="71" spans="1:5" ht="13.5" customHeight="1">
      <c r="A71" s="67" t="s">
        <v>167</v>
      </c>
      <c r="B71" s="68"/>
      <c r="C71" s="69"/>
      <c r="D71" s="65">
        <v>4568.43</v>
      </c>
      <c r="E71" s="66"/>
    </row>
    <row r="72" spans="1:5" ht="13.5" customHeight="1">
      <c r="A72" s="67" t="s">
        <v>168</v>
      </c>
      <c r="B72" s="68"/>
      <c r="C72" s="69"/>
      <c r="D72" s="65">
        <v>1713.15</v>
      </c>
      <c r="E72" s="66"/>
    </row>
    <row r="73" spans="1:5" ht="13.5" customHeight="1">
      <c r="A73" s="67" t="s">
        <v>169</v>
      </c>
      <c r="B73" s="68"/>
      <c r="C73" s="69"/>
      <c r="D73" s="65">
        <v>11154.61</v>
      </c>
      <c r="E73" s="66"/>
    </row>
    <row r="74" spans="1:5" ht="13.5" customHeight="1">
      <c r="A74" s="67" t="s">
        <v>170</v>
      </c>
      <c r="B74" s="68"/>
      <c r="C74" s="69"/>
      <c r="D74" s="65">
        <v>5052.42</v>
      </c>
      <c r="E74" s="66"/>
    </row>
    <row r="75" spans="1:5" ht="13.5" customHeight="1">
      <c r="A75" s="70" t="s">
        <v>171</v>
      </c>
      <c r="B75" s="71"/>
      <c r="C75" s="72"/>
      <c r="D75" s="65">
        <v>253</v>
      </c>
      <c r="E75" s="66"/>
    </row>
    <row r="76" spans="1:5" ht="13.5" customHeight="1">
      <c r="A76" s="196" t="s">
        <v>395</v>
      </c>
      <c r="B76" s="71"/>
      <c r="C76" s="72"/>
      <c r="D76" s="65">
        <v>582.24</v>
      </c>
      <c r="E76" s="66"/>
    </row>
    <row r="77" spans="1:5" ht="13.5" customHeight="1">
      <c r="A77" s="70" t="s">
        <v>172</v>
      </c>
      <c r="B77" s="71"/>
      <c r="C77" s="72"/>
      <c r="D77" s="65">
        <v>10818.55</v>
      </c>
      <c r="E77" s="66"/>
    </row>
    <row r="78" spans="1:8" ht="19.5" customHeight="1">
      <c r="A78" s="73" t="s">
        <v>90</v>
      </c>
      <c r="B78" s="74"/>
      <c r="C78" s="75"/>
      <c r="D78" s="65">
        <f>D67+D68</f>
        <v>1557518.4079999998</v>
      </c>
      <c r="E78" s="66"/>
      <c r="H78" s="1" t="s">
        <v>37</v>
      </c>
    </row>
    <row r="79" spans="1:5" ht="21.75" customHeight="1">
      <c r="A79" s="73" t="s">
        <v>173</v>
      </c>
      <c r="B79" s="71"/>
      <c r="C79" s="72"/>
      <c r="D79" s="65">
        <f>D80+D81+D82+D83</f>
        <v>197135.96</v>
      </c>
      <c r="E79" s="66"/>
    </row>
    <row r="80" spans="1:5" ht="13.5" customHeight="1">
      <c r="A80" s="70" t="s">
        <v>174</v>
      </c>
      <c r="B80" s="71"/>
      <c r="C80" s="72"/>
      <c r="D80" s="65">
        <v>30371</v>
      </c>
      <c r="E80" s="66"/>
    </row>
    <row r="81" spans="1:5" ht="13.5" customHeight="1">
      <c r="A81" s="70" t="s">
        <v>175</v>
      </c>
      <c r="B81" s="71"/>
      <c r="C81" s="72"/>
      <c r="D81" s="65">
        <v>29843.03</v>
      </c>
      <c r="E81" s="66"/>
    </row>
    <row r="82" spans="1:5" ht="13.5" customHeight="1">
      <c r="A82" s="70" t="s">
        <v>176</v>
      </c>
      <c r="B82" s="71"/>
      <c r="C82" s="72"/>
      <c r="D82" s="65">
        <v>121770.21</v>
      </c>
      <c r="E82" s="66"/>
    </row>
    <row r="83" spans="1:5" ht="13.5" customHeight="1">
      <c r="A83" s="70" t="s">
        <v>177</v>
      </c>
      <c r="B83" s="71"/>
      <c r="C83" s="72"/>
      <c r="D83" s="65">
        <v>15151.72</v>
      </c>
      <c r="E83" s="66"/>
    </row>
    <row r="84" spans="1:5" ht="18" customHeight="1">
      <c r="A84" s="217" t="s">
        <v>93</v>
      </c>
      <c r="B84" s="217"/>
      <c r="C84" s="217"/>
      <c r="D84" s="119">
        <v>1036.8</v>
      </c>
      <c r="E84" s="66"/>
    </row>
    <row r="85" spans="1:5" ht="18" customHeight="1">
      <c r="A85" s="118" t="s">
        <v>94</v>
      </c>
      <c r="B85" s="118"/>
      <c r="C85" s="118"/>
      <c r="D85" s="119">
        <v>5280</v>
      </c>
      <c r="E85" s="66"/>
    </row>
    <row r="86" spans="1:8" ht="25.5" customHeight="1">
      <c r="A86" s="215" t="s">
        <v>95</v>
      </c>
      <c r="B86" s="215"/>
      <c r="C86" s="215"/>
      <c r="D86" s="120">
        <f>D87+D88</f>
        <v>60715.61999999998</v>
      </c>
      <c r="E86" s="66"/>
      <c r="H86" s="17"/>
    </row>
    <row r="87" spans="1:5" ht="15">
      <c r="A87" s="121" t="s">
        <v>96</v>
      </c>
      <c r="B87" s="122"/>
      <c r="C87" s="123"/>
      <c r="D87" s="124">
        <f>B15+B20+D84+D85-D68</f>
        <v>34442.529999999984</v>
      </c>
      <c r="E87" s="66"/>
    </row>
    <row r="88" spans="1:5" ht="15">
      <c r="A88" s="122" t="s">
        <v>15</v>
      </c>
      <c r="B88" s="122"/>
      <c r="C88" s="123"/>
      <c r="D88" s="124">
        <f>B16+B23-D79</f>
        <v>26273.089999999997</v>
      </c>
      <c r="E88" s="66"/>
    </row>
    <row r="89" spans="1:5" ht="13.5" customHeight="1">
      <c r="A89" s="216" t="s">
        <v>97</v>
      </c>
      <c r="B89" s="216"/>
      <c r="C89" s="216"/>
      <c r="D89" s="125">
        <v>286670.13</v>
      </c>
      <c r="E89" s="66"/>
    </row>
    <row r="90" spans="1:4" ht="15">
      <c r="A90" s="7" t="s">
        <v>18</v>
      </c>
      <c r="B90" s="7"/>
      <c r="C90" s="7"/>
      <c r="D90" s="86"/>
    </row>
    <row r="91" spans="1:4" ht="13.5" customHeight="1">
      <c r="A91" s="208" t="s">
        <v>22</v>
      </c>
      <c r="B91" s="208"/>
      <c r="C91" s="208"/>
      <c r="D91" s="86">
        <f>D89*B19/B17</f>
        <v>90855.30092239894</v>
      </c>
    </row>
    <row r="92" spans="1:4" ht="13.5" customHeight="1">
      <c r="A92" s="208" t="s">
        <v>41</v>
      </c>
      <c r="B92" s="208"/>
      <c r="C92" s="208"/>
      <c r="D92" s="86">
        <f>D89*B23/B17</f>
        <v>8744.141308138094</v>
      </c>
    </row>
    <row r="93" spans="1:4" ht="13.5" customHeight="1">
      <c r="A93" s="208" t="s">
        <v>30</v>
      </c>
      <c r="B93" s="208"/>
      <c r="C93" s="208"/>
      <c r="D93" s="86">
        <f>D95+D96+D97+D98</f>
        <v>186437.0561892689</v>
      </c>
    </row>
    <row r="94" spans="1:4" ht="15">
      <c r="A94" s="208" t="s">
        <v>18</v>
      </c>
      <c r="B94" s="208"/>
      <c r="C94" s="208"/>
      <c r="D94" s="86"/>
    </row>
    <row r="95" spans="1:4" ht="13.5" customHeight="1">
      <c r="A95" s="208" t="s">
        <v>32</v>
      </c>
      <c r="B95" s="208"/>
      <c r="C95" s="208"/>
      <c r="D95" s="86">
        <f>D89*B28/B17</f>
        <v>11256.149308764767</v>
      </c>
    </row>
    <row r="96" spans="1:4" ht="15">
      <c r="A96" s="208" t="s">
        <v>33</v>
      </c>
      <c r="B96" s="208"/>
      <c r="C96" s="208"/>
      <c r="D96" s="86">
        <f>D89*B29/B17</f>
        <v>24909.188779061373</v>
      </c>
    </row>
    <row r="97" spans="1:4" ht="15">
      <c r="A97" s="208" t="s">
        <v>34</v>
      </c>
      <c r="B97" s="208"/>
      <c r="C97" s="208"/>
      <c r="D97" s="86">
        <f>D89*B30/B17</f>
        <v>112485.26178683374</v>
      </c>
    </row>
    <row r="98" spans="1:4" ht="15" customHeight="1">
      <c r="A98" s="208" t="s">
        <v>35</v>
      </c>
      <c r="B98" s="208"/>
      <c r="C98" s="208"/>
      <c r="D98" s="86">
        <f>D89*B31/B17</f>
        <v>37786.456314609015</v>
      </c>
    </row>
    <row r="99" spans="1:4" ht="15">
      <c r="A99" s="208" t="s">
        <v>36</v>
      </c>
      <c r="B99" s="208"/>
      <c r="C99" s="208"/>
      <c r="D99" s="86">
        <f>D89*E32</f>
        <v>0</v>
      </c>
    </row>
    <row r="100" spans="1:4" ht="25.5" customHeight="1">
      <c r="A100" s="209" t="s">
        <v>98</v>
      </c>
      <c r="B100" s="209"/>
      <c r="C100" s="209"/>
      <c r="D100" s="209"/>
    </row>
    <row r="101" spans="1:4" ht="38.25">
      <c r="A101" s="90" t="s">
        <v>99</v>
      </c>
      <c r="B101" s="126" t="s">
        <v>100</v>
      </c>
      <c r="C101" s="126" t="s">
        <v>178</v>
      </c>
      <c r="D101" s="90" t="s">
        <v>102</v>
      </c>
    </row>
    <row r="102" spans="1:4" ht="12.75" customHeight="1">
      <c r="A102" s="88" t="s">
        <v>103</v>
      </c>
      <c r="B102" s="211" t="s">
        <v>104</v>
      </c>
      <c r="C102" s="89" t="s">
        <v>156</v>
      </c>
      <c r="D102" s="90" t="s">
        <v>105</v>
      </c>
    </row>
    <row r="103" spans="1:4" ht="12.75" customHeight="1">
      <c r="A103" s="88" t="s">
        <v>106</v>
      </c>
      <c r="B103" s="211"/>
      <c r="C103" s="89" t="s">
        <v>158</v>
      </c>
      <c r="D103" s="90" t="s">
        <v>105</v>
      </c>
    </row>
    <row r="104" spans="1:4" ht="12.75">
      <c r="A104" s="42" t="s">
        <v>41</v>
      </c>
      <c r="B104" s="211"/>
      <c r="C104" s="91">
        <v>2.7</v>
      </c>
      <c r="D104" s="92" t="s">
        <v>105</v>
      </c>
    </row>
    <row r="105" spans="1:4" ht="19.5" customHeight="1">
      <c r="A105" s="42" t="s">
        <v>32</v>
      </c>
      <c r="B105" s="212" t="s">
        <v>107</v>
      </c>
      <c r="C105" s="93" t="s">
        <v>108</v>
      </c>
      <c r="D105" s="192" t="s">
        <v>392</v>
      </c>
    </row>
    <row r="106" spans="1:4" ht="22.5" customHeight="1">
      <c r="A106" s="42" t="s">
        <v>33</v>
      </c>
      <c r="B106" s="212"/>
      <c r="C106" s="93" t="s">
        <v>110</v>
      </c>
      <c r="D106" s="192" t="s">
        <v>392</v>
      </c>
    </row>
    <row r="107" spans="1:4" ht="39.75" customHeight="1">
      <c r="A107" s="42" t="s">
        <v>34</v>
      </c>
      <c r="B107" s="94" t="s">
        <v>111</v>
      </c>
      <c r="C107" s="93" t="s">
        <v>112</v>
      </c>
      <c r="D107" s="92" t="s">
        <v>113</v>
      </c>
    </row>
    <row r="108" spans="1:4" ht="39" customHeight="1">
      <c r="A108" s="42" t="s">
        <v>35</v>
      </c>
      <c r="B108" s="95" t="s">
        <v>114</v>
      </c>
      <c r="C108" s="93" t="s">
        <v>115</v>
      </c>
      <c r="D108" s="192" t="s">
        <v>392</v>
      </c>
    </row>
    <row r="109" ht="12.75">
      <c r="H109" s="1" t="s">
        <v>37</v>
      </c>
    </row>
    <row r="110" ht="12.75">
      <c r="A110" t="s">
        <v>116</v>
      </c>
    </row>
    <row r="112" ht="12.75">
      <c r="A112" t="s">
        <v>117</v>
      </c>
    </row>
  </sheetData>
  <sheetProtection selectLockedCells="1" selectUnlockedCells="1"/>
  <mergeCells count="22">
    <mergeCell ref="A99:C99"/>
    <mergeCell ref="A100:D100"/>
    <mergeCell ref="B102:B104"/>
    <mergeCell ref="B105:B106"/>
    <mergeCell ref="A93:C93"/>
    <mergeCell ref="A94:C94"/>
    <mergeCell ref="A95:C95"/>
    <mergeCell ref="A96:C96"/>
    <mergeCell ref="A97:C97"/>
    <mergeCell ref="A98:C98"/>
    <mergeCell ref="A68:C68"/>
    <mergeCell ref="A84:C84"/>
    <mergeCell ref="A86:C86"/>
    <mergeCell ref="A89:C89"/>
    <mergeCell ref="A91:C91"/>
    <mergeCell ref="A92:C9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="80" zoomScaleNormal="80" zoomScalePageLayoutView="0" workbookViewId="0" topLeftCell="A1">
      <selection activeCell="A8" sqref="A8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05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179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180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-109372.51000000001</v>
      </c>
      <c r="C14" s="96"/>
      <c r="D14" s="12"/>
    </row>
    <row r="15" spans="1:4" ht="15.75">
      <c r="A15" s="13" t="s">
        <v>14</v>
      </c>
      <c r="B15" s="10">
        <v>-8348.3</v>
      </c>
      <c r="C15" s="96"/>
      <c r="D15" s="12"/>
    </row>
    <row r="16" spans="1:4" ht="15.75">
      <c r="A16" s="14" t="s">
        <v>15</v>
      </c>
      <c r="B16" s="10">
        <v>-101024.21</v>
      </c>
      <c r="C16" s="96"/>
      <c r="D16" s="12"/>
    </row>
    <row r="17" spans="1:5" ht="31.5">
      <c r="A17" s="15" t="s">
        <v>16</v>
      </c>
      <c r="B17" s="97">
        <f>B19+B23+B24+B25+B26</f>
        <v>3584651.06</v>
      </c>
      <c r="C17" s="11" t="s">
        <v>17</v>
      </c>
      <c r="D17" s="12" t="s">
        <v>17</v>
      </c>
      <c r="E17" s="22"/>
    </row>
    <row r="18" spans="1:4" ht="15">
      <c r="A18" s="7" t="s">
        <v>18</v>
      </c>
      <c r="B18" s="16"/>
      <c r="C18" s="11"/>
      <c r="D18" s="12"/>
    </row>
    <row r="19" spans="1:4" ht="15">
      <c r="A19" s="7" t="s">
        <v>22</v>
      </c>
      <c r="B19" s="97">
        <v>1120281.54</v>
      </c>
      <c r="C19" s="11"/>
      <c r="D19" s="12"/>
    </row>
    <row r="20" spans="1:5" ht="15">
      <c r="A20" s="7" t="s">
        <v>181</v>
      </c>
      <c r="B20" s="97">
        <v>130192.13</v>
      </c>
      <c r="C20" s="130" t="s">
        <v>182</v>
      </c>
      <c r="D20" s="19"/>
      <c r="E20" s="1">
        <f>(1.83+3.45)*6*4109.6</f>
        <v>130192.12800000001</v>
      </c>
    </row>
    <row r="21" spans="1:5" ht="15">
      <c r="A21" s="7" t="s">
        <v>155</v>
      </c>
      <c r="B21" s="16"/>
      <c r="C21" s="130" t="s">
        <v>183</v>
      </c>
      <c r="D21" s="19"/>
      <c r="E21" s="22"/>
    </row>
    <row r="22" spans="1:5" ht="15">
      <c r="A22" s="7" t="s">
        <v>157</v>
      </c>
      <c r="B22" s="16"/>
      <c r="C22" s="130" t="s">
        <v>184</v>
      </c>
      <c r="D22" s="19"/>
      <c r="E22" s="22"/>
    </row>
    <row r="23" spans="1:5" ht="15.75">
      <c r="A23" s="131" t="s">
        <v>185</v>
      </c>
      <c r="B23" s="101">
        <v>115055.64</v>
      </c>
      <c r="C23" s="130">
        <v>2.7</v>
      </c>
      <c r="D23" s="19"/>
      <c r="E23" s="22"/>
    </row>
    <row r="24" spans="1:4" ht="15">
      <c r="A24" s="7" t="s">
        <v>20</v>
      </c>
      <c r="B24" s="97">
        <v>904.8</v>
      </c>
      <c r="C24" s="130" t="s">
        <v>126</v>
      </c>
      <c r="D24" s="19"/>
    </row>
    <row r="25" spans="1:5" ht="15">
      <c r="A25" s="7" t="s">
        <v>19</v>
      </c>
      <c r="B25" s="97">
        <v>16340.4</v>
      </c>
      <c r="C25" s="130"/>
      <c r="D25" s="19"/>
      <c r="E25" s="22"/>
    </row>
    <row r="26" spans="1:4" ht="15">
      <c r="A26" s="7" t="s">
        <v>30</v>
      </c>
      <c r="B26" s="97">
        <f>B28+B29+B30+B31</f>
        <v>2332068.68</v>
      </c>
      <c r="C26" s="132" t="s">
        <v>17</v>
      </c>
      <c r="D26" s="19" t="s">
        <v>31</v>
      </c>
    </row>
    <row r="27" spans="1:4" ht="15">
      <c r="A27" s="7" t="s">
        <v>18</v>
      </c>
      <c r="B27" s="16"/>
      <c r="C27" s="24"/>
      <c r="D27" s="19"/>
    </row>
    <row r="28" spans="1:5" ht="15">
      <c r="A28" s="7" t="s">
        <v>32</v>
      </c>
      <c r="B28" s="97">
        <v>138595.43</v>
      </c>
      <c r="C28" s="24" t="s">
        <v>17</v>
      </c>
      <c r="D28" s="26">
        <v>65.21</v>
      </c>
      <c r="E28" s="22">
        <f>B28/B17*1</f>
        <v>0.038663576364947494</v>
      </c>
    </row>
    <row r="29" spans="1:5" ht="15">
      <c r="A29" s="7" t="s">
        <v>33</v>
      </c>
      <c r="B29" s="97">
        <v>307118.45</v>
      </c>
      <c r="C29" s="24" t="s">
        <v>17</v>
      </c>
      <c r="D29" s="26">
        <v>119.63</v>
      </c>
      <c r="E29" s="22">
        <f>B29/B17*1</f>
        <v>0.08567596813732826</v>
      </c>
    </row>
    <row r="30" spans="1:5" ht="15">
      <c r="A30" s="7" t="s">
        <v>34</v>
      </c>
      <c r="B30" s="97">
        <v>1417925.07</v>
      </c>
      <c r="C30" s="24"/>
      <c r="D30" s="26"/>
      <c r="E30" s="22">
        <f>B30/B17*1</f>
        <v>0.39555455922117005</v>
      </c>
    </row>
    <row r="31" spans="1:5" ht="15">
      <c r="A31" s="7" t="s">
        <v>35</v>
      </c>
      <c r="B31" s="97">
        <v>468429.73</v>
      </c>
      <c r="C31" s="133" t="s">
        <v>17</v>
      </c>
      <c r="D31" s="26">
        <v>139.18</v>
      </c>
      <c r="E31" s="22">
        <f>B31/B17*1</f>
        <v>0.13067652113397057</v>
      </c>
    </row>
    <row r="32" spans="1:5" ht="31.5">
      <c r="A32" s="27" t="s">
        <v>38</v>
      </c>
      <c r="B32" s="28">
        <v>3492557.69</v>
      </c>
      <c r="C32" s="96"/>
      <c r="D32" s="12" t="s">
        <v>17</v>
      </c>
      <c r="E32" s="1">
        <f>B32/B17</f>
        <v>0.9743089722099757</v>
      </c>
    </row>
    <row r="33" spans="1:4" ht="15">
      <c r="A33" s="30" t="s">
        <v>18</v>
      </c>
      <c r="B33" s="28"/>
      <c r="C33" s="96"/>
      <c r="D33" s="12"/>
    </row>
    <row r="34" spans="1:4" ht="15">
      <c r="A34" s="30" t="s">
        <v>22</v>
      </c>
      <c r="B34" s="28">
        <f>B19*E32</f>
        <v>1091500.3558232088</v>
      </c>
      <c r="C34" s="96"/>
      <c r="D34" s="12"/>
    </row>
    <row r="35" spans="1:4" ht="15">
      <c r="A35" s="30"/>
      <c r="B35" s="28"/>
      <c r="C35" s="96"/>
      <c r="D35" s="12" t="s">
        <v>17</v>
      </c>
    </row>
    <row r="36" spans="1:4" ht="15">
      <c r="A36" s="30" t="s">
        <v>41</v>
      </c>
      <c r="B36" s="28">
        <f>B23*E32</f>
        <v>112099.74235536097</v>
      </c>
      <c r="C36" s="96" t="s">
        <v>17</v>
      </c>
      <c r="D36" s="12"/>
    </row>
    <row r="37" spans="1:4" ht="15">
      <c r="A37" s="30" t="s">
        <v>30</v>
      </c>
      <c r="B37" s="28">
        <f>B39+B40+B41+B42</f>
        <v>2272155.438733875</v>
      </c>
      <c r="C37" s="102"/>
      <c r="D37" s="12" t="s">
        <v>17</v>
      </c>
    </row>
    <row r="38" spans="1:4" ht="15">
      <c r="A38" s="30" t="s">
        <v>18</v>
      </c>
      <c r="B38" s="28"/>
      <c r="C38" s="96" t="s">
        <v>17</v>
      </c>
      <c r="D38" s="12" t="s">
        <v>17</v>
      </c>
    </row>
    <row r="39" spans="1:4" ht="15">
      <c r="A39" s="30" t="s">
        <v>32</v>
      </c>
      <c r="B39" s="28">
        <f>B28*E32</f>
        <v>135034.77095629962</v>
      </c>
      <c r="C39" s="96" t="s">
        <v>17</v>
      </c>
      <c r="D39" s="12"/>
    </row>
    <row r="40" spans="1:4" ht="15">
      <c r="A40" s="30" t="s">
        <v>33</v>
      </c>
      <c r="B40" s="28">
        <f>B29*E32</f>
        <v>299228.26136622083</v>
      </c>
      <c r="C40" s="96"/>
      <c r="D40" s="12"/>
    </row>
    <row r="41" spans="1:4" ht="15">
      <c r="A41" s="30" t="s">
        <v>34</v>
      </c>
      <c r="B41" s="28">
        <f>B30*E32</f>
        <v>1381497.117622458</v>
      </c>
      <c r="C41" s="96" t="s">
        <v>17</v>
      </c>
      <c r="D41" s="12"/>
    </row>
    <row r="42" spans="1:4" ht="15">
      <c r="A42" s="30" t="s">
        <v>35</v>
      </c>
      <c r="B42" s="28">
        <f>B31*E32</f>
        <v>456395.2887888964</v>
      </c>
      <c r="C42" s="96" t="s">
        <v>17</v>
      </c>
      <c r="D42" s="12"/>
    </row>
    <row r="43" spans="1:4" ht="15">
      <c r="A43" s="30" t="s">
        <v>36</v>
      </c>
      <c r="B43" s="28"/>
      <c r="C43" s="96" t="s">
        <v>17</v>
      </c>
      <c r="D43" s="12"/>
    </row>
    <row r="44" spans="1:4" ht="15">
      <c r="A44" s="30"/>
      <c r="B44" s="28"/>
      <c r="C44" s="96"/>
      <c r="D44" s="12"/>
    </row>
    <row r="45" spans="1:4" ht="47.25">
      <c r="A45" s="31" t="s">
        <v>42</v>
      </c>
      <c r="B45" s="28">
        <f>B47+B48+B49+B50</f>
        <v>2272155.438733875</v>
      </c>
      <c r="C45" s="96" t="s">
        <v>17</v>
      </c>
      <c r="D45" s="12" t="s">
        <v>17</v>
      </c>
    </row>
    <row r="46" spans="1:4" ht="15">
      <c r="A46" s="30" t="s">
        <v>18</v>
      </c>
      <c r="B46" s="28"/>
      <c r="C46" s="96" t="s">
        <v>17</v>
      </c>
      <c r="D46" s="12"/>
    </row>
    <row r="47" spans="1:4" ht="15">
      <c r="A47" s="30" t="s">
        <v>32</v>
      </c>
      <c r="B47" s="28">
        <f>B39</f>
        <v>135034.77095629962</v>
      </c>
      <c r="C47" s="96"/>
      <c r="D47" s="12"/>
    </row>
    <row r="48" spans="1:4" ht="15">
      <c r="A48" s="30" t="s">
        <v>33</v>
      </c>
      <c r="B48" s="28">
        <f>B40</f>
        <v>299228.26136622083</v>
      </c>
      <c r="C48" s="96" t="s">
        <v>17</v>
      </c>
      <c r="D48" s="12"/>
    </row>
    <row r="49" spans="1:4" ht="15">
      <c r="A49" s="30" t="s">
        <v>34</v>
      </c>
      <c r="B49" s="28">
        <f>B41</f>
        <v>1381497.117622458</v>
      </c>
      <c r="C49" s="96" t="s">
        <v>17</v>
      </c>
      <c r="D49" s="12"/>
    </row>
    <row r="50" spans="1:8" ht="15">
      <c r="A50" s="30" t="s">
        <v>35</v>
      </c>
      <c r="B50" s="28">
        <f>B42</f>
        <v>456395.2887888964</v>
      </c>
      <c r="C50" s="96" t="s">
        <v>17</v>
      </c>
      <c r="D50" s="12"/>
      <c r="H50" s="1" t="s">
        <v>37</v>
      </c>
    </row>
    <row r="51" spans="1:4" ht="15">
      <c r="A51" s="134" t="s">
        <v>36</v>
      </c>
      <c r="B51" s="135"/>
      <c r="C51" s="103" t="s">
        <v>17</v>
      </c>
      <c r="D51" s="36"/>
    </row>
    <row r="52" spans="1:10" ht="31.5" customHeight="1">
      <c r="A52" s="37" t="s">
        <v>43</v>
      </c>
      <c r="B52" s="37"/>
      <c r="C52" s="128" t="s">
        <v>8</v>
      </c>
      <c r="D52" s="37"/>
      <c r="I52" s="136"/>
      <c r="J52" s="32"/>
    </row>
    <row r="53" spans="1:14" ht="63.75">
      <c r="A53" s="39" t="s">
        <v>44</v>
      </c>
      <c r="B53" s="39" t="s">
        <v>45</v>
      </c>
      <c r="C53" s="39" t="s">
        <v>46</v>
      </c>
      <c r="D53" s="191" t="s">
        <v>393</v>
      </c>
      <c r="H53" s="1" t="s">
        <v>37</v>
      </c>
      <c r="I53" s="137"/>
      <c r="J53" s="40"/>
      <c r="K53" s="41"/>
      <c r="L53" s="41"/>
      <c r="M53" s="41"/>
      <c r="N53" s="41"/>
    </row>
    <row r="54" spans="1:14" ht="15">
      <c r="A54" s="42" t="s">
        <v>48</v>
      </c>
      <c r="B54" s="43" t="s">
        <v>49</v>
      </c>
      <c r="C54" s="44" t="s">
        <v>128</v>
      </c>
      <c r="D54" s="45">
        <f>(0.19+0.27)*6*4109.6</f>
        <v>11342.496000000003</v>
      </c>
      <c r="E54" s="46"/>
      <c r="F54" s="47"/>
      <c r="G54" s="48"/>
      <c r="J54" s="49"/>
      <c r="K54" s="50"/>
      <c r="L54" s="50"/>
      <c r="M54" s="50"/>
      <c r="N54" s="50"/>
    </row>
    <row r="55" spans="1:14" ht="15">
      <c r="A55" s="42" t="s">
        <v>51</v>
      </c>
      <c r="B55" s="43" t="s">
        <v>52</v>
      </c>
      <c r="C55" s="44" t="s">
        <v>53</v>
      </c>
      <c r="D55" s="45">
        <f>(2.1+2.23)*6*4109.6</f>
        <v>106767.40800000001</v>
      </c>
      <c r="E55" s="46"/>
      <c r="F55" s="47"/>
      <c r="G55" s="48"/>
      <c r="I55" s="105" t="s">
        <v>37</v>
      </c>
      <c r="J55" s="49"/>
      <c r="K55" s="50"/>
      <c r="L55" s="50"/>
      <c r="M55" s="50"/>
      <c r="N55" s="50"/>
    </row>
    <row r="56" spans="1:14" ht="15">
      <c r="A56" s="42" t="s">
        <v>54</v>
      </c>
      <c r="B56" s="43" t="s">
        <v>52</v>
      </c>
      <c r="C56" s="44" t="s">
        <v>55</v>
      </c>
      <c r="D56" s="45">
        <f>(1.2+2.27)*6*4109.6</f>
        <v>85561.872</v>
      </c>
      <c r="E56" s="46"/>
      <c r="F56" s="47"/>
      <c r="G56" s="48"/>
      <c r="J56" s="49"/>
      <c r="K56" s="50"/>
      <c r="L56" s="50"/>
      <c r="M56" s="50"/>
      <c r="N56" s="50"/>
    </row>
    <row r="57" spans="1:14" ht="15">
      <c r="A57" s="42" t="s">
        <v>56</v>
      </c>
      <c r="B57" s="43" t="s">
        <v>49</v>
      </c>
      <c r="C57" s="44" t="s">
        <v>129</v>
      </c>
      <c r="D57" s="45">
        <f>(0.2+0.21)*6*4109.6</f>
        <v>10109.616</v>
      </c>
      <c r="E57" s="46"/>
      <c r="F57" s="47"/>
      <c r="G57" s="48"/>
      <c r="J57" s="49"/>
      <c r="K57" s="50"/>
      <c r="L57" s="50"/>
      <c r="M57" s="50"/>
      <c r="N57" s="50"/>
    </row>
    <row r="58" spans="1:14" ht="15">
      <c r="A58" s="42" t="s">
        <v>58</v>
      </c>
      <c r="B58" s="194" t="s">
        <v>49</v>
      </c>
      <c r="C58" s="55" t="s">
        <v>186</v>
      </c>
      <c r="D58" s="45">
        <f>11448.4-0.8</f>
        <v>11447.6</v>
      </c>
      <c r="E58" s="46">
        <f>(1.43+0.5)*6*4109.6-0.96*912.3*6-1.61*3197.3*6</f>
        <v>11448.402000000006</v>
      </c>
      <c r="F58" s="53"/>
      <c r="G58" s="54"/>
      <c r="H58" s="46">
        <f>(1.43+0.5)*6*4109.6-0.96*912.3*6-1.61*3197.3*6</f>
        <v>11448.402000000006</v>
      </c>
      <c r="I58" s="138">
        <v>0.96</v>
      </c>
      <c r="J58" s="49"/>
      <c r="K58" s="50"/>
      <c r="L58" s="50"/>
      <c r="M58" s="50"/>
      <c r="N58" s="50"/>
    </row>
    <row r="59" spans="1:14" ht="15">
      <c r="A59" s="42" t="s">
        <v>60</v>
      </c>
      <c r="B59" s="51" t="s">
        <v>49</v>
      </c>
      <c r="C59" s="55" t="s">
        <v>61</v>
      </c>
      <c r="D59" s="45">
        <f>(0.89+0.94)*6*4109.6</f>
        <v>45123.408</v>
      </c>
      <c r="E59" s="46"/>
      <c r="F59" s="53"/>
      <c r="G59" s="54"/>
      <c r="I59" s="138">
        <v>1.61</v>
      </c>
      <c r="J59" s="49"/>
      <c r="K59" s="50"/>
      <c r="L59" s="50"/>
      <c r="M59" s="50"/>
      <c r="N59" s="50"/>
    </row>
    <row r="60" spans="1:14" ht="15">
      <c r="A60" s="42" t="s">
        <v>62</v>
      </c>
      <c r="B60" s="51" t="s">
        <v>63</v>
      </c>
      <c r="C60" s="52" t="s">
        <v>132</v>
      </c>
      <c r="D60" s="45">
        <f>(1.14+1.21)*6*4109.6</f>
        <v>57945.35999999999</v>
      </c>
      <c r="E60" s="46"/>
      <c r="F60" s="53"/>
      <c r="G60" s="54"/>
      <c r="J60" s="49"/>
      <c r="K60" s="50"/>
      <c r="L60" s="50"/>
      <c r="M60" s="50"/>
      <c r="N60" s="50"/>
    </row>
    <row r="61" spans="1:14" ht="15">
      <c r="A61" s="42" t="s">
        <v>65</v>
      </c>
      <c r="B61" s="51" t="s">
        <v>66</v>
      </c>
      <c r="C61" s="55">
        <v>4.88</v>
      </c>
      <c r="D61" s="45">
        <f>4.88*12*4109.6</f>
        <v>240658.17600000004</v>
      </c>
      <c r="E61" s="46"/>
      <c r="F61" s="53"/>
      <c r="H61" s="49" t="s">
        <v>37</v>
      </c>
      <c r="J61" s="49"/>
      <c r="K61" s="50"/>
      <c r="L61" s="50"/>
      <c r="M61" s="50"/>
      <c r="N61" s="50"/>
    </row>
    <row r="62" spans="1:14" ht="15">
      <c r="A62" s="42" t="s">
        <v>67</v>
      </c>
      <c r="B62" s="51" t="s">
        <v>66</v>
      </c>
      <c r="C62" s="56" t="s">
        <v>133</v>
      </c>
      <c r="D62" s="45">
        <f>(2.15+2.28)*6*4109.6</f>
        <v>109233.168</v>
      </c>
      <c r="E62" s="46"/>
      <c r="F62" s="53"/>
      <c r="H62" s="49"/>
      <c r="J62" s="49" t="s">
        <v>37</v>
      </c>
      <c r="K62" s="50"/>
      <c r="L62" s="50"/>
      <c r="M62" s="50"/>
      <c r="N62" s="50"/>
    </row>
    <row r="63" spans="1:14" ht="15">
      <c r="A63" s="57" t="s">
        <v>69</v>
      </c>
      <c r="B63" s="51" t="s">
        <v>66</v>
      </c>
      <c r="C63" s="58" t="s">
        <v>134</v>
      </c>
      <c r="D63" s="139">
        <f>(0.78+0.83)*6*912.3</f>
        <v>8812.818</v>
      </c>
      <c r="E63" s="46"/>
      <c r="F63" s="140"/>
      <c r="H63" s="49"/>
      <c r="J63" s="49"/>
      <c r="K63" s="50"/>
      <c r="L63" s="50"/>
      <c r="M63" s="50"/>
      <c r="N63" s="50"/>
    </row>
    <row r="64" spans="1:14" ht="15">
      <c r="A64" s="57" t="s">
        <v>71</v>
      </c>
      <c r="B64" s="51" t="s">
        <v>66</v>
      </c>
      <c r="C64" s="58" t="s">
        <v>187</v>
      </c>
      <c r="D64" s="139">
        <f>(5.39+5.71)*6*3197.3</f>
        <v>212940.18</v>
      </c>
      <c r="E64" s="46"/>
      <c r="F64" s="140"/>
      <c r="H64" s="49"/>
      <c r="J64" s="49"/>
      <c r="K64" s="50"/>
      <c r="L64" s="50"/>
      <c r="M64" s="50"/>
      <c r="N64" s="50"/>
    </row>
    <row r="65" spans="1:14" ht="15">
      <c r="A65" s="42" t="s">
        <v>73</v>
      </c>
      <c r="B65" s="51" t="s">
        <v>66</v>
      </c>
      <c r="C65" s="56" t="s">
        <v>74</v>
      </c>
      <c r="D65" s="45">
        <f>(2+2.12)*6*4109.6</f>
        <v>101589.312</v>
      </c>
      <c r="E65" s="46"/>
      <c r="F65" s="53"/>
      <c r="H65" s="49"/>
      <c r="J65" s="49" t="s">
        <v>37</v>
      </c>
      <c r="K65" s="50"/>
      <c r="L65" s="50"/>
      <c r="M65" s="50"/>
      <c r="N65" s="50"/>
    </row>
    <row r="66" spans="1:14" ht="15.75">
      <c r="A66" s="59" t="s">
        <v>75</v>
      </c>
      <c r="B66" s="60"/>
      <c r="C66" s="61"/>
      <c r="D66" s="62">
        <f>SUM(D54:D65)</f>
        <v>1001531.414</v>
      </c>
      <c r="E66" s="63">
        <f>D66+B20</f>
        <v>1131723.544</v>
      </c>
      <c r="F66" s="49"/>
      <c r="H66" s="64">
        <f>E66-B19</f>
        <v>11442.003999999957</v>
      </c>
      <c r="I66" s="105" t="s">
        <v>188</v>
      </c>
      <c r="J66" s="49"/>
      <c r="K66" s="50"/>
      <c r="L66" s="50"/>
      <c r="M66" s="50"/>
      <c r="N66" s="50"/>
    </row>
    <row r="67" spans="1:4" ht="16.5" customHeight="1">
      <c r="A67" s="202" t="s">
        <v>76</v>
      </c>
      <c r="B67" s="202"/>
      <c r="C67" s="202"/>
      <c r="D67" s="65">
        <f>D68+D69+D70+D71+D72+D73+D74+D75</f>
        <v>82570.41</v>
      </c>
    </row>
    <row r="68" spans="1:5" ht="13.5" customHeight="1">
      <c r="A68" s="67" t="s">
        <v>189</v>
      </c>
      <c r="B68" s="68"/>
      <c r="C68" s="69"/>
      <c r="D68" s="65">
        <v>5459.48</v>
      </c>
      <c r="E68" s="49"/>
    </row>
    <row r="69" spans="1:5" ht="13.5" customHeight="1">
      <c r="A69" s="67" t="s">
        <v>190</v>
      </c>
      <c r="B69" s="68"/>
      <c r="C69" s="69"/>
      <c r="D69" s="65">
        <v>461.6</v>
      </c>
      <c r="E69" s="66"/>
    </row>
    <row r="70" spans="1:5" ht="13.5" customHeight="1">
      <c r="A70" s="194" t="s">
        <v>396</v>
      </c>
      <c r="B70" s="68"/>
      <c r="C70" s="69"/>
      <c r="D70" s="65">
        <v>269.04</v>
      </c>
      <c r="E70" s="66"/>
    </row>
    <row r="71" spans="1:5" ht="13.5" customHeight="1">
      <c r="A71" s="67" t="s">
        <v>191</v>
      </c>
      <c r="B71" s="68"/>
      <c r="C71" s="69"/>
      <c r="D71" s="65">
        <v>1452.58</v>
      </c>
      <c r="E71" s="66"/>
    </row>
    <row r="72" spans="1:5" ht="13.5" customHeight="1">
      <c r="A72" s="67" t="s">
        <v>192</v>
      </c>
      <c r="B72" s="68"/>
      <c r="C72" s="69"/>
      <c r="D72" s="65">
        <v>3742.83</v>
      </c>
      <c r="E72" s="66"/>
    </row>
    <row r="73" spans="1:5" ht="13.5" customHeight="1">
      <c r="A73" s="194" t="s">
        <v>397</v>
      </c>
      <c r="B73" s="68"/>
      <c r="C73" s="69"/>
      <c r="D73" s="65">
        <v>6504.4</v>
      </c>
      <c r="E73" s="66"/>
    </row>
    <row r="74" spans="1:5" ht="13.5" customHeight="1">
      <c r="A74" s="70" t="s">
        <v>193</v>
      </c>
      <c r="B74" s="71"/>
      <c r="C74" s="72"/>
      <c r="D74" s="65">
        <v>7961.48</v>
      </c>
      <c r="E74" s="66"/>
    </row>
    <row r="75" spans="1:5" ht="13.5" customHeight="1">
      <c r="A75" s="70" t="s">
        <v>194</v>
      </c>
      <c r="B75" s="71"/>
      <c r="C75" s="72"/>
      <c r="D75" s="65">
        <v>56719</v>
      </c>
      <c r="E75" s="66"/>
    </row>
    <row r="76" spans="1:8" ht="19.5" customHeight="1">
      <c r="A76" s="73" t="s">
        <v>90</v>
      </c>
      <c r="B76" s="74"/>
      <c r="C76" s="75"/>
      <c r="D76" s="65">
        <f>D66+D67</f>
        <v>1084101.824</v>
      </c>
      <c r="E76" s="66"/>
      <c r="H76" s="1" t="s">
        <v>37</v>
      </c>
    </row>
    <row r="77" spans="1:5" ht="21.75" customHeight="1">
      <c r="A77" s="73" t="s">
        <v>173</v>
      </c>
      <c r="B77" s="71"/>
      <c r="C77" s="72"/>
      <c r="D77" s="65">
        <f>D78</f>
        <v>30014</v>
      </c>
      <c r="E77" s="66"/>
    </row>
    <row r="78" spans="1:5" ht="13.5" customHeight="1">
      <c r="A78" s="70" t="s">
        <v>195</v>
      </c>
      <c r="B78" s="71"/>
      <c r="C78" s="72"/>
      <c r="D78" s="65">
        <v>30014</v>
      </c>
      <c r="E78" s="66"/>
    </row>
    <row r="79" spans="1:5" ht="18" customHeight="1">
      <c r="A79" s="217" t="s">
        <v>93</v>
      </c>
      <c r="B79" s="217"/>
      <c r="C79" s="217"/>
      <c r="D79" s="119">
        <v>1036.8</v>
      </c>
      <c r="E79" s="66"/>
    </row>
    <row r="80" spans="1:5" ht="18" customHeight="1">
      <c r="A80" s="118" t="s">
        <v>94</v>
      </c>
      <c r="B80" s="118"/>
      <c r="C80" s="118"/>
      <c r="D80" s="119">
        <v>5280</v>
      </c>
      <c r="E80" s="66"/>
    </row>
    <row r="81" spans="1:8" ht="25.5" customHeight="1">
      <c r="A81" s="215" t="s">
        <v>95</v>
      </c>
      <c r="B81" s="215"/>
      <c r="C81" s="215"/>
      <c r="D81" s="120">
        <f>D82+D83</f>
        <v>29607.649999999994</v>
      </c>
      <c r="E81" s="66"/>
      <c r="H81" s="17"/>
    </row>
    <row r="82" spans="1:5" ht="15">
      <c r="A82" s="121" t="s">
        <v>96</v>
      </c>
      <c r="B82" s="122"/>
      <c r="C82" s="123"/>
      <c r="D82" s="124">
        <f>B15+B20+D79+D80-D67</f>
        <v>45590.22</v>
      </c>
      <c r="E82" s="66"/>
    </row>
    <row r="83" spans="1:5" ht="15">
      <c r="A83" s="122" t="s">
        <v>15</v>
      </c>
      <c r="B83" s="122"/>
      <c r="C83" s="123"/>
      <c r="D83" s="124">
        <f>B16+B23-D77</f>
        <v>-15982.570000000007</v>
      </c>
      <c r="E83" s="66"/>
    </row>
    <row r="84" spans="1:5" ht="13.5" customHeight="1">
      <c r="A84" s="216" t="s">
        <v>97</v>
      </c>
      <c r="B84" s="216"/>
      <c r="C84" s="216"/>
      <c r="D84" s="125">
        <v>329381.52</v>
      </c>
      <c r="E84" s="66"/>
    </row>
    <row r="85" spans="1:4" ht="15">
      <c r="A85" s="208" t="s">
        <v>18</v>
      </c>
      <c r="B85" s="208"/>
      <c r="C85" s="208"/>
      <c r="D85" s="86"/>
    </row>
    <row r="86" spans="1:4" ht="13.5" customHeight="1">
      <c r="A86" s="208" t="s">
        <v>22</v>
      </c>
      <c r="B86" s="208"/>
      <c r="C86" s="208"/>
      <c r="D86" s="86">
        <f>D84*B19/B17</f>
        <v>102938.89985295829</v>
      </c>
    </row>
    <row r="87" spans="1:4" ht="13.5" customHeight="1">
      <c r="A87" s="208" t="s">
        <v>41</v>
      </c>
      <c r="B87" s="208"/>
      <c r="C87" s="208"/>
      <c r="D87" s="86">
        <f>D84*B23/B17</f>
        <v>10572.075483345037</v>
      </c>
    </row>
    <row r="88" spans="1:4" ht="13.5" customHeight="1">
      <c r="A88" s="208" t="s">
        <v>30</v>
      </c>
      <c r="B88" s="208"/>
      <c r="C88" s="208"/>
      <c r="D88" s="86">
        <f>D90+D91+D92+D93</f>
        <v>214285.94128288561</v>
      </c>
    </row>
    <row r="89" spans="1:4" ht="15" customHeight="1">
      <c r="A89" s="208" t="s">
        <v>18</v>
      </c>
      <c r="B89" s="208"/>
      <c r="C89" s="208"/>
      <c r="D89" s="86"/>
    </row>
    <row r="90" spans="1:4" ht="13.5" customHeight="1">
      <c r="A90" s="208" t="s">
        <v>32</v>
      </c>
      <c r="B90" s="208"/>
      <c r="C90" s="208"/>
      <c r="D90" s="86">
        <f>D84*B28/B17</f>
        <v>12735.06755172248</v>
      </c>
    </row>
    <row r="91" spans="1:4" ht="15">
      <c r="A91" s="208" t="s">
        <v>33</v>
      </c>
      <c r="B91" s="208"/>
      <c r="C91" s="208"/>
      <c r="D91" s="86">
        <f>D84*B29/B17</f>
        <v>28220.080612544756</v>
      </c>
    </row>
    <row r="92" spans="1:4" ht="15" customHeight="1">
      <c r="A92" s="208" t="s">
        <v>34</v>
      </c>
      <c r="B92" s="208"/>
      <c r="C92" s="208"/>
      <c r="D92" s="86">
        <f>D84*B30/B17</f>
        <v>130288.36195919901</v>
      </c>
    </row>
    <row r="93" spans="1:4" ht="15" customHeight="1">
      <c r="A93" s="208" t="s">
        <v>35</v>
      </c>
      <c r="B93" s="208"/>
      <c r="C93" s="208"/>
      <c r="D93" s="86">
        <f>D84*B31/B17</f>
        <v>43042.43115941935</v>
      </c>
    </row>
    <row r="94" spans="1:4" ht="15">
      <c r="A94" s="208" t="s">
        <v>36</v>
      </c>
      <c r="B94" s="208"/>
      <c r="C94" s="208"/>
      <c r="D94" s="86"/>
    </row>
    <row r="95" spans="1:4" ht="25.5" customHeight="1">
      <c r="A95" s="209" t="s">
        <v>98</v>
      </c>
      <c r="B95" s="209"/>
      <c r="C95" s="209"/>
      <c r="D95" s="209"/>
    </row>
    <row r="96" spans="1:4" ht="38.25">
      <c r="A96" s="90" t="s">
        <v>99</v>
      </c>
      <c r="B96" s="126" t="s">
        <v>100</v>
      </c>
      <c r="C96" s="126" t="s">
        <v>178</v>
      </c>
      <c r="D96" s="90" t="s">
        <v>102</v>
      </c>
    </row>
    <row r="97" spans="1:4" ht="12.75" customHeight="1">
      <c r="A97" s="88" t="s">
        <v>103</v>
      </c>
      <c r="B97" s="211" t="s">
        <v>104</v>
      </c>
      <c r="C97" s="89" t="s">
        <v>183</v>
      </c>
      <c r="D97" s="90" t="s">
        <v>105</v>
      </c>
    </row>
    <row r="98" spans="1:4" ht="12.75" customHeight="1">
      <c r="A98" s="88" t="s">
        <v>106</v>
      </c>
      <c r="B98" s="211"/>
      <c r="C98" s="89" t="s">
        <v>184</v>
      </c>
      <c r="D98" s="90" t="s">
        <v>105</v>
      </c>
    </row>
    <row r="99" spans="1:4" ht="12.75">
      <c r="A99" s="42" t="s">
        <v>41</v>
      </c>
      <c r="B99" s="211"/>
      <c r="C99" s="91">
        <v>2.7</v>
      </c>
      <c r="D99" s="92" t="s">
        <v>105</v>
      </c>
    </row>
    <row r="100" spans="1:4" ht="19.5" customHeight="1">
      <c r="A100" s="42" t="s">
        <v>32</v>
      </c>
      <c r="B100" s="212" t="s">
        <v>107</v>
      </c>
      <c r="C100" s="93" t="s">
        <v>108</v>
      </c>
      <c r="D100" s="192" t="s">
        <v>392</v>
      </c>
    </row>
    <row r="101" spans="1:4" ht="22.5" customHeight="1">
      <c r="A101" s="42" t="s">
        <v>33</v>
      </c>
      <c r="B101" s="212"/>
      <c r="C101" s="93" t="s">
        <v>110</v>
      </c>
      <c r="D101" s="192" t="s">
        <v>392</v>
      </c>
    </row>
    <row r="102" spans="1:4" ht="39.75" customHeight="1">
      <c r="A102" s="42" t="s">
        <v>34</v>
      </c>
      <c r="B102" s="94" t="s">
        <v>111</v>
      </c>
      <c r="C102" s="93" t="s">
        <v>112</v>
      </c>
      <c r="D102" s="92" t="s">
        <v>113</v>
      </c>
    </row>
    <row r="103" spans="1:4" ht="39" customHeight="1">
      <c r="A103" s="141" t="s">
        <v>35</v>
      </c>
      <c r="B103" s="95" t="s">
        <v>114</v>
      </c>
      <c r="C103" s="142" t="s">
        <v>115</v>
      </c>
      <c r="D103" s="193" t="s">
        <v>392</v>
      </c>
    </row>
    <row r="104" ht="12.75">
      <c r="H104" s="1" t="s">
        <v>37</v>
      </c>
    </row>
    <row r="105" ht="12.75">
      <c r="A105" t="s">
        <v>116</v>
      </c>
    </row>
    <row r="107" ht="12.75">
      <c r="A107" t="s">
        <v>117</v>
      </c>
    </row>
  </sheetData>
  <sheetProtection selectLockedCells="1" selectUnlockedCells="1"/>
  <mergeCells count="23">
    <mergeCell ref="A93:C93"/>
    <mergeCell ref="A94:C94"/>
    <mergeCell ref="A95:D95"/>
    <mergeCell ref="B97:B99"/>
    <mergeCell ref="B100:B101"/>
    <mergeCell ref="A87:C87"/>
    <mergeCell ref="A88:C88"/>
    <mergeCell ref="A89:C89"/>
    <mergeCell ref="A90:C90"/>
    <mergeCell ref="A91:C91"/>
    <mergeCell ref="A92:C92"/>
    <mergeCell ref="A67:C67"/>
    <mergeCell ref="A79:C79"/>
    <mergeCell ref="A81:C81"/>
    <mergeCell ref="A84:C84"/>
    <mergeCell ref="A85:C85"/>
    <mergeCell ref="A86:C8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="80" zoomScaleNormal="80" zoomScalePageLayoutView="0" workbookViewId="0" topLeftCell="A1">
      <selection activeCell="D20" sqref="D20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196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197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-70760.98</v>
      </c>
      <c r="C14" s="96"/>
      <c r="D14" s="12"/>
    </row>
    <row r="15" spans="1:4" ht="15.75">
      <c r="A15" s="13" t="s">
        <v>14</v>
      </c>
      <c r="B15" s="10">
        <v>-64184.06</v>
      </c>
      <c r="C15" s="96"/>
      <c r="D15" s="12"/>
    </row>
    <row r="16" spans="1:4" ht="15.75">
      <c r="A16" s="14" t="s">
        <v>15</v>
      </c>
      <c r="B16" s="10">
        <v>-6576.92</v>
      </c>
      <c r="C16" s="96"/>
      <c r="D16" s="12"/>
    </row>
    <row r="17" spans="1:5" ht="31.5">
      <c r="A17" s="15" t="s">
        <v>16</v>
      </c>
      <c r="B17" s="97">
        <f>B19+B21+B22+B23+B24</f>
        <v>3809775.03</v>
      </c>
      <c r="C17" s="11" t="s">
        <v>17</v>
      </c>
      <c r="D17" s="143" t="s">
        <v>17</v>
      </c>
      <c r="E17" s="22">
        <f>SUM(E18:E31)</f>
        <v>120185.5704450239</v>
      </c>
    </row>
    <row r="18" spans="1:4" ht="15">
      <c r="A18" s="7" t="s">
        <v>18</v>
      </c>
      <c r="B18" s="16"/>
      <c r="C18" s="11"/>
      <c r="D18" s="143"/>
    </row>
    <row r="19" spans="1:4" ht="15">
      <c r="A19" s="7" t="s">
        <v>22</v>
      </c>
      <c r="B19" s="97">
        <v>815244.66</v>
      </c>
      <c r="C19" s="144" t="s">
        <v>198</v>
      </c>
      <c r="D19" s="143"/>
    </row>
    <row r="20" spans="1:5" ht="15">
      <c r="A20" s="7" t="s">
        <v>199</v>
      </c>
      <c r="B20" s="97">
        <v>120184.93</v>
      </c>
      <c r="C20" s="18" t="s">
        <v>200</v>
      </c>
      <c r="D20" s="145"/>
      <c r="E20" s="1">
        <f>(1.73+2.33)*6*4933.7</f>
        <v>120184.93200000002</v>
      </c>
    </row>
    <row r="21" spans="1:5" ht="15.75">
      <c r="A21" s="7" t="s">
        <v>201</v>
      </c>
      <c r="B21" s="101">
        <v>154408.68</v>
      </c>
      <c r="C21" s="21">
        <v>2.7</v>
      </c>
      <c r="D21" s="145"/>
      <c r="E21" s="22">
        <f>B21/B17*1</f>
        <v>0.04052960575994956</v>
      </c>
    </row>
    <row r="22" spans="1:5" ht="15">
      <c r="A22" s="7" t="s">
        <v>20</v>
      </c>
      <c r="B22" s="97">
        <v>272.16</v>
      </c>
      <c r="C22" s="18" t="s">
        <v>126</v>
      </c>
      <c r="D22" s="145"/>
      <c r="E22" s="22"/>
    </row>
    <row r="23" spans="1:5" ht="15">
      <c r="A23" s="7" t="s">
        <v>19</v>
      </c>
      <c r="B23" s="97">
        <v>6797.52</v>
      </c>
      <c r="C23" s="18"/>
      <c r="D23" s="145"/>
      <c r="E23" s="22"/>
    </row>
    <row r="24" spans="1:4" ht="15">
      <c r="A24" s="7" t="s">
        <v>30</v>
      </c>
      <c r="B24" s="97">
        <f>B26+B27+B28+B29</f>
        <v>2833052.01</v>
      </c>
      <c r="C24" s="18" t="s">
        <v>17</v>
      </c>
      <c r="D24" s="145"/>
    </row>
    <row r="25" spans="1:5" ht="15">
      <c r="A25" s="7" t="s">
        <v>18</v>
      </c>
      <c r="B25" s="16"/>
      <c r="C25" s="18"/>
      <c r="D25" s="145"/>
      <c r="E25" s="22">
        <f>B25/B17*1</f>
        <v>0</v>
      </c>
    </row>
    <row r="26" spans="1:4" ht="15">
      <c r="A26" s="7" t="s">
        <v>32</v>
      </c>
      <c r="B26" s="97">
        <v>173731.25</v>
      </c>
      <c r="C26" s="24" t="s">
        <v>17</v>
      </c>
      <c r="D26" s="145" t="s">
        <v>31</v>
      </c>
    </row>
    <row r="27" spans="1:4" ht="15">
      <c r="A27" s="7" t="s">
        <v>33</v>
      </c>
      <c r="B27" s="97">
        <v>381397.53</v>
      </c>
      <c r="C27" s="24" t="s">
        <v>17</v>
      </c>
      <c r="D27" s="145"/>
    </row>
    <row r="28" spans="1:5" ht="15">
      <c r="A28" s="7" t="s">
        <v>34</v>
      </c>
      <c r="B28" s="97">
        <v>1703447.16</v>
      </c>
      <c r="C28" s="133"/>
      <c r="D28" s="146">
        <v>65.21</v>
      </c>
      <c r="E28" s="22">
        <f>B28/B17*1</f>
        <v>0.44712539364824383</v>
      </c>
    </row>
    <row r="29" spans="1:5" ht="15">
      <c r="A29" s="7" t="s">
        <v>35</v>
      </c>
      <c r="B29" s="97">
        <v>574476.07</v>
      </c>
      <c r="C29" s="24" t="s">
        <v>17</v>
      </c>
      <c r="D29" s="146">
        <v>119.63</v>
      </c>
      <c r="E29" s="22">
        <f>B29/B17*1</f>
        <v>0.15079002447029005</v>
      </c>
    </row>
    <row r="30" spans="1:5" ht="15">
      <c r="A30" s="7" t="s">
        <v>36</v>
      </c>
      <c r="B30" s="16"/>
      <c r="C30" s="133" t="s">
        <v>17</v>
      </c>
      <c r="D30" s="146"/>
      <c r="E30" s="22">
        <f>B30/B17*1</f>
        <v>0</v>
      </c>
    </row>
    <row r="31" spans="1:5" ht="15">
      <c r="A31" s="7"/>
      <c r="B31" s="102"/>
      <c r="C31" s="147" t="s">
        <v>17</v>
      </c>
      <c r="D31" s="26">
        <v>139.18</v>
      </c>
      <c r="E31" s="22">
        <f>B31/B17*1</f>
        <v>0</v>
      </c>
    </row>
    <row r="32" spans="1:5" ht="31.5">
      <c r="A32" s="27" t="s">
        <v>38</v>
      </c>
      <c r="B32" s="28">
        <v>3547451.07</v>
      </c>
      <c r="C32" s="96"/>
      <c r="D32" s="12" t="s">
        <v>17</v>
      </c>
      <c r="E32" s="1">
        <f>B32/B17</f>
        <v>0.9311445012016891</v>
      </c>
    </row>
    <row r="33" spans="1:4" ht="15">
      <c r="A33" s="30" t="s">
        <v>18</v>
      </c>
      <c r="B33" s="28"/>
      <c r="C33" s="96"/>
      <c r="D33" s="12"/>
    </row>
    <row r="34" spans="1:4" ht="15">
      <c r="A34" s="30" t="s">
        <v>22</v>
      </c>
      <c r="B34" s="28">
        <f>B19*E32</f>
        <v>759110.5822930407</v>
      </c>
      <c r="C34" s="96"/>
      <c r="D34" s="12"/>
    </row>
    <row r="35" spans="1:4" ht="15">
      <c r="A35" s="30" t="s">
        <v>41</v>
      </c>
      <c r="B35" s="28">
        <f>B21*E32</f>
        <v>143776.79331981123</v>
      </c>
      <c r="C35" s="96"/>
      <c r="D35" s="12" t="s">
        <v>17</v>
      </c>
    </row>
    <row r="36" spans="1:4" ht="15">
      <c r="A36" s="30" t="s">
        <v>30</v>
      </c>
      <c r="B36" s="28">
        <f>B38+B39+B40+B41</f>
        <v>2637980.8007298927</v>
      </c>
      <c r="C36" s="96" t="s">
        <v>17</v>
      </c>
      <c r="D36" s="12"/>
    </row>
    <row r="37" spans="1:4" ht="15">
      <c r="A37" s="30" t="s">
        <v>18</v>
      </c>
      <c r="B37" s="28"/>
      <c r="C37" s="102"/>
      <c r="D37" s="12" t="s">
        <v>17</v>
      </c>
    </row>
    <row r="38" spans="1:4" ht="15">
      <c r="A38" s="30" t="s">
        <v>32</v>
      </c>
      <c r="B38" s="28">
        <f>B26*E32</f>
        <v>161768.89812439596</v>
      </c>
      <c r="C38" s="96" t="s">
        <v>17</v>
      </c>
      <c r="D38" s="12" t="s">
        <v>17</v>
      </c>
    </row>
    <row r="39" spans="1:4" ht="15">
      <c r="A39" s="30" t="s">
        <v>33</v>
      </c>
      <c r="B39" s="28">
        <f>B27*E32</f>
        <v>355136.2128314063</v>
      </c>
      <c r="C39" s="96" t="s">
        <v>17</v>
      </c>
      <c r="D39" s="12"/>
    </row>
    <row r="40" spans="1:4" ht="15">
      <c r="A40" s="30" t="s">
        <v>34</v>
      </c>
      <c r="B40" s="28">
        <f>B28*E32</f>
        <v>1586155.4561216338</v>
      </c>
      <c r="C40" s="96"/>
      <c r="D40" s="12"/>
    </row>
    <row r="41" spans="1:4" ht="15">
      <c r="A41" s="30" t="s">
        <v>35</v>
      </c>
      <c r="B41" s="28">
        <f>B29*E32</f>
        <v>534920.2336524565</v>
      </c>
      <c r="C41" s="96" t="s">
        <v>17</v>
      </c>
      <c r="D41" s="12"/>
    </row>
    <row r="42" spans="1:4" ht="15">
      <c r="A42" s="30" t="s">
        <v>36</v>
      </c>
      <c r="B42" s="28"/>
      <c r="C42" s="96" t="s">
        <v>17</v>
      </c>
      <c r="D42" s="12"/>
    </row>
    <row r="43" spans="1:4" ht="47.25">
      <c r="A43" s="31" t="s">
        <v>42</v>
      </c>
      <c r="B43" s="28">
        <f>B45+B46+B47+B48</f>
        <v>2637980.8007298927</v>
      </c>
      <c r="C43" s="96" t="s">
        <v>17</v>
      </c>
      <c r="D43" s="12" t="s">
        <v>17</v>
      </c>
    </row>
    <row r="44" spans="1:4" ht="15">
      <c r="A44" s="30" t="s">
        <v>18</v>
      </c>
      <c r="B44" s="28"/>
      <c r="C44" s="96" t="s">
        <v>17</v>
      </c>
      <c r="D44" s="12"/>
    </row>
    <row r="45" spans="1:4" ht="15">
      <c r="A45" s="30" t="s">
        <v>32</v>
      </c>
      <c r="B45" s="28">
        <f>B38</f>
        <v>161768.89812439596</v>
      </c>
      <c r="C45" s="96"/>
      <c r="D45" s="12"/>
    </row>
    <row r="46" spans="1:4" ht="15">
      <c r="A46" s="30" t="s">
        <v>33</v>
      </c>
      <c r="B46" s="28">
        <f>B39</f>
        <v>355136.2128314063</v>
      </c>
      <c r="C46" s="96" t="s">
        <v>17</v>
      </c>
      <c r="D46" s="12"/>
    </row>
    <row r="47" spans="1:4" ht="15">
      <c r="A47" s="30" t="s">
        <v>34</v>
      </c>
      <c r="B47" s="28">
        <f>B40</f>
        <v>1586155.4561216338</v>
      </c>
      <c r="C47" s="96" t="s">
        <v>17</v>
      </c>
      <c r="D47" s="12"/>
    </row>
    <row r="48" spans="1:4" ht="15">
      <c r="A48" s="30" t="s">
        <v>35</v>
      </c>
      <c r="B48" s="28">
        <f>B41</f>
        <v>534920.2336524565</v>
      </c>
      <c r="C48" s="96" t="s">
        <v>17</v>
      </c>
      <c r="D48" s="12"/>
    </row>
    <row r="49" spans="1:4" ht="15">
      <c r="A49" s="33" t="s">
        <v>36</v>
      </c>
      <c r="B49" s="34"/>
      <c r="C49" s="103" t="s">
        <v>17</v>
      </c>
      <c r="D49" s="36"/>
    </row>
    <row r="50" spans="1:10" ht="31.5" customHeight="1">
      <c r="A50" s="37" t="s">
        <v>43</v>
      </c>
      <c r="B50" s="37"/>
      <c r="C50" s="128" t="s">
        <v>8</v>
      </c>
      <c r="D50" s="37"/>
      <c r="I50" s="148"/>
      <c r="J50" s="148"/>
    </row>
    <row r="51" spans="1:14" ht="63.75">
      <c r="A51" s="39" t="s">
        <v>44</v>
      </c>
      <c r="B51" s="39" t="s">
        <v>45</v>
      </c>
      <c r="C51" s="39" t="s">
        <v>46</v>
      </c>
      <c r="D51" s="39" t="s">
        <v>47</v>
      </c>
      <c r="E51" s="99"/>
      <c r="F51" s="99"/>
      <c r="G51" s="99"/>
      <c r="H51" s="99" t="s">
        <v>37</v>
      </c>
      <c r="I51" s="149"/>
      <c r="J51" s="41"/>
      <c r="K51" s="41"/>
      <c r="L51" s="41"/>
      <c r="M51" s="41"/>
      <c r="N51" s="41"/>
    </row>
    <row r="52" spans="1:14" ht="15">
      <c r="A52" s="42" t="s">
        <v>48</v>
      </c>
      <c r="B52" s="43" t="s">
        <v>49</v>
      </c>
      <c r="C52" s="44" t="s">
        <v>202</v>
      </c>
      <c r="D52" s="129">
        <f>(0.22+0.32)*6*4933.7</f>
        <v>15985.188</v>
      </c>
      <c r="E52" s="150"/>
      <c r="F52" s="151"/>
      <c r="G52" s="152"/>
      <c r="H52" s="99"/>
      <c r="I52" s="153"/>
      <c r="J52" s="50"/>
      <c r="K52" s="50"/>
      <c r="L52" s="50"/>
      <c r="M52" s="50"/>
      <c r="N52" s="50"/>
    </row>
    <row r="53" spans="1:14" ht="15">
      <c r="A53" s="42" t="s">
        <v>51</v>
      </c>
      <c r="B53" s="43" t="s">
        <v>52</v>
      </c>
      <c r="C53" s="44" t="s">
        <v>53</v>
      </c>
      <c r="D53" s="129">
        <f>(2.1+2.23)*6*4933.7</f>
        <v>128177.526</v>
      </c>
      <c r="E53" s="150"/>
      <c r="F53" s="151"/>
      <c r="G53" s="152"/>
      <c r="H53" s="99"/>
      <c r="I53" s="153"/>
      <c r="J53" s="50"/>
      <c r="K53" s="50"/>
      <c r="L53" s="50"/>
      <c r="M53" s="50"/>
      <c r="N53" s="50"/>
    </row>
    <row r="54" spans="1:14" ht="15">
      <c r="A54" s="42" t="s">
        <v>54</v>
      </c>
      <c r="B54" s="43" t="s">
        <v>52</v>
      </c>
      <c r="C54" s="44" t="s">
        <v>55</v>
      </c>
      <c r="D54" s="129">
        <f>(1.2+2.27)*6*4933.7</f>
        <v>102719.63399999999</v>
      </c>
      <c r="E54" s="150"/>
      <c r="F54" s="151"/>
      <c r="G54" s="152"/>
      <c r="H54" s="99"/>
      <c r="I54" s="153"/>
      <c r="J54" s="50"/>
      <c r="K54" s="50"/>
      <c r="L54" s="50"/>
      <c r="M54" s="50"/>
      <c r="N54" s="50"/>
    </row>
    <row r="55" spans="1:14" ht="15">
      <c r="A55" s="42" t="s">
        <v>56</v>
      </c>
      <c r="B55" s="43" t="s">
        <v>49</v>
      </c>
      <c r="C55" s="44" t="s">
        <v>57</v>
      </c>
      <c r="D55" s="129">
        <f>(0.11+0.12)*6*4933.7</f>
        <v>6808.505999999999</v>
      </c>
      <c r="E55" s="150"/>
      <c r="F55" s="151"/>
      <c r="G55" s="152"/>
      <c r="H55" s="99"/>
      <c r="I55" s="153"/>
      <c r="J55" s="50"/>
      <c r="K55" s="50"/>
      <c r="L55" s="50"/>
      <c r="M55" s="50"/>
      <c r="N55" s="50"/>
    </row>
    <row r="56" spans="1:14" ht="15">
      <c r="A56" s="42" t="s">
        <v>58</v>
      </c>
      <c r="B56" s="194" t="s">
        <v>49</v>
      </c>
      <c r="C56" s="52" t="s">
        <v>203</v>
      </c>
      <c r="D56" s="129">
        <f>28714.13+0.08</f>
        <v>28714.210000000003</v>
      </c>
      <c r="E56" s="46">
        <f>(0.81+0.5)*6*4933.7-0.34*6*4933.7</f>
        <v>28714.134</v>
      </c>
      <c r="F56" s="53"/>
      <c r="G56" s="54"/>
      <c r="H56" s="46"/>
      <c r="I56" s="153"/>
      <c r="J56" s="50"/>
      <c r="K56" s="50"/>
      <c r="L56" s="50"/>
      <c r="M56" s="50"/>
      <c r="N56" s="50"/>
    </row>
    <row r="57" spans="1:14" ht="15">
      <c r="A57" s="42" t="s">
        <v>60</v>
      </c>
      <c r="B57" s="51" t="s">
        <v>49</v>
      </c>
      <c r="C57" s="55" t="s">
        <v>61</v>
      </c>
      <c r="D57" s="129">
        <f>(0.89+0.94)*6*4933.7</f>
        <v>54172.026</v>
      </c>
      <c r="E57" s="46"/>
      <c r="F57" s="53"/>
      <c r="G57" s="54"/>
      <c r="I57" s="153"/>
      <c r="J57" s="50"/>
      <c r="K57" s="50"/>
      <c r="L57" s="50"/>
      <c r="M57" s="50"/>
      <c r="N57" s="50"/>
    </row>
    <row r="58" spans="1:14" ht="15">
      <c r="A58" s="42" t="s">
        <v>62</v>
      </c>
      <c r="B58" s="51" t="s">
        <v>63</v>
      </c>
      <c r="C58" s="52" t="s">
        <v>132</v>
      </c>
      <c r="D58" s="129">
        <f>(1.14+1.21)*6*4933.7</f>
        <v>69565.16999999998</v>
      </c>
      <c r="E58" s="46"/>
      <c r="F58" s="53"/>
      <c r="G58" s="54"/>
      <c r="I58" s="153"/>
      <c r="J58" s="50"/>
      <c r="K58" s="50"/>
      <c r="L58" s="50"/>
      <c r="M58" s="50"/>
      <c r="N58" s="50"/>
    </row>
    <row r="59" spans="1:14" ht="15">
      <c r="A59" s="42" t="s">
        <v>65</v>
      </c>
      <c r="B59" s="51" t="s">
        <v>66</v>
      </c>
      <c r="C59" s="55">
        <v>4.88</v>
      </c>
      <c r="D59" s="129">
        <f>4.88*12*4933.7</f>
        <v>288917.472</v>
      </c>
      <c r="E59" s="46"/>
      <c r="F59" s="53"/>
      <c r="H59" s="49"/>
      <c r="I59" s="153"/>
      <c r="J59" s="50"/>
      <c r="K59" s="50"/>
      <c r="L59" s="50"/>
      <c r="M59" s="50"/>
      <c r="N59" s="50"/>
    </row>
    <row r="60" spans="1:14" ht="15.75">
      <c r="A60" s="59" t="s">
        <v>75</v>
      </c>
      <c r="B60" s="60"/>
      <c r="C60" s="61"/>
      <c r="D60" s="62">
        <f>SUM(D52:D59)</f>
        <v>695059.7320000001</v>
      </c>
      <c r="E60" s="63">
        <f>D60+B20</f>
        <v>815244.662</v>
      </c>
      <c r="F60" s="49"/>
      <c r="H60" s="64">
        <f>E60-B19</f>
        <v>0.001999999978579581</v>
      </c>
      <c r="I60" s="153"/>
      <c r="J60" s="50"/>
      <c r="K60" s="50"/>
      <c r="L60" s="50"/>
      <c r="M60" s="50"/>
      <c r="N60" s="50"/>
    </row>
    <row r="61" spans="1:9" ht="16.5" customHeight="1">
      <c r="A61" s="202" t="s">
        <v>76</v>
      </c>
      <c r="B61" s="202"/>
      <c r="C61" s="202"/>
      <c r="D61" s="65">
        <f>D62+D63+D64+D65+D66+D67+D68+D69+D70+D71</f>
        <v>34825.40000000001</v>
      </c>
      <c r="E61" s="154"/>
      <c r="F61" s="99"/>
      <c r="G61" s="99"/>
      <c r="H61" s="99"/>
      <c r="I61" s="99"/>
    </row>
    <row r="62" spans="1:9" ht="13.5" customHeight="1">
      <c r="A62" s="67" t="s">
        <v>204</v>
      </c>
      <c r="B62" s="68"/>
      <c r="C62" s="69"/>
      <c r="D62" s="65">
        <v>2467.05</v>
      </c>
      <c r="E62" s="154"/>
      <c r="F62" s="99"/>
      <c r="G62" s="99"/>
      <c r="H62" s="99"/>
      <c r="I62" s="99"/>
    </row>
    <row r="63" spans="1:9" ht="13.5" customHeight="1">
      <c r="A63" s="67" t="s">
        <v>205</v>
      </c>
      <c r="B63" s="68"/>
      <c r="C63" s="69"/>
      <c r="D63" s="65">
        <v>4687.59</v>
      </c>
      <c r="E63" s="154"/>
      <c r="F63" s="99"/>
      <c r="G63" s="99"/>
      <c r="H63" s="99"/>
      <c r="I63" s="99"/>
    </row>
    <row r="64" spans="1:9" ht="13.5" customHeight="1">
      <c r="A64" s="67" t="s">
        <v>206</v>
      </c>
      <c r="B64" s="68"/>
      <c r="C64" s="69"/>
      <c r="D64" s="65">
        <v>543.18</v>
      </c>
      <c r="E64" s="154"/>
      <c r="F64" s="99"/>
      <c r="G64" s="99"/>
      <c r="H64" s="99"/>
      <c r="I64" s="99"/>
    </row>
    <row r="65" spans="1:5" ht="13.5" customHeight="1">
      <c r="A65" s="67" t="s">
        <v>207</v>
      </c>
      <c r="B65" s="68"/>
      <c r="C65" s="69"/>
      <c r="D65" s="65">
        <v>7014.78</v>
      </c>
      <c r="E65" s="66"/>
    </row>
    <row r="66" spans="1:5" ht="13.5" customHeight="1">
      <c r="A66" s="67" t="s">
        <v>208</v>
      </c>
      <c r="B66" s="68"/>
      <c r="C66" s="69"/>
      <c r="D66" s="65">
        <v>590.53</v>
      </c>
      <c r="E66" s="66"/>
    </row>
    <row r="67" spans="1:5" ht="13.5" customHeight="1">
      <c r="A67" s="194" t="s">
        <v>398</v>
      </c>
      <c r="B67" s="68"/>
      <c r="C67" s="69"/>
      <c r="D67" s="65">
        <v>11841.92</v>
      </c>
      <c r="E67" s="66"/>
    </row>
    <row r="68" spans="1:5" ht="13.5" customHeight="1">
      <c r="A68" s="70" t="s">
        <v>209</v>
      </c>
      <c r="B68" s="71"/>
      <c r="C68" s="72"/>
      <c r="D68" s="65">
        <v>2404.79</v>
      </c>
      <c r="E68" s="66"/>
    </row>
    <row r="69" spans="1:5" ht="13.5" customHeight="1">
      <c r="A69" s="70" t="s">
        <v>210</v>
      </c>
      <c r="B69" s="71"/>
      <c r="C69" s="72"/>
      <c r="D69" s="65">
        <v>253</v>
      </c>
      <c r="E69" s="66"/>
    </row>
    <row r="70" spans="1:5" ht="13.5" customHeight="1">
      <c r="A70" s="70" t="s">
        <v>211</v>
      </c>
      <c r="B70" s="71"/>
      <c r="C70" s="72"/>
      <c r="D70" s="65">
        <v>785.56</v>
      </c>
      <c r="E70" s="66"/>
    </row>
    <row r="71" spans="1:5" ht="13.5" customHeight="1">
      <c r="A71" s="70" t="s">
        <v>212</v>
      </c>
      <c r="B71" s="71"/>
      <c r="C71" s="72"/>
      <c r="D71" s="65">
        <v>4237</v>
      </c>
      <c r="E71" s="66"/>
    </row>
    <row r="72" spans="1:8" ht="19.5" customHeight="1">
      <c r="A72" s="73" t="s">
        <v>90</v>
      </c>
      <c r="B72" s="74"/>
      <c r="C72" s="75"/>
      <c r="D72" s="65">
        <f>D60+D61</f>
        <v>729885.1320000001</v>
      </c>
      <c r="E72" s="66"/>
      <c r="H72" s="1" t="s">
        <v>37</v>
      </c>
    </row>
    <row r="73" spans="1:5" ht="21.75" customHeight="1">
      <c r="A73" s="73" t="s">
        <v>173</v>
      </c>
      <c r="B73" s="71"/>
      <c r="C73" s="72"/>
      <c r="D73" s="65">
        <f>D74</f>
        <v>0</v>
      </c>
      <c r="E73" s="66"/>
    </row>
    <row r="74" spans="1:5" ht="13.5" customHeight="1">
      <c r="A74" s="70"/>
      <c r="B74" s="71"/>
      <c r="C74" s="72"/>
      <c r="D74" s="76"/>
      <c r="E74" s="66"/>
    </row>
    <row r="75" spans="1:5" ht="18" customHeight="1">
      <c r="A75" s="217" t="s">
        <v>93</v>
      </c>
      <c r="B75" s="217"/>
      <c r="C75" s="217"/>
      <c r="D75" s="119">
        <v>1036.8</v>
      </c>
      <c r="E75" s="66"/>
    </row>
    <row r="76" spans="1:5" ht="18" customHeight="1">
      <c r="A76" s="118" t="s">
        <v>94</v>
      </c>
      <c r="B76" s="118"/>
      <c r="C76" s="118"/>
      <c r="D76" s="119"/>
      <c r="E76" s="66"/>
    </row>
    <row r="77" spans="1:8" ht="25.5" customHeight="1">
      <c r="A77" s="215" t="s">
        <v>95</v>
      </c>
      <c r="B77" s="215"/>
      <c r="C77" s="215"/>
      <c r="D77" s="120">
        <f>D78+D79</f>
        <v>170044.02999999997</v>
      </c>
      <c r="E77" s="66"/>
      <c r="H77" s="17"/>
    </row>
    <row r="78" spans="1:5" ht="15">
      <c r="A78" s="121" t="s">
        <v>96</v>
      </c>
      <c r="B78" s="122"/>
      <c r="C78" s="123"/>
      <c r="D78" s="124">
        <f>B15+B20+D75+D76-D61</f>
        <v>22212.26999999999</v>
      </c>
      <c r="E78" s="66"/>
    </row>
    <row r="79" spans="1:5" ht="15">
      <c r="A79" s="122" t="s">
        <v>15</v>
      </c>
      <c r="B79" s="122"/>
      <c r="C79" s="123"/>
      <c r="D79" s="124">
        <f>B16+B21-D73</f>
        <v>147831.75999999998</v>
      </c>
      <c r="E79" s="66"/>
    </row>
    <row r="80" spans="1:5" ht="13.5" customHeight="1">
      <c r="A80" s="216" t="s">
        <v>97</v>
      </c>
      <c r="B80" s="216"/>
      <c r="C80" s="216"/>
      <c r="D80" s="125">
        <v>692390.91</v>
      </c>
      <c r="E80" s="66"/>
    </row>
    <row r="81" spans="1:4" ht="15">
      <c r="A81" s="208" t="s">
        <v>18</v>
      </c>
      <c r="B81" s="208"/>
      <c r="C81" s="208"/>
      <c r="D81" s="86"/>
    </row>
    <row r="82" spans="1:4" ht="13.5" customHeight="1">
      <c r="A82" s="208" t="s">
        <v>22</v>
      </c>
      <c r="B82" s="208"/>
      <c r="C82" s="208"/>
      <c r="D82" s="86">
        <f>D80*B19/B17</f>
        <v>148163.0772329464</v>
      </c>
    </row>
    <row r="83" spans="1:4" ht="13.5" customHeight="1">
      <c r="A83" s="208" t="s">
        <v>41</v>
      </c>
      <c r="B83" s="208"/>
      <c r="C83" s="208"/>
      <c r="D83" s="86">
        <f>D80*B21/B17</f>
        <v>28062.330614072718</v>
      </c>
    </row>
    <row r="84" spans="1:4" ht="13.5" customHeight="1">
      <c r="A84" s="208" t="s">
        <v>30</v>
      </c>
      <c r="B84" s="208"/>
      <c r="C84" s="208"/>
      <c r="D84" s="86">
        <f>D86+D87+D88+D89</f>
        <v>514880.65406351024</v>
      </c>
    </row>
    <row r="85" spans="1:4" ht="15">
      <c r="A85" s="208" t="s">
        <v>18</v>
      </c>
      <c r="B85" s="208"/>
      <c r="C85" s="208"/>
      <c r="D85" s="86"/>
    </row>
    <row r="86" spans="1:4" ht="13.5" customHeight="1">
      <c r="A86" s="208" t="s">
        <v>32</v>
      </c>
      <c r="B86" s="208"/>
      <c r="C86" s="208"/>
      <c r="D86" s="86">
        <f>D80*B26/B17</f>
        <v>31574.026638244177</v>
      </c>
    </row>
    <row r="87" spans="1:4" ht="15">
      <c r="A87" s="208" t="s">
        <v>33</v>
      </c>
      <c r="B87" s="208"/>
      <c r="C87" s="208"/>
      <c r="D87" s="86">
        <f>D80*B27/B17</f>
        <v>69315.42697114384</v>
      </c>
    </row>
    <row r="88" spans="1:4" ht="15" customHeight="1">
      <c r="A88" s="208" t="s">
        <v>34</v>
      </c>
      <c r="B88" s="208"/>
      <c r="C88" s="208"/>
      <c r="D88" s="86">
        <f>D80*B28/B17</f>
        <v>309585.5581922158</v>
      </c>
    </row>
    <row r="89" spans="1:4" ht="15" customHeight="1">
      <c r="A89" s="208" t="s">
        <v>35</v>
      </c>
      <c r="B89" s="208"/>
      <c r="C89" s="208"/>
      <c r="D89" s="86">
        <f>D80*B29/B17</f>
        <v>104405.6422619064</v>
      </c>
    </row>
    <row r="90" spans="1:4" ht="15">
      <c r="A90" s="208" t="s">
        <v>36</v>
      </c>
      <c r="B90" s="208"/>
      <c r="C90" s="208"/>
      <c r="D90" s="86"/>
    </row>
    <row r="91" spans="1:4" ht="25.5" customHeight="1">
      <c r="A91" s="209" t="s">
        <v>98</v>
      </c>
      <c r="B91" s="209"/>
      <c r="C91" s="209"/>
      <c r="D91" s="209"/>
    </row>
    <row r="92" spans="1:4" ht="38.25">
      <c r="A92" s="87" t="s">
        <v>99</v>
      </c>
      <c r="B92" s="6" t="s">
        <v>100</v>
      </c>
      <c r="C92" s="6" t="s">
        <v>213</v>
      </c>
      <c r="D92" s="87" t="s">
        <v>102</v>
      </c>
    </row>
    <row r="93" spans="1:4" ht="22.5" customHeight="1">
      <c r="A93" s="88" t="s">
        <v>214</v>
      </c>
      <c r="B93" s="218" t="s">
        <v>104</v>
      </c>
      <c r="C93" s="89" t="s">
        <v>198</v>
      </c>
      <c r="D93" s="90" t="s">
        <v>105</v>
      </c>
    </row>
    <row r="94" spans="1:4" ht="22.5" customHeight="1">
      <c r="A94" s="42" t="s">
        <v>41</v>
      </c>
      <c r="B94" s="218"/>
      <c r="C94" s="91">
        <v>2.7</v>
      </c>
      <c r="D94" s="92" t="s">
        <v>105</v>
      </c>
    </row>
    <row r="95" spans="1:4" ht="19.5" customHeight="1">
      <c r="A95" s="42" t="s">
        <v>32</v>
      </c>
      <c r="B95" s="212" t="s">
        <v>107</v>
      </c>
      <c r="C95" s="91" t="s">
        <v>108</v>
      </c>
      <c r="D95" s="192" t="s">
        <v>392</v>
      </c>
    </row>
    <row r="96" spans="1:4" ht="22.5" customHeight="1">
      <c r="A96" s="42" t="s">
        <v>33</v>
      </c>
      <c r="B96" s="212"/>
      <c r="C96" s="91" t="s">
        <v>110</v>
      </c>
      <c r="D96" s="192" t="s">
        <v>392</v>
      </c>
    </row>
    <row r="97" spans="1:4" ht="39.75" customHeight="1">
      <c r="A97" s="42" t="s">
        <v>34</v>
      </c>
      <c r="B97" s="94" t="s">
        <v>111</v>
      </c>
      <c r="C97" s="91" t="s">
        <v>112</v>
      </c>
      <c r="D97" s="92" t="s">
        <v>113</v>
      </c>
    </row>
    <row r="98" spans="1:4" ht="39" customHeight="1">
      <c r="A98" s="42" t="s">
        <v>35</v>
      </c>
      <c r="B98" s="95" t="s">
        <v>114</v>
      </c>
      <c r="C98" s="91" t="s">
        <v>115</v>
      </c>
      <c r="D98" s="192" t="s">
        <v>392</v>
      </c>
    </row>
    <row r="99" ht="12.75">
      <c r="H99" s="1" t="s">
        <v>37</v>
      </c>
    </row>
    <row r="100" ht="12.75">
      <c r="A100" t="s">
        <v>116</v>
      </c>
    </row>
    <row r="102" ht="12.75">
      <c r="A102" t="s">
        <v>117</v>
      </c>
    </row>
    <row r="106" ht="12.75">
      <c r="H106" s="1" t="s">
        <v>37</v>
      </c>
    </row>
  </sheetData>
  <sheetProtection selectLockedCells="1" selectUnlockedCells="1"/>
  <mergeCells count="23">
    <mergeCell ref="A89:C89"/>
    <mergeCell ref="A90:C90"/>
    <mergeCell ref="A91:D91"/>
    <mergeCell ref="B93:B94"/>
    <mergeCell ref="B95:B96"/>
    <mergeCell ref="A83:C83"/>
    <mergeCell ref="A84:C84"/>
    <mergeCell ref="A85:C85"/>
    <mergeCell ref="A86:C86"/>
    <mergeCell ref="A87:C87"/>
    <mergeCell ref="A88:C88"/>
    <mergeCell ref="A61:C61"/>
    <mergeCell ref="A75:C75"/>
    <mergeCell ref="A77:C77"/>
    <mergeCell ref="A80:C80"/>
    <mergeCell ref="A81:C81"/>
    <mergeCell ref="A82:C8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="80" zoomScaleNormal="80" zoomScalePageLayoutView="0" workbookViewId="0" topLeftCell="A1">
      <selection activeCell="A1" sqref="A1:D1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1.57421875" style="1" customWidth="1"/>
    <col min="9" max="10" width="9.8515625" style="1" customWidth="1"/>
    <col min="11" max="12" width="11.140625" style="1" customWidth="1"/>
    <col min="13" max="13" width="11.00390625" style="1" customWidth="1"/>
    <col min="14" max="14" width="7.00390625" style="1" customWidth="1"/>
    <col min="15" max="16" width="11.57421875" style="1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215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216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190" t="s">
        <v>388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15" ht="36.75" customHeight="1">
      <c r="A14" s="9" t="s">
        <v>13</v>
      </c>
      <c r="B14" s="10">
        <f>B15+B16</f>
        <v>66873.03</v>
      </c>
      <c r="C14" s="96"/>
      <c r="D14" s="12"/>
      <c r="O14" s="1" t="s">
        <v>37</v>
      </c>
    </row>
    <row r="15" spans="1:4" ht="15.75">
      <c r="A15" s="13" t="s">
        <v>14</v>
      </c>
      <c r="B15" s="10">
        <v>21590.6</v>
      </c>
      <c r="C15" s="96"/>
      <c r="D15" s="12"/>
    </row>
    <row r="16" spans="1:13" ht="15.75">
      <c r="A16" s="14" t="s">
        <v>15</v>
      </c>
      <c r="B16" s="10">
        <v>45282.43</v>
      </c>
      <c r="C16" s="96"/>
      <c r="D16" s="12"/>
      <c r="H16" s="32" t="s">
        <v>217</v>
      </c>
      <c r="I16" s="32" t="s">
        <v>218</v>
      </c>
      <c r="J16" s="32" t="s">
        <v>219</v>
      </c>
      <c r="K16" s="32" t="s">
        <v>220</v>
      </c>
      <c r="L16" s="32" t="s">
        <v>221</v>
      </c>
      <c r="M16" s="32" t="s">
        <v>222</v>
      </c>
    </row>
    <row r="17" spans="1:13" ht="31.5">
      <c r="A17" s="15" t="s">
        <v>16</v>
      </c>
      <c r="B17" s="97">
        <f>B19+B21+B22+B23+B24</f>
        <v>4281310.27</v>
      </c>
      <c r="C17" s="11" t="s">
        <v>17</v>
      </c>
      <c r="D17" s="12" t="s">
        <v>17</v>
      </c>
      <c r="E17" s="22"/>
      <c r="H17" s="1">
        <v>88344.66</v>
      </c>
      <c r="I17" s="1">
        <v>88344.66</v>
      </c>
      <c r="J17" s="1">
        <v>44692.66</v>
      </c>
      <c r="K17" s="1">
        <v>88344.66</v>
      </c>
      <c r="L17" s="1">
        <v>88344.66</v>
      </c>
      <c r="M17" s="1">
        <v>88344.66</v>
      </c>
    </row>
    <row r="18" spans="1:13" ht="15">
      <c r="A18" s="7" t="s">
        <v>18</v>
      </c>
      <c r="B18" s="16"/>
      <c r="C18" s="11"/>
      <c r="D18" s="12"/>
      <c r="E18" s="1">
        <f>13.37*6*5842.9</f>
        <v>468717.43799999997</v>
      </c>
      <c r="H18" s="1">
        <f aca="true" t="shared" si="0" ref="H18:M18">13.37*5842.9</f>
        <v>78119.57299999999</v>
      </c>
      <c r="I18" s="155">
        <f t="shared" si="0"/>
        <v>78119.57299999999</v>
      </c>
      <c r="J18" s="155">
        <f t="shared" si="0"/>
        <v>78119.57299999999</v>
      </c>
      <c r="K18" s="155">
        <f t="shared" si="0"/>
        <v>78119.57299999999</v>
      </c>
      <c r="L18" s="155">
        <f t="shared" si="0"/>
        <v>78119.57299999999</v>
      </c>
      <c r="M18" s="155">
        <f t="shared" si="0"/>
        <v>78119.57299999999</v>
      </c>
    </row>
    <row r="19" spans="1:8" ht="15">
      <c r="A19" s="7" t="s">
        <v>22</v>
      </c>
      <c r="B19" s="97">
        <v>946719.34</v>
      </c>
      <c r="C19" s="144" t="s">
        <v>223</v>
      </c>
      <c r="D19" s="12"/>
      <c r="E19" s="1">
        <f>(13.37+15.12)*6*5842.9</f>
        <v>998785.3259999999</v>
      </c>
      <c r="H19" s="17">
        <f>E19-B19</f>
        <v>52065.98599999992</v>
      </c>
    </row>
    <row r="20" spans="1:11" ht="15">
      <c r="A20" s="7" t="s">
        <v>199</v>
      </c>
      <c r="B20" s="97">
        <v>155304.28</v>
      </c>
      <c r="C20" s="18" t="s">
        <v>224</v>
      </c>
      <c r="D20" s="19"/>
      <c r="E20" s="1">
        <f>(1.92+2.51)*6*5842.9</f>
        <v>155304.28199999998</v>
      </c>
      <c r="J20" s="155">
        <f>J18-J17</f>
        <v>33426.912999999986</v>
      </c>
      <c r="K20" s="1" t="s">
        <v>225</v>
      </c>
    </row>
    <row r="21" spans="1:5" ht="15.75">
      <c r="A21" s="7" t="s">
        <v>226</v>
      </c>
      <c r="B21" s="101">
        <v>165954.15</v>
      </c>
      <c r="C21" s="21">
        <v>2.7</v>
      </c>
      <c r="D21" s="19"/>
      <c r="E21" s="22"/>
    </row>
    <row r="22" spans="1:5" ht="15">
      <c r="A22" s="7" t="s">
        <v>20</v>
      </c>
      <c r="B22" s="97">
        <v>1255.09</v>
      </c>
      <c r="C22" s="18" t="s">
        <v>126</v>
      </c>
      <c r="D22" s="19"/>
      <c r="E22" s="22"/>
    </row>
    <row r="23" spans="1:5" ht="15">
      <c r="A23" s="7" t="s">
        <v>19</v>
      </c>
      <c r="B23" s="97">
        <v>2349.6</v>
      </c>
      <c r="C23" s="18"/>
      <c r="D23" s="19"/>
      <c r="E23" s="22"/>
    </row>
    <row r="24" spans="1:4" ht="15">
      <c r="A24" s="7" t="s">
        <v>30</v>
      </c>
      <c r="B24" s="97">
        <f>B26+B27+B28+B29</f>
        <v>3165032.09</v>
      </c>
      <c r="C24" s="18" t="s">
        <v>17</v>
      </c>
      <c r="D24" s="19"/>
    </row>
    <row r="25" spans="1:5" ht="15">
      <c r="A25" s="7" t="s">
        <v>18</v>
      </c>
      <c r="B25" s="16"/>
      <c r="C25" s="18"/>
      <c r="D25" s="19"/>
      <c r="E25" s="22"/>
    </row>
    <row r="26" spans="1:4" ht="15">
      <c r="A26" s="7" t="s">
        <v>32</v>
      </c>
      <c r="B26" s="97">
        <v>223371.67</v>
      </c>
      <c r="C26" s="24" t="s">
        <v>17</v>
      </c>
      <c r="D26" s="19" t="s">
        <v>31</v>
      </c>
    </row>
    <row r="27" spans="1:5" ht="15">
      <c r="A27" s="7" t="s">
        <v>33</v>
      </c>
      <c r="B27" s="97">
        <v>489275.93</v>
      </c>
      <c r="C27" s="24" t="s">
        <v>17</v>
      </c>
      <c r="D27" s="19"/>
      <c r="E27" s="100"/>
    </row>
    <row r="28" spans="1:5" ht="15">
      <c r="A28" s="7" t="s">
        <v>34</v>
      </c>
      <c r="B28" s="97">
        <v>1724887.11</v>
      </c>
      <c r="C28" s="133"/>
      <c r="D28" s="26">
        <v>65.21</v>
      </c>
      <c r="E28" s="22"/>
    </row>
    <row r="29" spans="1:5" ht="15">
      <c r="A29" s="7" t="s">
        <v>35</v>
      </c>
      <c r="B29" s="97">
        <v>727497.38</v>
      </c>
      <c r="C29" s="133" t="s">
        <v>17</v>
      </c>
      <c r="D29" s="26">
        <v>119.63</v>
      </c>
      <c r="E29" s="22"/>
    </row>
    <row r="30" spans="1:5" ht="15">
      <c r="A30" s="7" t="s">
        <v>36</v>
      </c>
      <c r="B30" s="102"/>
      <c r="C30" s="147" t="s">
        <v>17</v>
      </c>
      <c r="D30" s="26"/>
      <c r="E30" s="22"/>
    </row>
    <row r="31" spans="1:5" ht="15">
      <c r="A31" s="7"/>
      <c r="B31" s="102"/>
      <c r="C31" s="147" t="s">
        <v>17</v>
      </c>
      <c r="D31" s="26">
        <v>139.18</v>
      </c>
      <c r="E31" s="22"/>
    </row>
    <row r="32" spans="1:5" ht="31.5">
      <c r="A32" s="27" t="s">
        <v>38</v>
      </c>
      <c r="B32" s="28">
        <v>4319271.84</v>
      </c>
      <c r="C32" s="96"/>
      <c r="D32" s="12" t="s">
        <v>17</v>
      </c>
      <c r="E32" s="1">
        <f>B32/B17</f>
        <v>1.0088668112344028</v>
      </c>
    </row>
    <row r="33" spans="1:4" ht="15">
      <c r="A33" s="30" t="s">
        <v>18</v>
      </c>
      <c r="B33" s="28"/>
      <c r="C33" s="96"/>
      <c r="D33" s="12" t="s">
        <v>17</v>
      </c>
    </row>
    <row r="34" spans="1:4" ht="15">
      <c r="A34" s="30" t="s">
        <v>22</v>
      </c>
      <c r="B34" s="28">
        <f>B19*E32</f>
        <v>955113.7216797384</v>
      </c>
      <c r="C34" s="96" t="s">
        <v>17</v>
      </c>
      <c r="D34" s="12"/>
    </row>
    <row r="35" spans="1:4" ht="15">
      <c r="A35" s="30" t="s">
        <v>41</v>
      </c>
      <c r="B35" s="28">
        <f>B21*E32</f>
        <v>167425.63412161576</v>
      </c>
      <c r="C35" s="102"/>
      <c r="D35" s="12" t="s">
        <v>17</v>
      </c>
    </row>
    <row r="36" spans="1:4" ht="15">
      <c r="A36" s="30" t="s">
        <v>30</v>
      </c>
      <c r="B36" s="28">
        <f>B38+B39+B40+B41</f>
        <v>3193095.8320928575</v>
      </c>
      <c r="C36" s="96" t="s">
        <v>17</v>
      </c>
      <c r="D36" s="12" t="s">
        <v>17</v>
      </c>
    </row>
    <row r="37" spans="1:4" ht="15">
      <c r="A37" s="30" t="s">
        <v>18</v>
      </c>
      <c r="B37" s="28"/>
      <c r="C37" s="96" t="s">
        <v>17</v>
      </c>
      <c r="D37" s="12"/>
    </row>
    <row r="38" spans="1:4" ht="15">
      <c r="A38" s="30" t="s">
        <v>32</v>
      </c>
      <c r="B38" s="28">
        <f>B26*E32</f>
        <v>225352.26443300332</v>
      </c>
      <c r="C38" s="96"/>
      <c r="D38" s="12"/>
    </row>
    <row r="39" spans="1:4" ht="15">
      <c r="A39" s="30" t="s">
        <v>33</v>
      </c>
      <c r="B39" s="28">
        <f>B27*E32</f>
        <v>493614.2473128469</v>
      </c>
      <c r="C39" s="96"/>
      <c r="D39" s="12"/>
    </row>
    <row r="40" spans="1:4" ht="15">
      <c r="A40" s="30" t="s">
        <v>34</v>
      </c>
      <c r="B40" s="28">
        <f>B28*E32</f>
        <v>1740181.3584050247</v>
      </c>
      <c r="C40" s="96" t="s">
        <v>17</v>
      </c>
      <c r="D40" s="12"/>
    </row>
    <row r="41" spans="1:4" ht="15">
      <c r="A41" s="30" t="s">
        <v>35</v>
      </c>
      <c r="B41" s="28">
        <f>B29*E32</f>
        <v>733947.9619419826</v>
      </c>
      <c r="C41" s="96"/>
      <c r="D41" s="12"/>
    </row>
    <row r="42" spans="1:4" ht="15">
      <c r="A42" s="30" t="s">
        <v>36</v>
      </c>
      <c r="B42" s="28"/>
      <c r="C42" s="96" t="s">
        <v>17</v>
      </c>
      <c r="D42" s="12"/>
    </row>
    <row r="43" spans="1:4" ht="47.25">
      <c r="A43" s="31" t="s">
        <v>42</v>
      </c>
      <c r="B43" s="28">
        <f>B45+B46+B47+B48</f>
        <v>3193095.8320928575</v>
      </c>
      <c r="C43" s="96" t="s">
        <v>17</v>
      </c>
      <c r="D43" s="12" t="s">
        <v>17</v>
      </c>
    </row>
    <row r="44" spans="1:4" ht="15">
      <c r="A44" s="30" t="s">
        <v>18</v>
      </c>
      <c r="B44" s="28"/>
      <c r="C44" s="96" t="s">
        <v>17</v>
      </c>
      <c r="D44" s="12"/>
    </row>
    <row r="45" spans="1:4" ht="15">
      <c r="A45" s="30" t="s">
        <v>32</v>
      </c>
      <c r="B45" s="28">
        <f>B38</f>
        <v>225352.26443300332</v>
      </c>
      <c r="C45" s="96"/>
      <c r="D45" s="12"/>
    </row>
    <row r="46" spans="1:4" ht="15">
      <c r="A46" s="30" t="s">
        <v>33</v>
      </c>
      <c r="B46" s="28">
        <f>B39</f>
        <v>493614.2473128469</v>
      </c>
      <c r="C46" s="96" t="s">
        <v>17</v>
      </c>
      <c r="D46" s="12"/>
    </row>
    <row r="47" spans="1:8" ht="15">
      <c r="A47" s="30" t="s">
        <v>34</v>
      </c>
      <c r="B47" s="28">
        <f>B40</f>
        <v>1740181.3584050247</v>
      </c>
      <c r="C47" s="96" t="s">
        <v>17</v>
      </c>
      <c r="D47" s="12"/>
      <c r="H47" s="1" t="s">
        <v>37</v>
      </c>
    </row>
    <row r="48" spans="1:4" ht="15">
      <c r="A48" s="30" t="s">
        <v>35</v>
      </c>
      <c r="B48" s="28">
        <f>B41</f>
        <v>733947.9619419826</v>
      </c>
      <c r="C48" s="96" t="s">
        <v>17</v>
      </c>
      <c r="D48" s="12"/>
    </row>
    <row r="49" spans="1:4" ht="15">
      <c r="A49" s="33" t="s">
        <v>36</v>
      </c>
      <c r="B49" s="34"/>
      <c r="C49" s="103" t="s">
        <v>17</v>
      </c>
      <c r="D49" s="36"/>
    </row>
    <row r="50" spans="1:10" ht="31.5" customHeight="1">
      <c r="A50" s="37" t="s">
        <v>43</v>
      </c>
      <c r="B50" s="37"/>
      <c r="C50" s="128" t="s">
        <v>8</v>
      </c>
      <c r="D50" s="37"/>
      <c r="I50" s="32"/>
      <c r="J50" s="32"/>
    </row>
    <row r="51" spans="1:14" ht="63.75">
      <c r="A51" s="39" t="s">
        <v>44</v>
      </c>
      <c r="B51" s="39" t="s">
        <v>45</v>
      </c>
      <c r="C51" s="39" t="s">
        <v>46</v>
      </c>
      <c r="D51" s="191" t="s">
        <v>389</v>
      </c>
      <c r="I51" s="40"/>
      <c r="J51" s="40"/>
      <c r="K51" s="40"/>
      <c r="L51" s="40"/>
      <c r="M51" s="40"/>
      <c r="N51" s="40"/>
    </row>
    <row r="52" spans="1:14" ht="15">
      <c r="A52" s="42" t="s">
        <v>48</v>
      </c>
      <c r="B52" s="43" t="s">
        <v>49</v>
      </c>
      <c r="C52" s="156" t="s">
        <v>227</v>
      </c>
      <c r="D52" s="129">
        <f>(0.24+0.37)*6*5842.9</f>
        <v>21385.014</v>
      </c>
      <c r="E52" s="46"/>
      <c r="F52" s="47"/>
      <c r="G52" s="48"/>
      <c r="I52" s="49"/>
      <c r="J52" s="49"/>
      <c r="K52" s="49"/>
      <c r="L52" s="49"/>
      <c r="M52" s="49"/>
      <c r="N52" s="49"/>
    </row>
    <row r="53" spans="1:14" ht="15">
      <c r="A53" s="42" t="s">
        <v>51</v>
      </c>
      <c r="B53" s="43" t="s">
        <v>52</v>
      </c>
      <c r="C53" s="156" t="s">
        <v>53</v>
      </c>
      <c r="D53" s="129">
        <f>(2.1+2.23)*6*5842.9</f>
        <v>151798.542</v>
      </c>
      <c r="E53" s="46"/>
      <c r="F53" s="47"/>
      <c r="G53" s="48"/>
      <c r="I53" s="49"/>
      <c r="J53" s="49"/>
      <c r="K53" s="49"/>
      <c r="L53" s="49"/>
      <c r="M53" s="49"/>
      <c r="N53" s="49"/>
    </row>
    <row r="54" spans="1:14" ht="15">
      <c r="A54" s="42" t="s">
        <v>54</v>
      </c>
      <c r="B54" s="43" t="s">
        <v>52</v>
      </c>
      <c r="C54" s="156" t="s">
        <v>55</v>
      </c>
      <c r="D54" s="129">
        <f>(1.2+2.27)*6*5842.9</f>
        <v>121649.178</v>
      </c>
      <c r="E54" s="46"/>
      <c r="F54" s="47"/>
      <c r="G54" s="48"/>
      <c r="I54" s="49"/>
      <c r="J54" s="49"/>
      <c r="K54" s="49"/>
      <c r="L54" s="49"/>
      <c r="M54" s="49"/>
      <c r="N54" s="49"/>
    </row>
    <row r="55" spans="1:14" ht="15">
      <c r="A55" s="42" t="s">
        <v>56</v>
      </c>
      <c r="B55" s="43" t="s">
        <v>49</v>
      </c>
      <c r="C55" s="156" t="s">
        <v>57</v>
      </c>
      <c r="D55" s="129">
        <f>(0.11+0.12)*6*5842.9</f>
        <v>8063.201999999999</v>
      </c>
      <c r="E55" s="46"/>
      <c r="F55" s="47"/>
      <c r="G55" s="48"/>
      <c r="I55" s="49"/>
      <c r="J55" s="49"/>
      <c r="K55" s="49"/>
      <c r="L55" s="49"/>
      <c r="M55" s="49"/>
      <c r="N55" s="49"/>
    </row>
    <row r="56" spans="1:14" ht="15">
      <c r="A56" s="42" t="s">
        <v>58</v>
      </c>
      <c r="B56" s="194" t="s">
        <v>49</v>
      </c>
      <c r="C56" s="52" t="s">
        <v>228</v>
      </c>
      <c r="D56" s="129">
        <f>34356.25-0.21</f>
        <v>34356.04</v>
      </c>
      <c r="E56" s="46">
        <f>(0.72+0.5)*6*5842.9-0.24*6*5842.9</f>
        <v>34356.252</v>
      </c>
      <c r="F56" s="53"/>
      <c r="G56" s="54"/>
      <c r="H56" s="46">
        <f>0.24*6*5842.9</f>
        <v>8413.776</v>
      </c>
      <c r="I56" s="49"/>
      <c r="J56" s="49"/>
      <c r="K56" s="49"/>
      <c r="L56" s="49"/>
      <c r="M56" s="49"/>
      <c r="N56" s="49"/>
    </row>
    <row r="57" spans="1:14" ht="15">
      <c r="A57" s="42" t="s">
        <v>60</v>
      </c>
      <c r="B57" s="51" t="s">
        <v>49</v>
      </c>
      <c r="C57" s="52" t="s">
        <v>229</v>
      </c>
      <c r="D57" s="129">
        <f>(1.06+1.03)*6*5842.9</f>
        <v>73269.96599999999</v>
      </c>
      <c r="E57" s="46">
        <f>(1.06+1.03)*6*5842.9-43652</f>
        <v>29617.965999999986</v>
      </c>
      <c r="F57" s="53"/>
      <c r="G57" s="54"/>
      <c r="H57" s="1" t="s">
        <v>230</v>
      </c>
      <c r="I57" s="49"/>
      <c r="J57" s="49"/>
      <c r="K57" s="49"/>
      <c r="L57" s="49"/>
      <c r="M57" s="49"/>
      <c r="N57" s="49"/>
    </row>
    <row r="58" spans="1:14" ht="15">
      <c r="A58" s="42" t="s">
        <v>62</v>
      </c>
      <c r="B58" s="51" t="s">
        <v>63</v>
      </c>
      <c r="C58" s="52" t="s">
        <v>132</v>
      </c>
      <c r="D58" s="129">
        <f>(1.14+1.21)*6*5842.9</f>
        <v>82384.88999999998</v>
      </c>
      <c r="E58" s="46"/>
      <c r="F58" s="53"/>
      <c r="G58" s="54"/>
      <c r="I58" s="49"/>
      <c r="J58" s="49"/>
      <c r="K58" s="49"/>
      <c r="L58" s="49"/>
      <c r="M58" s="49"/>
      <c r="N58" s="49"/>
    </row>
    <row r="59" spans="1:14" ht="15">
      <c r="A59" s="42" t="s">
        <v>65</v>
      </c>
      <c r="B59" s="51" t="s">
        <v>66</v>
      </c>
      <c r="C59" s="52">
        <v>4.88</v>
      </c>
      <c r="D59" s="129">
        <f>4.88*12*5842.9</f>
        <v>342160.224</v>
      </c>
      <c r="E59" s="46"/>
      <c r="F59" s="53"/>
      <c r="H59" s="49"/>
      <c r="I59" s="49"/>
      <c r="J59" s="49"/>
      <c r="K59" s="49"/>
      <c r="L59" s="49"/>
      <c r="M59" s="49"/>
      <c r="N59" s="49"/>
    </row>
    <row r="60" spans="1:14" ht="15.75">
      <c r="A60" s="59" t="s">
        <v>75</v>
      </c>
      <c r="B60" s="60"/>
      <c r="C60" s="61"/>
      <c r="D60" s="62">
        <f>SUM(D52:D59)</f>
        <v>835067.0559999999</v>
      </c>
      <c r="E60" s="63">
        <f>D60+B20</f>
        <v>990371.3359999999</v>
      </c>
      <c r="F60" s="49"/>
      <c r="H60" s="64">
        <f>E60-B19</f>
        <v>43651.99599999993</v>
      </c>
      <c r="I60" s="49" t="s">
        <v>231</v>
      </c>
      <c r="J60" s="49"/>
      <c r="K60" s="49"/>
      <c r="L60" s="49"/>
      <c r="M60" s="49"/>
      <c r="N60" s="49"/>
    </row>
    <row r="61" spans="1:5" ht="16.5" customHeight="1">
      <c r="A61" s="202" t="s">
        <v>76</v>
      </c>
      <c r="B61" s="202"/>
      <c r="C61" s="202"/>
      <c r="D61" s="65">
        <f>D62+D63+D64+D65+D66+D67+D68+D69+D70+D71+D72+D73</f>
        <v>94303.57999999999</v>
      </c>
      <c r="E61" s="66"/>
    </row>
    <row r="62" spans="1:5" ht="16.5" customHeight="1">
      <c r="A62" s="67" t="s">
        <v>232</v>
      </c>
      <c r="B62" s="68"/>
      <c r="C62" s="69"/>
      <c r="D62" s="65">
        <v>5585.56</v>
      </c>
      <c r="E62" s="66"/>
    </row>
    <row r="63" spans="1:5" ht="15.75" customHeight="1">
      <c r="A63" s="67" t="s">
        <v>233</v>
      </c>
      <c r="B63" s="68"/>
      <c r="C63" s="69"/>
      <c r="D63" s="65">
        <v>11102.6</v>
      </c>
      <c r="E63" s="66"/>
    </row>
    <row r="64" spans="1:5" ht="21.75" customHeight="1">
      <c r="A64" s="67" t="s">
        <v>234</v>
      </c>
      <c r="B64" s="68"/>
      <c r="C64" s="69"/>
      <c r="D64" s="65">
        <v>291.46</v>
      </c>
      <c r="E64" s="66"/>
    </row>
    <row r="65" spans="1:5" ht="16.5" customHeight="1">
      <c r="A65" s="67" t="s">
        <v>235</v>
      </c>
      <c r="B65" s="68"/>
      <c r="C65" s="69"/>
      <c r="D65" s="65">
        <v>7054</v>
      </c>
      <c r="E65" s="66"/>
    </row>
    <row r="66" spans="1:5" ht="19.5" customHeight="1">
      <c r="A66" s="67" t="s">
        <v>236</v>
      </c>
      <c r="B66" s="68"/>
      <c r="C66" s="69"/>
      <c r="D66" s="65">
        <v>2542.33</v>
      </c>
      <c r="E66" s="66"/>
    </row>
    <row r="67" spans="1:5" ht="17.25" customHeight="1">
      <c r="A67" s="67" t="s">
        <v>237</v>
      </c>
      <c r="B67" s="68"/>
      <c r="C67" s="69"/>
      <c r="D67" s="65">
        <v>83.57</v>
      </c>
      <c r="E67" s="66"/>
    </row>
    <row r="68" spans="1:5" ht="13.5" customHeight="1">
      <c r="A68" s="70" t="s">
        <v>238</v>
      </c>
      <c r="B68" s="71"/>
      <c r="C68" s="72"/>
      <c r="D68" s="65">
        <v>6143.2</v>
      </c>
      <c r="E68" s="66"/>
    </row>
    <row r="69" spans="1:5" ht="18" customHeight="1">
      <c r="A69" s="70" t="s">
        <v>239</v>
      </c>
      <c r="B69" s="71"/>
      <c r="C69" s="72"/>
      <c r="D69" s="65">
        <v>7235.52</v>
      </c>
      <c r="E69" s="66"/>
    </row>
    <row r="70" spans="1:5" ht="16.5" customHeight="1">
      <c r="A70" s="70" t="s">
        <v>240</v>
      </c>
      <c r="B70" s="71"/>
      <c r="C70" s="72"/>
      <c r="D70" s="65">
        <v>43082.84</v>
      </c>
      <c r="E70" s="66"/>
    </row>
    <row r="71" spans="1:5" ht="15.75" customHeight="1">
      <c r="A71" s="70" t="s">
        <v>241</v>
      </c>
      <c r="B71" s="71"/>
      <c r="C71" s="72"/>
      <c r="D71" s="65">
        <v>4237.27</v>
      </c>
      <c r="E71" s="66"/>
    </row>
    <row r="72" spans="1:5" ht="20.25" customHeight="1">
      <c r="A72" s="70" t="s">
        <v>242</v>
      </c>
      <c r="B72" s="71"/>
      <c r="C72" s="72"/>
      <c r="D72" s="65">
        <v>11054.04</v>
      </c>
      <c r="E72" s="66"/>
    </row>
    <row r="73" spans="1:5" ht="17.25" customHeight="1">
      <c r="A73" s="70" t="s">
        <v>243</v>
      </c>
      <c r="B73" s="71"/>
      <c r="C73" s="72"/>
      <c r="D73" s="65">
        <v>-4108.81</v>
      </c>
      <c r="E73" s="66"/>
    </row>
    <row r="74" spans="1:8" ht="19.5" customHeight="1">
      <c r="A74" s="73" t="s">
        <v>90</v>
      </c>
      <c r="B74" s="74"/>
      <c r="C74" s="75"/>
      <c r="D74" s="65">
        <f>D60+D61</f>
        <v>929370.6359999998</v>
      </c>
      <c r="E74" s="66"/>
      <c r="H74" s="1" t="s">
        <v>37</v>
      </c>
    </row>
    <row r="75" spans="1:5" ht="21.75" customHeight="1">
      <c r="A75" s="73" t="s">
        <v>173</v>
      </c>
      <c r="B75" s="71"/>
      <c r="C75" s="72"/>
      <c r="D75" s="65">
        <f>D76+D77+D78</f>
        <v>214536</v>
      </c>
      <c r="E75" s="66"/>
    </row>
    <row r="76" spans="1:5" ht="21.75" customHeight="1">
      <c r="A76" s="73" t="s">
        <v>244</v>
      </c>
      <c r="B76" s="71"/>
      <c r="C76" s="72"/>
      <c r="D76" s="65">
        <v>47401</v>
      </c>
      <c r="E76" s="66"/>
    </row>
    <row r="77" spans="1:5" ht="21.75" customHeight="1">
      <c r="A77" s="73" t="s">
        <v>245</v>
      </c>
      <c r="B77" s="71"/>
      <c r="C77" s="72"/>
      <c r="D77" s="65">
        <v>138393</v>
      </c>
      <c r="E77" s="66"/>
    </row>
    <row r="78" spans="1:5" ht="21.75" customHeight="1">
      <c r="A78" s="73" t="s">
        <v>246</v>
      </c>
      <c r="B78" s="71"/>
      <c r="C78" s="72"/>
      <c r="D78" s="65">
        <v>28742</v>
      </c>
      <c r="E78" s="66"/>
    </row>
    <row r="79" spans="1:5" ht="18" customHeight="1">
      <c r="A79" s="217" t="s">
        <v>93</v>
      </c>
      <c r="B79" s="217"/>
      <c r="C79" s="217"/>
      <c r="D79" s="119">
        <v>2073.6</v>
      </c>
      <c r="E79" s="66"/>
    </row>
    <row r="80" spans="1:5" ht="18" customHeight="1">
      <c r="A80" s="118" t="s">
        <v>94</v>
      </c>
      <c r="B80" s="118"/>
      <c r="C80" s="118"/>
      <c r="D80" s="119"/>
      <c r="E80" s="66"/>
    </row>
    <row r="81" spans="1:8" ht="25.5" customHeight="1">
      <c r="A81" s="215" t="s">
        <v>95</v>
      </c>
      <c r="B81" s="215"/>
      <c r="C81" s="215"/>
      <c r="D81" s="120">
        <f>D82+D83</f>
        <v>81365.48000000001</v>
      </c>
      <c r="E81" s="66"/>
      <c r="H81" s="17"/>
    </row>
    <row r="82" spans="1:5" ht="15">
      <c r="A82" s="121" t="s">
        <v>96</v>
      </c>
      <c r="B82" s="122"/>
      <c r="C82" s="123"/>
      <c r="D82" s="124">
        <f>B15+B20+D79+D80-D61</f>
        <v>84664.90000000002</v>
      </c>
      <c r="E82" s="66"/>
    </row>
    <row r="83" spans="1:5" ht="15">
      <c r="A83" s="122" t="s">
        <v>15</v>
      </c>
      <c r="B83" s="122"/>
      <c r="C83" s="123"/>
      <c r="D83" s="124">
        <f>B16+B21-D75</f>
        <v>-3299.420000000013</v>
      </c>
      <c r="E83" s="66"/>
    </row>
    <row r="84" spans="1:5" ht="13.5" customHeight="1">
      <c r="A84" s="216" t="s">
        <v>97</v>
      </c>
      <c r="B84" s="216"/>
      <c r="C84" s="216"/>
      <c r="D84" s="125">
        <v>471764.46</v>
      </c>
      <c r="E84" s="66"/>
    </row>
    <row r="85" spans="1:4" ht="15">
      <c r="A85" s="208" t="s">
        <v>18</v>
      </c>
      <c r="B85" s="208"/>
      <c r="C85" s="208"/>
      <c r="D85" s="86"/>
    </row>
    <row r="86" spans="1:4" ht="13.5" customHeight="1">
      <c r="A86" s="208" t="s">
        <v>22</v>
      </c>
      <c r="B86" s="208"/>
      <c r="C86" s="208"/>
      <c r="D86" s="86">
        <f>D84*B19/B17</f>
        <v>104320.52573630841</v>
      </c>
    </row>
    <row r="87" spans="1:4" ht="13.5" customHeight="1">
      <c r="A87" s="208" t="s">
        <v>41</v>
      </c>
      <c r="B87" s="208"/>
      <c r="C87" s="208"/>
      <c r="D87" s="86">
        <f>D84*B21/B17</f>
        <v>18286.754526555025</v>
      </c>
    </row>
    <row r="88" spans="1:4" ht="13.5" customHeight="1">
      <c r="A88" s="208" t="s">
        <v>30</v>
      </c>
      <c r="B88" s="208"/>
      <c r="C88" s="208"/>
      <c r="D88" s="86">
        <f>D90+D91+D92+D93</f>
        <v>348759.97315221955</v>
      </c>
    </row>
    <row r="89" spans="1:4" ht="15" customHeight="1">
      <c r="A89" s="208" t="s">
        <v>18</v>
      </c>
      <c r="B89" s="208"/>
      <c r="C89" s="208"/>
      <c r="D89" s="86"/>
    </row>
    <row r="90" spans="1:4" ht="13.5" customHeight="1">
      <c r="A90" s="208" t="s">
        <v>32</v>
      </c>
      <c r="B90" s="208"/>
      <c r="C90" s="208"/>
      <c r="D90" s="86">
        <f>D84*B26/B17</f>
        <v>24613.68334251753</v>
      </c>
    </row>
    <row r="91" spans="1:4" ht="15">
      <c r="A91" s="208" t="s">
        <v>33</v>
      </c>
      <c r="B91" s="208"/>
      <c r="C91" s="208"/>
      <c r="D91" s="86">
        <f>D84*B27/B17</f>
        <v>53914.10113975408</v>
      </c>
    </row>
    <row r="92" spans="1:4" ht="15" customHeight="1">
      <c r="A92" s="208" t="s">
        <v>34</v>
      </c>
      <c r="B92" s="208"/>
      <c r="C92" s="208"/>
      <c r="D92" s="86">
        <f>D84*B28/B17</f>
        <v>190068.0830614294</v>
      </c>
    </row>
    <row r="93" spans="1:4" ht="15" customHeight="1">
      <c r="A93" s="208" t="s">
        <v>35</v>
      </c>
      <c r="B93" s="208"/>
      <c r="C93" s="208"/>
      <c r="D93" s="86">
        <f>D84*B29/B17</f>
        <v>80164.1056085185</v>
      </c>
    </row>
    <row r="94" spans="1:4" ht="15">
      <c r="A94" s="208" t="s">
        <v>36</v>
      </c>
      <c r="B94" s="208"/>
      <c r="C94" s="208"/>
      <c r="D94" s="86"/>
    </row>
    <row r="95" spans="1:4" ht="25.5" customHeight="1">
      <c r="A95" s="209" t="s">
        <v>98</v>
      </c>
      <c r="B95" s="209"/>
      <c r="C95" s="209"/>
      <c r="D95" s="209"/>
    </row>
    <row r="96" spans="1:4" ht="38.25">
      <c r="A96" s="87" t="s">
        <v>99</v>
      </c>
      <c r="B96" s="6" t="s">
        <v>100</v>
      </c>
      <c r="C96" s="6" t="s">
        <v>213</v>
      </c>
      <c r="D96" s="87" t="s">
        <v>102</v>
      </c>
    </row>
    <row r="97" spans="1:4" ht="20.25" customHeight="1">
      <c r="A97" s="88" t="s">
        <v>214</v>
      </c>
      <c r="B97" s="218" t="s">
        <v>104</v>
      </c>
      <c r="C97" s="144" t="s">
        <v>223</v>
      </c>
      <c r="D97" s="90" t="s">
        <v>105</v>
      </c>
    </row>
    <row r="98" spans="1:4" ht="20.25" customHeight="1">
      <c r="A98" s="42" t="s">
        <v>41</v>
      </c>
      <c r="B98" s="218"/>
      <c r="C98" s="91">
        <v>2.7</v>
      </c>
      <c r="D98" s="92" t="s">
        <v>105</v>
      </c>
    </row>
    <row r="99" spans="1:4" ht="19.5" customHeight="1">
      <c r="A99" s="42" t="s">
        <v>32</v>
      </c>
      <c r="B99" s="212" t="s">
        <v>107</v>
      </c>
      <c r="C99" s="91" t="s">
        <v>108</v>
      </c>
      <c r="D99" s="192" t="s">
        <v>392</v>
      </c>
    </row>
    <row r="100" spans="1:4" ht="22.5" customHeight="1">
      <c r="A100" s="42" t="s">
        <v>33</v>
      </c>
      <c r="B100" s="212"/>
      <c r="C100" s="91" t="s">
        <v>110</v>
      </c>
      <c r="D100" s="192" t="s">
        <v>392</v>
      </c>
    </row>
    <row r="101" spans="1:4" ht="39.75" customHeight="1">
      <c r="A101" s="42" t="s">
        <v>34</v>
      </c>
      <c r="B101" s="94" t="s">
        <v>111</v>
      </c>
      <c r="C101" s="91" t="s">
        <v>112</v>
      </c>
      <c r="D101" s="92" t="s">
        <v>113</v>
      </c>
    </row>
    <row r="102" spans="1:4" ht="39" customHeight="1">
      <c r="A102" s="42" t="s">
        <v>35</v>
      </c>
      <c r="B102" s="95" t="s">
        <v>114</v>
      </c>
      <c r="C102" s="91" t="s">
        <v>115</v>
      </c>
      <c r="D102" s="192" t="s">
        <v>392</v>
      </c>
    </row>
    <row r="103" ht="12.75">
      <c r="H103" s="1" t="s">
        <v>37</v>
      </c>
    </row>
    <row r="104" ht="12.75">
      <c r="A104" t="s">
        <v>116</v>
      </c>
    </row>
    <row r="106" ht="12.75">
      <c r="A106" t="s">
        <v>117</v>
      </c>
    </row>
  </sheetData>
  <sheetProtection selectLockedCells="1" selectUnlockedCells="1"/>
  <mergeCells count="23">
    <mergeCell ref="A93:C93"/>
    <mergeCell ref="A94:C94"/>
    <mergeCell ref="A95:D95"/>
    <mergeCell ref="B97:B98"/>
    <mergeCell ref="B99:B100"/>
    <mergeCell ref="A87:C87"/>
    <mergeCell ref="A88:C88"/>
    <mergeCell ref="A89:C89"/>
    <mergeCell ref="A90:C90"/>
    <mergeCell ref="A91:C91"/>
    <mergeCell ref="A92:C92"/>
    <mergeCell ref="A61:C61"/>
    <mergeCell ref="A79:C79"/>
    <mergeCell ref="A81:C81"/>
    <mergeCell ref="A84:C84"/>
    <mergeCell ref="A85:C85"/>
    <mergeCell ref="A86:C8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4" fitToWidth="2" horizontalDpi="300" verticalDpi="300" orientation="landscape" paperSize="1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80" zoomScaleNormal="80" zoomScalePageLayoutView="0" workbookViewId="0" topLeftCell="A1">
      <selection activeCell="B13" sqref="B13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247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248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5" t="s">
        <v>10</v>
      </c>
      <c r="C12" s="5" t="s">
        <v>11</v>
      </c>
      <c r="D12" s="6" t="s">
        <v>12</v>
      </c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92737.45000000001</v>
      </c>
      <c r="C14" s="96"/>
      <c r="D14" s="12"/>
    </row>
    <row r="15" spans="1:4" ht="15.75">
      <c r="A15" s="13" t="s">
        <v>14</v>
      </c>
      <c r="B15" s="10">
        <v>91773.07</v>
      </c>
      <c r="C15" s="96"/>
      <c r="D15" s="12"/>
    </row>
    <row r="16" spans="1:4" ht="15.75">
      <c r="A16" s="14" t="s">
        <v>15</v>
      </c>
      <c r="B16" s="10">
        <v>964.38</v>
      </c>
      <c r="C16" s="96"/>
      <c r="D16" s="12"/>
    </row>
    <row r="17" spans="1:5" ht="31.5">
      <c r="A17" s="15" t="s">
        <v>16</v>
      </c>
      <c r="B17" s="97">
        <f>B19+B21+B22+B23+B24</f>
        <v>1683483.24</v>
      </c>
      <c r="C17" s="11" t="s">
        <v>17</v>
      </c>
      <c r="D17" s="12" t="s">
        <v>17</v>
      </c>
      <c r="E17" s="22" t="s">
        <v>37</v>
      </c>
    </row>
    <row r="18" spans="1:4" ht="15">
      <c r="A18" s="7" t="s">
        <v>18</v>
      </c>
      <c r="B18" s="16"/>
      <c r="C18" s="11"/>
      <c r="D18" s="12"/>
    </row>
    <row r="19" spans="1:4" ht="15">
      <c r="A19" s="7" t="s">
        <v>22</v>
      </c>
      <c r="B19" s="97">
        <v>359579.46</v>
      </c>
      <c r="C19" s="144" t="s">
        <v>249</v>
      </c>
      <c r="D19" s="12"/>
    </row>
    <row r="20" spans="1:5" ht="15">
      <c r="A20" s="7" t="s">
        <v>250</v>
      </c>
      <c r="B20" s="97">
        <v>51163.88</v>
      </c>
      <c r="C20" s="18" t="s">
        <v>251</v>
      </c>
      <c r="D20" s="19"/>
      <c r="E20" s="1">
        <f>(1.2+2.73)*6*2169.8</f>
        <v>51163.884</v>
      </c>
    </row>
    <row r="21" spans="1:5" ht="15.75">
      <c r="A21" s="7" t="s">
        <v>252</v>
      </c>
      <c r="B21" s="101">
        <v>59060.34</v>
      </c>
      <c r="C21" s="21">
        <v>2.7</v>
      </c>
      <c r="D21" s="19"/>
      <c r="E21" s="22" t="s">
        <v>37</v>
      </c>
    </row>
    <row r="22" spans="1:5" ht="15">
      <c r="A22" s="7" t="s">
        <v>20</v>
      </c>
      <c r="B22" s="97">
        <v>669.96</v>
      </c>
      <c r="C22" s="18" t="s">
        <v>126</v>
      </c>
      <c r="D22" s="19"/>
      <c r="E22" s="22"/>
    </row>
    <row r="23" spans="1:5" ht="15">
      <c r="A23" s="7" t="s">
        <v>19</v>
      </c>
      <c r="B23" s="97">
        <v>1397.04</v>
      </c>
      <c r="C23" s="18"/>
      <c r="D23" s="19"/>
      <c r="E23" s="22"/>
    </row>
    <row r="24" spans="1:4" ht="15">
      <c r="A24" s="7" t="s">
        <v>30</v>
      </c>
      <c r="B24" s="97">
        <f>B26+B27+B28+B29</f>
        <v>1262776.44</v>
      </c>
      <c r="C24" s="18" t="s">
        <v>17</v>
      </c>
      <c r="D24" s="19"/>
    </row>
    <row r="25" spans="1:5" ht="15">
      <c r="A25" s="7" t="s">
        <v>18</v>
      </c>
      <c r="B25" s="16"/>
      <c r="C25" s="18"/>
      <c r="D25" s="19"/>
      <c r="E25" s="22">
        <f>B25/B17*1</f>
        <v>0</v>
      </c>
    </row>
    <row r="26" spans="1:4" ht="15">
      <c r="A26" s="7" t="s">
        <v>32</v>
      </c>
      <c r="B26" s="97">
        <v>82373.72</v>
      </c>
      <c r="C26" s="24" t="s">
        <v>17</v>
      </c>
      <c r="D26" s="19" t="s">
        <v>31</v>
      </c>
    </row>
    <row r="27" spans="1:4" ht="15">
      <c r="A27" s="7" t="s">
        <v>33</v>
      </c>
      <c r="B27" s="97">
        <v>175608.75</v>
      </c>
      <c r="C27" s="24" t="s">
        <v>17</v>
      </c>
      <c r="D27" s="19"/>
    </row>
    <row r="28" spans="1:5" ht="15">
      <c r="A28" s="7" t="s">
        <v>34</v>
      </c>
      <c r="B28" s="97">
        <v>749161.26</v>
      </c>
      <c r="C28" s="133"/>
      <c r="D28" s="26">
        <v>65.21</v>
      </c>
      <c r="E28" s="22">
        <f>B28/B17*1</f>
        <v>0.4450066636838036</v>
      </c>
    </row>
    <row r="29" spans="1:5" ht="15">
      <c r="A29" s="7" t="s">
        <v>35</v>
      </c>
      <c r="B29" s="97">
        <v>255632.71</v>
      </c>
      <c r="C29" s="133" t="s">
        <v>17</v>
      </c>
      <c r="D29" s="26">
        <v>119.63</v>
      </c>
      <c r="E29" s="22">
        <f>B29/B17*1</f>
        <v>0.15184749329610195</v>
      </c>
    </row>
    <row r="30" spans="1:5" ht="15">
      <c r="A30" s="7" t="s">
        <v>36</v>
      </c>
      <c r="B30" s="102"/>
      <c r="C30" s="147" t="s">
        <v>17</v>
      </c>
      <c r="D30" s="26"/>
      <c r="E30" s="22">
        <f>B30/B17*1</f>
        <v>0</v>
      </c>
    </row>
    <row r="31" spans="1:5" ht="15">
      <c r="A31" s="7"/>
      <c r="B31" s="102"/>
      <c r="C31" s="147" t="s">
        <v>17</v>
      </c>
      <c r="D31" s="26">
        <v>139.18</v>
      </c>
      <c r="E31" s="22">
        <f>B31/B17*1</f>
        <v>0</v>
      </c>
    </row>
    <row r="32" spans="1:5" ht="31.5">
      <c r="A32" s="27" t="s">
        <v>38</v>
      </c>
      <c r="B32" s="28">
        <v>1610495.2</v>
      </c>
      <c r="C32" s="96"/>
      <c r="D32" s="12" t="s">
        <v>17</v>
      </c>
      <c r="E32" s="1">
        <f>B32/B17</f>
        <v>0.9566446292628372</v>
      </c>
    </row>
    <row r="33" spans="1:4" ht="15">
      <c r="A33" s="30" t="s">
        <v>18</v>
      </c>
      <c r="B33" s="28"/>
      <c r="C33" s="96"/>
      <c r="D33" s="12" t="s">
        <v>17</v>
      </c>
    </row>
    <row r="34" spans="1:4" ht="15">
      <c r="A34" s="30" t="s">
        <v>22</v>
      </c>
      <c r="B34" s="28">
        <f>B19*E32</f>
        <v>343989.75920223125</v>
      </c>
      <c r="C34" s="96" t="s">
        <v>17</v>
      </c>
      <c r="D34" s="12" t="s">
        <v>17</v>
      </c>
    </row>
    <row r="35" spans="1:4" ht="15">
      <c r="A35" s="30" t="s">
        <v>41</v>
      </c>
      <c r="B35" s="28">
        <f>B21*E32</f>
        <v>56499.757063437115</v>
      </c>
      <c r="C35" s="96" t="s">
        <v>17</v>
      </c>
      <c r="D35" s="12"/>
    </row>
    <row r="36" spans="1:4" ht="15">
      <c r="A36" s="30" t="s">
        <v>30</v>
      </c>
      <c r="B36" s="28">
        <f>B38+B39+B40+B41</f>
        <v>1208028.2992856454</v>
      </c>
      <c r="C36" s="96"/>
      <c r="D36" s="12"/>
    </row>
    <row r="37" spans="1:4" ht="15">
      <c r="A37" s="30" t="s">
        <v>18</v>
      </c>
      <c r="B37" s="28"/>
      <c r="C37" s="96"/>
      <c r="D37" s="12"/>
    </row>
    <row r="38" spans="1:4" ht="15">
      <c r="A38" s="30" t="s">
        <v>32</v>
      </c>
      <c r="B38" s="28">
        <f>B26*E32</f>
        <v>78802.37683040075</v>
      </c>
      <c r="C38" s="96" t="s">
        <v>17</v>
      </c>
      <c r="D38" s="12"/>
    </row>
    <row r="39" spans="1:4" ht="15">
      <c r="A39" s="30" t="s">
        <v>33</v>
      </c>
      <c r="B39" s="28">
        <f>B27*E32</f>
        <v>167995.16753906026</v>
      </c>
      <c r="C39" s="96"/>
      <c r="D39" s="12"/>
    </row>
    <row r="40" spans="1:4" ht="15">
      <c r="A40" s="30" t="s">
        <v>34</v>
      </c>
      <c r="B40" s="28">
        <f>B28*E32</f>
        <v>716681.09583078</v>
      </c>
      <c r="C40" s="96"/>
      <c r="D40" s="12"/>
    </row>
    <row r="41" spans="1:4" ht="15">
      <c r="A41" s="30" t="s">
        <v>35</v>
      </c>
      <c r="B41" s="28">
        <f>B29*E32</f>
        <v>244549.65908540436</v>
      </c>
      <c r="C41" s="96"/>
      <c r="D41" s="12"/>
    </row>
    <row r="42" spans="1:4" ht="15">
      <c r="A42" s="30" t="s">
        <v>36</v>
      </c>
      <c r="B42" s="28"/>
      <c r="C42" s="96"/>
      <c r="D42" s="12"/>
    </row>
    <row r="43" spans="1:4" ht="15">
      <c r="A43" s="30" t="s">
        <v>36</v>
      </c>
      <c r="B43" s="28"/>
      <c r="C43" s="96" t="s">
        <v>17</v>
      </c>
      <c r="D43" s="12"/>
    </row>
    <row r="44" spans="1:4" ht="47.25">
      <c r="A44" s="31" t="s">
        <v>42</v>
      </c>
      <c r="B44" s="28">
        <f>B46+B47+B48+B49</f>
        <v>1208028.2992856454</v>
      </c>
      <c r="C44" s="96" t="s">
        <v>17</v>
      </c>
      <c r="D44" s="12" t="s">
        <v>17</v>
      </c>
    </row>
    <row r="45" spans="1:4" ht="15">
      <c r="A45" s="30" t="s">
        <v>18</v>
      </c>
      <c r="B45" s="28"/>
      <c r="C45" s="96" t="s">
        <v>17</v>
      </c>
      <c r="D45" s="12"/>
    </row>
    <row r="46" spans="1:4" ht="15">
      <c r="A46" s="30" t="s">
        <v>32</v>
      </c>
      <c r="B46" s="28">
        <f>B38</f>
        <v>78802.37683040075</v>
      </c>
      <c r="C46" s="96"/>
      <c r="D46" s="12"/>
    </row>
    <row r="47" spans="1:4" ht="15">
      <c r="A47" s="30" t="s">
        <v>33</v>
      </c>
      <c r="B47" s="28">
        <f>B39</f>
        <v>167995.16753906026</v>
      </c>
      <c r="C47" s="96" t="s">
        <v>17</v>
      </c>
      <c r="D47" s="12"/>
    </row>
    <row r="48" spans="1:4" ht="15">
      <c r="A48" s="30" t="s">
        <v>34</v>
      </c>
      <c r="B48" s="28">
        <f>B40</f>
        <v>716681.09583078</v>
      </c>
      <c r="C48" s="96" t="s">
        <v>17</v>
      </c>
      <c r="D48" s="12"/>
    </row>
    <row r="49" spans="1:4" ht="15">
      <c r="A49" s="30" t="s">
        <v>35</v>
      </c>
      <c r="B49" s="28">
        <f>B41</f>
        <v>244549.65908540436</v>
      </c>
      <c r="C49" s="96" t="s">
        <v>17</v>
      </c>
      <c r="D49" s="12"/>
    </row>
    <row r="50" spans="1:4" ht="15">
      <c r="A50" s="33" t="s">
        <v>36</v>
      </c>
      <c r="B50" s="34"/>
      <c r="C50" s="103" t="s">
        <v>17</v>
      </c>
      <c r="D50" s="36"/>
    </row>
    <row r="51" spans="1:10" ht="31.5" customHeight="1">
      <c r="A51" s="37" t="s">
        <v>43</v>
      </c>
      <c r="B51" s="37"/>
      <c r="C51" s="128" t="s">
        <v>8</v>
      </c>
      <c r="D51" s="37"/>
      <c r="I51" s="148"/>
      <c r="J51" s="148"/>
    </row>
    <row r="52" spans="1:14" ht="63.75">
      <c r="A52" s="39" t="s">
        <v>44</v>
      </c>
      <c r="B52" s="39" t="s">
        <v>45</v>
      </c>
      <c r="C52" s="39" t="s">
        <v>46</v>
      </c>
      <c r="D52" s="39" t="s">
        <v>47</v>
      </c>
      <c r="E52" s="99"/>
      <c r="F52" s="99"/>
      <c r="G52" s="99"/>
      <c r="H52" s="99"/>
      <c r="I52" s="149"/>
      <c r="J52" s="41"/>
      <c r="K52" s="41"/>
      <c r="L52" s="41"/>
      <c r="M52" s="41"/>
      <c r="N52" s="41"/>
    </row>
    <row r="53" spans="1:14" ht="15">
      <c r="A53" s="42" t="s">
        <v>48</v>
      </c>
      <c r="B53" s="43" t="s">
        <v>49</v>
      </c>
      <c r="C53" s="44" t="s">
        <v>253</v>
      </c>
      <c r="D53" s="129">
        <f>(0.23+0.34)*6*2169.8</f>
        <v>7420.716000000001</v>
      </c>
      <c r="E53" s="46">
        <f aca="true" t="shared" si="0" ref="E53:E60">2303.2*12</f>
        <v>27638.399999999998</v>
      </c>
      <c r="F53" s="47"/>
      <c r="G53" s="48"/>
      <c r="I53" s="49"/>
      <c r="J53" s="50"/>
      <c r="K53" s="50"/>
      <c r="L53" s="50"/>
      <c r="M53" s="50"/>
      <c r="N53" s="50"/>
    </row>
    <row r="54" spans="1:14" ht="15">
      <c r="A54" s="42" t="s">
        <v>51</v>
      </c>
      <c r="B54" s="43" t="s">
        <v>52</v>
      </c>
      <c r="C54" s="156" t="s">
        <v>53</v>
      </c>
      <c r="D54" s="129">
        <f>(2.1+2.23)*6*2169.8</f>
        <v>56371.404</v>
      </c>
      <c r="E54" s="46">
        <f t="shared" si="0"/>
        <v>27638.399999999998</v>
      </c>
      <c r="F54" s="47"/>
      <c r="G54" s="48"/>
      <c r="I54" s="49"/>
      <c r="J54" s="50"/>
      <c r="K54" s="50"/>
      <c r="L54" s="50"/>
      <c r="M54" s="50"/>
      <c r="N54" s="50"/>
    </row>
    <row r="55" spans="1:14" ht="15">
      <c r="A55" s="42" t="s">
        <v>54</v>
      </c>
      <c r="B55" s="43" t="s">
        <v>52</v>
      </c>
      <c r="C55" s="156" t="s">
        <v>55</v>
      </c>
      <c r="D55" s="129">
        <f>(1.2+2.27)*6*2169.8</f>
        <v>45175.236000000004</v>
      </c>
      <c r="E55" s="46">
        <f t="shared" si="0"/>
        <v>27638.399999999998</v>
      </c>
      <c r="F55" s="47"/>
      <c r="G55" s="48"/>
      <c r="I55" s="49"/>
      <c r="J55" s="50"/>
      <c r="K55" s="50"/>
      <c r="L55" s="50"/>
      <c r="M55" s="50"/>
      <c r="N55" s="50"/>
    </row>
    <row r="56" spans="1:14" ht="15">
      <c r="A56" s="42" t="s">
        <v>56</v>
      </c>
      <c r="B56" s="43" t="s">
        <v>49</v>
      </c>
      <c r="C56" s="44" t="s">
        <v>129</v>
      </c>
      <c r="D56" s="129">
        <f>(0.2+0.21)*6*2169.8</f>
        <v>5337.7080000000005</v>
      </c>
      <c r="E56" s="46">
        <f t="shared" si="0"/>
        <v>27638.399999999998</v>
      </c>
      <c r="F56" s="47"/>
      <c r="G56" s="48"/>
      <c r="I56" s="49"/>
      <c r="J56" s="50"/>
      <c r="K56" s="50"/>
      <c r="L56" s="50"/>
      <c r="M56" s="50"/>
      <c r="N56" s="50"/>
    </row>
    <row r="57" spans="1:14" ht="15">
      <c r="A57" s="42" t="s">
        <v>58</v>
      </c>
      <c r="B57" s="194" t="s">
        <v>49</v>
      </c>
      <c r="C57" s="52" t="s">
        <v>254</v>
      </c>
      <c r="D57" s="129">
        <f>12628.24+0.2</f>
        <v>12628.44</v>
      </c>
      <c r="E57" s="46">
        <f>(1.7+0.5)*6*2169.8-1.23*6*2169.8</f>
        <v>12628.236000000003</v>
      </c>
      <c r="F57" s="53"/>
      <c r="G57" s="54"/>
      <c r="H57" s="46"/>
      <c r="I57" s="49"/>
      <c r="J57" s="50"/>
      <c r="K57" s="50"/>
      <c r="L57" s="50"/>
      <c r="M57" s="50"/>
      <c r="N57" s="50"/>
    </row>
    <row r="58" spans="1:14" ht="15">
      <c r="A58" s="42" t="s">
        <v>60</v>
      </c>
      <c r="B58" s="51" t="s">
        <v>49</v>
      </c>
      <c r="C58" s="55" t="s">
        <v>61</v>
      </c>
      <c r="D58" s="129">
        <f>(0.89+0.94)*6*2169.8</f>
        <v>23824.404000000002</v>
      </c>
      <c r="E58" s="46">
        <f t="shared" si="0"/>
        <v>27638.399999999998</v>
      </c>
      <c r="F58" s="53"/>
      <c r="G58" s="54"/>
      <c r="I58" s="49"/>
      <c r="J58" s="50"/>
      <c r="K58" s="50"/>
      <c r="L58" s="50"/>
      <c r="M58" s="50"/>
      <c r="N58" s="50"/>
    </row>
    <row r="59" spans="1:14" ht="15">
      <c r="A59" s="42" t="s">
        <v>62</v>
      </c>
      <c r="B59" s="51" t="s">
        <v>63</v>
      </c>
      <c r="C59" s="52" t="s">
        <v>132</v>
      </c>
      <c r="D59" s="129">
        <f>(1.14+1.21)*6*2169.8</f>
        <v>30594.179999999997</v>
      </c>
      <c r="E59" s="46">
        <f t="shared" si="0"/>
        <v>27638.399999999998</v>
      </c>
      <c r="F59" s="53"/>
      <c r="G59" s="54"/>
      <c r="I59" s="49"/>
      <c r="J59" s="50"/>
      <c r="K59" s="50"/>
      <c r="L59" s="50"/>
      <c r="M59" s="50"/>
      <c r="N59" s="50"/>
    </row>
    <row r="60" spans="1:14" ht="15">
      <c r="A60" s="42" t="s">
        <v>65</v>
      </c>
      <c r="B60" s="51" t="s">
        <v>66</v>
      </c>
      <c r="C60" s="55">
        <v>4.88</v>
      </c>
      <c r="D60" s="129">
        <f>4.88*12*2169.8</f>
        <v>127063.48800000001</v>
      </c>
      <c r="E60" s="46">
        <f t="shared" si="0"/>
        <v>27638.399999999998</v>
      </c>
      <c r="F60" s="53"/>
      <c r="H60" s="49"/>
      <c r="I60" s="49"/>
      <c r="J60" s="50"/>
      <c r="K60" s="50"/>
      <c r="L60" s="50"/>
      <c r="M60" s="50"/>
      <c r="N60" s="50"/>
    </row>
    <row r="61" spans="1:14" ht="15.75">
      <c r="A61" s="59" t="s">
        <v>75</v>
      </c>
      <c r="B61" s="60"/>
      <c r="C61" s="61"/>
      <c r="D61" s="62">
        <f>SUM(D53:D60)</f>
        <v>308415.576</v>
      </c>
      <c r="E61" s="63">
        <f>D61+B20</f>
        <v>359579.456</v>
      </c>
      <c r="F61" s="49"/>
      <c r="H61" s="64">
        <f>E61-B19</f>
        <v>-0.0040000000153668225</v>
      </c>
      <c r="I61" s="49"/>
      <c r="J61" s="50"/>
      <c r="K61" s="50"/>
      <c r="L61" s="50"/>
      <c r="M61" s="50"/>
      <c r="N61" s="50"/>
    </row>
    <row r="62" spans="1:9" ht="16.5" customHeight="1">
      <c r="A62" s="202" t="s">
        <v>76</v>
      </c>
      <c r="B62" s="202"/>
      <c r="C62" s="202"/>
      <c r="D62" s="65">
        <f>D63+D64+D65+D66</f>
        <v>9466.880000000001</v>
      </c>
      <c r="E62" s="154"/>
      <c r="F62" s="99"/>
      <c r="G62" s="99"/>
      <c r="H62" s="99"/>
      <c r="I62" s="99"/>
    </row>
    <row r="63" spans="1:9" ht="13.5" customHeight="1">
      <c r="A63" s="67" t="s">
        <v>255</v>
      </c>
      <c r="B63" s="68"/>
      <c r="C63" s="69"/>
      <c r="D63" s="65">
        <v>2855.28</v>
      </c>
      <c r="E63" s="154"/>
      <c r="F63" s="99"/>
      <c r="G63" s="99"/>
      <c r="H63" s="99"/>
      <c r="I63" s="99"/>
    </row>
    <row r="64" spans="1:9" ht="13.5" customHeight="1">
      <c r="A64" s="67" t="s">
        <v>256</v>
      </c>
      <c r="B64" s="68"/>
      <c r="C64" s="69"/>
      <c r="D64" s="65">
        <v>3800.82</v>
      </c>
      <c r="E64" s="154"/>
      <c r="F64" s="99"/>
      <c r="G64" s="99"/>
      <c r="H64" s="99"/>
      <c r="I64" s="99"/>
    </row>
    <row r="65" spans="1:9" ht="13.5" customHeight="1">
      <c r="A65" s="67" t="s">
        <v>257</v>
      </c>
      <c r="B65" s="68"/>
      <c r="C65" s="69"/>
      <c r="D65" s="65">
        <v>130.98</v>
      </c>
      <c r="E65" s="154"/>
      <c r="F65" s="99"/>
      <c r="G65" s="99"/>
      <c r="H65" s="99"/>
      <c r="I65" s="99"/>
    </row>
    <row r="66" spans="1:5" ht="13.5" customHeight="1">
      <c r="A66" s="67" t="s">
        <v>258</v>
      </c>
      <c r="B66" s="68"/>
      <c r="C66" s="69"/>
      <c r="D66" s="65">
        <v>2679.8</v>
      </c>
      <c r="E66" s="66"/>
    </row>
    <row r="67" spans="1:8" ht="19.5" customHeight="1">
      <c r="A67" s="73" t="s">
        <v>90</v>
      </c>
      <c r="B67" s="74"/>
      <c r="C67" s="75"/>
      <c r="D67" s="65">
        <f>D61+D62</f>
        <v>317882.456</v>
      </c>
      <c r="E67" s="66"/>
      <c r="H67" s="1" t="s">
        <v>37</v>
      </c>
    </row>
    <row r="68" spans="1:5" ht="21.75" customHeight="1">
      <c r="A68" s="73" t="s">
        <v>173</v>
      </c>
      <c r="B68" s="71"/>
      <c r="C68" s="72"/>
      <c r="D68" s="65">
        <f>D69</f>
        <v>13500</v>
      </c>
      <c r="E68" s="66"/>
    </row>
    <row r="69" spans="1:5" ht="13.5" customHeight="1">
      <c r="A69" s="70" t="s">
        <v>259</v>
      </c>
      <c r="B69" s="71"/>
      <c r="C69" s="72"/>
      <c r="D69" s="65">
        <v>13500</v>
      </c>
      <c r="E69" s="66"/>
    </row>
    <row r="70" spans="1:5" ht="18" customHeight="1">
      <c r="A70" s="204" t="s">
        <v>93</v>
      </c>
      <c r="B70" s="204"/>
      <c r="C70" s="204"/>
      <c r="D70" s="77">
        <v>1036.8</v>
      </c>
      <c r="E70" s="66"/>
    </row>
    <row r="71" spans="1:5" ht="18" customHeight="1">
      <c r="A71" s="118" t="s">
        <v>94</v>
      </c>
      <c r="B71" s="118"/>
      <c r="C71" s="118"/>
      <c r="D71" s="119"/>
      <c r="E71" s="66"/>
    </row>
    <row r="72" spans="1:8" ht="25.5" customHeight="1">
      <c r="A72" s="215" t="s">
        <v>95</v>
      </c>
      <c r="B72" s="215"/>
      <c r="C72" s="215"/>
      <c r="D72" s="120">
        <f>D73+D74</f>
        <v>181031.59</v>
      </c>
      <c r="E72" s="66"/>
      <c r="H72" s="17"/>
    </row>
    <row r="73" spans="1:5" ht="15">
      <c r="A73" s="121" t="s">
        <v>96</v>
      </c>
      <c r="B73" s="122"/>
      <c r="C73" s="123"/>
      <c r="D73" s="124">
        <f>B15+B20+D70+D71-D62</f>
        <v>134506.87</v>
      </c>
      <c r="E73" s="66"/>
    </row>
    <row r="74" spans="1:5" ht="15">
      <c r="A74" s="122" t="s">
        <v>15</v>
      </c>
      <c r="B74" s="122"/>
      <c r="C74" s="123"/>
      <c r="D74" s="124">
        <f>B16+B21-D68</f>
        <v>46524.719999999994</v>
      </c>
      <c r="E74" s="66"/>
    </row>
    <row r="75" spans="1:5" ht="13.5" customHeight="1">
      <c r="A75" s="216" t="s">
        <v>97</v>
      </c>
      <c r="B75" s="216"/>
      <c r="C75" s="216"/>
      <c r="D75" s="125">
        <v>44150.07</v>
      </c>
      <c r="E75" s="66"/>
    </row>
    <row r="76" spans="1:4" ht="15">
      <c r="A76" s="208" t="s">
        <v>18</v>
      </c>
      <c r="B76" s="208"/>
      <c r="C76" s="208"/>
      <c r="D76" s="86"/>
    </row>
    <row r="77" spans="1:4" ht="13.5" customHeight="1">
      <c r="A77" s="208" t="s">
        <v>22</v>
      </c>
      <c r="B77" s="208"/>
      <c r="C77" s="208"/>
      <c r="D77" s="86">
        <f>D75*B19/B17</f>
        <v>9430.1255589347</v>
      </c>
    </row>
    <row r="78" spans="1:4" ht="13.5" customHeight="1">
      <c r="A78" s="208" t="s">
        <v>41</v>
      </c>
      <c r="B78" s="208"/>
      <c r="C78" s="208"/>
      <c r="D78" s="86">
        <f>D75*B21/B17</f>
        <v>1548.8827469549383</v>
      </c>
    </row>
    <row r="79" spans="1:4" ht="13.5" customHeight="1">
      <c r="A79" s="208" t="s">
        <v>30</v>
      </c>
      <c r="B79" s="208"/>
      <c r="C79" s="208"/>
      <c r="D79" s="86">
        <f>D81+D82+D83+D84</f>
        <v>33116.85373259243</v>
      </c>
    </row>
    <row r="80" spans="1:4" ht="15">
      <c r="A80" s="208" t="s">
        <v>18</v>
      </c>
      <c r="B80" s="208"/>
      <c r="C80" s="208"/>
      <c r="D80" s="86"/>
    </row>
    <row r="81" spans="1:4" ht="13.5" customHeight="1">
      <c r="A81" s="208" t="s">
        <v>32</v>
      </c>
      <c r="B81" s="208"/>
      <c r="C81" s="208"/>
      <c r="D81" s="86">
        <f>D75*B26/B17</f>
        <v>2160.286136356427</v>
      </c>
    </row>
    <row r="82" spans="1:4" ht="15">
      <c r="A82" s="208" t="s">
        <v>33</v>
      </c>
      <c r="B82" s="208"/>
      <c r="C82" s="208"/>
      <c r="D82" s="86">
        <f>D75*B27/B17</f>
        <v>4605.414785782186</v>
      </c>
    </row>
    <row r="83" spans="1:4" ht="15">
      <c r="A83" s="208" t="s">
        <v>34</v>
      </c>
      <c r="B83" s="208"/>
      <c r="C83" s="208"/>
      <c r="D83" s="86">
        <f>D75*B28/B17</f>
        <v>19647.075352106385</v>
      </c>
    </row>
    <row r="84" spans="1:4" ht="15" customHeight="1">
      <c r="A84" s="208" t="s">
        <v>35</v>
      </c>
      <c r="B84" s="208"/>
      <c r="C84" s="208"/>
      <c r="D84" s="86">
        <f>D75*B29/B17</f>
        <v>6704.077458347432</v>
      </c>
    </row>
    <row r="85" spans="1:4" ht="15">
      <c r="A85" s="208" t="s">
        <v>36</v>
      </c>
      <c r="B85" s="208"/>
      <c r="C85" s="208"/>
      <c r="D85" s="86"/>
    </row>
    <row r="86" spans="1:4" ht="25.5" customHeight="1">
      <c r="A86" s="209" t="s">
        <v>98</v>
      </c>
      <c r="B86" s="209"/>
      <c r="C86" s="209"/>
      <c r="D86" s="209"/>
    </row>
    <row r="87" spans="1:4" ht="38.25">
      <c r="A87" s="87" t="s">
        <v>99</v>
      </c>
      <c r="B87" s="6" t="s">
        <v>100</v>
      </c>
      <c r="C87" s="6" t="s">
        <v>213</v>
      </c>
      <c r="D87" s="87" t="s">
        <v>102</v>
      </c>
    </row>
    <row r="88" spans="1:4" ht="20.25" customHeight="1">
      <c r="A88" s="88" t="s">
        <v>214</v>
      </c>
      <c r="B88" s="218" t="s">
        <v>104</v>
      </c>
      <c r="C88" s="144" t="s">
        <v>249</v>
      </c>
      <c r="D88" s="90" t="s">
        <v>105</v>
      </c>
    </row>
    <row r="89" spans="1:4" ht="20.25" customHeight="1">
      <c r="A89" s="42" t="s">
        <v>41</v>
      </c>
      <c r="B89" s="218"/>
      <c r="C89" s="91">
        <v>2.7</v>
      </c>
      <c r="D89" s="92" t="s">
        <v>105</v>
      </c>
    </row>
    <row r="90" spans="1:4" ht="19.5" customHeight="1">
      <c r="A90" s="42" t="s">
        <v>32</v>
      </c>
      <c r="B90" s="212" t="s">
        <v>107</v>
      </c>
      <c r="C90" s="91" t="s">
        <v>108</v>
      </c>
      <c r="D90" s="92" t="s">
        <v>109</v>
      </c>
    </row>
    <row r="91" spans="1:4" ht="22.5" customHeight="1">
      <c r="A91" s="42" t="s">
        <v>33</v>
      </c>
      <c r="B91" s="212"/>
      <c r="C91" s="91" t="s">
        <v>110</v>
      </c>
      <c r="D91" s="92" t="s">
        <v>109</v>
      </c>
    </row>
    <row r="92" spans="1:4" ht="39.75" customHeight="1">
      <c r="A92" s="42" t="s">
        <v>34</v>
      </c>
      <c r="B92" s="94" t="s">
        <v>111</v>
      </c>
      <c r="C92" s="91" t="s">
        <v>112</v>
      </c>
      <c r="D92" s="92" t="s">
        <v>113</v>
      </c>
    </row>
    <row r="93" spans="1:4" ht="39" customHeight="1">
      <c r="A93" s="42" t="s">
        <v>35</v>
      </c>
      <c r="B93" s="95" t="s">
        <v>114</v>
      </c>
      <c r="C93" s="91" t="s">
        <v>115</v>
      </c>
      <c r="D93" s="92" t="s">
        <v>109</v>
      </c>
    </row>
    <row r="94" ht="12.75">
      <c r="H94" s="1" t="s">
        <v>37</v>
      </c>
    </row>
    <row r="95" ht="12.75">
      <c r="A95" t="s">
        <v>116</v>
      </c>
    </row>
    <row r="97" ht="12.75">
      <c r="A97" t="s">
        <v>117</v>
      </c>
    </row>
  </sheetData>
  <sheetProtection selectLockedCells="1" selectUnlockedCells="1"/>
  <mergeCells count="23">
    <mergeCell ref="A84:C84"/>
    <mergeCell ref="A85:C85"/>
    <mergeCell ref="A86:D86"/>
    <mergeCell ref="B88:B89"/>
    <mergeCell ref="B90:B91"/>
    <mergeCell ref="A78:C78"/>
    <mergeCell ref="A79:C79"/>
    <mergeCell ref="A80:C80"/>
    <mergeCell ref="A81:C81"/>
    <mergeCell ref="A82:C82"/>
    <mergeCell ref="A83:C83"/>
    <mergeCell ref="A62:C62"/>
    <mergeCell ref="A70:C70"/>
    <mergeCell ref="A72:C72"/>
    <mergeCell ref="A75:C75"/>
    <mergeCell ref="A76:C76"/>
    <mergeCell ref="A77:C7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="80" zoomScaleNormal="80" zoomScalePageLayoutView="0" workbookViewId="0" topLeftCell="A1">
      <selection activeCell="E35" sqref="E35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11.140625" style="0" customWidth="1"/>
    <col min="10" max="14" width="11.140625" style="157" customWidth="1"/>
    <col min="15" max="15" width="11.57421875" style="157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260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261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262</v>
      </c>
    </row>
    <row r="12" spans="1:8" ht="38.25">
      <c r="A12" s="5" t="s">
        <v>9</v>
      </c>
      <c r="B12" s="5" t="s">
        <v>10</v>
      </c>
      <c r="C12" s="5" t="s">
        <v>11</v>
      </c>
      <c r="D12" s="6"/>
      <c r="H12" t="s">
        <v>37</v>
      </c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9" ht="36.75" customHeight="1">
      <c r="A14" s="9" t="s">
        <v>13</v>
      </c>
      <c r="B14" s="10">
        <f>B15+B16</f>
        <v>-241986.43</v>
      </c>
      <c r="C14" s="96"/>
      <c r="D14" s="12"/>
      <c r="E14" s="1"/>
      <c r="F14" s="1"/>
      <c r="G14" s="1"/>
      <c r="H14" s="1"/>
      <c r="I14" t="s">
        <v>37</v>
      </c>
    </row>
    <row r="15" spans="1:8" ht="15.75">
      <c r="A15" s="13" t="s">
        <v>14</v>
      </c>
      <c r="B15" s="10">
        <v>-33432.77</v>
      </c>
      <c r="C15" s="96"/>
      <c r="D15" s="12"/>
      <c r="E15" s="1"/>
      <c r="F15" s="1"/>
      <c r="G15" s="1"/>
      <c r="H15" s="1"/>
    </row>
    <row r="16" spans="1:8" ht="15.75">
      <c r="A16" s="14" t="s">
        <v>15</v>
      </c>
      <c r="B16" s="10">
        <v>-208553.66</v>
      </c>
      <c r="C16" s="96"/>
      <c r="D16" s="12"/>
      <c r="E16" s="1"/>
      <c r="F16" s="1"/>
      <c r="G16" s="1"/>
      <c r="H16" s="1"/>
    </row>
    <row r="17" spans="1:8" ht="31.5">
      <c r="A17" s="15" t="s">
        <v>16</v>
      </c>
      <c r="B17" s="97">
        <f>B19+B23+B24+B25+B26</f>
        <v>3695228.6500000004</v>
      </c>
      <c r="C17" s="11" t="s">
        <v>17</v>
      </c>
      <c r="D17" s="12" t="s">
        <v>17</v>
      </c>
      <c r="E17" s="22">
        <f>SUM(E18:E31)</f>
        <v>1314763.9984856388</v>
      </c>
      <c r="F17" s="1"/>
      <c r="G17" s="1"/>
      <c r="H17" s="1"/>
    </row>
    <row r="18" spans="1:16" ht="15">
      <c r="A18" s="7" t="s">
        <v>18</v>
      </c>
      <c r="B18" s="16"/>
      <c r="C18" s="11"/>
      <c r="D18" s="12"/>
      <c r="E18" s="1"/>
      <c r="F18" s="1"/>
      <c r="G18" s="1"/>
      <c r="H18" s="1"/>
      <c r="I18" s="1" t="s">
        <v>121</v>
      </c>
      <c r="J18" s="158">
        <v>1</v>
      </c>
      <c r="K18" s="158">
        <v>2</v>
      </c>
      <c r="L18" s="158">
        <v>3</v>
      </c>
      <c r="M18" s="158">
        <v>4</v>
      </c>
      <c r="N18" s="158">
        <v>5</v>
      </c>
      <c r="O18" s="158">
        <v>6</v>
      </c>
      <c r="P18" s="1"/>
    </row>
    <row r="19" spans="1:16" ht="15">
      <c r="A19" s="7" t="s">
        <v>22</v>
      </c>
      <c r="B19" s="97">
        <v>1078034.58</v>
      </c>
      <c r="C19" s="11"/>
      <c r="D19" s="12"/>
      <c r="E19" s="1">
        <f>(18.42+20.78)*6*839.8+(23.01+25.64)*6*3420.3</f>
        <v>1195906.5300000003</v>
      </c>
      <c r="F19" s="1"/>
      <c r="G19" s="1"/>
      <c r="H19" s="1">
        <f>E19/12</f>
        <v>99658.87750000002</v>
      </c>
      <c r="I19" s="1">
        <f>E19/2</f>
        <v>597953.2650000001</v>
      </c>
      <c r="J19" s="155">
        <v>99658.87750000002</v>
      </c>
      <c r="K19" s="155">
        <v>99658.87750000002</v>
      </c>
      <c r="L19" s="155">
        <v>99658.87750000002</v>
      </c>
      <c r="M19" s="155">
        <v>99658.87750000002</v>
      </c>
      <c r="N19" s="155">
        <v>99658.87750000002</v>
      </c>
      <c r="O19" s="155">
        <v>99658.87750000002</v>
      </c>
      <c r="P19" s="1"/>
    </row>
    <row r="20" spans="1:16" ht="15">
      <c r="A20" s="7" t="s">
        <v>181</v>
      </c>
      <c r="B20" s="97">
        <v>118856.79000000002</v>
      </c>
      <c r="C20" s="18" t="s">
        <v>263</v>
      </c>
      <c r="D20" s="19"/>
      <c r="E20" s="1">
        <f>(1.58+3.07)*6*4260.1</f>
        <v>118856.79000000002</v>
      </c>
      <c r="F20" s="1"/>
      <c r="G20" s="1"/>
      <c r="H20" s="1"/>
      <c r="I20" s="1">
        <v>528929.46</v>
      </c>
      <c r="J20" s="155">
        <v>88154.91</v>
      </c>
      <c r="K20" s="155">
        <v>88154.91</v>
      </c>
      <c r="L20" s="155">
        <v>88154.91</v>
      </c>
      <c r="M20" s="155"/>
      <c r="N20" s="155"/>
      <c r="O20" s="155"/>
      <c r="P20" s="1"/>
    </row>
    <row r="21" spans="1:16" ht="15">
      <c r="A21" s="7" t="s">
        <v>25</v>
      </c>
      <c r="B21" s="16"/>
      <c r="C21" s="25" t="s">
        <v>264</v>
      </c>
      <c r="D21" s="19"/>
      <c r="E21" s="22">
        <f>B21/B17*1</f>
        <v>0</v>
      </c>
      <c r="F21" s="1"/>
      <c r="G21" s="1"/>
      <c r="H21" s="1"/>
      <c r="I21" s="1">
        <f>I19-I20</f>
        <v>69023.80500000017</v>
      </c>
      <c r="J21" s="155">
        <f>J19-J20</f>
        <v>11503.967500000013</v>
      </c>
      <c r="K21" s="155">
        <f>K19-K20</f>
        <v>11503.967500000013</v>
      </c>
      <c r="L21" s="155">
        <f>L19-L20</f>
        <v>11503.967500000013</v>
      </c>
      <c r="M21" s="155"/>
      <c r="N21" s="155"/>
      <c r="O21" s="155"/>
      <c r="P21" s="1"/>
    </row>
    <row r="22" spans="1:16" ht="15">
      <c r="A22" s="7" t="s">
        <v>27</v>
      </c>
      <c r="B22" s="16"/>
      <c r="C22" s="25" t="s">
        <v>265</v>
      </c>
      <c r="D22" s="19"/>
      <c r="E22" s="22"/>
      <c r="F22" s="1"/>
      <c r="G22" s="1"/>
      <c r="H22" s="1"/>
      <c r="I22" s="1"/>
      <c r="J22" s="159">
        <v>6015.33</v>
      </c>
      <c r="K22" s="159">
        <v>6015.33</v>
      </c>
      <c r="L22" s="159">
        <v>6015.33</v>
      </c>
      <c r="M22" s="155"/>
      <c r="N22" s="155"/>
      <c r="O22" s="155"/>
      <c r="P22" s="1"/>
    </row>
    <row r="23" spans="1:16" ht="15.75">
      <c r="A23" s="7" t="s">
        <v>266</v>
      </c>
      <c r="B23" s="101">
        <v>108561.6</v>
      </c>
      <c r="C23" s="18">
        <v>2.7</v>
      </c>
      <c r="D23" s="19"/>
      <c r="E23" s="22"/>
      <c r="F23" s="1"/>
      <c r="G23" s="1"/>
      <c r="H23" s="1"/>
      <c r="I23" s="1"/>
      <c r="J23" s="159" t="s">
        <v>267</v>
      </c>
      <c r="K23" s="159"/>
      <c r="L23" s="159"/>
      <c r="M23" s="155"/>
      <c r="N23" s="155"/>
      <c r="O23" s="155"/>
      <c r="P23" s="1"/>
    </row>
    <row r="24" spans="1:16" ht="15">
      <c r="A24" s="7" t="s">
        <v>20</v>
      </c>
      <c r="B24" s="97">
        <v>1472.9</v>
      </c>
      <c r="C24" s="18" t="s">
        <v>160</v>
      </c>
      <c r="D24" s="19"/>
      <c r="E24" s="1"/>
      <c r="F24" s="1"/>
      <c r="G24" s="1"/>
      <c r="H24" s="1"/>
      <c r="I24" s="1"/>
      <c r="J24" s="155">
        <f>J22*6</f>
        <v>36091.979999999996</v>
      </c>
      <c r="K24" s="155"/>
      <c r="L24" s="155"/>
      <c r="M24" s="155"/>
      <c r="N24" s="155"/>
      <c r="O24" s="155"/>
      <c r="P24" s="1"/>
    </row>
    <row r="25" spans="1:16" ht="15">
      <c r="A25" s="7" t="s">
        <v>19</v>
      </c>
      <c r="B25" s="97">
        <v>7476</v>
      </c>
      <c r="C25" s="18"/>
      <c r="D25" s="19"/>
      <c r="E25" s="22">
        <f>B25/B17*1</f>
        <v>0.002023149501181747</v>
      </c>
      <c r="F25" s="1"/>
      <c r="G25" s="1"/>
      <c r="H25" s="1"/>
      <c r="I25" s="1"/>
      <c r="J25" s="155"/>
      <c r="K25" s="155"/>
      <c r="L25" s="155"/>
      <c r="M25" s="155"/>
      <c r="N25" s="155"/>
      <c r="O25" s="155"/>
      <c r="P25" s="1"/>
    </row>
    <row r="26" spans="1:16" ht="15">
      <c r="A26" s="7" t="s">
        <v>30</v>
      </c>
      <c r="B26" s="97">
        <f>B28+B29+B30+B31</f>
        <v>2499683.5700000003</v>
      </c>
      <c r="C26" s="24" t="s">
        <v>17</v>
      </c>
      <c r="D26" s="19" t="s">
        <v>31</v>
      </c>
      <c r="E26" s="1"/>
      <c r="F26" s="1"/>
      <c r="G26" s="1"/>
      <c r="H26" s="1"/>
      <c r="I26" s="1"/>
      <c r="J26" s="155"/>
      <c r="K26" s="155"/>
      <c r="L26" s="155"/>
      <c r="M26" s="155"/>
      <c r="N26" s="155"/>
      <c r="O26" s="155"/>
      <c r="P26" s="1"/>
    </row>
    <row r="27" spans="1:16" ht="15">
      <c r="A27" s="7" t="s">
        <v>18</v>
      </c>
      <c r="B27" s="16"/>
      <c r="C27" s="24"/>
      <c r="D27" s="19"/>
      <c r="E27" s="1"/>
      <c r="F27" s="1"/>
      <c r="G27" s="1"/>
      <c r="H27" s="1"/>
      <c r="I27" s="1"/>
      <c r="J27" s="155"/>
      <c r="K27" s="155"/>
      <c r="L27" s="155"/>
      <c r="M27" s="155"/>
      <c r="N27" s="155"/>
      <c r="O27" s="155"/>
      <c r="P27" s="1"/>
    </row>
    <row r="28" spans="1:16" ht="15">
      <c r="A28" s="7" t="s">
        <v>32</v>
      </c>
      <c r="B28" s="97">
        <v>154920.51</v>
      </c>
      <c r="C28" s="133" t="s">
        <v>17</v>
      </c>
      <c r="D28" s="26">
        <v>65.21</v>
      </c>
      <c r="E28" s="22">
        <f>B28/B17*1</f>
        <v>0.04192447198091517</v>
      </c>
      <c r="F28" s="1"/>
      <c r="G28" s="1"/>
      <c r="H28" s="1"/>
      <c r="I28" s="1"/>
      <c r="J28" s="155"/>
      <c r="K28" s="155"/>
      <c r="L28" s="155"/>
      <c r="M28" s="155"/>
      <c r="N28" s="155"/>
      <c r="O28" s="155"/>
      <c r="P28" s="1"/>
    </row>
    <row r="29" spans="1:16" ht="15">
      <c r="A29" s="7" t="s">
        <v>33</v>
      </c>
      <c r="B29" s="97">
        <v>345177.65</v>
      </c>
      <c r="C29" s="133" t="s">
        <v>17</v>
      </c>
      <c r="D29" s="26">
        <v>119.63</v>
      </c>
      <c r="E29" s="22">
        <f>B29/B17*1</f>
        <v>0.09341171621409679</v>
      </c>
      <c r="F29" s="1"/>
      <c r="G29" s="1"/>
      <c r="H29" s="1"/>
      <c r="I29" s="1"/>
      <c r="J29" s="155"/>
      <c r="K29" s="155"/>
      <c r="L29" s="155"/>
      <c r="M29" s="155"/>
      <c r="N29" s="155"/>
      <c r="O29" s="155"/>
      <c r="P29" s="1"/>
    </row>
    <row r="30" spans="1:16" ht="15">
      <c r="A30" s="7" t="s">
        <v>34</v>
      </c>
      <c r="B30" s="97">
        <v>1470873.54</v>
      </c>
      <c r="C30" s="133"/>
      <c r="D30" s="26"/>
      <c r="E30" s="22">
        <f>B30/B17*1</f>
        <v>0.39804669191445025</v>
      </c>
      <c r="F30" s="1"/>
      <c r="G30" s="1"/>
      <c r="H30" s="1"/>
      <c r="I30" s="1"/>
      <c r="J30" s="155"/>
      <c r="K30" s="155"/>
      <c r="L30" s="155"/>
      <c r="M30" s="155"/>
      <c r="N30" s="155"/>
      <c r="O30" s="155"/>
      <c r="P30" s="1"/>
    </row>
    <row r="31" spans="1:16" ht="15">
      <c r="A31" s="7" t="s">
        <v>35</v>
      </c>
      <c r="B31" s="97">
        <v>528711.87</v>
      </c>
      <c r="C31" s="133" t="s">
        <v>17</v>
      </c>
      <c r="D31" s="26">
        <v>139.18</v>
      </c>
      <c r="E31" s="22">
        <f>B31/B17*1</f>
        <v>0.14307960888969615</v>
      </c>
      <c r="F31" s="1"/>
      <c r="G31" s="1"/>
      <c r="H31" s="1"/>
      <c r="I31" s="1"/>
      <c r="J31" s="155"/>
      <c r="K31" s="155"/>
      <c r="L31" s="155"/>
      <c r="M31" s="155"/>
      <c r="N31" s="155"/>
      <c r="O31" s="155"/>
      <c r="P31" s="1"/>
    </row>
    <row r="32" spans="1:16" ht="31.5">
      <c r="A32" s="27" t="s">
        <v>38</v>
      </c>
      <c r="B32" s="28">
        <v>3705915.23</v>
      </c>
      <c r="C32" s="29"/>
      <c r="D32" s="160" t="s">
        <v>17</v>
      </c>
      <c r="E32" s="1">
        <f>B32/B17</f>
        <v>1.0028919942477712</v>
      </c>
      <c r="F32" s="1"/>
      <c r="G32" s="1"/>
      <c r="H32" s="1"/>
      <c r="I32" s="1"/>
      <c r="J32" s="155"/>
      <c r="K32" s="155"/>
      <c r="L32" s="155"/>
      <c r="M32" s="155"/>
      <c r="N32" s="155"/>
      <c r="O32" s="155"/>
      <c r="P32" s="1"/>
    </row>
    <row r="33" spans="1:16" ht="15">
      <c r="A33" s="30" t="s">
        <v>18</v>
      </c>
      <c r="B33" s="28"/>
      <c r="C33" s="29"/>
      <c r="D33" s="160"/>
      <c r="E33" s="1"/>
      <c r="F33" s="1"/>
      <c r="G33" s="1"/>
      <c r="H33" s="1"/>
      <c r="I33" s="1"/>
      <c r="J33" s="155"/>
      <c r="K33" s="155"/>
      <c r="L33" s="155"/>
      <c r="M33" s="155"/>
      <c r="N33" s="155"/>
      <c r="O33" s="155"/>
      <c r="P33" s="1"/>
    </row>
    <row r="34" spans="1:16" ht="15">
      <c r="A34" s="30" t="s">
        <v>22</v>
      </c>
      <c r="B34" s="28">
        <f>B19*E32</f>
        <v>1081152.2498042586</v>
      </c>
      <c r="C34" s="29" t="s">
        <v>17</v>
      </c>
      <c r="D34" s="160"/>
      <c r="E34" s="1"/>
      <c r="F34" s="1"/>
      <c r="G34" s="1"/>
      <c r="H34" s="1"/>
      <c r="I34" s="1"/>
      <c r="J34" s="155"/>
      <c r="K34" s="155"/>
      <c r="L34" s="155"/>
      <c r="M34" s="155"/>
      <c r="N34" s="155"/>
      <c r="O34" s="155"/>
      <c r="P34" s="1"/>
    </row>
    <row r="35" spans="1:16" ht="15">
      <c r="A35" s="30" t="s">
        <v>41</v>
      </c>
      <c r="B35" s="28">
        <f>B23*E32</f>
        <v>108875.55952272884</v>
      </c>
      <c r="C35" s="28"/>
      <c r="D35" s="160" t="s">
        <v>17</v>
      </c>
      <c r="E35" s="1"/>
      <c r="F35" s="1"/>
      <c r="G35" s="1"/>
      <c r="H35" s="1"/>
      <c r="I35" s="1"/>
      <c r="J35" s="155"/>
      <c r="K35" s="155"/>
      <c r="L35" s="155"/>
      <c r="M35" s="155"/>
      <c r="N35" s="155"/>
      <c r="O35" s="155"/>
      <c r="P35" s="1"/>
    </row>
    <row r="36" spans="1:16" ht="15">
      <c r="A36" s="30" t="s">
        <v>30</v>
      </c>
      <c r="B36" s="28">
        <f>B38+B39+B40+B41</f>
        <v>2506912.6405056883</v>
      </c>
      <c r="C36" s="29" t="s">
        <v>17</v>
      </c>
      <c r="D36" s="160" t="s">
        <v>17</v>
      </c>
      <c r="E36" s="1"/>
      <c r="F36" s="1"/>
      <c r="G36" s="1"/>
      <c r="H36" s="1"/>
      <c r="I36" s="1"/>
      <c r="J36" s="155"/>
      <c r="K36" s="155"/>
      <c r="L36" s="155"/>
      <c r="M36" s="155"/>
      <c r="N36" s="155"/>
      <c r="O36" s="155"/>
      <c r="P36" s="1"/>
    </row>
    <row r="37" spans="1:16" ht="15">
      <c r="A37" s="30" t="s">
        <v>18</v>
      </c>
      <c r="B37" s="28"/>
      <c r="C37" s="29" t="s">
        <v>17</v>
      </c>
      <c r="D37" s="160"/>
      <c r="E37" s="1"/>
      <c r="F37" s="1"/>
      <c r="G37" s="1"/>
      <c r="H37" s="1"/>
      <c r="I37" s="1"/>
      <c r="J37" s="155"/>
      <c r="K37" s="155"/>
      <c r="L37" s="155"/>
      <c r="M37" s="155"/>
      <c r="N37" s="155"/>
      <c r="O37" s="155"/>
      <c r="P37" s="1"/>
    </row>
    <row r="38" spans="1:16" ht="15">
      <c r="A38" s="30" t="s">
        <v>32</v>
      </c>
      <c r="B38" s="28">
        <f>B28*E32</f>
        <v>155368.5392237818</v>
      </c>
      <c r="C38" s="29"/>
      <c r="D38" s="160"/>
      <c r="E38" s="1"/>
      <c r="F38" s="1"/>
      <c r="G38" s="1"/>
      <c r="H38" s="1"/>
      <c r="I38" s="1"/>
      <c r="J38" s="155"/>
      <c r="K38" s="155"/>
      <c r="L38" s="155"/>
      <c r="M38" s="155"/>
      <c r="N38" s="155"/>
      <c r="O38" s="155"/>
      <c r="P38" s="1"/>
    </row>
    <row r="39" spans="1:16" ht="15">
      <c r="A39" s="30" t="s">
        <v>33</v>
      </c>
      <c r="B39" s="28">
        <f>B29*E32</f>
        <v>346175.9017782592</v>
      </c>
      <c r="C39" s="29" t="s">
        <v>17</v>
      </c>
      <c r="D39" s="160"/>
      <c r="E39" s="1"/>
      <c r="F39" s="1"/>
      <c r="G39" s="1"/>
      <c r="H39" s="1"/>
      <c r="I39" s="1"/>
      <c r="J39" s="155"/>
      <c r="K39" s="155"/>
      <c r="L39" s="155"/>
      <c r="M39" s="155"/>
      <c r="N39" s="155"/>
      <c r="O39" s="155"/>
      <c r="P39" s="1"/>
    </row>
    <row r="40" spans="1:16" ht="15">
      <c r="A40" s="30" t="s">
        <v>34</v>
      </c>
      <c r="B40" s="28">
        <f>B30*E32</f>
        <v>1475127.2978168789</v>
      </c>
      <c r="C40" s="29" t="s">
        <v>17</v>
      </c>
      <c r="D40" s="160"/>
      <c r="E40" s="1"/>
      <c r="F40" s="1"/>
      <c r="G40" s="1"/>
      <c r="H40" s="1"/>
      <c r="I40" s="1"/>
      <c r="J40" s="155"/>
      <c r="K40" s="155"/>
      <c r="L40" s="155"/>
      <c r="M40" s="155"/>
      <c r="N40" s="155"/>
      <c r="O40" s="155"/>
      <c r="P40" s="1"/>
    </row>
    <row r="41" spans="1:16" ht="15">
      <c r="A41" s="30" t="s">
        <v>35</v>
      </c>
      <c r="B41" s="28">
        <f>B31*E32</f>
        <v>530240.9016867684</v>
      </c>
      <c r="C41" s="29" t="s">
        <v>17</v>
      </c>
      <c r="D41" s="160"/>
      <c r="E41" s="1"/>
      <c r="F41" s="1"/>
      <c r="G41" s="1"/>
      <c r="H41" s="1"/>
      <c r="I41" s="1"/>
      <c r="J41" s="155"/>
      <c r="K41" s="155"/>
      <c r="L41" s="155"/>
      <c r="M41" s="155"/>
      <c r="N41" s="155"/>
      <c r="O41" s="155"/>
      <c r="P41" s="1"/>
    </row>
    <row r="42" spans="1:16" ht="15">
      <c r="A42" s="30" t="s">
        <v>36</v>
      </c>
      <c r="B42" s="28"/>
      <c r="C42" s="29"/>
      <c r="D42" s="160"/>
      <c r="E42" s="1"/>
      <c r="F42" s="1"/>
      <c r="G42" s="1"/>
      <c r="H42" s="1"/>
      <c r="I42" s="1"/>
      <c r="J42" s="155"/>
      <c r="K42" s="155"/>
      <c r="L42" s="155"/>
      <c r="M42" s="155"/>
      <c r="N42" s="155"/>
      <c r="O42" s="155"/>
      <c r="P42" s="1"/>
    </row>
    <row r="43" spans="1:16" ht="47.25">
      <c r="A43" s="31" t="s">
        <v>42</v>
      </c>
      <c r="B43" s="28">
        <f>B45+B46+B47+B48</f>
        <v>2506912.6405056883</v>
      </c>
      <c r="C43" s="29" t="s">
        <v>17</v>
      </c>
      <c r="D43" s="160" t="s">
        <v>17</v>
      </c>
      <c r="E43" s="1"/>
      <c r="F43" s="1"/>
      <c r="G43" s="1"/>
      <c r="H43" s="1"/>
      <c r="I43" s="1"/>
      <c r="J43" s="155"/>
      <c r="K43" s="155"/>
      <c r="L43" s="155"/>
      <c r="M43" s="155"/>
      <c r="N43" s="155"/>
      <c r="O43" s="155"/>
      <c r="P43" s="1"/>
    </row>
    <row r="44" spans="1:16" ht="15">
      <c r="A44" s="30" t="s">
        <v>18</v>
      </c>
      <c r="B44" s="28"/>
      <c r="C44" s="29" t="s">
        <v>17</v>
      </c>
      <c r="D44" s="160"/>
      <c r="E44" s="1"/>
      <c r="F44" s="1"/>
      <c r="G44" s="1"/>
      <c r="H44" s="1"/>
      <c r="I44" s="1"/>
      <c r="J44" s="155"/>
      <c r="K44" s="155"/>
      <c r="L44" s="155"/>
      <c r="M44" s="155"/>
      <c r="N44" s="155"/>
      <c r="O44" s="155"/>
      <c r="P44" s="1"/>
    </row>
    <row r="45" spans="1:16" ht="15">
      <c r="A45" s="30" t="s">
        <v>32</v>
      </c>
      <c r="B45" s="28">
        <f>B38</f>
        <v>155368.5392237818</v>
      </c>
      <c r="C45" s="29"/>
      <c r="D45" s="160"/>
      <c r="E45" s="1"/>
      <c r="F45" s="1"/>
      <c r="G45" s="1"/>
      <c r="H45" s="1"/>
      <c r="I45" s="1"/>
      <c r="J45" s="155"/>
      <c r="K45" s="155"/>
      <c r="L45" s="155"/>
      <c r="M45" s="155"/>
      <c r="N45" s="155"/>
      <c r="O45" s="155"/>
      <c r="P45" s="1"/>
    </row>
    <row r="46" spans="1:16" ht="15">
      <c r="A46" s="30" t="s">
        <v>33</v>
      </c>
      <c r="B46" s="28">
        <f>B39</f>
        <v>346175.9017782592</v>
      </c>
      <c r="C46" s="29" t="s">
        <v>17</v>
      </c>
      <c r="D46" s="160"/>
      <c r="E46" s="1"/>
      <c r="F46" s="1"/>
      <c r="G46" s="1"/>
      <c r="H46" s="1"/>
      <c r="I46" s="1"/>
      <c r="J46" s="155"/>
      <c r="K46" s="155"/>
      <c r="L46" s="155"/>
      <c r="M46" s="155"/>
      <c r="N46" s="155"/>
      <c r="O46" s="155"/>
      <c r="P46" s="1"/>
    </row>
    <row r="47" spans="1:16" ht="15">
      <c r="A47" s="30" t="s">
        <v>34</v>
      </c>
      <c r="B47" s="28">
        <f>B40</f>
        <v>1475127.2978168789</v>
      </c>
      <c r="C47" s="29" t="s">
        <v>17</v>
      </c>
      <c r="D47" s="160"/>
      <c r="E47" s="1"/>
      <c r="F47" s="1"/>
      <c r="G47" s="1"/>
      <c r="H47" s="1"/>
      <c r="I47" s="1"/>
      <c r="J47" s="155"/>
      <c r="K47" s="155"/>
      <c r="L47" s="155"/>
      <c r="M47" s="155"/>
      <c r="N47" s="155"/>
      <c r="O47" s="155"/>
      <c r="P47" s="1"/>
    </row>
    <row r="48" spans="1:16" ht="15">
      <c r="A48" s="30" t="s">
        <v>35</v>
      </c>
      <c r="B48" s="28">
        <f>B41</f>
        <v>530240.9016867684</v>
      </c>
      <c r="C48" s="29" t="s">
        <v>17</v>
      </c>
      <c r="D48" s="160"/>
      <c r="E48" s="1"/>
      <c r="F48" s="1"/>
      <c r="G48" s="1"/>
      <c r="H48" s="1"/>
      <c r="I48" s="1"/>
      <c r="J48" s="155"/>
      <c r="K48" s="155"/>
      <c r="L48" s="155"/>
      <c r="M48" s="155"/>
      <c r="N48" s="155"/>
      <c r="O48" s="155"/>
      <c r="P48" s="1"/>
    </row>
    <row r="49" spans="1:16" ht="15">
      <c r="A49" s="33" t="s">
        <v>36</v>
      </c>
      <c r="B49" s="34"/>
      <c r="C49" s="35" t="s">
        <v>17</v>
      </c>
      <c r="D49" s="161"/>
      <c r="E49" s="1"/>
      <c r="F49" s="1"/>
      <c r="G49" s="1"/>
      <c r="H49" s="1"/>
      <c r="I49" s="1"/>
      <c r="J49" s="155"/>
      <c r="K49" s="155"/>
      <c r="L49" s="155"/>
      <c r="M49" s="155"/>
      <c r="N49" s="155"/>
      <c r="O49" s="155"/>
      <c r="P49" s="1"/>
    </row>
    <row r="50" spans="1:16" ht="31.5" customHeight="1">
      <c r="A50" s="37" t="s">
        <v>43</v>
      </c>
      <c r="B50" s="37"/>
      <c r="C50" s="128" t="s">
        <v>262</v>
      </c>
      <c r="D50" s="37"/>
      <c r="E50" s="1"/>
      <c r="F50" s="1"/>
      <c r="G50" s="1"/>
      <c r="H50" s="1"/>
      <c r="I50" s="32"/>
      <c r="J50" s="162"/>
      <c r="K50" s="155"/>
      <c r="L50" s="155"/>
      <c r="M50" s="155"/>
      <c r="N50" s="155"/>
      <c r="O50" s="155"/>
      <c r="P50" s="1"/>
    </row>
    <row r="51" spans="1:16" ht="63.75">
      <c r="A51" s="39" t="s">
        <v>44</v>
      </c>
      <c r="B51" s="39" t="s">
        <v>45</v>
      </c>
      <c r="C51" s="39" t="s">
        <v>46</v>
      </c>
      <c r="D51" s="191" t="s">
        <v>389</v>
      </c>
      <c r="E51" s="99"/>
      <c r="F51" s="99"/>
      <c r="G51" s="99"/>
      <c r="H51" s="99"/>
      <c r="I51" s="149"/>
      <c r="J51" s="163"/>
      <c r="K51" s="163"/>
      <c r="L51" s="163"/>
      <c r="M51" s="163"/>
      <c r="N51" s="163"/>
      <c r="O51" s="155"/>
      <c r="P51" s="1"/>
    </row>
    <row r="52" spans="1:16" ht="15">
      <c r="A52" s="42" t="s">
        <v>48</v>
      </c>
      <c r="B52" s="43" t="s">
        <v>49</v>
      </c>
      <c r="C52" s="44" t="s">
        <v>268</v>
      </c>
      <c r="D52" s="129">
        <f>(0.18+0.23)*6*4260.1</f>
        <v>10479.846000000001</v>
      </c>
      <c r="E52" s="150"/>
      <c r="F52" s="151"/>
      <c r="G52" s="152"/>
      <c r="H52" s="99"/>
      <c r="I52" s="153"/>
      <c r="J52" s="64"/>
      <c r="K52" s="64"/>
      <c r="L52" s="64"/>
      <c r="M52" s="64"/>
      <c r="N52" s="64"/>
      <c r="O52" s="155"/>
      <c r="P52" s="1"/>
    </row>
    <row r="53" spans="1:16" ht="15">
      <c r="A53" s="42" t="s">
        <v>51</v>
      </c>
      <c r="B53" s="43" t="s">
        <v>52</v>
      </c>
      <c r="C53" s="156" t="s">
        <v>53</v>
      </c>
      <c r="D53" s="129">
        <f>(2.1+2.23)*6*4260.1</f>
        <v>110677.39800000002</v>
      </c>
      <c r="E53" s="150"/>
      <c r="F53" s="151"/>
      <c r="G53" s="152"/>
      <c r="H53" s="99"/>
      <c r="I53" s="153"/>
      <c r="J53" s="64"/>
      <c r="K53" s="64"/>
      <c r="L53" s="64"/>
      <c r="M53" s="64"/>
      <c r="N53" s="64"/>
      <c r="O53" s="155"/>
      <c r="P53" s="1"/>
    </row>
    <row r="54" spans="1:16" ht="15">
      <c r="A54" s="42" t="s">
        <v>54</v>
      </c>
      <c r="B54" s="43" t="s">
        <v>52</v>
      </c>
      <c r="C54" s="156" t="s">
        <v>55</v>
      </c>
      <c r="D54" s="129">
        <f>(1.2+2.27)*6*4260.1</f>
        <v>88695.282</v>
      </c>
      <c r="E54" s="150"/>
      <c r="F54" s="151"/>
      <c r="G54" s="152"/>
      <c r="H54" s="99"/>
      <c r="I54" s="153"/>
      <c r="J54" s="64"/>
      <c r="K54" s="64"/>
      <c r="L54" s="64"/>
      <c r="M54" s="64"/>
      <c r="N54" s="64"/>
      <c r="O54" s="155"/>
      <c r="P54" s="1"/>
    </row>
    <row r="55" spans="1:16" ht="15">
      <c r="A55" s="42" t="s">
        <v>56</v>
      </c>
      <c r="B55" s="43" t="s">
        <v>49</v>
      </c>
      <c r="C55" s="44" t="s">
        <v>129</v>
      </c>
      <c r="D55" s="129">
        <f>(0.2+0.21)*6*4260.1</f>
        <v>10479.846000000001</v>
      </c>
      <c r="E55" s="46">
        <f>(1.32+0.5)*6*4260.1-0.85*6*839.8-1.55*6*3420.3</f>
        <v>10428.522</v>
      </c>
      <c r="F55" s="47"/>
      <c r="G55" s="48"/>
      <c r="H55" s="1"/>
      <c r="I55" s="49"/>
      <c r="J55" s="64"/>
      <c r="K55" s="64"/>
      <c r="L55" s="64"/>
      <c r="M55" s="64"/>
      <c r="N55" s="64"/>
      <c r="O55" s="155"/>
      <c r="P55" s="1"/>
    </row>
    <row r="56" spans="1:16" ht="15">
      <c r="A56" s="42" t="s">
        <v>58</v>
      </c>
      <c r="B56" s="194" t="s">
        <v>49</v>
      </c>
      <c r="C56" s="55" t="s">
        <v>269</v>
      </c>
      <c r="D56" s="129">
        <f>10428.52+255.43</f>
        <v>10683.95</v>
      </c>
      <c r="E56" s="46">
        <f>(1.32+0.5)*6*4260.1-0.85*6*839.8-1.55*6*3420.3</f>
        <v>10428.522</v>
      </c>
      <c r="F56" s="53"/>
      <c r="G56" s="54"/>
      <c r="H56" s="46"/>
      <c r="I56" s="164">
        <v>0.85</v>
      </c>
      <c r="J56" s="64"/>
      <c r="K56" s="64"/>
      <c r="L56" s="64"/>
      <c r="M56" s="64"/>
      <c r="N56" s="64"/>
      <c r="O56" s="155"/>
      <c r="P56" s="1"/>
    </row>
    <row r="57" spans="1:16" ht="15">
      <c r="A57" s="42" t="s">
        <v>60</v>
      </c>
      <c r="B57" s="51" t="s">
        <v>49</v>
      </c>
      <c r="C57" s="55" t="s">
        <v>61</v>
      </c>
      <c r="D57" s="129">
        <f>(0.89+0.94)*6*4260.1</f>
        <v>46775.89800000001</v>
      </c>
      <c r="E57" s="46"/>
      <c r="F57" s="53"/>
      <c r="G57" s="54"/>
      <c r="H57" s="1"/>
      <c r="I57" s="164">
        <v>1.55</v>
      </c>
      <c r="J57" s="64"/>
      <c r="K57" s="64"/>
      <c r="L57" s="64"/>
      <c r="M57" s="64"/>
      <c r="N57" s="64"/>
      <c r="O57" s="155"/>
      <c r="P57" s="1"/>
    </row>
    <row r="58" spans="1:16" ht="15">
      <c r="A58" s="42" t="s">
        <v>62</v>
      </c>
      <c r="B58" s="51" t="s">
        <v>63</v>
      </c>
      <c r="C58" s="52" t="s">
        <v>132</v>
      </c>
      <c r="D58" s="129">
        <f>(1.14+1.21)*6*4260.1</f>
        <v>60067.409999999996</v>
      </c>
      <c r="E58" s="46"/>
      <c r="F58" s="53"/>
      <c r="G58" s="54"/>
      <c r="H58" s="1"/>
      <c r="I58" s="49"/>
      <c r="J58" s="64"/>
      <c r="K58" s="64"/>
      <c r="L58" s="64"/>
      <c r="M58" s="64"/>
      <c r="N58" s="64"/>
      <c r="O58" s="155"/>
      <c r="P58" s="1"/>
    </row>
    <row r="59" spans="1:16" ht="15">
      <c r="A59" s="42" t="s">
        <v>65</v>
      </c>
      <c r="B59" s="51" t="s">
        <v>66</v>
      </c>
      <c r="C59" s="55">
        <v>4.88</v>
      </c>
      <c r="D59" s="129">
        <f>4.88*12*4260.1</f>
        <v>249471.45600000003</v>
      </c>
      <c r="E59" s="46"/>
      <c r="F59" s="53"/>
      <c r="G59" s="1"/>
      <c r="H59" s="49"/>
      <c r="I59" s="49"/>
      <c r="J59" s="64"/>
      <c r="K59" s="64"/>
      <c r="L59" s="64"/>
      <c r="M59" s="64"/>
      <c r="N59" s="64"/>
      <c r="O59" s="155"/>
      <c r="P59" s="1"/>
    </row>
    <row r="60" spans="1:16" ht="15">
      <c r="A60" s="42" t="s">
        <v>67</v>
      </c>
      <c r="B60" s="51" t="s">
        <v>66</v>
      </c>
      <c r="C60" s="165" t="s">
        <v>133</v>
      </c>
      <c r="D60" s="129">
        <f>(2.15+2.28)*6*4260.1</f>
        <v>113233.458</v>
      </c>
      <c r="E60" s="46"/>
      <c r="F60" s="53"/>
      <c r="G60" s="1"/>
      <c r="H60" s="49"/>
      <c r="I60" s="49"/>
      <c r="J60" s="64" t="s">
        <v>37</v>
      </c>
      <c r="K60" s="64"/>
      <c r="L60" s="64"/>
      <c r="M60" s="64"/>
      <c r="N60" s="64"/>
      <c r="O60" s="155"/>
      <c r="P60" s="1"/>
    </row>
    <row r="61" spans="1:16" ht="15">
      <c r="A61" s="57" t="s">
        <v>69</v>
      </c>
      <c r="B61" s="51" t="s">
        <v>66</v>
      </c>
      <c r="C61" s="58" t="s">
        <v>270</v>
      </c>
      <c r="D61" s="129">
        <f>(0.78+0.83)*6*839.8</f>
        <v>8112.468</v>
      </c>
      <c r="E61" s="46"/>
      <c r="F61" s="53"/>
      <c r="G61" s="1"/>
      <c r="H61" s="49"/>
      <c r="I61" s="49"/>
      <c r="J61" s="64"/>
      <c r="K61" s="64"/>
      <c r="L61" s="64"/>
      <c r="M61" s="64"/>
      <c r="N61" s="64"/>
      <c r="O61" s="155"/>
      <c r="P61" s="1"/>
    </row>
    <row r="62" spans="1:16" ht="15">
      <c r="A62" s="57" t="s">
        <v>71</v>
      </c>
      <c r="B62" s="51" t="s">
        <v>66</v>
      </c>
      <c r="C62" s="58" t="s">
        <v>271</v>
      </c>
      <c r="D62" s="129">
        <f>(5.37+5.69)*6*3420.3</f>
        <v>226971.108</v>
      </c>
      <c r="E62" s="46"/>
      <c r="F62" s="53"/>
      <c r="G62" s="1"/>
      <c r="H62" s="49"/>
      <c r="I62" s="49"/>
      <c r="J62" s="64"/>
      <c r="K62" s="64"/>
      <c r="L62" s="64"/>
      <c r="M62" s="64"/>
      <c r="N62" s="64"/>
      <c r="O62" s="155"/>
      <c r="P62" s="1"/>
    </row>
    <row r="63" spans="1:16" ht="15">
      <c r="A63" s="42" t="s">
        <v>73</v>
      </c>
      <c r="B63" s="51" t="s">
        <v>66</v>
      </c>
      <c r="C63" s="56" t="s">
        <v>272</v>
      </c>
      <c r="D63" s="129">
        <f>(2+2.12)*6*4260.1</f>
        <v>105309.672</v>
      </c>
      <c r="E63" s="46"/>
      <c r="F63" s="53"/>
      <c r="G63" s="1"/>
      <c r="H63" s="49"/>
      <c r="I63" s="49"/>
      <c r="J63" s="64" t="s">
        <v>37</v>
      </c>
      <c r="K63" s="64"/>
      <c r="L63" s="64"/>
      <c r="M63" s="64"/>
      <c r="N63" s="64" t="s">
        <v>37</v>
      </c>
      <c r="O63" s="155"/>
      <c r="P63" s="1"/>
    </row>
    <row r="64" spans="1:16" ht="15.75">
      <c r="A64" s="59" t="s">
        <v>75</v>
      </c>
      <c r="B64" s="60"/>
      <c r="C64" s="61"/>
      <c r="D64" s="62">
        <f>SUM(D52:D63)</f>
        <v>1040957.792</v>
      </c>
      <c r="E64" s="63">
        <f>D64+B20</f>
        <v>1159814.582</v>
      </c>
      <c r="F64" s="49"/>
      <c r="G64" s="1"/>
      <c r="H64" s="166">
        <f>E64-B19</f>
        <v>81780.00199999986</v>
      </c>
      <c r="I64" s="49" t="s">
        <v>273</v>
      </c>
      <c r="J64" s="64"/>
      <c r="K64" s="64"/>
      <c r="L64" s="64"/>
      <c r="M64" s="64"/>
      <c r="N64" s="64"/>
      <c r="O64" s="155"/>
      <c r="P64" s="1"/>
    </row>
    <row r="65" spans="1:13" ht="16.5" customHeight="1">
      <c r="A65" s="202" t="s">
        <v>76</v>
      </c>
      <c r="B65" s="202"/>
      <c r="C65" s="202"/>
      <c r="D65" s="65">
        <f>D66+D67+D68+D69+D70+D71+D72</f>
        <v>40640.189999999995</v>
      </c>
      <c r="E65" s="66"/>
      <c r="F65" s="1"/>
      <c r="G65" s="1"/>
      <c r="H65" s="1">
        <f>81780-81524.57</f>
        <v>255.42999999999302</v>
      </c>
      <c r="I65" s="1"/>
      <c r="J65" s="155"/>
      <c r="K65" s="155"/>
      <c r="L65" s="155"/>
      <c r="M65" s="155"/>
    </row>
    <row r="66" spans="1:13" ht="13.5" customHeight="1">
      <c r="A66" s="67" t="s">
        <v>274</v>
      </c>
      <c r="B66" s="68"/>
      <c r="C66" s="69"/>
      <c r="D66" s="65">
        <v>13935.35</v>
      </c>
      <c r="E66" s="154"/>
      <c r="F66" s="99"/>
      <c r="G66" s="99"/>
      <c r="H66" s="99"/>
      <c r="I66" s="99"/>
      <c r="J66" s="155"/>
      <c r="K66" s="155"/>
      <c r="L66" s="155"/>
      <c r="M66" s="155"/>
    </row>
    <row r="67" spans="1:13" ht="13.5" customHeight="1">
      <c r="A67" s="67" t="s">
        <v>275</v>
      </c>
      <c r="B67" s="68"/>
      <c r="C67" s="69"/>
      <c r="D67" s="65">
        <v>2277.79</v>
      </c>
      <c r="E67" s="66"/>
      <c r="F67" s="1"/>
      <c r="G67" s="1"/>
      <c r="H67" s="1"/>
      <c r="I67" s="1"/>
      <c r="J67" s="155"/>
      <c r="K67" s="155"/>
      <c r="L67" s="155"/>
      <c r="M67" s="155"/>
    </row>
    <row r="68" spans="1:5" ht="13.5" customHeight="1">
      <c r="A68" s="67" t="s">
        <v>176</v>
      </c>
      <c r="B68" s="68"/>
      <c r="C68" s="69"/>
      <c r="D68" s="65">
        <v>16380.09</v>
      </c>
      <c r="E68" s="167"/>
    </row>
    <row r="69" spans="1:5" ht="13.5" customHeight="1">
      <c r="A69" s="67" t="s">
        <v>276</v>
      </c>
      <c r="B69" s="68"/>
      <c r="C69" s="69"/>
      <c r="D69" s="65">
        <v>4041.84</v>
      </c>
      <c r="E69" s="167"/>
    </row>
    <row r="70" spans="1:5" ht="13.5" customHeight="1">
      <c r="A70" s="67" t="s">
        <v>277</v>
      </c>
      <c r="B70" s="68"/>
      <c r="C70" s="69"/>
      <c r="D70" s="65">
        <v>907</v>
      </c>
      <c r="E70" s="167"/>
    </row>
    <row r="71" spans="1:5" ht="13.5" customHeight="1">
      <c r="A71" s="67" t="s">
        <v>278</v>
      </c>
      <c r="B71" s="68"/>
      <c r="C71" s="69"/>
      <c r="D71" s="65">
        <v>421.06</v>
      </c>
      <c r="E71" s="167"/>
    </row>
    <row r="72" spans="1:5" ht="13.5" customHeight="1">
      <c r="A72" s="67" t="s">
        <v>279</v>
      </c>
      <c r="B72" s="68"/>
      <c r="C72" s="69"/>
      <c r="D72" s="65">
        <v>2677.06</v>
      </c>
      <c r="E72" s="167"/>
    </row>
    <row r="73" spans="1:8" ht="19.5" customHeight="1">
      <c r="A73" s="73" t="s">
        <v>90</v>
      </c>
      <c r="B73" s="74"/>
      <c r="C73" s="75"/>
      <c r="D73" s="65">
        <f>D64+D65</f>
        <v>1081597.982</v>
      </c>
      <c r="E73" s="167"/>
      <c r="H73" t="s">
        <v>37</v>
      </c>
    </row>
    <row r="74" spans="1:5" ht="21.75" customHeight="1">
      <c r="A74" s="73" t="s">
        <v>173</v>
      </c>
      <c r="B74" s="71"/>
      <c r="C74" s="72"/>
      <c r="D74" s="65">
        <f>D75</f>
        <v>0</v>
      </c>
      <c r="E74" s="167"/>
    </row>
    <row r="75" spans="1:5" ht="13.5" customHeight="1">
      <c r="A75" s="70"/>
      <c r="B75" s="71"/>
      <c r="C75" s="72"/>
      <c r="D75" s="76">
        <v>0</v>
      </c>
      <c r="E75" s="167"/>
    </row>
    <row r="76" spans="1:5" ht="18" customHeight="1">
      <c r="A76" s="217" t="s">
        <v>93</v>
      </c>
      <c r="B76" s="217"/>
      <c r="C76" s="217"/>
      <c r="D76" s="119">
        <v>1036.8</v>
      </c>
      <c r="E76" s="167"/>
    </row>
    <row r="77" spans="1:5" ht="18" customHeight="1">
      <c r="A77" s="118" t="s">
        <v>94</v>
      </c>
      <c r="B77" s="118"/>
      <c r="C77" s="118"/>
      <c r="D77" s="119">
        <v>3520</v>
      </c>
      <c r="E77" s="167"/>
    </row>
    <row r="78" spans="1:8" ht="25.5" customHeight="1">
      <c r="A78" s="215" t="s">
        <v>95</v>
      </c>
      <c r="B78" s="215"/>
      <c r="C78" s="215"/>
      <c r="D78" s="120">
        <f>D79+D80</f>
        <v>-50651.42999999997</v>
      </c>
      <c r="E78" s="167"/>
      <c r="H78" s="168"/>
    </row>
    <row r="79" spans="1:5" ht="15">
      <c r="A79" s="121" t="s">
        <v>96</v>
      </c>
      <c r="B79" s="122"/>
      <c r="C79" s="123"/>
      <c r="D79" s="124">
        <f>B15+B20+D76+D77-D65</f>
        <v>49340.63000000003</v>
      </c>
      <c r="E79" s="167"/>
    </row>
    <row r="80" spans="1:5" ht="15">
      <c r="A80" s="122" t="s">
        <v>15</v>
      </c>
      <c r="B80" s="122"/>
      <c r="C80" s="123"/>
      <c r="D80" s="124">
        <f>B16+B23-D74</f>
        <v>-99992.06</v>
      </c>
      <c r="E80" s="167"/>
    </row>
    <row r="81" spans="1:5" ht="13.5" customHeight="1">
      <c r="A81" s="216" t="s">
        <v>97</v>
      </c>
      <c r="B81" s="216"/>
      <c r="C81" s="216"/>
      <c r="D81" s="125">
        <v>376758.34</v>
      </c>
      <c r="E81" s="167"/>
    </row>
    <row r="82" spans="1:4" ht="15">
      <c r="A82" s="208" t="s">
        <v>18</v>
      </c>
      <c r="B82" s="208"/>
      <c r="C82" s="208"/>
      <c r="D82" s="86"/>
    </row>
    <row r="83" spans="1:4" ht="13.5" customHeight="1">
      <c r="A83" s="208" t="s">
        <v>22</v>
      </c>
      <c r="B83" s="208"/>
      <c r="C83" s="208"/>
      <c r="D83" s="86">
        <f>D81*B19/B17</f>
        <v>109914.31310303281</v>
      </c>
    </row>
    <row r="84" spans="1:4" ht="13.5" customHeight="1">
      <c r="A84" s="208" t="s">
        <v>41</v>
      </c>
      <c r="B84" s="208"/>
      <c r="C84" s="208"/>
      <c r="D84" s="86">
        <f>D81*B23/B17</f>
        <v>11068.729996922924</v>
      </c>
    </row>
    <row r="85" spans="1:4" ht="13.5" customHeight="1">
      <c r="A85" s="208" t="s">
        <v>30</v>
      </c>
      <c r="B85" s="208"/>
      <c r="C85" s="208"/>
      <c r="D85" s="86">
        <f>D87+D88+D89+D90</f>
        <v>254862.88442759117</v>
      </c>
    </row>
    <row r="86" spans="1:4" ht="15">
      <c r="A86" s="208" t="s">
        <v>18</v>
      </c>
      <c r="B86" s="208"/>
      <c r="C86" s="208"/>
      <c r="D86" s="86"/>
    </row>
    <row r="87" spans="1:4" ht="13.5" customHeight="1">
      <c r="A87" s="208" t="s">
        <v>32</v>
      </c>
      <c r="B87" s="208"/>
      <c r="C87" s="208"/>
      <c r="D87" s="86">
        <f>D81*B28/B17</f>
        <v>15795.394468906112</v>
      </c>
    </row>
    <row r="88" spans="1:4" ht="15">
      <c r="A88" s="208" t="s">
        <v>33</v>
      </c>
      <c r="B88" s="208"/>
      <c r="C88" s="208"/>
      <c r="D88" s="86">
        <f>D81*B29/B17</f>
        <v>35193.643137374194</v>
      </c>
    </row>
    <row r="89" spans="1:4" ht="15" customHeight="1">
      <c r="A89" s="208" t="s">
        <v>34</v>
      </c>
      <c r="B89" s="208"/>
      <c r="C89" s="208"/>
      <c r="D89" s="86">
        <f>D81*B30/B17</f>
        <v>149967.4108881797</v>
      </c>
    </row>
    <row r="90" spans="1:4" ht="15" customHeight="1">
      <c r="A90" s="208" t="s">
        <v>35</v>
      </c>
      <c r="B90" s="208"/>
      <c r="C90" s="208"/>
      <c r="D90" s="86">
        <f>D81*B31/B17</f>
        <v>53906.43593313117</v>
      </c>
    </row>
    <row r="91" spans="1:4" ht="15">
      <c r="A91" s="208" t="s">
        <v>36</v>
      </c>
      <c r="B91" s="208"/>
      <c r="C91" s="208"/>
      <c r="D91" s="86"/>
    </row>
    <row r="92" spans="1:4" ht="25.5" customHeight="1">
      <c r="A92" s="209" t="s">
        <v>98</v>
      </c>
      <c r="B92" s="209"/>
      <c r="C92" s="209"/>
      <c r="D92" s="209"/>
    </row>
    <row r="93" spans="1:4" ht="38.25">
      <c r="A93" s="87" t="s">
        <v>99</v>
      </c>
      <c r="B93" s="6" t="s">
        <v>100</v>
      </c>
      <c r="C93" s="6" t="s">
        <v>280</v>
      </c>
      <c r="D93" s="87" t="s">
        <v>102</v>
      </c>
    </row>
    <row r="94" spans="1:4" ht="12.75" customHeight="1">
      <c r="A94" s="88" t="s">
        <v>103</v>
      </c>
      <c r="B94" s="211" t="s">
        <v>104</v>
      </c>
      <c r="C94" s="25" t="s">
        <v>264</v>
      </c>
      <c r="D94" s="90" t="s">
        <v>105</v>
      </c>
    </row>
    <row r="95" spans="1:4" ht="12.75" customHeight="1">
      <c r="A95" s="88" t="s">
        <v>106</v>
      </c>
      <c r="B95" s="211"/>
      <c r="C95" s="25" t="s">
        <v>265</v>
      </c>
      <c r="D95" s="90" t="s">
        <v>105</v>
      </c>
    </row>
    <row r="96" spans="1:4" ht="12.75">
      <c r="A96" s="42" t="s">
        <v>41</v>
      </c>
      <c r="B96" s="211"/>
      <c r="C96" s="91">
        <v>2.7</v>
      </c>
      <c r="D96" s="92" t="s">
        <v>105</v>
      </c>
    </row>
    <row r="97" spans="1:4" ht="19.5" customHeight="1">
      <c r="A97" s="42" t="s">
        <v>32</v>
      </c>
      <c r="B97" s="212" t="s">
        <v>107</v>
      </c>
      <c r="C97" s="93" t="s">
        <v>108</v>
      </c>
      <c r="D97" s="192" t="s">
        <v>392</v>
      </c>
    </row>
    <row r="98" spans="1:4" ht="22.5" customHeight="1">
      <c r="A98" s="42" t="s">
        <v>33</v>
      </c>
      <c r="B98" s="212"/>
      <c r="C98" s="93" t="s">
        <v>110</v>
      </c>
      <c r="D98" s="192" t="s">
        <v>392</v>
      </c>
    </row>
    <row r="99" spans="1:4" ht="39.75" customHeight="1">
      <c r="A99" s="42" t="s">
        <v>34</v>
      </c>
      <c r="B99" s="94" t="s">
        <v>111</v>
      </c>
      <c r="C99" s="93" t="s">
        <v>112</v>
      </c>
      <c r="D99" s="92" t="s">
        <v>113</v>
      </c>
    </row>
    <row r="100" spans="1:8" ht="39" customHeight="1">
      <c r="A100" s="42" t="s">
        <v>35</v>
      </c>
      <c r="B100" s="95" t="s">
        <v>114</v>
      </c>
      <c r="C100" s="93" t="s">
        <v>115</v>
      </c>
      <c r="D100" s="92" t="s">
        <v>109</v>
      </c>
      <c r="H100" t="s">
        <v>37</v>
      </c>
    </row>
    <row r="101" ht="12.75">
      <c r="H101" t="s">
        <v>37</v>
      </c>
    </row>
    <row r="102" ht="12.75">
      <c r="A102" t="s">
        <v>116</v>
      </c>
    </row>
    <row r="104" ht="12.75">
      <c r="A104" t="s">
        <v>117</v>
      </c>
    </row>
  </sheetData>
  <sheetProtection selectLockedCells="1" selectUnlockedCells="1"/>
  <mergeCells count="23">
    <mergeCell ref="A90:C90"/>
    <mergeCell ref="A91:C91"/>
    <mergeCell ref="A92:D92"/>
    <mergeCell ref="B94:B96"/>
    <mergeCell ref="B97:B98"/>
    <mergeCell ref="A84:C84"/>
    <mergeCell ref="A85:C85"/>
    <mergeCell ref="A86:C86"/>
    <mergeCell ref="A87:C87"/>
    <mergeCell ref="A88:C88"/>
    <mergeCell ref="A89:C89"/>
    <mergeCell ref="A65:C65"/>
    <mergeCell ref="A76:C76"/>
    <mergeCell ref="A78:C78"/>
    <mergeCell ref="A81:C81"/>
    <mergeCell ref="A82:C82"/>
    <mergeCell ref="A83:C8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01"/>
  <sheetViews>
    <sheetView zoomScale="80" zoomScaleNormal="80" zoomScalePageLayoutView="0" workbookViewId="0" topLeftCell="A1">
      <selection activeCell="E1" sqref="E1"/>
    </sheetView>
  </sheetViews>
  <sheetFormatPr defaultColWidth="11.57421875" defaultRowHeight="12.75"/>
  <cols>
    <col min="1" max="1" width="58.57421875" style="0" customWidth="1"/>
    <col min="2" max="2" width="31.421875" style="0" customWidth="1"/>
    <col min="3" max="3" width="24.8515625" style="0" customWidth="1"/>
    <col min="4" max="4" width="18.8515625" style="0" customWidth="1"/>
    <col min="5" max="5" width="16.8515625" style="1" customWidth="1"/>
    <col min="6" max="7" width="0" style="1" hidden="1" customWidth="1"/>
    <col min="8" max="8" width="10.8515625" style="1" customWidth="1"/>
    <col min="9" max="20" width="10.7109375" style="1" customWidth="1"/>
    <col min="21" max="30" width="10.7109375" style="0" customWidth="1"/>
  </cols>
  <sheetData>
    <row r="1" spans="1:4" ht="18">
      <c r="A1" s="198" t="s">
        <v>0</v>
      </c>
      <c r="B1" s="198"/>
      <c r="C1" s="198"/>
      <c r="D1" s="198"/>
    </row>
    <row r="2" spans="1:4" ht="15.75">
      <c r="A2" s="199" t="s">
        <v>1</v>
      </c>
      <c r="B2" s="199"/>
      <c r="C2" s="199"/>
      <c r="D2" s="199"/>
    </row>
    <row r="3" spans="1:4" ht="15.75">
      <c r="A3" s="199" t="s">
        <v>2</v>
      </c>
      <c r="B3" s="199"/>
      <c r="C3" s="199"/>
      <c r="D3" s="199"/>
    </row>
    <row r="4" spans="1:4" ht="12.75">
      <c r="A4" s="200" t="s">
        <v>281</v>
      </c>
      <c r="B4" s="200"/>
      <c r="C4" s="200"/>
      <c r="D4" s="200"/>
    </row>
    <row r="5" spans="1:4" ht="12.75">
      <c r="A5" s="200" t="s">
        <v>4</v>
      </c>
      <c r="B5" s="200"/>
      <c r="C5" s="200"/>
      <c r="D5" s="200"/>
    </row>
    <row r="6" ht="9" customHeight="1">
      <c r="A6" s="2"/>
    </row>
    <row r="7" spans="1:4" ht="36.75" customHeight="1">
      <c r="A7" s="201" t="s">
        <v>282</v>
      </c>
      <c r="B7" s="201"/>
      <c r="C7" s="201"/>
      <c r="D7" s="201"/>
    </row>
    <row r="8" ht="12.75">
      <c r="A8" s="3" t="s">
        <v>6</v>
      </c>
    </row>
    <row r="9" ht="12.75">
      <c r="A9" s="3" t="s">
        <v>7</v>
      </c>
    </row>
    <row r="10" ht="12.75">
      <c r="A10" s="3"/>
    </row>
    <row r="11" spans="1:3" ht="12.75">
      <c r="A11" s="2"/>
      <c r="C11" s="4" t="s">
        <v>8</v>
      </c>
    </row>
    <row r="12" spans="1:4" ht="38.25">
      <c r="A12" s="5" t="s">
        <v>9</v>
      </c>
      <c r="B12" s="5" t="s">
        <v>10</v>
      </c>
      <c r="C12" s="5" t="s">
        <v>11</v>
      </c>
      <c r="D12" s="6"/>
    </row>
    <row r="13" spans="1:4" ht="12.75">
      <c r="A13" s="7">
        <v>1</v>
      </c>
      <c r="B13" s="7">
        <v>2</v>
      </c>
      <c r="C13" s="7">
        <v>3</v>
      </c>
      <c r="D13" s="8">
        <v>4</v>
      </c>
    </row>
    <row r="14" spans="1:4" ht="36.75" customHeight="1">
      <c r="A14" s="9" t="s">
        <v>13</v>
      </c>
      <c r="B14" s="10">
        <f>B15+B16</f>
        <v>-3520.8699999999953</v>
      </c>
      <c r="C14" s="96"/>
      <c r="D14" s="12"/>
    </row>
    <row r="15" spans="1:4" ht="15.75">
      <c r="A15" s="13" t="s">
        <v>14</v>
      </c>
      <c r="B15" s="10">
        <v>98291.99</v>
      </c>
      <c r="C15" s="96"/>
      <c r="D15" s="12"/>
    </row>
    <row r="16" spans="1:4" ht="15.75">
      <c r="A16" s="14" t="s">
        <v>15</v>
      </c>
      <c r="B16" s="10">
        <v>-101812.86</v>
      </c>
      <c r="C16" s="96"/>
      <c r="D16" s="12"/>
    </row>
    <row r="17" spans="1:20" ht="31.5">
      <c r="A17" s="15" t="s">
        <v>16</v>
      </c>
      <c r="B17" s="97">
        <f>B19+B21+B22+B23+B24</f>
        <v>3378322.8099999996</v>
      </c>
      <c r="C17" s="11" t="s">
        <v>17</v>
      </c>
      <c r="D17" s="12" t="s">
        <v>17</v>
      </c>
      <c r="E17" s="22" t="s">
        <v>283</v>
      </c>
      <c r="H17" s="32">
        <v>1</v>
      </c>
      <c r="I17" s="32">
        <v>2</v>
      </c>
      <c r="J17" s="32">
        <v>3</v>
      </c>
      <c r="K17" s="32">
        <v>4</v>
      </c>
      <c r="L17" s="32">
        <v>5</v>
      </c>
      <c r="M17" s="32">
        <v>6</v>
      </c>
      <c r="N17" s="32"/>
      <c r="O17" s="32">
        <v>7</v>
      </c>
      <c r="P17" s="32">
        <v>8</v>
      </c>
      <c r="Q17" s="32">
        <v>9</v>
      </c>
      <c r="R17" s="32">
        <v>10</v>
      </c>
      <c r="S17" s="32">
        <v>11</v>
      </c>
      <c r="T17" s="32">
        <v>12</v>
      </c>
    </row>
    <row r="18" spans="1:20" ht="15">
      <c r="A18" s="7" t="s">
        <v>18</v>
      </c>
      <c r="B18" s="16"/>
      <c r="C18" s="11"/>
      <c r="D18" s="12"/>
      <c r="E18" s="169">
        <v>336249.5</v>
      </c>
      <c r="H18" s="1">
        <v>57587.78000000003</v>
      </c>
      <c r="I18" s="1">
        <v>56708.25</v>
      </c>
      <c r="J18" s="1">
        <v>56708.25</v>
      </c>
      <c r="K18" s="1">
        <v>56708.25</v>
      </c>
      <c r="L18" s="1">
        <v>52708.25</v>
      </c>
      <c r="M18" s="1">
        <v>56708.25</v>
      </c>
      <c r="N18" s="1">
        <f>SUM(H18:M18)</f>
        <v>337129.03</v>
      </c>
      <c r="O18" s="1">
        <v>61126.6</v>
      </c>
      <c r="P18" s="1">
        <v>65126.6</v>
      </c>
      <c r="Q18" s="1">
        <v>65126.6</v>
      </c>
      <c r="R18" s="1">
        <v>65126.6</v>
      </c>
      <c r="S18" s="1">
        <v>65126.6</v>
      </c>
      <c r="T18" s="1">
        <v>65126.6</v>
      </c>
    </row>
    <row r="19" spans="1:20" ht="15">
      <c r="A19" s="7" t="s">
        <v>22</v>
      </c>
      <c r="B19" s="97">
        <v>723009.1</v>
      </c>
      <c r="C19" s="144" t="s">
        <v>284</v>
      </c>
      <c r="D19" s="12"/>
      <c r="E19" s="1">
        <f>13.75*6*4188.2</f>
        <v>345526.5</v>
      </c>
      <c r="H19" s="1">
        <f>E19/6</f>
        <v>57587.75</v>
      </c>
      <c r="I19" s="1">
        <v>57587.75</v>
      </c>
      <c r="J19" s="1">
        <v>57587.75</v>
      </c>
      <c r="K19" s="1">
        <v>57587.75</v>
      </c>
      <c r="L19" s="1">
        <v>57587.75</v>
      </c>
      <c r="M19" s="1">
        <v>57587.75</v>
      </c>
      <c r="N19" s="1">
        <f>SUM(H19:M19)</f>
        <v>345526.5</v>
      </c>
      <c r="O19" s="1">
        <f aca="true" t="shared" si="0" ref="O19:T19">15.55*4188.2</f>
        <v>65126.51</v>
      </c>
      <c r="P19" s="1">
        <f t="shared" si="0"/>
        <v>65126.51</v>
      </c>
      <c r="Q19" s="1">
        <f t="shared" si="0"/>
        <v>65126.51</v>
      </c>
      <c r="R19" s="1">
        <f t="shared" si="0"/>
        <v>65126.51</v>
      </c>
      <c r="S19" s="1">
        <f t="shared" si="0"/>
        <v>65126.51</v>
      </c>
      <c r="T19" s="1">
        <f t="shared" si="0"/>
        <v>65126.51</v>
      </c>
    </row>
    <row r="20" spans="1:5" ht="15">
      <c r="A20" s="7" t="s">
        <v>285</v>
      </c>
      <c r="B20" s="97">
        <v>131425.72</v>
      </c>
      <c r="C20" s="25" t="s">
        <v>286</v>
      </c>
      <c r="D20" s="19"/>
      <c r="E20" s="1">
        <f>(2.43+2.8)*6*4188.2</f>
        <v>131425.71600000001</v>
      </c>
    </row>
    <row r="21" spans="1:20" ht="15.75">
      <c r="A21" s="131" t="s">
        <v>159</v>
      </c>
      <c r="B21" s="101">
        <v>104632.56</v>
      </c>
      <c r="C21" s="21">
        <v>2.7</v>
      </c>
      <c r="D21" s="19"/>
      <c r="E21" s="17">
        <f>E19-E18</f>
        <v>9277</v>
      </c>
      <c r="H21" s="1">
        <f>H19-H18</f>
        <v>-0.030000000027939677</v>
      </c>
      <c r="I21" s="1">
        <f aca="true" t="shared" si="1" ref="I21:T21">I19-I18</f>
        <v>879.5</v>
      </c>
      <c r="J21" s="1">
        <f t="shared" si="1"/>
        <v>879.5</v>
      </c>
      <c r="K21" s="1">
        <f t="shared" si="1"/>
        <v>879.5</v>
      </c>
      <c r="L21" s="1">
        <f t="shared" si="1"/>
        <v>4879.5</v>
      </c>
      <c r="M21" s="1">
        <f t="shared" si="1"/>
        <v>879.5</v>
      </c>
      <c r="N21" s="1">
        <f>SUM(H21:M21)</f>
        <v>8397.469999999972</v>
      </c>
      <c r="O21" s="1">
        <f t="shared" si="1"/>
        <v>3999.9100000000035</v>
      </c>
      <c r="P21" s="1">
        <f t="shared" si="1"/>
        <v>-0.08999999999650754</v>
      </c>
      <c r="Q21" s="1">
        <f t="shared" si="1"/>
        <v>-0.08999999999650754</v>
      </c>
      <c r="R21" s="1">
        <f t="shared" si="1"/>
        <v>-0.08999999999650754</v>
      </c>
      <c r="S21" s="1">
        <f t="shared" si="1"/>
        <v>-0.08999999999650754</v>
      </c>
      <c r="T21" s="1">
        <f t="shared" si="1"/>
        <v>-0.08999999999650754</v>
      </c>
    </row>
    <row r="22" spans="1:15" ht="15.75">
      <c r="A22" s="7" t="s">
        <v>20</v>
      </c>
      <c r="B22" s="97">
        <v>1551.06</v>
      </c>
      <c r="C22" s="18" t="s">
        <v>126</v>
      </c>
      <c r="D22" s="19"/>
      <c r="E22" s="22"/>
      <c r="L22" s="170">
        <v>4000</v>
      </c>
      <c r="O22" s="170">
        <v>4000</v>
      </c>
    </row>
    <row r="23" spans="1:5" ht="15">
      <c r="A23" s="7" t="s">
        <v>19</v>
      </c>
      <c r="B23" s="97">
        <v>12958.49</v>
      </c>
      <c r="C23" s="18"/>
      <c r="D23" s="19"/>
      <c r="E23" s="22"/>
    </row>
    <row r="24" spans="1:4" ht="15">
      <c r="A24" s="7" t="s">
        <v>30</v>
      </c>
      <c r="B24" s="97">
        <f>B26+B27+B28+B29</f>
        <v>2536171.5999999996</v>
      </c>
      <c r="C24" s="18" t="s">
        <v>17</v>
      </c>
      <c r="D24" s="19"/>
    </row>
    <row r="25" spans="1:5" ht="15">
      <c r="A25" s="7" t="s">
        <v>18</v>
      </c>
      <c r="B25" s="16"/>
      <c r="C25" s="18"/>
      <c r="D25" s="19"/>
      <c r="E25" s="22">
        <f>B25/B17*1</f>
        <v>0</v>
      </c>
    </row>
    <row r="26" spans="1:16" ht="15">
      <c r="A26" s="7" t="s">
        <v>32</v>
      </c>
      <c r="B26" s="97">
        <v>171260.33</v>
      </c>
      <c r="C26" s="24" t="s">
        <v>17</v>
      </c>
      <c r="D26" s="19" t="s">
        <v>31</v>
      </c>
      <c r="P26" s="1" t="s">
        <v>37</v>
      </c>
    </row>
    <row r="27" spans="1:4" ht="15">
      <c r="A27" s="7" t="s">
        <v>33</v>
      </c>
      <c r="B27" s="97">
        <v>370207.47</v>
      </c>
      <c r="C27" s="24" t="s">
        <v>17</v>
      </c>
      <c r="D27" s="19"/>
    </row>
    <row r="28" spans="1:5" ht="15">
      <c r="A28" s="7" t="s">
        <v>34</v>
      </c>
      <c r="B28" s="97">
        <v>1446049.5</v>
      </c>
      <c r="C28" s="133"/>
      <c r="D28" s="26">
        <v>65.21</v>
      </c>
      <c r="E28" s="22">
        <f>B28/B17*1</f>
        <v>0.42803769246669476</v>
      </c>
    </row>
    <row r="29" spans="1:5" ht="15">
      <c r="A29" s="7" t="s">
        <v>35</v>
      </c>
      <c r="B29" s="97">
        <v>548654.3</v>
      </c>
      <c r="C29" s="24" t="s">
        <v>17</v>
      </c>
      <c r="D29" s="26">
        <v>119.63</v>
      </c>
      <c r="E29" s="22">
        <f>B29/B17*1</f>
        <v>0.16240434406562826</v>
      </c>
    </row>
    <row r="30" spans="1:5" ht="15">
      <c r="A30" s="7" t="s">
        <v>36</v>
      </c>
      <c r="B30" s="16"/>
      <c r="C30" s="24" t="s">
        <v>17</v>
      </c>
      <c r="D30" s="26"/>
      <c r="E30" s="22">
        <f>B30/B17*1</f>
        <v>0</v>
      </c>
    </row>
    <row r="31" spans="1:5" ht="15">
      <c r="A31" s="7"/>
      <c r="B31" s="16"/>
      <c r="C31" s="24" t="s">
        <v>17</v>
      </c>
      <c r="D31" s="26">
        <v>139.18</v>
      </c>
      <c r="E31" s="22">
        <f>B31/B17*1</f>
        <v>0</v>
      </c>
    </row>
    <row r="32" spans="1:5" ht="31.5">
      <c r="A32" s="27" t="s">
        <v>38</v>
      </c>
      <c r="B32" s="28">
        <v>3298831.29</v>
      </c>
      <c r="C32" s="96"/>
      <c r="D32" s="12" t="s">
        <v>17</v>
      </c>
      <c r="E32" s="1">
        <f>B32/B17</f>
        <v>0.976470123054937</v>
      </c>
    </row>
    <row r="33" spans="1:4" ht="15">
      <c r="A33" s="30" t="s">
        <v>18</v>
      </c>
      <c r="B33" s="28"/>
      <c r="C33" s="96"/>
      <c r="D33" s="12" t="s">
        <v>17</v>
      </c>
    </row>
    <row r="34" spans="1:4" ht="15">
      <c r="A34" s="30" t="s">
        <v>22</v>
      </c>
      <c r="B34" s="28">
        <f>B19*E32</f>
        <v>705996.7848468393</v>
      </c>
      <c r="C34" s="96" t="s">
        <v>17</v>
      </c>
      <c r="D34" s="12" t="s">
        <v>17</v>
      </c>
    </row>
    <row r="35" spans="1:4" ht="15">
      <c r="A35" s="30" t="s">
        <v>41</v>
      </c>
      <c r="B35" s="28">
        <f>B21*E32</f>
        <v>102170.56873875308</v>
      </c>
      <c r="C35" s="96" t="s">
        <v>17</v>
      </c>
      <c r="D35" s="12"/>
    </row>
    <row r="36" spans="1:4" ht="15">
      <c r="A36" s="30" t="s">
        <v>30</v>
      </c>
      <c r="B36" s="28">
        <f>B38+B39+B40+B41</f>
        <v>2476495.7943404363</v>
      </c>
      <c r="C36" s="96"/>
      <c r="D36" s="12"/>
    </row>
    <row r="37" spans="1:4" ht="15">
      <c r="A37" s="30" t="s">
        <v>18</v>
      </c>
      <c r="B37" s="28"/>
      <c r="C37" s="96"/>
      <c r="D37" s="12"/>
    </row>
    <row r="38" spans="1:4" ht="15">
      <c r="A38" s="30" t="s">
        <v>32</v>
      </c>
      <c r="B38" s="28">
        <f>B26*E32</f>
        <v>167230.5955095291</v>
      </c>
      <c r="C38" s="96" t="s">
        <v>17</v>
      </c>
      <c r="D38" s="12"/>
    </row>
    <row r="39" spans="1:4" ht="15">
      <c r="A39" s="30" t="s">
        <v>33</v>
      </c>
      <c r="B39" s="28">
        <f>B27*E32</f>
        <v>361496.53378675686</v>
      </c>
      <c r="C39" s="96"/>
      <c r="D39" s="12"/>
    </row>
    <row r="40" spans="1:4" ht="15">
      <c r="A40" s="30" t="s">
        <v>34</v>
      </c>
      <c r="B40" s="28">
        <f>B28*E32</f>
        <v>1412024.13320853</v>
      </c>
      <c r="C40" s="96"/>
      <c r="D40" s="12"/>
    </row>
    <row r="41" spans="1:4" ht="15">
      <c r="A41" s="30" t="s">
        <v>35</v>
      </c>
      <c r="B41" s="28">
        <f>B29*E32</f>
        <v>535744.5318356203</v>
      </c>
      <c r="C41" s="96"/>
      <c r="D41" s="12"/>
    </row>
    <row r="42" spans="1:4" ht="15">
      <c r="A42" s="30" t="s">
        <v>36</v>
      </c>
      <c r="B42" s="28"/>
      <c r="C42" s="96" t="s">
        <v>17</v>
      </c>
      <c r="D42" s="12"/>
    </row>
    <row r="43" spans="1:4" ht="47.25">
      <c r="A43" s="31" t="s">
        <v>42</v>
      </c>
      <c r="B43" s="28">
        <f>B45+B46+B47+B48</f>
        <v>2476495.7943404363</v>
      </c>
      <c r="C43" s="96" t="s">
        <v>17</v>
      </c>
      <c r="D43" s="12" t="s">
        <v>17</v>
      </c>
    </row>
    <row r="44" spans="1:4" ht="15">
      <c r="A44" s="30" t="s">
        <v>18</v>
      </c>
      <c r="B44" s="28"/>
      <c r="C44" s="96" t="s">
        <v>17</v>
      </c>
      <c r="D44" s="12"/>
    </row>
    <row r="45" spans="1:4" ht="15">
      <c r="A45" s="30" t="s">
        <v>32</v>
      </c>
      <c r="B45" s="28">
        <f>B38</f>
        <v>167230.5955095291</v>
      </c>
      <c r="C45" s="96"/>
      <c r="D45" s="12"/>
    </row>
    <row r="46" spans="1:4" ht="15">
      <c r="A46" s="30" t="s">
        <v>33</v>
      </c>
      <c r="B46" s="28">
        <f>B39</f>
        <v>361496.53378675686</v>
      </c>
      <c r="C46" s="96" t="s">
        <v>17</v>
      </c>
      <c r="D46" s="12"/>
    </row>
    <row r="47" spans="1:4" ht="15">
      <c r="A47" s="30" t="s">
        <v>34</v>
      </c>
      <c r="B47" s="28">
        <f>B40</f>
        <v>1412024.13320853</v>
      </c>
      <c r="C47" s="96" t="s">
        <v>17</v>
      </c>
      <c r="D47" s="12"/>
    </row>
    <row r="48" spans="1:4" ht="15">
      <c r="A48" s="30" t="s">
        <v>35</v>
      </c>
      <c r="B48" s="28">
        <f>B41</f>
        <v>535744.5318356203</v>
      </c>
      <c r="C48" s="96" t="s">
        <v>17</v>
      </c>
      <c r="D48" s="12"/>
    </row>
    <row r="49" spans="1:4" ht="15">
      <c r="A49" s="33" t="s">
        <v>36</v>
      </c>
      <c r="B49" s="34"/>
      <c r="C49" s="103" t="s">
        <v>17</v>
      </c>
      <c r="D49" s="36"/>
    </row>
    <row r="50" spans="1:10" ht="31.5" customHeight="1">
      <c r="A50" s="37" t="s">
        <v>43</v>
      </c>
      <c r="B50" s="37"/>
      <c r="C50" s="128" t="s">
        <v>8</v>
      </c>
      <c r="D50" s="37"/>
      <c r="I50" s="32"/>
      <c r="J50" s="32"/>
    </row>
    <row r="51" spans="1:15" ht="63.75">
      <c r="A51" s="39" t="s">
        <v>44</v>
      </c>
      <c r="B51" s="39" t="s">
        <v>45</v>
      </c>
      <c r="C51" s="39" t="s">
        <v>46</v>
      </c>
      <c r="D51" s="191" t="s">
        <v>389</v>
      </c>
      <c r="E51" s="99"/>
      <c r="F51" s="99"/>
      <c r="G51" s="99"/>
      <c r="H51" s="99"/>
      <c r="I51" s="149"/>
      <c r="J51" s="149"/>
      <c r="K51" s="149"/>
      <c r="L51" s="149"/>
      <c r="M51" s="149"/>
      <c r="N51" s="149"/>
      <c r="O51" s="149"/>
    </row>
    <row r="52" spans="1:15" ht="15">
      <c r="A52" s="42" t="s">
        <v>48</v>
      </c>
      <c r="B52" s="43" t="s">
        <v>49</v>
      </c>
      <c r="C52" s="44" t="s">
        <v>50</v>
      </c>
      <c r="D52" s="129">
        <f>(0.23+0.35)*6*4188.2</f>
        <v>14574.935999999998</v>
      </c>
      <c r="E52" s="150"/>
      <c r="F52" s="151"/>
      <c r="G52" s="152"/>
      <c r="H52" s="99"/>
      <c r="I52" s="153"/>
      <c r="J52" s="153"/>
      <c r="K52" s="153"/>
      <c r="L52" s="153"/>
      <c r="M52" s="153"/>
      <c r="N52" s="153"/>
      <c r="O52" s="153"/>
    </row>
    <row r="53" spans="1:15" ht="15">
      <c r="A53" s="42" t="s">
        <v>51</v>
      </c>
      <c r="B53" s="43" t="s">
        <v>52</v>
      </c>
      <c r="C53" s="156" t="s">
        <v>53</v>
      </c>
      <c r="D53" s="129">
        <f>(2.1+2.23)*6*4188.2</f>
        <v>108809.436</v>
      </c>
      <c r="E53" s="150"/>
      <c r="F53" s="151"/>
      <c r="G53" s="152"/>
      <c r="H53" s="99"/>
      <c r="I53" s="153"/>
      <c r="J53" s="153"/>
      <c r="K53" s="153"/>
      <c r="L53" s="153"/>
      <c r="M53" s="153"/>
      <c r="N53" s="153"/>
      <c r="O53" s="153"/>
    </row>
    <row r="54" spans="1:15" ht="15">
      <c r="A54" s="42" t="s">
        <v>54</v>
      </c>
      <c r="B54" s="43" t="s">
        <v>52</v>
      </c>
      <c r="C54" s="156" t="s">
        <v>55</v>
      </c>
      <c r="D54" s="129">
        <f>(1.2+2.27)*6*4188.2</f>
        <v>87198.324</v>
      </c>
      <c r="E54" s="150"/>
      <c r="F54" s="151"/>
      <c r="G54" s="152"/>
      <c r="H54" s="99"/>
      <c r="I54" s="153"/>
      <c r="J54" s="153"/>
      <c r="K54" s="153"/>
      <c r="L54" s="153"/>
      <c r="M54" s="153"/>
      <c r="N54" s="153"/>
      <c r="O54" s="153"/>
    </row>
    <row r="55" spans="1:15" ht="15">
      <c r="A55" s="42" t="s">
        <v>56</v>
      </c>
      <c r="B55" s="43" t="s">
        <v>49</v>
      </c>
      <c r="C55" s="44" t="s">
        <v>129</v>
      </c>
      <c r="D55" s="129">
        <f>(0.2+0.21)*6*4188.2</f>
        <v>10302.972</v>
      </c>
      <c r="E55" s="150"/>
      <c r="F55" s="151"/>
      <c r="G55" s="152"/>
      <c r="H55" s="99"/>
      <c r="I55" s="153"/>
      <c r="J55" s="153"/>
      <c r="K55" s="153"/>
      <c r="L55" s="153"/>
      <c r="M55" s="153"/>
      <c r="N55" s="153"/>
      <c r="O55" s="153"/>
    </row>
    <row r="56" spans="1:15" ht="15">
      <c r="A56" s="42" t="s">
        <v>58</v>
      </c>
      <c r="B56" s="194" t="s">
        <v>49</v>
      </c>
      <c r="C56" s="55" t="s">
        <v>287</v>
      </c>
      <c r="D56" s="129">
        <f>24375.32+0.67</f>
        <v>24375.989999999998</v>
      </c>
      <c r="E56" s="46">
        <f>(0.68+0.5)*6*4188.2-0.21*6*4188.2</f>
        <v>24375.324</v>
      </c>
      <c r="F56" s="53"/>
      <c r="G56" s="54"/>
      <c r="H56" s="46"/>
      <c r="I56" s="49"/>
      <c r="J56" s="49"/>
      <c r="K56" s="49"/>
      <c r="L56" s="49"/>
      <c r="M56" s="49"/>
      <c r="N56" s="49"/>
      <c r="O56" s="49"/>
    </row>
    <row r="57" spans="1:15" ht="15">
      <c r="A57" s="42" t="s">
        <v>60</v>
      </c>
      <c r="B57" s="51" t="s">
        <v>49</v>
      </c>
      <c r="C57" s="55" t="s">
        <v>288</v>
      </c>
      <c r="D57" s="129">
        <f>(0.89+1.1)*6*4188.2</f>
        <v>50007.108</v>
      </c>
      <c r="E57" s="46"/>
      <c r="F57" s="53"/>
      <c r="G57" s="54"/>
      <c r="I57" s="49"/>
      <c r="J57" s="49"/>
      <c r="K57" s="49"/>
      <c r="L57" s="49"/>
      <c r="M57" s="49"/>
      <c r="N57" s="49"/>
      <c r="O57" s="49"/>
    </row>
    <row r="58" spans="1:15" ht="15">
      <c r="A58" s="42" t="s">
        <v>62</v>
      </c>
      <c r="B58" s="51" t="s">
        <v>63</v>
      </c>
      <c r="C58" s="52" t="s">
        <v>64</v>
      </c>
      <c r="D58" s="129">
        <f>(1.14+1.21)*6*4188.2</f>
        <v>59053.61999999999</v>
      </c>
      <c r="E58" s="46"/>
      <c r="F58" s="53"/>
      <c r="G58" s="54"/>
      <c r="I58" s="49"/>
      <c r="J58" s="49"/>
      <c r="K58" s="49"/>
      <c r="L58" s="49"/>
      <c r="M58" s="49"/>
      <c r="N58" s="49"/>
      <c r="O58" s="49"/>
    </row>
    <row r="59" spans="1:15" ht="15">
      <c r="A59" s="42" t="s">
        <v>65</v>
      </c>
      <c r="B59" s="51" t="s">
        <v>66</v>
      </c>
      <c r="C59" s="55">
        <v>4.88</v>
      </c>
      <c r="D59" s="129">
        <f>4.88*12*4188.2</f>
        <v>245260.992</v>
      </c>
      <c r="E59" s="46"/>
      <c r="F59" s="53"/>
      <c r="H59" s="49"/>
      <c r="I59" s="49"/>
      <c r="J59" s="49"/>
      <c r="K59" s="49"/>
      <c r="L59" s="49"/>
      <c r="M59" s="49"/>
      <c r="N59" s="49"/>
      <c r="O59" s="49"/>
    </row>
    <row r="60" spans="1:15" ht="15.75">
      <c r="A60" s="59" t="s">
        <v>75</v>
      </c>
      <c r="B60" s="60"/>
      <c r="C60" s="61"/>
      <c r="D60" s="62">
        <f>SUM(D52:D59)</f>
        <v>599583.378</v>
      </c>
      <c r="E60" s="63">
        <f>D60+B20</f>
        <v>731009.098</v>
      </c>
      <c r="F60" s="49"/>
      <c r="H60" s="166">
        <f>E60-B19</f>
        <v>7999.998000000021</v>
      </c>
      <c r="I60" s="49" t="s">
        <v>289</v>
      </c>
      <c r="J60" s="49"/>
      <c r="K60" s="49"/>
      <c r="L60" s="49"/>
      <c r="M60" s="49"/>
      <c r="N60" s="49"/>
      <c r="O60" s="49"/>
    </row>
    <row r="61" spans="1:15" ht="16.5" customHeight="1">
      <c r="A61" s="202" t="s">
        <v>76</v>
      </c>
      <c r="B61" s="202"/>
      <c r="C61" s="202"/>
      <c r="D61" s="65">
        <f>D62+D63+D64+D65+D66+D67+D68+D69+D70</f>
        <v>196305.97</v>
      </c>
      <c r="E61" s="154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13.5" customHeight="1">
      <c r="A62" s="67" t="s">
        <v>290</v>
      </c>
      <c r="B62" s="68"/>
      <c r="C62" s="69"/>
      <c r="D62" s="65">
        <v>1911.4</v>
      </c>
      <c r="E62" s="154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13.5" customHeight="1">
      <c r="A63" s="67" t="s">
        <v>291</v>
      </c>
      <c r="B63" s="68"/>
      <c r="C63" s="69"/>
      <c r="D63" s="65">
        <v>27588.4</v>
      </c>
      <c r="E63" s="154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1:15" ht="13.5" customHeight="1">
      <c r="A64" s="67" t="s">
        <v>292</v>
      </c>
      <c r="B64" s="68"/>
      <c r="C64" s="69"/>
      <c r="D64" s="65">
        <v>5768.57</v>
      </c>
      <c r="E64" s="154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1:15" ht="13.5" customHeight="1">
      <c r="A65" s="67" t="s">
        <v>293</v>
      </c>
      <c r="B65" s="68"/>
      <c r="C65" s="69"/>
      <c r="D65" s="65">
        <v>130.98</v>
      </c>
      <c r="E65" s="154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ht="13.5" customHeight="1">
      <c r="A66" s="67" t="s">
        <v>294</v>
      </c>
      <c r="B66" s="68"/>
      <c r="C66" s="69"/>
      <c r="D66" s="65">
        <v>133995</v>
      </c>
      <c r="E66" s="154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13.5" customHeight="1">
      <c r="A67" s="67" t="s">
        <v>295</v>
      </c>
      <c r="B67" s="68"/>
      <c r="C67" s="69"/>
      <c r="D67" s="65">
        <v>4503.77</v>
      </c>
      <c r="E67" s="154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3.5" customHeight="1">
      <c r="A68" s="70" t="s">
        <v>176</v>
      </c>
      <c r="B68" s="71"/>
      <c r="C68" s="72"/>
      <c r="D68" s="65">
        <v>11623.81</v>
      </c>
      <c r="E68" s="154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5" ht="13.5" customHeight="1">
      <c r="A69" s="70" t="s">
        <v>296</v>
      </c>
      <c r="B69" s="71"/>
      <c r="C69" s="72"/>
      <c r="D69" s="65">
        <v>704.42</v>
      </c>
      <c r="E69" s="66"/>
    </row>
    <row r="70" spans="1:5" ht="13.5" customHeight="1">
      <c r="A70" s="70" t="s">
        <v>297</v>
      </c>
      <c r="B70" s="71"/>
      <c r="C70" s="72"/>
      <c r="D70" s="65">
        <v>10079.62</v>
      </c>
      <c r="E70" s="66"/>
    </row>
    <row r="71" spans="1:8" ht="19.5" customHeight="1">
      <c r="A71" s="73" t="s">
        <v>90</v>
      </c>
      <c r="B71" s="74"/>
      <c r="C71" s="75"/>
      <c r="D71" s="65">
        <f>D60+D61</f>
        <v>795889.348</v>
      </c>
      <c r="E71" s="66"/>
      <c r="H71" s="1" t="s">
        <v>37</v>
      </c>
    </row>
    <row r="72" spans="1:5" ht="21.75" customHeight="1">
      <c r="A72" s="73" t="s">
        <v>173</v>
      </c>
      <c r="B72" s="71"/>
      <c r="C72" s="72"/>
      <c r="D72" s="65">
        <f>D73</f>
        <v>0</v>
      </c>
      <c r="E72" s="66"/>
    </row>
    <row r="73" spans="1:5" ht="13.5" customHeight="1">
      <c r="A73" s="70"/>
      <c r="B73" s="71"/>
      <c r="C73" s="72"/>
      <c r="D73" s="76"/>
      <c r="E73" s="66"/>
    </row>
    <row r="74" spans="1:5" ht="18" customHeight="1">
      <c r="A74" s="204" t="s">
        <v>93</v>
      </c>
      <c r="B74" s="204"/>
      <c r="C74" s="204"/>
      <c r="D74" s="77">
        <v>1036.8</v>
      </c>
      <c r="E74" s="66"/>
    </row>
    <row r="75" spans="1:5" ht="18" customHeight="1">
      <c r="A75" s="78" t="s">
        <v>94</v>
      </c>
      <c r="B75" s="78"/>
      <c r="C75" s="78"/>
      <c r="D75" s="77">
        <v>0</v>
      </c>
      <c r="E75" s="66"/>
    </row>
    <row r="76" spans="1:8" ht="25.5" customHeight="1">
      <c r="A76" s="205" t="s">
        <v>95</v>
      </c>
      <c r="B76" s="205"/>
      <c r="C76" s="205"/>
      <c r="D76" s="171">
        <f>D77+D78</f>
        <v>37268.240000000005</v>
      </c>
      <c r="E76" s="66"/>
      <c r="H76" s="17"/>
    </row>
    <row r="77" spans="1:5" ht="15.75">
      <c r="A77" s="121" t="s">
        <v>96</v>
      </c>
      <c r="B77" s="122"/>
      <c r="C77" s="123"/>
      <c r="D77" s="172">
        <f>B15+B20+D74+D75-D61</f>
        <v>34448.54000000001</v>
      </c>
      <c r="E77" s="66"/>
    </row>
    <row r="78" spans="1:5" ht="15.75">
      <c r="A78" s="122" t="s">
        <v>15</v>
      </c>
      <c r="B78" s="122"/>
      <c r="C78" s="123"/>
      <c r="D78" s="172">
        <f>B16+B21-D72</f>
        <v>2819.699999999997</v>
      </c>
      <c r="E78" s="66"/>
    </row>
    <row r="79" spans="1:5" ht="13.5" customHeight="1">
      <c r="A79" s="216" t="s">
        <v>97</v>
      </c>
      <c r="B79" s="216"/>
      <c r="C79" s="216"/>
      <c r="D79" s="125">
        <v>200166.36</v>
      </c>
      <c r="E79" s="66"/>
    </row>
    <row r="80" spans="1:4" ht="15">
      <c r="A80" s="208" t="s">
        <v>18</v>
      </c>
      <c r="B80" s="208"/>
      <c r="C80" s="208"/>
      <c r="D80" s="86"/>
    </row>
    <row r="81" spans="1:4" ht="13.5" customHeight="1">
      <c r="A81" s="208" t="s">
        <v>22</v>
      </c>
      <c r="B81" s="208"/>
      <c r="C81" s="208"/>
      <c r="D81" s="86">
        <f>D79*B19/B17</f>
        <v>42838.4461560309</v>
      </c>
    </row>
    <row r="82" spans="1:4" ht="13.5" customHeight="1">
      <c r="A82" s="208" t="s">
        <v>41</v>
      </c>
      <c r="B82" s="208"/>
      <c r="C82" s="208"/>
      <c r="D82" s="86">
        <f>D79*B21/B17</f>
        <v>6199.501898008853</v>
      </c>
    </row>
    <row r="83" spans="1:4" ht="13.5" customHeight="1">
      <c r="A83" s="208" t="s">
        <v>30</v>
      </c>
      <c r="B83" s="208"/>
      <c r="C83" s="208"/>
      <c r="D83" s="86">
        <f>D85+D86+D87+D88</f>
        <v>150268.71795812077</v>
      </c>
    </row>
    <row r="84" spans="1:4" ht="15">
      <c r="A84" s="208" t="s">
        <v>18</v>
      </c>
      <c r="B84" s="208"/>
      <c r="C84" s="208"/>
      <c r="D84" s="86"/>
    </row>
    <row r="85" spans="1:4" ht="13.5" customHeight="1">
      <c r="A85" s="208" t="s">
        <v>32</v>
      </c>
      <c r="B85" s="208"/>
      <c r="C85" s="208"/>
      <c r="D85" s="86">
        <f>D79*B26/B17</f>
        <v>10147.211736849624</v>
      </c>
    </row>
    <row r="86" spans="1:4" ht="15">
      <c r="A86" s="208" t="s">
        <v>33</v>
      </c>
      <c r="B86" s="208"/>
      <c r="C86" s="208"/>
      <c r="D86" s="86">
        <f>D79*B27/B17</f>
        <v>21934.872977609026</v>
      </c>
    </row>
    <row r="87" spans="1:4" ht="15">
      <c r="A87" s="208" t="s">
        <v>34</v>
      </c>
      <c r="B87" s="208"/>
      <c r="C87" s="208"/>
      <c r="D87" s="86">
        <f>D79*B28/B17</f>
        <v>85678.74684385772</v>
      </c>
    </row>
    <row r="88" spans="1:4" ht="15" customHeight="1">
      <c r="A88" s="208" t="s">
        <v>35</v>
      </c>
      <c r="B88" s="208"/>
      <c r="C88" s="208"/>
      <c r="D88" s="86">
        <f>D79*B29/B17</f>
        <v>32507.88639980441</v>
      </c>
    </row>
    <row r="89" spans="1:4" ht="15" customHeight="1">
      <c r="A89" s="208" t="s">
        <v>36</v>
      </c>
      <c r="B89" s="208"/>
      <c r="C89" s="208"/>
      <c r="D89" s="86"/>
    </row>
    <row r="90" spans="1:4" ht="25.5" customHeight="1">
      <c r="A90" s="209" t="s">
        <v>98</v>
      </c>
      <c r="B90" s="209"/>
      <c r="C90" s="209"/>
      <c r="D90" s="209"/>
    </row>
    <row r="91" spans="1:4" ht="38.25">
      <c r="A91" s="87" t="s">
        <v>99</v>
      </c>
      <c r="B91" s="6" t="s">
        <v>100</v>
      </c>
      <c r="C91" s="6" t="s">
        <v>213</v>
      </c>
      <c r="D91" s="87" t="s">
        <v>102</v>
      </c>
    </row>
    <row r="92" spans="1:4" ht="20.25" customHeight="1">
      <c r="A92" s="88" t="s">
        <v>214</v>
      </c>
      <c r="B92" s="218" t="s">
        <v>104</v>
      </c>
      <c r="C92" s="173" t="s">
        <v>284</v>
      </c>
      <c r="D92" s="90" t="s">
        <v>105</v>
      </c>
    </row>
    <row r="93" spans="1:4" ht="20.25" customHeight="1">
      <c r="A93" s="42" t="s">
        <v>41</v>
      </c>
      <c r="B93" s="218"/>
      <c r="C93" s="91">
        <v>2.7</v>
      </c>
      <c r="D93" s="92" t="s">
        <v>105</v>
      </c>
    </row>
    <row r="94" spans="1:4" ht="19.5" customHeight="1">
      <c r="A94" s="42" t="s">
        <v>32</v>
      </c>
      <c r="B94" s="212" t="s">
        <v>107</v>
      </c>
      <c r="C94" s="91" t="s">
        <v>108</v>
      </c>
      <c r="D94" s="192" t="s">
        <v>392</v>
      </c>
    </row>
    <row r="95" spans="1:4" ht="22.5" customHeight="1">
      <c r="A95" s="42" t="s">
        <v>33</v>
      </c>
      <c r="B95" s="212"/>
      <c r="C95" s="91" t="s">
        <v>110</v>
      </c>
      <c r="D95" s="192" t="s">
        <v>392</v>
      </c>
    </row>
    <row r="96" spans="1:4" ht="39.75" customHeight="1">
      <c r="A96" s="42" t="s">
        <v>34</v>
      </c>
      <c r="B96" s="94" t="s">
        <v>111</v>
      </c>
      <c r="C96" s="91" t="s">
        <v>112</v>
      </c>
      <c r="D96" s="92" t="s">
        <v>113</v>
      </c>
    </row>
    <row r="97" spans="1:5" ht="39" customHeight="1">
      <c r="A97" s="42" t="s">
        <v>35</v>
      </c>
      <c r="B97" s="95" t="s">
        <v>114</v>
      </c>
      <c r="C97" s="91" t="s">
        <v>115</v>
      </c>
      <c r="D97" s="92" t="s">
        <v>109</v>
      </c>
      <c r="E97" s="1" t="s">
        <v>37</v>
      </c>
    </row>
    <row r="98" ht="12.75">
      <c r="H98" s="1" t="s">
        <v>37</v>
      </c>
    </row>
    <row r="99" ht="12.75">
      <c r="A99" t="s">
        <v>116</v>
      </c>
    </row>
    <row r="101" ht="12.75">
      <c r="A101" t="s">
        <v>117</v>
      </c>
    </row>
  </sheetData>
  <sheetProtection selectLockedCells="1" selectUnlockedCells="1"/>
  <mergeCells count="23">
    <mergeCell ref="A88:C88"/>
    <mergeCell ref="A89:C89"/>
    <mergeCell ref="A90:D90"/>
    <mergeCell ref="B92:B93"/>
    <mergeCell ref="B94:B95"/>
    <mergeCell ref="A82:C82"/>
    <mergeCell ref="A83:C83"/>
    <mergeCell ref="A84:C84"/>
    <mergeCell ref="A85:C85"/>
    <mergeCell ref="A86:C86"/>
    <mergeCell ref="A87:C87"/>
    <mergeCell ref="A61:C61"/>
    <mergeCell ref="A74:C74"/>
    <mergeCell ref="A76:C76"/>
    <mergeCell ref="A79:C79"/>
    <mergeCell ref="A80:C80"/>
    <mergeCell ref="A81:C81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5" fitToWidth="2" horizontalDpi="300" verticalDpi="3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2014-03-05T10:37:00Z</cp:lastPrinted>
  <dcterms:created xsi:type="dcterms:W3CDTF">2014-06-19T04:45:13Z</dcterms:created>
  <dcterms:modified xsi:type="dcterms:W3CDTF">2014-06-19T04:45:13Z</dcterms:modified>
  <cp:category/>
  <cp:version/>
  <cp:contentType/>
  <cp:contentStatus/>
</cp:coreProperties>
</file>