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48" activeTab="53"/>
  </bookViews>
  <sheets>
    <sheet name="Волжская,2" sheetId="1" r:id="rId1"/>
    <sheet name="Волжская,9 " sheetId="2" r:id="rId2"/>
    <sheet name="Волжская,10" sheetId="3" r:id="rId3"/>
    <sheet name="Гидростроительная 10а" sheetId="4" r:id="rId4"/>
    <sheet name="Гидростроительная 8" sheetId="5" r:id="rId5"/>
    <sheet name="Гидростроительная 11" sheetId="6" r:id="rId6"/>
    <sheet name="Гидростроительная 12" sheetId="7" r:id="rId7"/>
    <sheet name="Гидростроительная 13" sheetId="8" r:id="rId8"/>
    <sheet name="Гидростроительная 14" sheetId="9" r:id="rId9"/>
    <sheet name="Гидростроительная 16" sheetId="10" r:id="rId10"/>
    <sheet name="Гидростроительная 17" sheetId="11" r:id="rId11"/>
    <sheet name="Гидростроительная 18" sheetId="12" r:id="rId12"/>
    <sheet name="Гидростроительная 20" sheetId="13" r:id="rId13"/>
    <sheet name="Гидростроительная 24" sheetId="14" r:id="rId14"/>
    <sheet name="Гидростроительная 26" sheetId="15" r:id="rId15"/>
    <sheet name="Гостиная 2" sheetId="16" r:id="rId16"/>
    <sheet name="Гостиная 9" sheetId="17" r:id="rId17"/>
    <sheet name="Гостиная 11" sheetId="18" r:id="rId18"/>
    <sheet name="Гостиная 13" sheetId="19" r:id="rId19"/>
    <sheet name="Гостиная 15" sheetId="20" r:id="rId20"/>
    <sheet name="Гостиная 18" sheetId="21" r:id="rId21"/>
    <sheet name="Дамбовая 1" sheetId="22" r:id="rId22"/>
    <sheet name="Дамбовая 2" sheetId="23" r:id="rId23"/>
    <sheet name="Дамбовая 3" sheetId="24" r:id="rId24"/>
    <sheet name="Дамбовая 4" sheetId="25" r:id="rId25"/>
    <sheet name="Клубная 1а" sheetId="26" r:id="rId26"/>
    <sheet name="Клубная 1" sheetId="27" r:id="rId27"/>
    <sheet name="Ковалевской 3" sheetId="28" r:id="rId28"/>
    <sheet name="Ковалевской 6" sheetId="29" r:id="rId29"/>
    <sheet name="Комсомольская,5" sheetId="30" r:id="rId30"/>
    <sheet name="Комсомольская,6" sheetId="31" r:id="rId31"/>
    <sheet name="Комсомольская,12" sheetId="32" r:id="rId32"/>
    <sheet name="Кржижановского,2" sheetId="33" r:id="rId33"/>
    <sheet name="Кржижановского,3" sheetId="34" r:id="rId34"/>
    <sheet name="Кржижановского,4" sheetId="35" r:id="rId35"/>
    <sheet name="Овражная,2" sheetId="36" r:id="rId36"/>
    <sheet name="Овражная,3" sheetId="37" r:id="rId37"/>
    <sheet name="Овражная,4" sheetId="38" r:id="rId38"/>
    <sheet name="Овражная,5" sheetId="39" r:id="rId39"/>
    <sheet name="Овражная,9 " sheetId="40" r:id="rId40"/>
    <sheet name="Энергетиков 1" sheetId="41" r:id="rId41"/>
    <sheet name="Энергетиков 2" sheetId="42" r:id="rId42"/>
    <sheet name="Энергетиков 3" sheetId="43" r:id="rId43"/>
    <sheet name="Энергетиков 5" sheetId="44" r:id="rId44"/>
    <sheet name="Первомайская 4" sheetId="45" r:id="rId45"/>
    <sheet name="Первомайская 6" sheetId="46" r:id="rId46"/>
    <sheet name="Первомайская 7" sheetId="47" r:id="rId47"/>
    <sheet name="Первомайская 10" sheetId="48" r:id="rId48"/>
    <sheet name="Первомайская 11" sheetId="49" r:id="rId49"/>
    <sheet name="Первомайская 14" sheetId="50" r:id="rId50"/>
    <sheet name="Первомайская 16" sheetId="51" r:id="rId51"/>
    <sheet name="Первомайская 18" sheetId="52" r:id="rId52"/>
    <sheet name="Пл. 1 Мая 1" sheetId="53" r:id="rId53"/>
    <sheet name="Пл. 1 Мая 2" sheetId="54" r:id="rId54"/>
    <sheet name="Плотничная 3" sheetId="55" r:id="rId55"/>
    <sheet name="Плотничная 4" sheetId="56" r:id="rId56"/>
    <sheet name="Рабочая 2" sheetId="57" r:id="rId57"/>
    <sheet name="Рабочая 12" sheetId="58" r:id="rId58"/>
    <sheet name="Рабочая 14" sheetId="59" r:id="rId59"/>
    <sheet name="Рабочая 16" sheetId="60" r:id="rId60"/>
    <sheet name="Рабочая 20" sheetId="61" r:id="rId61"/>
    <sheet name="Северная 2" sheetId="62" r:id="rId62"/>
    <sheet name="Северная 3" sheetId="63" r:id="rId63"/>
    <sheet name="Северная 5" sheetId="64" r:id="rId64"/>
    <sheet name="Северная 6" sheetId="65" r:id="rId65"/>
    <sheet name="Северная 7" sheetId="66" r:id="rId66"/>
    <sheet name="Северная 8" sheetId="67" r:id="rId67"/>
    <sheet name="Северная 9" sheetId="68" r:id="rId68"/>
    <sheet name="Семашко 3" sheetId="69" r:id="rId69"/>
    <sheet name="Семашко 5" sheetId="70" r:id="rId70"/>
    <sheet name="Семашко 9" sheetId="71" r:id="rId71"/>
    <sheet name="Семашко 11" sheetId="72" r:id="rId72"/>
    <sheet name="Семашко 12 " sheetId="73" r:id="rId73"/>
    <sheet name="Семашко 18" sheetId="74" r:id="rId74"/>
    <sheet name="Семашко 20" sheetId="75" r:id="rId75"/>
    <sheet name="Семашко 23" sheetId="76" r:id="rId76"/>
    <sheet name="Семашко 24" sheetId="77" r:id="rId77"/>
    <sheet name="Сеченова 3" sheetId="78" r:id="rId78"/>
    <sheet name="Сеченова 6" sheetId="79" r:id="rId79"/>
    <sheet name="Учительская 25" sheetId="80" r:id="rId80"/>
    <sheet name="Учительская 28" sheetId="81" r:id="rId81"/>
    <sheet name="Школьная 1" sheetId="82" r:id="rId82"/>
    <sheet name="Лист2" sheetId="83" r:id="rId83"/>
    <sheet name="Лист3" sheetId="84" r:id="rId84"/>
  </sheets>
  <definedNames/>
  <calcPr fullCalcOnLoad="1"/>
</workbook>
</file>

<file path=xl/sharedStrings.xml><?xml version="1.0" encoding="utf-8"?>
<sst xmlns="http://schemas.openxmlformats.org/spreadsheetml/2006/main" count="2400" uniqueCount="265">
  <si>
    <t>№ п.п.</t>
  </si>
  <si>
    <t>Итого</t>
  </si>
  <si>
    <t xml:space="preserve">                                                              Отчет</t>
  </si>
  <si>
    <t xml:space="preserve">                                   о выполненных ремонтно-строительных работах</t>
  </si>
  <si>
    <r>
      <t xml:space="preserve">                                          </t>
    </r>
    <r>
      <rPr>
        <b/>
        <u val="single"/>
        <sz val="14"/>
        <color indexed="8"/>
        <rFont val="Calibri"/>
        <family val="2"/>
      </rPr>
      <t>Текущий ремонт</t>
    </r>
    <r>
      <rPr>
        <b/>
        <sz val="11"/>
        <color indexed="8"/>
        <rFont val="Calibri"/>
        <family val="2"/>
      </rPr>
      <t xml:space="preserve"> </t>
    </r>
  </si>
  <si>
    <r>
      <t xml:space="preserve">                                                    </t>
    </r>
    <r>
      <rPr>
        <b/>
        <u val="single"/>
        <sz val="14"/>
        <color indexed="8"/>
        <rFont val="Calibri"/>
        <family val="2"/>
      </rPr>
      <t>Капитальный ремонт</t>
    </r>
  </si>
  <si>
    <t xml:space="preserve">                                    по дому № 2 ул. Волжская   г. Заволжье  </t>
  </si>
  <si>
    <t>за 2014 год</t>
  </si>
  <si>
    <t>Начислено  за 2014 год в  руб.</t>
  </si>
  <si>
    <t>Перечень выполненных работ</t>
  </si>
  <si>
    <t>Стоимость работ  в руб.</t>
  </si>
  <si>
    <t>Смена участка  отопления в кв.3</t>
  </si>
  <si>
    <t>ремонт дверей</t>
  </si>
  <si>
    <t>Остаток денежных средств на конец отчетного периода:</t>
  </si>
  <si>
    <t>остаток денежных средств на начало 2014г.в руб.</t>
  </si>
  <si>
    <t>Смена  участка ХВС в кв.1</t>
  </si>
  <si>
    <t>Ремонт перекрытия пола в подъезде №1</t>
  </si>
  <si>
    <t>оплачено за 2014г. в руб.</t>
  </si>
  <si>
    <t>Справочно : сумма задолженности перед управляющей компанией</t>
  </si>
  <si>
    <t>с учетом коммунальных услуг - всего:</t>
  </si>
  <si>
    <t>Генеральный директор ООО "Домоуправляющая компания"                                         /Е.М.Кузьмичев/</t>
  </si>
  <si>
    <t xml:space="preserve">                                    по дому № 9 ул. Волжская   г. Заволжье  </t>
  </si>
  <si>
    <t>Смена участка ХВС (старая кухня)</t>
  </si>
  <si>
    <t>План работ на 2015год.</t>
  </si>
  <si>
    <t xml:space="preserve">                                    по дому № 10 ул. Волжская   г. Заволжье  </t>
  </si>
  <si>
    <t>Ремонт кровли</t>
  </si>
  <si>
    <t xml:space="preserve">                                    по дому № 10а ул. Гидростроительная   г. Заволжье  </t>
  </si>
  <si>
    <t>Ремонт стояка ХВС в. Кв 12</t>
  </si>
  <si>
    <t>ремонт двери</t>
  </si>
  <si>
    <t>Установка  металлического  дверного блока в подвале 2го подъезда</t>
  </si>
  <si>
    <t>Ремонт отмостки у 2го подъезда (8м2)</t>
  </si>
  <si>
    <t xml:space="preserve">                                    по дому № 8 ул. Гидростроительная   г. Заволжье  </t>
  </si>
  <si>
    <t xml:space="preserve">                                    по дому № 11 ул. Гидростроительная   г. Заволжье  </t>
  </si>
  <si>
    <t>Смена  участка отопления в  кв.7</t>
  </si>
  <si>
    <t xml:space="preserve">                                    по дому № 12 ул. Гидростроительная   г. Заволжье  </t>
  </si>
  <si>
    <t>Утепление труб отопления ХВС</t>
  </si>
  <si>
    <t>ремонт пола в 1 под-де</t>
  </si>
  <si>
    <t>Смена участка розлива отопления в кв№1</t>
  </si>
  <si>
    <t xml:space="preserve">                                    по дому № 13 ул. Гидростроительная   г. Заволжье  </t>
  </si>
  <si>
    <t>смена  участка ХВС во 2м подезде</t>
  </si>
  <si>
    <t>услуги а/подъемника при ремонте крыши</t>
  </si>
  <si>
    <t>Ремонт штукатурки фасада,отмостки,кровли</t>
  </si>
  <si>
    <t>Ремонт кирпичных оголовков</t>
  </si>
  <si>
    <t xml:space="preserve">                                    по дому № 14 ул. Гидростроительная   г. Заволжье  </t>
  </si>
  <si>
    <t xml:space="preserve">                                    по дому № 16 ул. Гидростроительная   г. Заволжье  </t>
  </si>
  <si>
    <t xml:space="preserve">                                    по дому № 17 ул. Гидростроительная   г. Заволжье  </t>
  </si>
  <si>
    <t>Утепление труб отопленния, ХВС</t>
  </si>
  <si>
    <t>Смена вводного кабеля, автоматов в кв.2</t>
  </si>
  <si>
    <t xml:space="preserve">                                    по дому № 18 ул. Гидростроительная   г. Заволжье  </t>
  </si>
  <si>
    <t>Смена крана шарового на сброснике отопления</t>
  </si>
  <si>
    <t>Смена участка канализации в подвале 1го подъезда</t>
  </si>
  <si>
    <t>Изготовление и установка лавочки у 3го подъезда</t>
  </si>
  <si>
    <t>Смена пакетного выключателя  кв.27</t>
  </si>
  <si>
    <t>Ремонт крылец подъездов (3шт)</t>
  </si>
  <si>
    <t>120 т.руб.</t>
  </si>
  <si>
    <t>Смена запорной арматуры отопления</t>
  </si>
  <si>
    <t>Смена дверей на крышу (1,3 под-ды)</t>
  </si>
  <si>
    <t>25 т.руб.</t>
  </si>
  <si>
    <t>6 т. руб.</t>
  </si>
  <si>
    <t xml:space="preserve">                                    по дому № 20 ул. Гидростроительная   г. Заволжье  </t>
  </si>
  <si>
    <t>Монтаж электрического прибора учета в подъездах</t>
  </si>
  <si>
    <t xml:space="preserve">                                    по дому № 24 ул. Гидростроительная   г. Заволжье  </t>
  </si>
  <si>
    <t>Смена выключателя у кв. 26</t>
  </si>
  <si>
    <t>Услуги автоподъемника по демонтажу флюгарок</t>
  </si>
  <si>
    <t xml:space="preserve">Установка 3х флюгарок на крыше </t>
  </si>
  <si>
    <t xml:space="preserve">                                    по дому № 26 ул. Гидростроительная   г. Заволжье  </t>
  </si>
  <si>
    <t>Смена жалюзийных решеток в подвал, смена металл. оконного блока в подвале</t>
  </si>
  <si>
    <t xml:space="preserve">                                    по дому № 1 ул. Дамбовая   г. Заволжье  </t>
  </si>
  <si>
    <t xml:space="preserve">                                    по дому № 2 ул. Гостиная   г. Заволжье  </t>
  </si>
  <si>
    <t>Смена вводного кабеля в кв.1</t>
  </si>
  <si>
    <t>Смена отсечного крана в кв.1</t>
  </si>
  <si>
    <t xml:space="preserve">                                    по дому № 9 ул. Гостиная   г. Заволжье  </t>
  </si>
  <si>
    <t xml:space="preserve">                                    по дому № 11 ул. Гостиная   г. Заволжье  </t>
  </si>
  <si>
    <t xml:space="preserve">                                    по дому № 13 ул. Гостиная   г. Заволжье  </t>
  </si>
  <si>
    <t xml:space="preserve">                                    по дому № 15 ул. Гостиная   г. Заволжье  </t>
  </si>
  <si>
    <t xml:space="preserve">                                    по дому № 18 ул. Гостиная   г. Заволжье  </t>
  </si>
  <si>
    <t>Смена участка ХВС в кв.2</t>
  </si>
  <si>
    <t>Установка пружин</t>
  </si>
  <si>
    <t xml:space="preserve">                                    по дому № 2 ул. Дамбовая   г. Заволжье  </t>
  </si>
  <si>
    <t xml:space="preserve">                                    по дому № 3 ул. Дамбовая   г. Заволжье  </t>
  </si>
  <si>
    <t>Ремонт дверей</t>
  </si>
  <si>
    <t xml:space="preserve">                                    по дому № 4 ул. Дамбовая   г. Заволжье  </t>
  </si>
  <si>
    <t>Огнезащитная обработка деревянных элементов кровли</t>
  </si>
  <si>
    <t xml:space="preserve">                                    по дому № 1а ул. Клубная   г. Заволжье  </t>
  </si>
  <si>
    <t xml:space="preserve">                                    по дому № 1 ул. Клубная   г. Заволжье  </t>
  </si>
  <si>
    <t xml:space="preserve">                                    по дому № 3 ул. Ковалевской   г. Заволжье  </t>
  </si>
  <si>
    <t>Установка оптоакустических светильников в подъездах</t>
  </si>
  <si>
    <t xml:space="preserve">                                    по дому № 6 ул. Ковалевской   г. Заволжье  </t>
  </si>
  <si>
    <t>Ремонт завалинки (возмещ. матер-в)</t>
  </si>
  <si>
    <t xml:space="preserve">                                    по дому № 5 ул. Комсомольская   г. Заволжье  </t>
  </si>
  <si>
    <t xml:space="preserve">                                    по дому № 6 ул. Комсомольская   г. Заволжье  </t>
  </si>
  <si>
    <t>Уустановка замков на люки на крышу,ремонт жалюзей-продухов,ремонт порога у входной двери</t>
  </si>
  <si>
    <t>Установка замков на люки на крышу,ремонт жалюзей-продухов,ремонт порога у водной двери</t>
  </si>
  <si>
    <t xml:space="preserve">                                    по дому № 12 ул. Комсомольская   г. Заволжье  </t>
  </si>
  <si>
    <t xml:space="preserve">                                    по дому № 2 ул. Кржижановского   г. Заволжье  </t>
  </si>
  <si>
    <t xml:space="preserve">                                    по дому № 3 ул. Кржижановского   г. Заволжье  </t>
  </si>
  <si>
    <t xml:space="preserve">                                    по дому № 4 ул. Кржижановского   г. Заволжье  </t>
  </si>
  <si>
    <t xml:space="preserve">                                    по дому № 2 ул. Овражная   г. Заволжье  </t>
  </si>
  <si>
    <t xml:space="preserve">                                    по дому № 3 ул. Овражная   г. Заволжье  </t>
  </si>
  <si>
    <t xml:space="preserve">                                    по дому № 4 ул. Овражная   г. Заволжье  </t>
  </si>
  <si>
    <t xml:space="preserve">                                    по дому № 5 ул. Овражная   г. Заволжье  </t>
  </si>
  <si>
    <t xml:space="preserve">                                    по дому № 9 ул. Овражная   г. Заволжье  </t>
  </si>
  <si>
    <t xml:space="preserve">                                    по дому № 1 ул. Энергетиков   г. Заволжье  </t>
  </si>
  <si>
    <t>Ремонт кровли (примыкание к трубе)</t>
  </si>
  <si>
    <t>3,5 т.руб.</t>
  </si>
  <si>
    <t xml:space="preserve">                                    по дому № 2 ул. Энергетиков   г. Заволжье  </t>
  </si>
  <si>
    <t xml:space="preserve">                                    по дому № 3 ул. Энергетиков   г. Заволжье  </t>
  </si>
  <si>
    <t xml:space="preserve">                                    по дому № 5 ул. Энергетиков   г. Заволжье  </t>
  </si>
  <si>
    <t>Установка металлического дверного блока</t>
  </si>
  <si>
    <t>Установка отлива в кв.15</t>
  </si>
  <si>
    <t>Смена участков стояков канализации и  ХВС в кв.16-19</t>
  </si>
  <si>
    <t>Смена плафона в тамбуре</t>
  </si>
  <si>
    <t xml:space="preserve">                                    по дому № 4 ул. Первомайская   г. Заволжье  </t>
  </si>
  <si>
    <t xml:space="preserve">                                    по дому № 6 ул. Первомайская   г. Заволжье  </t>
  </si>
  <si>
    <t xml:space="preserve">                                    по дому № 7 ул. Первомайская   г. Заволжье  </t>
  </si>
  <si>
    <t xml:space="preserve">                                    по дому № 10 ул. Первомайская   г. Заволжье  </t>
  </si>
  <si>
    <t xml:space="preserve">                                    по дому № 11 ул. Первомайская   г. Заволжье  </t>
  </si>
  <si>
    <t xml:space="preserve">                                    по дому № 18 ул. Первомайская   г. Заволжье  </t>
  </si>
  <si>
    <t xml:space="preserve">                                    по дому № 14 ул. Первомайская   г. Заволжье  </t>
  </si>
  <si>
    <t xml:space="preserve">                                    по дому № 16 ул. Первомайская   г. Заволжье  </t>
  </si>
  <si>
    <t xml:space="preserve">                                    по дому № 1 ул. Площадь 1 Мая   г. Заволжье  </t>
  </si>
  <si>
    <t>смена участка отопл. Кв №1</t>
  </si>
  <si>
    <t xml:space="preserve">                                    по дому № 2 ул. Площадь 1 Мая   г. Заволжье  </t>
  </si>
  <si>
    <t>1.</t>
  </si>
  <si>
    <t>Ремонт септика</t>
  </si>
  <si>
    <t xml:space="preserve">                                    по дому № 3 ул. Плотничная   г. Заволжье  </t>
  </si>
  <si>
    <t xml:space="preserve">                                    по дому № 4 ул. Плотничная   г. Заволжье  </t>
  </si>
  <si>
    <t>Ремонт завалинки</t>
  </si>
  <si>
    <t xml:space="preserve">                                    по дому № 2 ул. Рабочая   г. Заволжье  </t>
  </si>
  <si>
    <t xml:space="preserve">Смена отсечного крана </t>
  </si>
  <si>
    <t xml:space="preserve">                                    по дому № 12 ул. Рабочая   г. Заволжье  </t>
  </si>
  <si>
    <t>Ремонт завалинки (10м2)</t>
  </si>
  <si>
    <t>Смена  кранов шаровых  на радиаторе отопления в кв.1,2</t>
  </si>
  <si>
    <t>Переподключение радиаторов</t>
  </si>
  <si>
    <t xml:space="preserve">                                    по дому № 14 ул. Рабочая   г. Заволжье  </t>
  </si>
  <si>
    <t xml:space="preserve">                                    по дому № 16 ул. Рабочая   г. Заволжье  </t>
  </si>
  <si>
    <t xml:space="preserve">                                    по дому № 20 ул. Рабочая   г. Заволжье  </t>
  </si>
  <si>
    <t xml:space="preserve">                                    по дому № 2 ул. Северная   г. Заволжье  </t>
  </si>
  <si>
    <t>Ремонт заваленки</t>
  </si>
  <si>
    <t>Частичный ремонт кровли (30м2)</t>
  </si>
  <si>
    <t xml:space="preserve">                                    по дому № 3 ул. Северная   г. Заволжье  </t>
  </si>
  <si>
    <t>Ремонт заваленки (8м2)</t>
  </si>
  <si>
    <t xml:space="preserve">                                    по дому № 5 ул. Северная   г. Заволжье  </t>
  </si>
  <si>
    <t xml:space="preserve">                                    по дому № 7 ул. Северная   г. Заволжье  </t>
  </si>
  <si>
    <t xml:space="preserve">                                    по дому № 9 ул. Северная   г. Заволжье  </t>
  </si>
  <si>
    <t xml:space="preserve">                                    по дому № 3 ул. Семашко   г. Заволжье  </t>
  </si>
  <si>
    <t>Ремонт отмостки (15м2)</t>
  </si>
  <si>
    <t xml:space="preserve">                                    по дому № 5 ул. Семашко   г. Заволжье  </t>
  </si>
  <si>
    <t xml:space="preserve">                                    по дому № 9 ул. Семашко   г. Заволжье  </t>
  </si>
  <si>
    <t xml:space="preserve">                                    по дому № 11 ул. Семашко   г. Заволжье  </t>
  </si>
  <si>
    <t xml:space="preserve">                                    по дому № 12 ул. Семашко   г. Заволжье  </t>
  </si>
  <si>
    <t xml:space="preserve">                                    по дому № 18 ул. Семашко   г. Заволжье  </t>
  </si>
  <si>
    <t xml:space="preserve">                                    по дому № 20 ул. Семашко   г. Заволжье  </t>
  </si>
  <si>
    <t>Смена стояка ХВС во 2м под-де</t>
  </si>
  <si>
    <t>Ремонт бетонного лотка</t>
  </si>
  <si>
    <t>Ремонт канализационного стояка во 2м подъезде</t>
  </si>
  <si>
    <t xml:space="preserve">                                    по дому № 23 ул. Семашко   г. Заволжье  </t>
  </si>
  <si>
    <t xml:space="preserve">                                    по дому № 24 ул. Семашко   г. Заволжье  </t>
  </si>
  <si>
    <t xml:space="preserve">                                    по дому № 3 ул. Сеченова   г. Заволжье  </t>
  </si>
  <si>
    <t xml:space="preserve">                                    по дому № 25 ул. Учительская   г. Заволжье  </t>
  </si>
  <si>
    <t xml:space="preserve">                                    по дому № 28 ул. Учительская   г. Заволжье  </t>
  </si>
  <si>
    <t xml:space="preserve">                                    по дому № 1 ул. Школьная   г. Заволжье  </t>
  </si>
  <si>
    <t>Утепление фасада</t>
  </si>
  <si>
    <t>Противопожарная обработка деревянных частей кровли</t>
  </si>
  <si>
    <t>Ремонт примыканий дымовых труб</t>
  </si>
  <si>
    <t xml:space="preserve">Справочно: выполнены работы по устройству контейнерной площадки, </t>
  </si>
  <si>
    <t>финансируемые из фонда г. Заволжье на сумму :32086 руб.</t>
  </si>
  <si>
    <t>финансируемые из фонда г. Заволжье на сумму :       83007,63 руб.</t>
  </si>
  <si>
    <t xml:space="preserve">Справочно: выполнены работы по ремонту завалинки и отмостки, </t>
  </si>
  <si>
    <t>Дом вышел из управления 01.03.2014г.</t>
  </si>
  <si>
    <t xml:space="preserve">                                    по дому № 8 ул. Северная   г. Заволжье  </t>
  </si>
  <si>
    <t>Дом вышел из управления  с 01.12.2014г.</t>
  </si>
  <si>
    <t xml:space="preserve">                                    по дому № 6 ул. Сеченова   г. Заволжье  </t>
  </si>
  <si>
    <t>Дом вышел из управления с 01.04.2014г.</t>
  </si>
  <si>
    <t>Смена манометра,вентилей,установка заглушек в подвале</t>
  </si>
  <si>
    <t>Доходы от размещения рекламы</t>
  </si>
  <si>
    <t>Смена уголка ПНД на ХВС</t>
  </si>
  <si>
    <t xml:space="preserve">                                                    Капитальный ремонт</t>
  </si>
  <si>
    <t>в том числе : коммунальные услуги</t>
  </si>
  <si>
    <t>ИТОГО остаток денежных средств по текущему ремонту с учетом остатка по капитальному ремонту:</t>
  </si>
  <si>
    <t>ИТОГО остаток денежных средств по текущему ремонту с учетом перерасхода по капитальному ремонту:</t>
  </si>
  <si>
    <t>Ремонт стояка ХВС в кв.19</t>
  </si>
  <si>
    <t>в том числе за  коммунальные услуги</t>
  </si>
  <si>
    <t>в том числе  за коммунальные услуги</t>
  </si>
  <si>
    <t>в том числе  за  коммунальные услуги</t>
  </si>
  <si>
    <t>в том числе за коммунальные услуги</t>
  </si>
  <si>
    <t>в том числе за : коммунальные услуги</t>
  </si>
  <si>
    <t>за содержание и ремонт</t>
  </si>
  <si>
    <t xml:space="preserve">содержание и ремонт </t>
  </si>
  <si>
    <t>содержание и ремонт</t>
  </si>
  <si>
    <t>Денежные средства с планом 2015г. по Т.Р. с учетом перерасхода 2014г.</t>
  </si>
  <si>
    <t>Денежные средства с планом 2015г. по Т.Р. с учетом остатка 2014г.</t>
  </si>
  <si>
    <t xml:space="preserve">Ремонтные работы общего имущества по результатам обследований </t>
  </si>
  <si>
    <t>и заявлениям жителей,поступающих в течении года.</t>
  </si>
  <si>
    <t>8 т.р.</t>
  </si>
  <si>
    <t>33 т.р.</t>
  </si>
  <si>
    <t>10т.р.</t>
  </si>
  <si>
    <t>Денежные средства с планом 2015г. по К.Р. с учетом остатка 2014г.</t>
  </si>
  <si>
    <t>25 т.р.</t>
  </si>
  <si>
    <t>6,2 т.р.</t>
  </si>
  <si>
    <t>13 т.р.</t>
  </si>
  <si>
    <t>11,8  т.р.</t>
  </si>
  <si>
    <t>34  т.р.</t>
  </si>
  <si>
    <t>45  т.р.</t>
  </si>
  <si>
    <t>6  т.р.</t>
  </si>
  <si>
    <t xml:space="preserve">Ремонт завалинки 10м </t>
  </si>
  <si>
    <t>Дом выбыл с 01.03.2015г.</t>
  </si>
  <si>
    <t>36 т.р.</t>
  </si>
  <si>
    <t>8  т.р.</t>
  </si>
  <si>
    <t>16  т.р.</t>
  </si>
  <si>
    <t>25  т.р.</t>
  </si>
  <si>
    <t>10  т.р.</t>
  </si>
  <si>
    <t>7  т.р.</t>
  </si>
  <si>
    <t>23 т.р.</t>
  </si>
  <si>
    <t>5 т.р.</t>
  </si>
  <si>
    <t>18  т.р.</t>
  </si>
  <si>
    <t>15 т.р.</t>
  </si>
  <si>
    <t>14  т.р.</t>
  </si>
  <si>
    <t>12  т.р.</t>
  </si>
  <si>
    <t>3  т.р.</t>
  </si>
  <si>
    <t>28  т.р.</t>
  </si>
  <si>
    <t>2.</t>
  </si>
  <si>
    <t>5,8  т.р.</t>
  </si>
  <si>
    <t>13т.р.</t>
  </si>
  <si>
    <t>13  т.р.</t>
  </si>
  <si>
    <t>22 т.р.</t>
  </si>
  <si>
    <t>5  т.р.</t>
  </si>
  <si>
    <t>22  т.р.</t>
  </si>
  <si>
    <t>3,5 т.р.</t>
  </si>
  <si>
    <t>1  т.р.</t>
  </si>
  <si>
    <t>35  т.р.</t>
  </si>
  <si>
    <t>6 т.руб.</t>
  </si>
  <si>
    <t>Ремонт завалинки (компенсация материалов )</t>
  </si>
  <si>
    <r>
      <t xml:space="preserve">                                          </t>
    </r>
    <r>
      <rPr>
        <b/>
        <u val="single"/>
        <sz val="14"/>
        <color indexed="10"/>
        <rFont val="Calibri"/>
        <family val="2"/>
      </rPr>
      <t>Текущий ремонт</t>
    </r>
    <r>
      <rPr>
        <b/>
        <sz val="11"/>
        <color indexed="10"/>
        <rFont val="Calibri"/>
        <family val="2"/>
      </rPr>
      <t xml:space="preserve"> </t>
    </r>
  </si>
  <si>
    <r>
      <t xml:space="preserve">                                                    </t>
    </r>
    <r>
      <rPr>
        <b/>
        <u val="single"/>
        <sz val="14"/>
        <color indexed="10"/>
        <rFont val="Calibri"/>
        <family val="2"/>
      </rPr>
      <t>Капитальный ремонт</t>
    </r>
  </si>
  <si>
    <t>Поверка общедомового прибора учета тепловой энергии</t>
  </si>
  <si>
    <t>23 т.руб.</t>
  </si>
  <si>
    <r>
      <t xml:space="preserve">                                          </t>
    </r>
    <r>
      <rPr>
        <b/>
        <u val="single"/>
        <sz val="14"/>
        <color indexed="10"/>
        <rFont val="Calibri"/>
        <family val="2"/>
      </rPr>
      <t>Текущий ремонт</t>
    </r>
    <r>
      <rPr>
        <b/>
        <sz val="11"/>
        <color indexed="10"/>
        <rFont val="Calibri"/>
        <family val="2"/>
      </rPr>
      <t xml:space="preserve"> </t>
    </r>
  </si>
  <si>
    <r>
      <t xml:space="preserve">                                                    </t>
    </r>
    <r>
      <rPr>
        <b/>
        <u val="single"/>
        <sz val="14"/>
        <color indexed="10"/>
        <rFont val="Calibri"/>
        <family val="2"/>
      </rPr>
      <t>Капитальный ремонт</t>
    </r>
  </si>
  <si>
    <t>17т.р.</t>
  </si>
  <si>
    <t>30 т.р.</t>
  </si>
  <si>
    <t>23,9 т.р.</t>
  </si>
  <si>
    <t>38,5т.р.</t>
  </si>
  <si>
    <t>26т.р.</t>
  </si>
  <si>
    <t>5,7 т.р.</t>
  </si>
  <si>
    <t>6 т.р.</t>
  </si>
  <si>
    <t>10,8 т.р.</t>
  </si>
  <si>
    <t>12,4 т.р.</t>
  </si>
  <si>
    <t>17 т.руб.</t>
  </si>
  <si>
    <r>
      <t xml:space="preserve">                                          </t>
    </r>
    <r>
      <rPr>
        <b/>
        <u val="single"/>
        <sz val="14"/>
        <color indexed="10"/>
        <rFont val="Calibri"/>
        <family val="2"/>
      </rPr>
      <t>Текущий ремонт</t>
    </r>
    <r>
      <rPr>
        <b/>
        <sz val="11"/>
        <color indexed="10"/>
        <rFont val="Calibri"/>
        <family val="2"/>
      </rPr>
      <t xml:space="preserve"> </t>
    </r>
  </si>
  <si>
    <t>19,8 т.р.</t>
  </si>
  <si>
    <t>9,8 т.р.</t>
  </si>
  <si>
    <t>10,5  т.р.</t>
  </si>
  <si>
    <t>29  т.р.</t>
  </si>
  <si>
    <t>8,4  т.р.</t>
  </si>
  <si>
    <t xml:space="preserve"> 9,4  т.р.</t>
  </si>
  <si>
    <t>14,5т. р.</t>
  </si>
  <si>
    <t>17,4  т.р.</t>
  </si>
  <si>
    <t>30,9  т.р.</t>
  </si>
  <si>
    <t>Монтаж провода заземления в кв. 32</t>
  </si>
  <si>
    <t>27 т.р.</t>
  </si>
  <si>
    <t>План работ на 2015год</t>
  </si>
  <si>
    <t>Ремонт перекрытия  пола в туалете кв.5</t>
  </si>
  <si>
    <t>услуги а/п для ремонта крыши</t>
  </si>
  <si>
    <t>2,3 т.р.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</si>
</sst>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#.00"/>
    <numFmt numFmtId="166" formatCode="0.00000"/>
    <numFmt numFmtId="167" formatCode="0.0000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name val="Arial Cyr"/>
      <family val="2"/>
    </font>
    <font>
      <b/>
      <u val="single"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quotePrefix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36" fillId="0" borderId="10" xfId="0" applyFont="1" applyBorder="1" applyAlignment="1" quotePrefix="1">
      <alignment horizontal="right" vertical="center" wrapText="1"/>
    </xf>
    <xf numFmtId="0" fontId="36" fillId="0" borderId="0" xfId="0" applyFont="1" applyAlignment="1" quotePrefix="1">
      <alignment horizontal="left"/>
    </xf>
    <xf numFmtId="0" fontId="36" fillId="0" borderId="0" xfId="0" applyFont="1" applyAlignment="1" quotePrefix="1">
      <alignment horizontal="left" vertical="center" wrapText="1"/>
    </xf>
    <xf numFmtId="0" fontId="45" fillId="0" borderId="0" xfId="0" applyFont="1" applyAlignment="1">
      <alignment/>
    </xf>
    <xf numFmtId="0" fontId="46" fillId="0" borderId="0" xfId="0" applyFont="1" applyAlignment="1" quotePrefix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 quotePrefix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quotePrefix="1">
      <alignment horizontal="right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0" xfId="0" applyFont="1" applyAlignment="1" quotePrefix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left"/>
    </xf>
    <xf numFmtId="164" fontId="4" fillId="33" borderId="12" xfId="0" applyNumberFormat="1" applyFont="1" applyFill="1" applyBorder="1" applyAlignment="1">
      <alignment horizontal="left" wrapText="1"/>
    </xf>
    <xf numFmtId="2" fontId="36" fillId="0" borderId="0" xfId="0" applyNumberFormat="1" applyFon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36" fillId="0" borderId="0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right" vertical="center" wrapText="1"/>
    </xf>
    <xf numFmtId="0" fontId="36" fillId="0" borderId="10" xfId="0" applyFont="1" applyBorder="1" applyAlignment="1" quotePrefix="1">
      <alignment horizontal="center" vertical="center" wrapText="1"/>
    </xf>
    <xf numFmtId="0" fontId="48" fillId="0" borderId="0" xfId="0" applyFont="1" applyBorder="1" applyAlignment="1" quotePrefix="1">
      <alignment horizontal="left" vertical="center" wrapText="1"/>
    </xf>
    <xf numFmtId="2" fontId="36" fillId="0" borderId="11" xfId="0" applyNumberFormat="1" applyFont="1" applyBorder="1" applyAlignment="1">
      <alignment/>
    </xf>
    <xf numFmtId="2" fontId="36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vertical="center" wrapText="1"/>
    </xf>
    <xf numFmtId="0" fontId="36" fillId="0" borderId="10" xfId="0" applyFont="1" applyBorder="1" applyAlignment="1" quotePrefix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168" fontId="36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2" fontId="49" fillId="0" borderId="0" xfId="0" applyNumberFormat="1" applyFont="1" applyAlignment="1">
      <alignment vertical="center" wrapText="1"/>
    </xf>
    <xf numFmtId="2" fontId="36" fillId="0" borderId="0" xfId="0" applyNumberFormat="1" applyFont="1" applyBorder="1" applyAlignment="1">
      <alignment/>
    </xf>
    <xf numFmtId="164" fontId="36" fillId="0" borderId="0" xfId="0" applyNumberFormat="1" applyFont="1" applyAlignment="1">
      <alignment vertical="center" wrapText="1"/>
    </xf>
    <xf numFmtId="0" fontId="43" fillId="0" borderId="0" xfId="0" applyFont="1" applyAlignment="1" quotePrefix="1">
      <alignment horizontal="right"/>
    </xf>
    <xf numFmtId="2" fontId="49" fillId="0" borderId="11" xfId="0" applyNumberFormat="1" applyFont="1" applyBorder="1" applyAlignment="1">
      <alignment/>
    </xf>
    <xf numFmtId="0" fontId="43" fillId="0" borderId="0" xfId="0" applyFont="1" applyBorder="1" applyAlignment="1" quotePrefix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/>
    </xf>
    <xf numFmtId="0" fontId="36" fillId="0" borderId="0" xfId="0" applyFont="1" applyAlignment="1" quotePrefix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8" fillId="0" borderId="11" xfId="0" applyFont="1" applyBorder="1" applyAlignment="1" quotePrefix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7" fillId="0" borderId="0" xfId="0" applyFont="1" applyAlignment="1" quotePrefix="1">
      <alignment horizontal="left" vertical="center" wrapText="1"/>
    </xf>
    <xf numFmtId="2" fontId="47" fillId="0" borderId="0" xfId="0" applyNumberFormat="1" applyFont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 quotePrefix="1">
      <alignment horizontal="center" vertical="center" wrapText="1"/>
    </xf>
    <xf numFmtId="0" fontId="36" fillId="0" borderId="0" xfId="0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36" fillId="0" borderId="13" xfId="0" applyFont="1" applyBorder="1" applyAlignment="1" quotePrefix="1">
      <alignment horizontal="left" vertical="center" wrapText="1"/>
    </xf>
    <xf numFmtId="0" fontId="36" fillId="0" borderId="14" xfId="0" applyFont="1" applyBorder="1" applyAlignment="1" quotePrefix="1">
      <alignment horizontal="center" vertical="center" wrapText="1"/>
    </xf>
    <xf numFmtId="0" fontId="36" fillId="0" borderId="14" xfId="0" applyFont="1" applyBorder="1" applyAlignment="1" quotePrefix="1">
      <alignment horizontal="left" vertical="center" wrapText="1"/>
    </xf>
    <xf numFmtId="0" fontId="0" fillId="0" borderId="15" xfId="0" applyBorder="1" applyAlignment="1">
      <alignment vertical="center" wrapText="1"/>
    </xf>
    <xf numFmtId="0" fontId="36" fillId="0" borderId="11" xfId="0" applyFont="1" applyBorder="1" applyAlignment="1" quotePrefix="1">
      <alignment horizontal="left" vertical="center" wrapText="1"/>
    </xf>
    <xf numFmtId="0" fontId="36" fillId="0" borderId="16" xfId="0" applyFont="1" applyBorder="1" applyAlignment="1" quotePrefix="1">
      <alignment horizontal="left" vertical="center" wrapText="1"/>
    </xf>
    <xf numFmtId="0" fontId="43" fillId="0" borderId="0" xfId="0" applyFont="1" applyAlignment="1">
      <alignment vertical="center" wrapText="1"/>
    </xf>
    <xf numFmtId="2" fontId="36" fillId="0" borderId="0" xfId="0" applyNumberFormat="1" applyFont="1" applyAlignment="1" quotePrefix="1">
      <alignment horizontal="left" vertical="center" wrapText="1"/>
    </xf>
    <xf numFmtId="168" fontId="36" fillId="0" borderId="0" xfId="0" applyNumberFormat="1" applyFont="1" applyAlignment="1" quotePrefix="1">
      <alignment horizontal="left" vertical="center" wrapText="1"/>
    </xf>
    <xf numFmtId="0" fontId="36" fillId="0" borderId="15" xfId="0" applyFont="1" applyBorder="1" applyAlignment="1" quotePrefix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 quotePrefix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 quotePrefix="1">
      <alignment horizontal="left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 quotePrefix="1">
      <alignment horizontal="right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 quotePrefix="1">
      <alignment horizontal="right" vertical="center" wrapText="1"/>
    </xf>
    <xf numFmtId="0" fontId="49" fillId="0" borderId="0" xfId="0" applyFont="1" applyAlignment="1" quotePrefix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 applyAlignment="1">
      <alignment horizontal="left"/>
    </xf>
    <xf numFmtId="0" fontId="36" fillId="0" borderId="0" xfId="0" applyFont="1" applyAlignment="1" quotePrefix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51" fillId="0" borderId="0" xfId="0" applyFont="1" applyAlignment="1">
      <alignment horizontal="left"/>
    </xf>
    <xf numFmtId="0" fontId="49" fillId="0" borderId="0" xfId="0" applyFont="1" applyAlignment="1" quotePrefix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0">
      <selection activeCell="C14" sqref="C14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-14852.58</v>
      </c>
    </row>
    <row r="8" spans="2:5" ht="15">
      <c r="B8" s="14" t="s">
        <v>8</v>
      </c>
      <c r="C8" s="38">
        <f>347.32*1.43*6+347.32*2.14*6</f>
        <v>7439.5944</v>
      </c>
      <c r="E8" s="24"/>
    </row>
    <row r="9" spans="2:3" ht="15">
      <c r="B9" s="31" t="s">
        <v>17</v>
      </c>
      <c r="C9" s="47">
        <f>C8*0.6946</f>
        <v>5167.54227024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11</v>
      </c>
      <c r="C11" s="3">
        <v>163.1</v>
      </c>
    </row>
    <row r="12" spans="1:3" s="1" customFormat="1" ht="15">
      <c r="A12" s="3">
        <v>2</v>
      </c>
      <c r="B12" s="2" t="s">
        <v>12</v>
      </c>
      <c r="C12" s="3">
        <v>1503.74</v>
      </c>
    </row>
    <row r="13" spans="1:3" s="1" customFormat="1" ht="15">
      <c r="A13" s="3"/>
      <c r="B13" s="8" t="s">
        <v>1</v>
      </c>
      <c r="C13" s="7">
        <f>SUM(C11:C12)</f>
        <v>1666.84</v>
      </c>
    </row>
    <row r="14" spans="1:3" s="10" customFormat="1" ht="15">
      <c r="A14" s="7"/>
      <c r="B14" s="15" t="s">
        <v>13</v>
      </c>
      <c r="C14" s="29">
        <f>C7+C8-C13</f>
        <v>-9079.8256</v>
      </c>
    </row>
    <row r="15" spans="1:3" s="10" customFormat="1" ht="15">
      <c r="A15" s="27"/>
      <c r="B15" s="28"/>
      <c r="C15" s="27"/>
    </row>
    <row r="16" s="1" customFormat="1" ht="15">
      <c r="A16" s="5"/>
    </row>
    <row r="17" spans="1:2" s="1" customFormat="1" ht="18.75">
      <c r="A17" s="5"/>
      <c r="B17" s="17" t="s">
        <v>5</v>
      </c>
    </row>
    <row r="18" spans="1:2" s="10" customFormat="1" ht="15">
      <c r="A18" s="11"/>
      <c r="B18" s="1"/>
    </row>
    <row r="19" spans="1:3" s="1" customFormat="1" ht="15">
      <c r="A19" s="5"/>
      <c r="B19" s="14" t="s">
        <v>14</v>
      </c>
      <c r="C19" s="10">
        <v>-2734.67</v>
      </c>
    </row>
    <row r="20" spans="1:3" s="1" customFormat="1" ht="15">
      <c r="A20" s="5"/>
      <c r="B20" s="14" t="s">
        <v>8</v>
      </c>
      <c r="C20" s="10">
        <f>8758.08</f>
        <v>8758.08</v>
      </c>
    </row>
    <row r="21" spans="1:3" s="1" customFormat="1" ht="15">
      <c r="A21" s="5"/>
      <c r="B21" s="53" t="s">
        <v>17</v>
      </c>
      <c r="C21" s="54">
        <f>C20*0.6946</f>
        <v>6083.362368</v>
      </c>
    </row>
    <row r="22" spans="1:3" s="1" customFormat="1" ht="30">
      <c r="A22" s="3" t="s">
        <v>0</v>
      </c>
      <c r="B22" s="3" t="s">
        <v>9</v>
      </c>
      <c r="C22" s="9" t="s">
        <v>10</v>
      </c>
    </row>
    <row r="23" spans="1:3" s="1" customFormat="1" ht="18.75" customHeight="1">
      <c r="A23" s="3">
        <v>1</v>
      </c>
      <c r="B23" s="6" t="s">
        <v>15</v>
      </c>
      <c r="C23" s="3">
        <v>4478.65</v>
      </c>
    </row>
    <row r="24" spans="1:3" s="1" customFormat="1" ht="15">
      <c r="A24" s="3">
        <v>2</v>
      </c>
      <c r="B24" s="30" t="s">
        <v>16</v>
      </c>
      <c r="C24" s="3">
        <v>1299.11</v>
      </c>
    </row>
    <row r="25" spans="1:3" s="1" customFormat="1" ht="15">
      <c r="A25" s="3"/>
      <c r="B25" s="8" t="s">
        <v>1</v>
      </c>
      <c r="C25" s="7">
        <f>SUM(C23:C24)</f>
        <v>5777.759999999999</v>
      </c>
    </row>
    <row r="26" spans="1:3" s="1" customFormat="1" ht="15">
      <c r="A26" s="3"/>
      <c r="B26" s="8" t="s">
        <v>13</v>
      </c>
      <c r="C26" s="29">
        <f>C19+C21-C25</f>
        <v>-2429.0676319999993</v>
      </c>
    </row>
    <row r="27" spans="1:3" s="1" customFormat="1" ht="30">
      <c r="A27" s="7"/>
      <c r="B27" s="9" t="s">
        <v>180</v>
      </c>
      <c r="C27" s="29">
        <f>C14+C26</f>
        <v>-11508.893231999999</v>
      </c>
    </row>
    <row r="28" s="1" customFormat="1" ht="15">
      <c r="A28" s="5"/>
    </row>
    <row r="29" spans="1:3" s="1" customFormat="1" ht="15">
      <c r="A29" s="5"/>
      <c r="B29" s="10" t="s">
        <v>18</v>
      </c>
      <c r="C29" s="10">
        <v>304392.47</v>
      </c>
    </row>
    <row r="30" spans="1:3" s="1" customFormat="1" ht="15">
      <c r="A30" s="5"/>
      <c r="B30" s="17" t="s">
        <v>182</v>
      </c>
      <c r="C30" s="10"/>
    </row>
    <row r="31" spans="1:3" s="1" customFormat="1" ht="15">
      <c r="A31" s="5"/>
      <c r="B31" s="10"/>
      <c r="C31" s="10"/>
    </row>
    <row r="32" spans="1:3" s="1" customFormat="1" ht="15">
      <c r="A32" s="5"/>
      <c r="B32" s="34" t="s">
        <v>23</v>
      </c>
      <c r="C32" s="10"/>
    </row>
    <row r="33" spans="1:3" s="1" customFormat="1" ht="15">
      <c r="A33" s="5"/>
      <c r="B33" s="17" t="s">
        <v>190</v>
      </c>
      <c r="C33" s="49">
        <f>347.32*2.14*12+C27</f>
        <v>-2589.7156319999976</v>
      </c>
    </row>
    <row r="34" spans="1:3" s="1" customFormat="1" ht="15">
      <c r="A34" s="5"/>
      <c r="B34" s="17"/>
      <c r="C34" s="10"/>
    </row>
    <row r="35" spans="1:3" s="1" customFormat="1" ht="15">
      <c r="A35" s="5"/>
      <c r="B35" s="34"/>
      <c r="C35" s="10"/>
    </row>
    <row r="36" spans="1:3" s="1" customFormat="1" ht="15">
      <c r="A36" s="5"/>
      <c r="B36" s="34"/>
      <c r="C36" s="10"/>
    </row>
    <row r="37" spans="1:3" s="1" customFormat="1" ht="15">
      <c r="A37" s="5"/>
      <c r="B37" s="34"/>
      <c r="C37" s="10"/>
    </row>
    <row r="38" spans="1:3" s="1" customFormat="1" ht="15">
      <c r="A38" s="5"/>
      <c r="B38" s="34"/>
      <c r="C38" s="10"/>
    </row>
    <row r="39" spans="1:3" s="1" customFormat="1" ht="15">
      <c r="A39" s="5"/>
      <c r="B39" s="10"/>
      <c r="C39" s="10"/>
    </row>
    <row r="40" s="1" customFormat="1" ht="15">
      <c r="A40" s="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44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-27000.95</v>
      </c>
    </row>
    <row r="8" spans="2:5" ht="15">
      <c r="B8" s="14" t="s">
        <v>8</v>
      </c>
      <c r="C8" s="38">
        <f>383.86*1.15*6+383.86*2.35*6</f>
        <v>8061.06</v>
      </c>
      <c r="E8" s="24"/>
    </row>
    <row r="9" spans="2:3" ht="15">
      <c r="B9" s="31" t="s">
        <v>17</v>
      </c>
      <c r="C9" s="47">
        <f>C8*1.0098</f>
        <v>8140.058388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2" t="s">
        <v>12</v>
      </c>
      <c r="C11" s="3">
        <v>1195.83</v>
      </c>
    </row>
    <row r="12" spans="1:3" s="1" customFormat="1" ht="15">
      <c r="A12" s="3"/>
      <c r="B12" s="8" t="s">
        <v>1</v>
      </c>
      <c r="C12" s="7">
        <f>SUM(C11:C11)</f>
        <v>1195.83</v>
      </c>
    </row>
    <row r="13" spans="1:3" s="10" customFormat="1" ht="15">
      <c r="A13" s="7"/>
      <c r="B13" s="15" t="s">
        <v>13</v>
      </c>
      <c r="C13" s="29">
        <f>C7+C8-C12</f>
        <v>-20135.72</v>
      </c>
    </row>
    <row r="14" spans="1:3" s="10" customFormat="1" ht="30">
      <c r="A14" s="7"/>
      <c r="B14" s="50" t="s">
        <v>180</v>
      </c>
      <c r="C14" s="29">
        <f>C13+C24</f>
        <v>-20332.194864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2"/>
      <c r="B17" s="1"/>
    </row>
    <row r="18" spans="1:3" s="1" customFormat="1" ht="15">
      <c r="A18" s="5"/>
      <c r="B18" s="14" t="s">
        <v>14</v>
      </c>
      <c r="C18" s="10">
        <v>-6447.46</v>
      </c>
    </row>
    <row r="19" spans="1:3" s="1" customFormat="1" ht="15">
      <c r="A19" s="5"/>
      <c r="B19" s="14" t="s">
        <v>8</v>
      </c>
      <c r="C19" s="49">
        <v>6190.32</v>
      </c>
    </row>
    <row r="20" spans="1:3" s="1" customFormat="1" ht="15">
      <c r="A20" s="5"/>
      <c r="B20" s="53" t="s">
        <v>17</v>
      </c>
      <c r="C20" s="54">
        <f>C19*1.0098</f>
        <v>6250.985136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8" t="s">
        <v>1</v>
      </c>
      <c r="C23" s="7">
        <f>SUM(C22:C22)</f>
        <v>0</v>
      </c>
    </row>
    <row r="24" spans="1:3" s="1" customFormat="1" ht="15">
      <c r="A24" s="3"/>
      <c r="B24" s="8" t="s">
        <v>13</v>
      </c>
      <c r="C24" s="29">
        <f>C18+C20</f>
        <v>-196.4748639999998</v>
      </c>
    </row>
    <row r="25" spans="1:3" s="1" customFormat="1" ht="15">
      <c r="A25" s="40"/>
      <c r="B25" s="41"/>
      <c r="C25" s="48"/>
    </row>
    <row r="26" spans="1:3" s="1" customFormat="1" ht="15">
      <c r="A26" s="5"/>
      <c r="B26" s="10" t="s">
        <v>18</v>
      </c>
      <c r="C26" s="1">
        <v>0</v>
      </c>
    </row>
    <row r="27" spans="1:3" s="1" customFormat="1" ht="15">
      <c r="A27" s="5"/>
      <c r="B27" s="17" t="s">
        <v>185</v>
      </c>
      <c r="C27" s="10"/>
    </row>
    <row r="28" spans="1:3" s="1" customFormat="1" ht="15">
      <c r="A28" s="5"/>
      <c r="B28" s="10"/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10"/>
      <c r="C30" s="10"/>
    </row>
    <row r="31" spans="1:3" s="1" customFormat="1" ht="15">
      <c r="A31" s="5"/>
      <c r="B31" s="68" t="s">
        <v>190</v>
      </c>
      <c r="C31" s="69">
        <f>383.6*2.35*12+C14</f>
        <v>-9514.674864</v>
      </c>
    </row>
    <row r="32" spans="1:3" s="1" customFormat="1" ht="15">
      <c r="A32" s="5"/>
      <c r="B32" s="10"/>
      <c r="C32" s="10"/>
    </row>
    <row r="33" spans="1:3" s="1" customFormat="1" ht="15">
      <c r="A33" s="5"/>
      <c r="B33" s="10"/>
      <c r="C33" s="10"/>
    </row>
    <row r="34" spans="1:3" s="1" customFormat="1" ht="15">
      <c r="A34" s="5"/>
      <c r="B34" s="10"/>
      <c r="C34" s="10"/>
    </row>
    <row r="35" s="1" customFormat="1" ht="15">
      <c r="A35" s="5"/>
    </row>
    <row r="36" spans="1:3" s="1" customFormat="1" ht="15">
      <c r="A36" s="121" t="s">
        <v>20</v>
      </c>
      <c r="B36" s="122"/>
      <c r="C36" s="122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pans="1:2" s="1" customFormat="1" ht="15">
      <c r="A62" s="5"/>
      <c r="B62"/>
    </row>
  </sheetData>
  <sheetProtection/>
  <mergeCells count="2">
    <mergeCell ref="A1:B1"/>
    <mergeCell ref="A36:C36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">
      <selection activeCell="H18" sqref="H18:H2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45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8995.31</v>
      </c>
    </row>
    <row r="8" spans="2:5" ht="15">
      <c r="B8" s="14" t="s">
        <v>8</v>
      </c>
      <c r="C8" s="38">
        <f>489.5*0.96*6+489.5*1.98*6</f>
        <v>8634.779999999999</v>
      </c>
      <c r="E8" s="24"/>
    </row>
    <row r="9" spans="2:3" ht="15">
      <c r="B9" s="31" t="s">
        <v>17</v>
      </c>
      <c r="C9" s="47">
        <f>C8*0.9843</f>
        <v>8499.213953999999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2" t="s">
        <v>12</v>
      </c>
      <c r="C11" s="3">
        <v>814.7</v>
      </c>
    </row>
    <row r="12" spans="1:3" s="1" customFormat="1" ht="15">
      <c r="A12" s="3">
        <v>2</v>
      </c>
      <c r="B12" s="6" t="s">
        <v>46</v>
      </c>
      <c r="C12" s="3">
        <v>221.55</v>
      </c>
    </row>
    <row r="13" spans="1:3" s="1" customFormat="1" ht="15">
      <c r="A13" s="3">
        <v>3</v>
      </c>
      <c r="B13" s="6" t="s">
        <v>47</v>
      </c>
      <c r="C13" s="3">
        <v>2863.86</v>
      </c>
    </row>
    <row r="14" spans="1:3" s="1" customFormat="1" ht="15">
      <c r="A14" s="3"/>
      <c r="B14" s="8" t="s">
        <v>1</v>
      </c>
      <c r="C14" s="7">
        <f>SUM(C11:C13)</f>
        <v>3900.11</v>
      </c>
    </row>
    <row r="15" spans="1:3" s="10" customFormat="1" ht="15">
      <c r="A15" s="7"/>
      <c r="B15" s="15" t="s">
        <v>13</v>
      </c>
      <c r="C15" s="29">
        <f>C7+C8-C14</f>
        <v>13729.979999999996</v>
      </c>
    </row>
    <row r="16" spans="1:3" s="10" customFormat="1" ht="30">
      <c r="A16" s="51"/>
      <c r="B16" s="50" t="s">
        <v>179</v>
      </c>
      <c r="C16" s="29">
        <f>C15+C26</f>
        <v>27425.459999999995</v>
      </c>
    </row>
    <row r="17" s="1" customFormat="1" ht="15">
      <c r="A17" s="5"/>
    </row>
    <row r="18" spans="1:2" s="1" customFormat="1" ht="18.75">
      <c r="A18" s="5"/>
      <c r="B18" s="17" t="s">
        <v>5</v>
      </c>
    </row>
    <row r="19" spans="1:2" s="10" customFormat="1" ht="15">
      <c r="A19" s="32"/>
      <c r="B19" s="1"/>
    </row>
    <row r="20" spans="1:3" s="1" customFormat="1" ht="15">
      <c r="A20" s="5"/>
      <c r="B20" s="14" t="s">
        <v>14</v>
      </c>
      <c r="C20" s="10">
        <v>13695.48</v>
      </c>
    </row>
    <row r="21" spans="1:3" s="1" customFormat="1" ht="15">
      <c r="A21" s="5"/>
      <c r="B21" s="14" t="s">
        <v>8</v>
      </c>
      <c r="C21" s="1">
        <v>0</v>
      </c>
    </row>
    <row r="22" spans="1:2" s="1" customFormat="1" ht="15">
      <c r="A22" s="5"/>
      <c r="B22" s="14" t="s">
        <v>17</v>
      </c>
    </row>
    <row r="23" spans="1:3" s="1" customFormat="1" ht="30">
      <c r="A23" s="3" t="s">
        <v>0</v>
      </c>
      <c r="B23" s="3" t="s">
        <v>9</v>
      </c>
      <c r="C23" s="9" t="s">
        <v>10</v>
      </c>
    </row>
    <row r="24" spans="1:3" s="1" customFormat="1" ht="15">
      <c r="A24" s="3"/>
      <c r="B24" s="30"/>
      <c r="C24" s="3">
        <v>0</v>
      </c>
    </row>
    <row r="25" spans="1:3" s="1" customFormat="1" ht="15">
      <c r="A25" s="3"/>
      <c r="B25" s="8" t="s">
        <v>1</v>
      </c>
      <c r="C25" s="7">
        <f>SUM(C24:C24)</f>
        <v>0</v>
      </c>
    </row>
    <row r="26" spans="1:3" s="1" customFormat="1" ht="15">
      <c r="A26" s="3"/>
      <c r="B26" s="8" t="s">
        <v>13</v>
      </c>
      <c r="C26" s="7">
        <f>C20+C21-C25</f>
        <v>13695.48</v>
      </c>
    </row>
    <row r="27" spans="1:3" s="1" customFormat="1" ht="15">
      <c r="A27" s="40"/>
      <c r="B27" s="41"/>
      <c r="C27" s="27"/>
    </row>
    <row r="28" spans="1:3" s="1" customFormat="1" ht="15">
      <c r="A28" s="5"/>
      <c r="B28" s="10" t="s">
        <v>18</v>
      </c>
      <c r="C28" s="10">
        <v>13999.71</v>
      </c>
    </row>
    <row r="29" spans="1:3" s="1" customFormat="1" ht="15">
      <c r="A29" s="5"/>
      <c r="B29" s="17" t="s">
        <v>182</v>
      </c>
      <c r="C29" s="10">
        <v>10354.35</v>
      </c>
    </row>
    <row r="30" spans="1:3" s="1" customFormat="1" ht="15">
      <c r="A30" s="5"/>
      <c r="B30" s="17" t="s">
        <v>187</v>
      </c>
      <c r="C30" s="10">
        <v>3645.36</v>
      </c>
    </row>
    <row r="31" spans="1:3" s="1" customFormat="1" ht="15">
      <c r="A31" s="5"/>
      <c r="B31" s="10"/>
      <c r="C31" s="10"/>
    </row>
    <row r="32" spans="1:3" s="1" customFormat="1" ht="15">
      <c r="A32" s="5"/>
      <c r="B32" s="10" t="s">
        <v>23</v>
      </c>
      <c r="C32" s="10"/>
    </row>
    <row r="33" spans="1:3" s="1" customFormat="1" ht="15">
      <c r="A33" s="5"/>
      <c r="B33" s="10"/>
      <c r="C33" s="10"/>
    </row>
    <row r="34" spans="1:3" s="1" customFormat="1" ht="15">
      <c r="A34" s="5"/>
      <c r="B34" s="34" t="s">
        <v>191</v>
      </c>
      <c r="C34" s="34">
        <f>489.5*1.98*12+C16</f>
        <v>39055.979999999996</v>
      </c>
    </row>
    <row r="35" spans="1:3" s="1" customFormat="1" ht="15">
      <c r="A35" s="5"/>
      <c r="B35" s="10"/>
      <c r="C35" s="10"/>
    </row>
    <row r="36" spans="1:3" s="1" customFormat="1" ht="15">
      <c r="A36" s="72">
        <v>1</v>
      </c>
      <c r="B36" s="70" t="s">
        <v>192</v>
      </c>
      <c r="C36" s="74"/>
    </row>
    <row r="37" spans="1:3" s="1" customFormat="1" ht="15">
      <c r="A37" s="73"/>
      <c r="B37" s="71" t="s">
        <v>193</v>
      </c>
      <c r="C37" s="78" t="s">
        <v>242</v>
      </c>
    </row>
    <row r="38" spans="1:3" s="1" customFormat="1" ht="15">
      <c r="A38" s="40"/>
      <c r="B38" s="76"/>
      <c r="C38" s="79"/>
    </row>
    <row r="39" spans="1:3" s="1" customFormat="1" ht="15">
      <c r="A39" s="40"/>
      <c r="B39" s="76"/>
      <c r="C39" s="79"/>
    </row>
    <row r="40" spans="1:3" s="1" customFormat="1" ht="15">
      <c r="A40" s="5"/>
      <c r="B40" s="10"/>
      <c r="C40" s="10"/>
    </row>
    <row r="41" s="1" customFormat="1" ht="15">
      <c r="A41" s="5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4">
      <selection activeCell="B44" sqref="B44:B4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48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133651.18</v>
      </c>
    </row>
    <row r="8" spans="2:5" ht="15">
      <c r="B8" s="14" t="s">
        <v>8</v>
      </c>
      <c r="C8" s="38">
        <f>1335.3*1.89*6+1335.3*1.63*6</f>
        <v>28201.535999999996</v>
      </c>
      <c r="E8" s="24"/>
    </row>
    <row r="9" spans="2:3" ht="15">
      <c r="B9" s="31" t="s">
        <v>17</v>
      </c>
      <c r="C9" s="55">
        <f>C8*0.9726</f>
        <v>27428.813913599995</v>
      </c>
    </row>
    <row r="10" spans="2:3" ht="15">
      <c r="B10" s="31" t="s">
        <v>175</v>
      </c>
      <c r="C10" s="55">
        <v>1080</v>
      </c>
    </row>
    <row r="11" spans="1:3" ht="50.25" customHeight="1">
      <c r="A11" s="3" t="s">
        <v>0</v>
      </c>
      <c r="B11" s="3" t="s">
        <v>9</v>
      </c>
      <c r="C11" s="26" t="s">
        <v>10</v>
      </c>
    </row>
    <row r="12" spans="1:3" s="1" customFormat="1" ht="15">
      <c r="A12" s="3">
        <v>1</v>
      </c>
      <c r="B12" s="2" t="s">
        <v>49</v>
      </c>
      <c r="C12" s="3">
        <v>421.06</v>
      </c>
    </row>
    <row r="13" spans="1:3" s="1" customFormat="1" ht="15">
      <c r="A13" s="3">
        <v>2</v>
      </c>
      <c r="B13" s="6" t="s">
        <v>50</v>
      </c>
      <c r="C13" s="3">
        <v>889.89</v>
      </c>
    </row>
    <row r="14" spans="1:3" s="1" customFormat="1" ht="15">
      <c r="A14" s="3">
        <v>3</v>
      </c>
      <c r="B14" s="6" t="s">
        <v>51</v>
      </c>
      <c r="C14" s="3">
        <v>3976.6</v>
      </c>
    </row>
    <row r="15" spans="1:3" s="1" customFormat="1" ht="15">
      <c r="A15" s="3">
        <v>4</v>
      </c>
      <c r="B15" s="6" t="s">
        <v>52</v>
      </c>
      <c r="C15" s="3">
        <v>305.62</v>
      </c>
    </row>
    <row r="16" spans="1:3" s="1" customFormat="1" ht="15">
      <c r="A16" s="3"/>
      <c r="B16" s="8" t="s">
        <v>1</v>
      </c>
      <c r="C16" s="7">
        <f>SUM(C12:C15)</f>
        <v>5593.17</v>
      </c>
    </row>
    <row r="17" spans="1:3" s="10" customFormat="1" ht="15">
      <c r="A17" s="7"/>
      <c r="B17" s="15" t="s">
        <v>13</v>
      </c>
      <c r="C17" s="29">
        <f>C7+C8+C10-C16</f>
        <v>157339.54599999997</v>
      </c>
    </row>
    <row r="18" spans="1:3" s="10" customFormat="1" ht="30">
      <c r="A18" s="7"/>
      <c r="B18" s="50" t="s">
        <v>180</v>
      </c>
      <c r="C18" s="29">
        <f>C17+C28</f>
        <v>153655.82765199998</v>
      </c>
    </row>
    <row r="19" s="1" customFormat="1" ht="15">
      <c r="A19" s="5"/>
    </row>
    <row r="20" spans="1:2" s="1" customFormat="1" ht="18.75">
      <c r="A20" s="5"/>
      <c r="B20" s="17" t="s">
        <v>5</v>
      </c>
    </row>
    <row r="21" spans="1:2" s="10" customFormat="1" ht="15">
      <c r="A21" s="32"/>
      <c r="B21" s="1"/>
    </row>
    <row r="22" spans="1:3" s="1" customFormat="1" ht="15">
      <c r="A22" s="5"/>
      <c r="B22" s="14" t="s">
        <v>14</v>
      </c>
      <c r="C22" s="10">
        <v>-42293.03999999999</v>
      </c>
    </row>
    <row r="23" spans="1:3" s="1" customFormat="1" ht="15">
      <c r="A23" s="5"/>
      <c r="B23" s="14" t="s">
        <v>8</v>
      </c>
      <c r="C23" s="10">
        <v>39697.02</v>
      </c>
    </row>
    <row r="24" spans="1:3" s="1" customFormat="1" ht="15">
      <c r="A24" s="5"/>
      <c r="B24" s="53" t="s">
        <v>17</v>
      </c>
      <c r="C24" s="54">
        <f>C23*0.9726</f>
        <v>38609.321652</v>
      </c>
    </row>
    <row r="25" spans="1:3" s="1" customFormat="1" ht="30">
      <c r="A25" s="3" t="s">
        <v>0</v>
      </c>
      <c r="B25" s="3" t="s">
        <v>9</v>
      </c>
      <c r="C25" s="9" t="s">
        <v>10</v>
      </c>
    </row>
    <row r="26" spans="1:3" s="1" customFormat="1" ht="15">
      <c r="A26" s="3"/>
      <c r="B26" s="30"/>
      <c r="C26" s="3">
        <v>0</v>
      </c>
    </row>
    <row r="27" spans="1:3" s="1" customFormat="1" ht="15">
      <c r="A27" s="3"/>
      <c r="B27" s="8" t="s">
        <v>1</v>
      </c>
      <c r="C27" s="7">
        <f>SUM(C26:C26)</f>
        <v>0</v>
      </c>
    </row>
    <row r="28" spans="1:3" s="1" customFormat="1" ht="15">
      <c r="A28" s="3"/>
      <c r="B28" s="8" t="s">
        <v>13</v>
      </c>
      <c r="C28" s="29">
        <f>C22+C24</f>
        <v>-3683.718347999995</v>
      </c>
    </row>
    <row r="29" s="1" customFormat="1" ht="15">
      <c r="A29" s="5"/>
    </row>
    <row r="30" spans="1:3" s="1" customFormat="1" ht="15">
      <c r="A30" s="5"/>
      <c r="B30" s="10" t="s">
        <v>18</v>
      </c>
      <c r="C30" s="10">
        <v>66524.81</v>
      </c>
    </row>
    <row r="31" spans="1:3" s="1" customFormat="1" ht="15">
      <c r="A31" s="5"/>
      <c r="B31" s="17" t="s">
        <v>185</v>
      </c>
      <c r="C31" s="10">
        <v>41211.71</v>
      </c>
    </row>
    <row r="32" spans="1:3" s="1" customFormat="1" ht="15">
      <c r="A32" s="5"/>
      <c r="B32" s="17" t="s">
        <v>187</v>
      </c>
      <c r="C32" s="10">
        <v>25313.1</v>
      </c>
    </row>
    <row r="33" spans="1:3" s="1" customFormat="1" ht="15">
      <c r="A33" s="5"/>
      <c r="B33" s="10"/>
      <c r="C33" s="10"/>
    </row>
    <row r="34" spans="1:3" s="1" customFormat="1" ht="15">
      <c r="A34" s="5"/>
      <c r="B34" s="34" t="s">
        <v>23</v>
      </c>
      <c r="C34" s="10"/>
    </row>
    <row r="35" spans="1:3" s="1" customFormat="1" ht="15">
      <c r="A35" s="5"/>
      <c r="B35" s="34"/>
      <c r="C35" s="10"/>
    </row>
    <row r="36" spans="1:3" s="1" customFormat="1" ht="15">
      <c r="A36" s="5"/>
      <c r="B36" s="34" t="s">
        <v>191</v>
      </c>
      <c r="C36" s="49">
        <f>1335.3*1.63*12+C18</f>
        <v>179774.29565199997</v>
      </c>
    </row>
    <row r="37" spans="1:3" s="1" customFormat="1" ht="15">
      <c r="A37" s="5"/>
      <c r="B37" s="34"/>
      <c r="C37" s="10"/>
    </row>
    <row r="38" spans="1:3" s="1" customFormat="1" ht="15">
      <c r="A38" s="7">
        <v>1</v>
      </c>
      <c r="B38" s="80" t="s">
        <v>53</v>
      </c>
      <c r="C38" s="9" t="s">
        <v>54</v>
      </c>
    </row>
    <row r="39" spans="1:3" s="1" customFormat="1" ht="15">
      <c r="A39" s="7">
        <v>2</v>
      </c>
      <c r="B39" s="50" t="s">
        <v>55</v>
      </c>
      <c r="C39" s="9" t="s">
        <v>57</v>
      </c>
    </row>
    <row r="40" spans="1:3" s="1" customFormat="1" ht="15">
      <c r="A40" s="7">
        <v>3</v>
      </c>
      <c r="B40" s="50" t="s">
        <v>56</v>
      </c>
      <c r="C40" s="9" t="s">
        <v>58</v>
      </c>
    </row>
    <row r="41" spans="1:3" s="1" customFormat="1" ht="15">
      <c r="A41" s="72">
        <v>4</v>
      </c>
      <c r="B41" s="70" t="s">
        <v>192</v>
      </c>
      <c r="C41" s="74"/>
    </row>
    <row r="42" spans="1:3" s="1" customFormat="1" ht="15">
      <c r="A42" s="77"/>
      <c r="B42" s="71" t="s">
        <v>193</v>
      </c>
      <c r="C42" s="90" t="s">
        <v>243</v>
      </c>
    </row>
    <row r="43" spans="1:3" s="1" customFormat="1" ht="15">
      <c r="A43" s="27"/>
      <c r="B43" s="76"/>
      <c r="C43" s="42"/>
    </row>
    <row r="44" spans="1:3" s="1" customFormat="1" ht="15">
      <c r="A44" s="27"/>
      <c r="B44" s="76"/>
      <c r="C44" s="42"/>
    </row>
    <row r="45" spans="1:3" s="1" customFormat="1" ht="15">
      <c r="A45" s="27"/>
      <c r="B45" s="76"/>
      <c r="C45" s="42"/>
    </row>
    <row r="46" spans="1:3" s="1" customFormat="1" ht="15">
      <c r="A46" s="27"/>
      <c r="B46" s="76"/>
      <c r="C46" s="42"/>
    </row>
    <row r="47" spans="1:3" s="1" customFormat="1" ht="15">
      <c r="A47" s="32"/>
      <c r="B47" s="10"/>
      <c r="C47" s="10"/>
    </row>
    <row r="48" s="1" customFormat="1" ht="15">
      <c r="A48" s="32"/>
    </row>
    <row r="49" spans="1:3" s="1" customFormat="1" ht="15">
      <c r="A49" s="121" t="s">
        <v>20</v>
      </c>
      <c r="B49" s="122"/>
      <c r="C49" s="122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="1" customFormat="1" ht="15">
      <c r="A69" s="5"/>
    </row>
    <row r="70" s="1" customFormat="1" ht="15">
      <c r="A70" s="5"/>
    </row>
    <row r="71" s="1" customFormat="1" ht="15">
      <c r="A71" s="5"/>
    </row>
    <row r="72" s="1" customFormat="1" ht="15">
      <c r="A72" s="5"/>
    </row>
    <row r="73" s="1" customFormat="1" ht="15">
      <c r="A73" s="5"/>
    </row>
    <row r="74" s="1" customFormat="1" ht="15">
      <c r="A74" s="5"/>
    </row>
    <row r="75" spans="1:2" s="1" customFormat="1" ht="15">
      <c r="A75" s="5"/>
      <c r="B75"/>
    </row>
  </sheetData>
  <sheetProtection/>
  <mergeCells count="2">
    <mergeCell ref="A1:B1"/>
    <mergeCell ref="A49:C4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">
      <selection activeCell="B27" sqref="B27:B28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59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0</v>
      </c>
    </row>
    <row r="8" spans="2:5" ht="15">
      <c r="B8" s="14" t="s">
        <v>8</v>
      </c>
      <c r="C8" s="38">
        <f>1663.7*0.4*6+1663.7*1.05*6</f>
        <v>14474.190000000002</v>
      </c>
      <c r="E8" s="24"/>
    </row>
    <row r="9" spans="2:5" ht="15">
      <c r="B9" s="31" t="s">
        <v>17</v>
      </c>
      <c r="C9" s="38">
        <v>11492.51</v>
      </c>
      <c r="E9" s="24"/>
    </row>
    <row r="10" spans="2:3" ht="15">
      <c r="B10" s="31" t="s">
        <v>175</v>
      </c>
      <c r="C10" s="47">
        <v>1080</v>
      </c>
    </row>
    <row r="11" spans="1:3" ht="50.25" customHeight="1">
      <c r="A11" s="3" t="s">
        <v>0</v>
      </c>
      <c r="B11" s="3" t="s">
        <v>9</v>
      </c>
      <c r="C11" s="26" t="s">
        <v>10</v>
      </c>
    </row>
    <row r="12" spans="1:3" s="1" customFormat="1" ht="15">
      <c r="A12" s="3">
        <v>1</v>
      </c>
      <c r="B12" s="6" t="s">
        <v>60</v>
      </c>
      <c r="C12" s="3">
        <v>4998</v>
      </c>
    </row>
    <row r="13" spans="1:3" s="1" customFormat="1" ht="15">
      <c r="A13" s="3"/>
      <c r="B13" s="8" t="s">
        <v>1</v>
      </c>
      <c r="C13" s="7">
        <f>SUM(C12:C12)</f>
        <v>4998</v>
      </c>
    </row>
    <row r="14" spans="1:3" s="10" customFormat="1" ht="15">
      <c r="A14" s="7"/>
      <c r="B14" s="15" t="s">
        <v>13</v>
      </c>
      <c r="C14" s="29">
        <f>C7+C8+C10-C13</f>
        <v>10556.190000000002</v>
      </c>
    </row>
    <row r="15" spans="1:3" s="10" customFormat="1" ht="15">
      <c r="A15" s="27"/>
      <c r="B15" s="28"/>
      <c r="C15" s="27"/>
    </row>
    <row r="16" spans="1:3" s="1" customFormat="1" ht="15">
      <c r="A16" s="5"/>
      <c r="B16" s="10" t="s">
        <v>18</v>
      </c>
      <c r="C16" s="10">
        <v>117352.95</v>
      </c>
    </row>
    <row r="17" spans="1:3" s="1" customFormat="1" ht="15">
      <c r="A17" s="5"/>
      <c r="B17" s="17" t="s">
        <v>185</v>
      </c>
      <c r="C17" s="10">
        <v>65765.25</v>
      </c>
    </row>
    <row r="18" spans="1:3" s="1" customFormat="1" ht="15">
      <c r="A18" s="5"/>
      <c r="B18" s="10" t="s">
        <v>187</v>
      </c>
      <c r="C18" s="10">
        <v>51587.7</v>
      </c>
    </row>
    <row r="19" spans="1:3" s="1" customFormat="1" ht="15">
      <c r="A19" s="5"/>
      <c r="B19" s="10"/>
      <c r="C19" s="10"/>
    </row>
    <row r="20" spans="1:4" s="1" customFormat="1" ht="15">
      <c r="A20" s="5"/>
      <c r="B20" s="34" t="s">
        <v>261</v>
      </c>
      <c r="C20" s="10"/>
      <c r="D20" s="119"/>
    </row>
    <row r="21" spans="1:3" s="1" customFormat="1" ht="15">
      <c r="A21" s="5"/>
      <c r="B21" s="34"/>
      <c r="C21" s="10"/>
    </row>
    <row r="22" spans="1:3" s="1" customFormat="1" ht="15">
      <c r="A22" s="5"/>
      <c r="B22" s="34" t="s">
        <v>191</v>
      </c>
      <c r="C22" s="49">
        <f>1663.7*1.05*12+C14</f>
        <v>31518.810000000005</v>
      </c>
    </row>
    <row r="23" spans="1:3" s="1" customFormat="1" ht="15">
      <c r="A23" s="40"/>
      <c r="B23" s="76"/>
      <c r="C23" s="79"/>
    </row>
    <row r="24" spans="1:3" s="1" customFormat="1" ht="15">
      <c r="A24" s="72">
        <v>1</v>
      </c>
      <c r="B24" s="74" t="s">
        <v>192</v>
      </c>
      <c r="C24" s="82"/>
    </row>
    <row r="25" spans="1:3" s="1" customFormat="1" ht="15">
      <c r="A25" s="73"/>
      <c r="B25" s="75" t="s">
        <v>193</v>
      </c>
      <c r="C25" s="78" t="s">
        <v>260</v>
      </c>
    </row>
    <row r="26" spans="1:3" s="1" customFormat="1" ht="15">
      <c r="A26" s="40"/>
      <c r="B26" s="76"/>
      <c r="C26" s="27"/>
    </row>
    <row r="27" spans="1:3" s="1" customFormat="1" ht="15">
      <c r="A27" s="40"/>
      <c r="B27" s="76"/>
      <c r="C27" s="27"/>
    </row>
    <row r="28" spans="1:3" s="1" customFormat="1" ht="15">
      <c r="A28" s="40"/>
      <c r="B28" s="76"/>
      <c r="C28" s="27"/>
    </row>
    <row r="29" spans="1:3" s="1" customFormat="1" ht="15">
      <c r="A29" s="40"/>
      <c r="B29" s="76"/>
      <c r="C29" s="27"/>
    </row>
    <row r="30" spans="1:3" s="1" customFormat="1" ht="15">
      <c r="A30" s="5"/>
      <c r="B30" s="10"/>
      <c r="C30" s="10"/>
    </row>
    <row r="31" s="1" customFormat="1" ht="15">
      <c r="A31" s="5"/>
    </row>
    <row r="32" spans="1:3" s="1" customFormat="1" ht="15">
      <c r="A32" s="121" t="s">
        <v>20</v>
      </c>
      <c r="B32" s="122"/>
      <c r="C32" s="122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pans="1:2" s="1" customFormat="1" ht="15">
      <c r="A58" s="5"/>
      <c r="B58"/>
    </row>
  </sheetData>
  <sheetProtection/>
  <mergeCells count="2">
    <mergeCell ref="A1:B1"/>
    <mergeCell ref="A32:C3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">
      <selection activeCell="B24" sqref="B24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61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-1265.4</v>
      </c>
    </row>
    <row r="8" spans="2:5" ht="15">
      <c r="B8" s="14" t="s">
        <v>8</v>
      </c>
      <c r="C8" s="38">
        <f>1670.7*0.11*6+1670.7*0.69*6</f>
        <v>8019.36</v>
      </c>
      <c r="E8" s="24"/>
    </row>
    <row r="9" spans="2:5" ht="15">
      <c r="B9" s="31" t="s">
        <v>17</v>
      </c>
      <c r="C9" s="38">
        <f>C8*0.9516</f>
        <v>7631.222976</v>
      </c>
      <c r="E9" s="24"/>
    </row>
    <row r="10" spans="2:3" ht="15">
      <c r="B10" s="31" t="s">
        <v>175</v>
      </c>
      <c r="C10" s="47">
        <v>1080</v>
      </c>
    </row>
    <row r="11" spans="1:3" ht="50.25" customHeight="1">
      <c r="A11" s="3" t="s">
        <v>0</v>
      </c>
      <c r="B11" s="3" t="s">
        <v>9</v>
      </c>
      <c r="C11" s="26" t="s">
        <v>10</v>
      </c>
    </row>
    <row r="12" spans="1:3" s="1" customFormat="1" ht="15">
      <c r="A12" s="3">
        <v>1</v>
      </c>
      <c r="B12" s="6" t="s">
        <v>60</v>
      </c>
      <c r="C12" s="3">
        <v>2253</v>
      </c>
    </row>
    <row r="13" spans="1:3" s="1" customFormat="1" ht="15">
      <c r="A13" s="3">
        <v>2</v>
      </c>
      <c r="B13" s="6" t="s">
        <v>62</v>
      </c>
      <c r="C13" s="3">
        <v>87.32</v>
      </c>
    </row>
    <row r="14" spans="1:3" s="1" customFormat="1" ht="15">
      <c r="A14" s="3">
        <v>3</v>
      </c>
      <c r="B14" s="6" t="s">
        <v>63</v>
      </c>
      <c r="C14" s="3">
        <v>1088.55</v>
      </c>
    </row>
    <row r="15" spans="1:3" s="1" customFormat="1" ht="15">
      <c r="A15" s="3">
        <v>4</v>
      </c>
      <c r="B15" s="6" t="s">
        <v>64</v>
      </c>
      <c r="C15" s="3">
        <v>27656</v>
      </c>
    </row>
    <row r="16" spans="1:3" s="1" customFormat="1" ht="15">
      <c r="A16" s="3">
        <v>5</v>
      </c>
      <c r="B16" s="6" t="s">
        <v>259</v>
      </c>
      <c r="C16" s="3">
        <v>736.32</v>
      </c>
    </row>
    <row r="17" spans="1:3" s="1" customFormat="1" ht="15">
      <c r="A17" s="3"/>
      <c r="B17" s="8" t="s">
        <v>1</v>
      </c>
      <c r="C17" s="7">
        <f>SUM(C12:C16)</f>
        <v>31821.19</v>
      </c>
    </row>
    <row r="18" spans="1:3" s="10" customFormat="1" ht="15">
      <c r="A18" s="7"/>
      <c r="B18" s="15" t="s">
        <v>13</v>
      </c>
      <c r="C18" s="29">
        <f>C7+C8+C10-C17</f>
        <v>-23987.23</v>
      </c>
    </row>
    <row r="19" spans="1:3" s="10" customFormat="1" ht="15">
      <c r="A19" s="27"/>
      <c r="B19" s="28"/>
      <c r="C19" s="27"/>
    </row>
    <row r="20" spans="1:3" s="1" customFormat="1" ht="15">
      <c r="A20" s="5"/>
      <c r="B20" s="10" t="s">
        <v>18</v>
      </c>
      <c r="C20" s="10">
        <v>210477.55</v>
      </c>
    </row>
    <row r="21" spans="1:3" s="1" customFormat="1" ht="15">
      <c r="A21" s="5"/>
      <c r="B21" s="17" t="s">
        <v>182</v>
      </c>
      <c r="C21" s="10">
        <v>148640.57</v>
      </c>
    </row>
    <row r="22" spans="1:3" s="1" customFormat="1" ht="15">
      <c r="A22" s="5"/>
      <c r="B22" s="10" t="s">
        <v>187</v>
      </c>
      <c r="C22" s="10">
        <v>61836.98</v>
      </c>
    </row>
    <row r="23" spans="1:3" s="1" customFormat="1" ht="15">
      <c r="A23" s="5"/>
      <c r="B23" s="10"/>
      <c r="C23" s="10"/>
    </row>
    <row r="24" spans="1:3" s="1" customFormat="1" ht="15">
      <c r="A24" s="5"/>
      <c r="B24" s="34"/>
      <c r="C24" s="10"/>
    </row>
    <row r="25" spans="1:3" s="1" customFormat="1" ht="15">
      <c r="A25" s="5"/>
      <c r="B25" s="34"/>
      <c r="C25" s="10"/>
    </row>
    <row r="26" spans="1:3" s="1" customFormat="1" ht="15">
      <c r="A26" s="5"/>
      <c r="B26" s="34" t="s">
        <v>191</v>
      </c>
      <c r="C26" s="10">
        <f>1670.7*0.69*12+C18</f>
        <v>-10153.834</v>
      </c>
    </row>
    <row r="27" spans="1:3" s="1" customFormat="1" ht="15">
      <c r="A27" s="5"/>
      <c r="B27" s="34"/>
      <c r="C27" s="10"/>
    </row>
    <row r="28" spans="1:3" s="1" customFormat="1" ht="15">
      <c r="A28" s="5"/>
      <c r="B28" s="10"/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10"/>
      <c r="C30" s="10"/>
    </row>
    <row r="31" spans="1:3" s="1" customFormat="1" ht="15">
      <c r="A31" s="5"/>
      <c r="B31" s="10"/>
      <c r="C31" s="10"/>
    </row>
    <row r="32" spans="1:3" s="1" customFormat="1" ht="15">
      <c r="A32" s="5"/>
      <c r="B32" s="10"/>
      <c r="C32" s="10"/>
    </row>
    <row r="33" s="1" customFormat="1" ht="15">
      <c r="A33" s="5"/>
    </row>
    <row r="34" spans="1:3" s="1" customFormat="1" ht="15">
      <c r="A34" s="121" t="s">
        <v>20</v>
      </c>
      <c r="B34" s="122"/>
      <c r="C34" s="122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pans="1:2" s="1" customFormat="1" ht="15">
      <c r="A60" s="5"/>
      <c r="B60"/>
    </row>
  </sheetData>
  <sheetProtection/>
  <mergeCells count="2">
    <mergeCell ref="A1:B1"/>
    <mergeCell ref="A34:C34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65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12286.620000000003</v>
      </c>
    </row>
    <row r="8" spans="2:5" ht="15">
      <c r="B8" s="14" t="s">
        <v>8</v>
      </c>
      <c r="C8" s="38">
        <f>1935*0.9*6+1935*0.12*6</f>
        <v>11842.2</v>
      </c>
      <c r="E8" s="24"/>
    </row>
    <row r="9" spans="2:5" ht="15">
      <c r="B9" s="31" t="s">
        <v>17</v>
      </c>
      <c r="C9" s="38">
        <f>C8*0.9152</f>
        <v>10837.981440000001</v>
      </c>
      <c r="E9" s="24"/>
    </row>
    <row r="10" spans="2:3" ht="15">
      <c r="B10" s="31" t="s">
        <v>175</v>
      </c>
      <c r="C10" s="47">
        <v>1080</v>
      </c>
    </row>
    <row r="11" spans="1:3" ht="50.25" customHeight="1">
      <c r="A11" s="3" t="s">
        <v>0</v>
      </c>
      <c r="B11" s="3" t="s">
        <v>9</v>
      </c>
      <c r="C11" s="26" t="s">
        <v>10</v>
      </c>
    </row>
    <row r="12" spans="1:3" s="1" customFormat="1" ht="15">
      <c r="A12" s="3">
        <v>1</v>
      </c>
      <c r="B12" s="6" t="s">
        <v>60</v>
      </c>
      <c r="C12" s="3">
        <v>2253</v>
      </c>
    </row>
    <row r="13" spans="1:3" s="1" customFormat="1" ht="15">
      <c r="A13" s="3"/>
      <c r="B13" s="8" t="s">
        <v>1</v>
      </c>
      <c r="C13" s="7">
        <f>SUM(C12:C12)</f>
        <v>2253</v>
      </c>
    </row>
    <row r="14" spans="1:3" s="10" customFormat="1" ht="15">
      <c r="A14" s="7"/>
      <c r="B14" s="15" t="s">
        <v>13</v>
      </c>
      <c r="C14" s="29">
        <f>C7+C8+C10-C13</f>
        <v>22955.820000000003</v>
      </c>
    </row>
    <row r="15" spans="1:3" s="10" customFormat="1" ht="15">
      <c r="A15" s="27"/>
      <c r="B15" s="28"/>
      <c r="C15" s="27"/>
    </row>
    <row r="16" spans="1:3" s="1" customFormat="1" ht="15">
      <c r="A16" s="5"/>
      <c r="B16" s="10" t="s">
        <v>18</v>
      </c>
      <c r="C16" s="10">
        <v>305661.63</v>
      </c>
    </row>
    <row r="17" spans="1:3" s="1" customFormat="1" ht="15">
      <c r="A17" s="5"/>
      <c r="B17" s="17" t="s">
        <v>186</v>
      </c>
      <c r="C17" s="10">
        <v>202993.37</v>
      </c>
    </row>
    <row r="18" spans="1:3" s="1" customFormat="1" ht="15">
      <c r="A18" s="5"/>
      <c r="B18" s="10" t="s">
        <v>187</v>
      </c>
      <c r="C18" s="10">
        <v>102668.26</v>
      </c>
    </row>
    <row r="19" spans="1:3" s="1" customFormat="1" ht="15">
      <c r="A19" s="5"/>
      <c r="B19" s="10"/>
      <c r="C19" s="10"/>
    </row>
    <row r="20" spans="1:3" s="1" customFormat="1" ht="15">
      <c r="A20" s="5"/>
      <c r="B20" s="34" t="s">
        <v>23</v>
      </c>
      <c r="C20" s="10"/>
    </row>
    <row r="21" spans="1:3" s="1" customFormat="1" ht="15">
      <c r="A21" s="5"/>
      <c r="B21" s="10"/>
      <c r="C21" s="10"/>
    </row>
    <row r="22" spans="1:3" s="1" customFormat="1" ht="15">
      <c r="A22" s="5"/>
      <c r="B22" s="10" t="s">
        <v>191</v>
      </c>
      <c r="C22" s="10">
        <f>1935*0.12*12+C14</f>
        <v>25742.22</v>
      </c>
    </row>
    <row r="23" spans="1:3" s="1" customFormat="1" ht="15">
      <c r="A23" s="5"/>
      <c r="B23" s="10"/>
      <c r="C23" s="10"/>
    </row>
    <row r="24" spans="1:3" s="1" customFormat="1" ht="30">
      <c r="A24" s="7">
        <v>1</v>
      </c>
      <c r="B24" s="9" t="s">
        <v>66</v>
      </c>
      <c r="C24" s="7" t="s">
        <v>196</v>
      </c>
    </row>
    <row r="25" spans="1:3" s="1" customFormat="1" ht="15">
      <c r="A25" s="72">
        <v>2</v>
      </c>
      <c r="B25" s="70" t="s">
        <v>192</v>
      </c>
      <c r="C25" s="72"/>
    </row>
    <row r="26" spans="1:3" s="1" customFormat="1" ht="15">
      <c r="A26" s="73"/>
      <c r="B26" s="71" t="s">
        <v>193</v>
      </c>
      <c r="C26" s="78" t="s">
        <v>223</v>
      </c>
    </row>
    <row r="27" spans="1:3" s="1" customFormat="1" ht="15">
      <c r="A27" s="40"/>
      <c r="B27" s="76"/>
      <c r="C27" s="27"/>
    </row>
    <row r="28" spans="1:3" s="1" customFormat="1" ht="15">
      <c r="A28" s="40"/>
      <c r="B28" s="76"/>
      <c r="C28" s="27"/>
    </row>
    <row r="29" spans="1:3" s="1" customFormat="1" ht="15">
      <c r="A29" s="40"/>
      <c r="B29" s="76"/>
      <c r="C29" s="27"/>
    </row>
    <row r="30" spans="1:3" s="1" customFormat="1" ht="15">
      <c r="A30" s="40"/>
      <c r="B30" s="76"/>
      <c r="C30" s="27"/>
    </row>
    <row r="31" spans="1:3" s="1" customFormat="1" ht="15">
      <c r="A31" s="40"/>
      <c r="B31" s="76"/>
      <c r="C31" s="27"/>
    </row>
    <row r="32" spans="1:3" s="1" customFormat="1" ht="15">
      <c r="A32" s="40"/>
      <c r="B32" s="76"/>
      <c r="C32" s="27"/>
    </row>
    <row r="33" s="1" customFormat="1" ht="15">
      <c r="A33" s="5"/>
    </row>
    <row r="34" spans="1:3" s="1" customFormat="1" ht="15">
      <c r="A34" s="121" t="s">
        <v>20</v>
      </c>
      <c r="B34" s="122"/>
      <c r="C34" s="122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pans="1:2" s="1" customFormat="1" ht="15">
      <c r="A60" s="5"/>
      <c r="B60"/>
    </row>
  </sheetData>
  <sheetProtection/>
  <mergeCells count="2">
    <mergeCell ref="A1:B1"/>
    <mergeCell ref="A34:C34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3">
      <selection activeCell="F40" sqref="F40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68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-23.23</v>
      </c>
    </row>
    <row r="8" spans="2:5" ht="15">
      <c r="B8" s="14" t="s">
        <v>8</v>
      </c>
      <c r="C8" s="38">
        <f>102.25*0.01*6+102.25*0.43*6</f>
        <v>269.94</v>
      </c>
      <c r="E8" s="24"/>
    </row>
    <row r="9" spans="2:3" ht="15">
      <c r="B9" s="31" t="s">
        <v>17</v>
      </c>
      <c r="C9" s="47">
        <f>C8*0.8878</f>
        <v>239.65273200000001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69</v>
      </c>
      <c r="C11" s="7">
        <v>543.98</v>
      </c>
    </row>
    <row r="12" spans="1:3" s="1" customFormat="1" ht="15">
      <c r="A12" s="3">
        <v>2</v>
      </c>
      <c r="B12" s="43" t="s">
        <v>70</v>
      </c>
      <c r="C12" s="7">
        <v>1092.92</v>
      </c>
    </row>
    <row r="13" spans="1:3" s="1" customFormat="1" ht="15">
      <c r="A13" s="3"/>
      <c r="B13" s="8" t="s">
        <v>1</v>
      </c>
      <c r="C13" s="7">
        <f>SUM(C11:C12)</f>
        <v>1636.9</v>
      </c>
    </row>
    <row r="14" spans="1:3" s="10" customFormat="1" ht="15">
      <c r="A14" s="7"/>
      <c r="B14" s="15" t="s">
        <v>13</v>
      </c>
      <c r="C14" s="29">
        <f>C7+C8-C13</f>
        <v>-1390.19</v>
      </c>
    </row>
    <row r="15" spans="1:3" s="10" customFormat="1" ht="15">
      <c r="A15" s="27"/>
      <c r="B15" s="28"/>
      <c r="C15" s="27"/>
    </row>
    <row r="16" s="1" customFormat="1" ht="15">
      <c r="A16" s="5"/>
    </row>
    <row r="17" spans="1:2" s="1" customFormat="1" ht="18.75">
      <c r="A17" s="5"/>
      <c r="B17" s="17" t="s">
        <v>5</v>
      </c>
    </row>
    <row r="18" spans="1:2" s="10" customFormat="1" ht="15">
      <c r="A18" s="33"/>
      <c r="B18" s="1"/>
    </row>
    <row r="19" spans="1:3" s="1" customFormat="1" ht="15">
      <c r="A19" s="5"/>
      <c r="B19" s="14" t="s">
        <v>14</v>
      </c>
      <c r="C19" s="10">
        <v>2952.13</v>
      </c>
    </row>
    <row r="20" spans="1:3" s="1" customFormat="1" ht="15">
      <c r="A20" s="5"/>
      <c r="B20" s="14" t="s">
        <v>8</v>
      </c>
      <c r="C20" s="10">
        <v>2204.88</v>
      </c>
    </row>
    <row r="21" spans="1:3" s="1" customFormat="1" ht="15">
      <c r="A21" s="5"/>
      <c r="B21" s="14" t="s">
        <v>17</v>
      </c>
      <c r="C21" s="49">
        <f>C20*0.8878</f>
        <v>1957.4924640000002</v>
      </c>
    </row>
    <row r="22" spans="1:3" s="1" customFormat="1" ht="30">
      <c r="A22" s="3" t="s">
        <v>0</v>
      </c>
      <c r="B22" s="3" t="s">
        <v>9</v>
      </c>
      <c r="C22" s="9" t="s">
        <v>10</v>
      </c>
    </row>
    <row r="23" spans="1:3" s="1" customFormat="1" ht="15">
      <c r="A23" s="3"/>
      <c r="B23" s="30"/>
      <c r="C23" s="3"/>
    </row>
    <row r="24" spans="1:3" s="1" customFormat="1" ht="15">
      <c r="A24" s="3"/>
      <c r="B24" s="30"/>
      <c r="C24" s="3"/>
    </row>
    <row r="25" spans="1:3" s="1" customFormat="1" ht="15">
      <c r="A25" s="3"/>
      <c r="B25" s="8" t="s">
        <v>1</v>
      </c>
      <c r="C25" s="7">
        <f>SUM(C23:C24)</f>
        <v>0</v>
      </c>
    </row>
    <row r="26" spans="1:3" s="1" customFormat="1" ht="15">
      <c r="A26" s="3"/>
      <c r="B26" s="8" t="s">
        <v>13</v>
      </c>
      <c r="C26" s="7">
        <f>C19+C20-C25</f>
        <v>5157.01</v>
      </c>
    </row>
    <row r="27" s="1" customFormat="1" ht="15">
      <c r="A27" s="5"/>
    </row>
    <row r="28" spans="1:3" s="1" customFormat="1" ht="15">
      <c r="A28" s="5"/>
      <c r="B28" s="10" t="s">
        <v>18</v>
      </c>
      <c r="C28" s="10">
        <v>48141.65</v>
      </c>
    </row>
    <row r="29" spans="1:3" s="1" customFormat="1" ht="15">
      <c r="A29" s="5"/>
      <c r="B29" s="17" t="s">
        <v>185</v>
      </c>
      <c r="C29" s="10"/>
    </row>
    <row r="30" spans="1:3" s="1" customFormat="1" ht="15">
      <c r="A30" s="5"/>
      <c r="B30" s="10"/>
      <c r="C30" s="10"/>
    </row>
    <row r="31" spans="1:3" s="1" customFormat="1" ht="15">
      <c r="A31" s="5"/>
      <c r="B31" s="34" t="s">
        <v>23</v>
      </c>
      <c r="C31" s="10"/>
    </row>
    <row r="32" spans="1:3" s="1" customFormat="1" ht="15">
      <c r="A32" s="33"/>
      <c r="B32" s="17"/>
      <c r="C32" s="10"/>
    </row>
    <row r="33" spans="1:3" s="1" customFormat="1" ht="15">
      <c r="A33" s="33"/>
      <c r="B33" s="17" t="s">
        <v>197</v>
      </c>
      <c r="C33" s="10">
        <f>C20+C26</f>
        <v>7361.89</v>
      </c>
    </row>
    <row r="34" spans="1:3" s="1" customFormat="1" ht="15">
      <c r="A34" s="64"/>
      <c r="B34" s="17" t="s">
        <v>191</v>
      </c>
      <c r="C34" s="10">
        <f>102.25*0.43*12+C14</f>
        <v>-862.58</v>
      </c>
    </row>
    <row r="35" spans="1:3" s="1" customFormat="1" ht="15">
      <c r="A35" s="33"/>
      <c r="B35" s="10"/>
      <c r="C35" s="10"/>
    </row>
    <row r="36" spans="1:3" s="1" customFormat="1" ht="15">
      <c r="A36" s="72">
        <v>1</v>
      </c>
      <c r="B36" s="70" t="s">
        <v>192</v>
      </c>
      <c r="C36" s="74"/>
    </row>
    <row r="37" spans="1:3" s="1" customFormat="1" ht="15">
      <c r="A37" s="77"/>
      <c r="B37" s="71" t="s">
        <v>193</v>
      </c>
      <c r="C37" s="78" t="s">
        <v>244</v>
      </c>
    </row>
    <row r="38" spans="1:3" s="1" customFormat="1" ht="15">
      <c r="A38" s="64"/>
      <c r="B38" s="10"/>
      <c r="C38" s="10"/>
    </row>
    <row r="39" spans="1:3" s="1" customFormat="1" ht="15">
      <c r="A39" s="64"/>
      <c r="B39" s="10"/>
      <c r="C39" s="10"/>
    </row>
    <row r="40" spans="1:3" s="1" customFormat="1" ht="15">
      <c r="A40" s="64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19330.622000000003</v>
      </c>
    </row>
    <row r="8" spans="2:5" ht="15">
      <c r="B8" s="14" t="s">
        <v>8</v>
      </c>
      <c r="C8" s="38">
        <f>142.9*2.76*6+142.9*4.82*6</f>
        <v>6499.092</v>
      </c>
      <c r="E8" s="24"/>
    </row>
    <row r="9" spans="2:3" ht="15">
      <c r="B9" s="31" t="s">
        <v>17</v>
      </c>
      <c r="C9" s="47">
        <f>C8*0.8123</f>
        <v>5279.2124316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25829.714000000004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-29.800000000000182</v>
      </c>
    </row>
    <row r="19" spans="1:3" s="1" customFormat="1" ht="15">
      <c r="A19" s="5"/>
      <c r="B19" s="14" t="s">
        <v>8</v>
      </c>
      <c r="C19" s="10">
        <v>3450.6</v>
      </c>
    </row>
    <row r="20" spans="1:3" s="1" customFormat="1" ht="15">
      <c r="A20" s="5"/>
      <c r="B20" s="14" t="s">
        <v>17</v>
      </c>
      <c r="C20" s="49">
        <f>C19*0.8123</f>
        <v>2802.92238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3420.7999999999997</v>
      </c>
    </row>
    <row r="26" spans="1:3" s="1" customFormat="1" ht="15">
      <c r="A26" s="40"/>
      <c r="B26" s="41"/>
      <c r="C26" s="27"/>
    </row>
    <row r="27" spans="1:3" s="1" customFormat="1" ht="15">
      <c r="A27" s="5"/>
      <c r="B27" s="10" t="s">
        <v>18</v>
      </c>
      <c r="C27" s="1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0"/>
    </row>
    <row r="32" spans="1:3" s="1" customFormat="1" ht="15">
      <c r="A32" s="33"/>
      <c r="B32" s="17" t="s">
        <v>197</v>
      </c>
      <c r="C32" s="10">
        <f>C19+C25</f>
        <v>6871.4</v>
      </c>
    </row>
    <row r="33" spans="1:3" s="1" customFormat="1" ht="15">
      <c r="A33" s="33"/>
      <c r="B33" s="10" t="s">
        <v>191</v>
      </c>
      <c r="C33" s="49">
        <f>142.9*4.82+C13</f>
        <v>26518.492000000002</v>
      </c>
    </row>
    <row r="34" spans="1:3" s="1" customFormat="1" ht="15">
      <c r="A34" s="64"/>
      <c r="B34" s="10"/>
      <c r="C34" s="10"/>
    </row>
    <row r="35" spans="1:3" s="1" customFormat="1" ht="15">
      <c r="A35" s="72">
        <v>1</v>
      </c>
      <c r="B35" s="70" t="s">
        <v>192</v>
      </c>
      <c r="C35" s="74"/>
    </row>
    <row r="36" spans="1:3" s="1" customFormat="1" ht="15">
      <c r="A36" s="77"/>
      <c r="B36" s="71" t="s">
        <v>193</v>
      </c>
      <c r="C36" s="78" t="s">
        <v>195</v>
      </c>
    </row>
    <row r="37" spans="1:3" s="1" customFormat="1" ht="15">
      <c r="A37" s="27"/>
      <c r="B37" s="76"/>
      <c r="C37" s="79"/>
    </row>
    <row r="38" spans="1:3" s="1" customFormat="1" ht="15">
      <c r="A38" s="27"/>
      <c r="B38" s="76"/>
      <c r="C38" s="79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12076.060000000001</v>
      </c>
    </row>
    <row r="8" spans="2:5" ht="15">
      <c r="B8" s="14" t="s">
        <v>8</v>
      </c>
      <c r="C8" s="38">
        <f>123.2*2.93*6+123.2*3.64*6</f>
        <v>4856.544</v>
      </c>
      <c r="E8" s="24"/>
    </row>
    <row r="9" spans="2:3" ht="15">
      <c r="B9" s="31" t="s">
        <v>17</v>
      </c>
      <c r="C9" s="47">
        <f>C8*1.0513</f>
        <v>5105.684707199999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16932.604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-11469.39</v>
      </c>
    </row>
    <row r="19" spans="1:3" s="1" customFormat="1" ht="15">
      <c r="A19" s="5"/>
      <c r="B19" s="14" t="s">
        <v>8</v>
      </c>
      <c r="C19" s="10">
        <v>2280.96</v>
      </c>
    </row>
    <row r="20" spans="1:3" s="1" customFormat="1" ht="15">
      <c r="A20" s="5"/>
      <c r="B20" s="14" t="s">
        <v>17</v>
      </c>
      <c r="C20" s="49">
        <f>C19*1.0513</f>
        <v>2397.973248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-9188.43</v>
      </c>
    </row>
    <row r="26" spans="1:3" s="1" customFormat="1" ht="15">
      <c r="A26" s="40"/>
      <c r="B26" s="41"/>
      <c r="C26" s="27"/>
    </row>
    <row r="27" spans="1:3" s="1" customFormat="1" ht="15">
      <c r="A27" s="5"/>
      <c r="B27" s="10" t="s">
        <v>18</v>
      </c>
      <c r="C27" s="1">
        <v>0</v>
      </c>
    </row>
    <row r="28" spans="1:3" s="1" customFormat="1" ht="15">
      <c r="A28" s="5"/>
      <c r="B28" s="17" t="s">
        <v>182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0"/>
    </row>
    <row r="32" spans="1:3" s="1" customFormat="1" ht="15">
      <c r="A32" s="33"/>
      <c r="B32" s="17" t="s">
        <v>197</v>
      </c>
      <c r="C32" s="49">
        <f>C19+C25</f>
        <v>-6907.47</v>
      </c>
    </row>
    <row r="33" spans="1:3" s="1" customFormat="1" ht="15">
      <c r="A33" s="64"/>
      <c r="B33" s="17" t="s">
        <v>191</v>
      </c>
      <c r="C33" s="10">
        <f>123.2*3.64*12+C13</f>
        <v>22313.98</v>
      </c>
    </row>
    <row r="34" spans="1:3" s="1" customFormat="1" ht="15">
      <c r="A34" s="64"/>
      <c r="B34" s="17"/>
      <c r="C34" s="10"/>
    </row>
    <row r="35" spans="1:3" s="1" customFormat="1" ht="15">
      <c r="A35" s="72">
        <v>1</v>
      </c>
      <c r="B35" s="81" t="s">
        <v>192</v>
      </c>
      <c r="C35" s="72"/>
    </row>
    <row r="36" spans="1:3" s="1" customFormat="1" ht="15">
      <c r="A36" s="77"/>
      <c r="B36" s="71" t="s">
        <v>193</v>
      </c>
      <c r="C36" s="78" t="s">
        <v>216</v>
      </c>
    </row>
    <row r="37" spans="1:3" s="1" customFormat="1" ht="15">
      <c r="A37" s="27"/>
      <c r="B37" s="76"/>
      <c r="C37" s="27"/>
    </row>
    <row r="38" spans="1:3" s="1" customFormat="1" ht="15">
      <c r="A38" s="27"/>
      <c r="B38" s="76"/>
      <c r="C38" s="27"/>
    </row>
    <row r="39" spans="1:3" s="1" customFormat="1" ht="15">
      <c r="A39" s="33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73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-26425.29</v>
      </c>
    </row>
    <row r="8" spans="2:5" ht="15">
      <c r="B8" s="14" t="s">
        <v>8</v>
      </c>
      <c r="C8" s="38">
        <f>103.1*3.19*6+103.1*5.08*6</f>
        <v>5115.821999999999</v>
      </c>
      <c r="E8" s="24"/>
    </row>
    <row r="9" spans="2:3" ht="15">
      <c r="B9" s="31" t="s">
        <v>17</v>
      </c>
      <c r="C9" s="47">
        <f>C8*0.9872</f>
        <v>5050.339478399999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-21309.468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3" s="1" customFormat="1" ht="15">
      <c r="A16" s="5"/>
      <c r="B16" s="10" t="s">
        <v>18</v>
      </c>
      <c r="C16" s="1">
        <v>0</v>
      </c>
    </row>
    <row r="17" spans="1:3" s="1" customFormat="1" ht="15">
      <c r="A17" s="5"/>
      <c r="B17" s="17" t="s">
        <v>185</v>
      </c>
      <c r="C17" s="10"/>
    </row>
    <row r="18" spans="1:3" s="1" customFormat="1" ht="15">
      <c r="A18" s="5"/>
      <c r="B18" s="10"/>
      <c r="C18" s="10"/>
    </row>
    <row r="19" spans="1:3" s="1" customFormat="1" ht="15">
      <c r="A19" s="5"/>
      <c r="B19" s="34" t="s">
        <v>23</v>
      </c>
      <c r="C19" s="10"/>
    </row>
    <row r="20" spans="1:3" s="1" customFormat="1" ht="15">
      <c r="A20" s="33"/>
      <c r="B20" s="17"/>
      <c r="C20" s="10"/>
    </row>
    <row r="21" spans="1:3" s="1" customFormat="1" ht="15">
      <c r="A21" s="33"/>
      <c r="B21" s="17" t="s">
        <v>190</v>
      </c>
      <c r="C21" s="49">
        <f>103.1*5.08*12+C13</f>
        <v>-15024.492000000002</v>
      </c>
    </row>
    <row r="22" spans="1:3" s="1" customFormat="1" ht="15">
      <c r="A22" s="33"/>
      <c r="B22" s="10"/>
      <c r="C22" s="10"/>
    </row>
    <row r="23" spans="1:3" s="1" customFormat="1" ht="15">
      <c r="A23" s="33"/>
      <c r="B23" s="10"/>
      <c r="C23" s="10"/>
    </row>
    <row r="24" spans="1:3" s="1" customFormat="1" ht="15">
      <c r="A24" s="33"/>
      <c r="B24" s="10"/>
      <c r="C24" s="10"/>
    </row>
    <row r="25" s="1" customFormat="1" ht="15">
      <c r="A25" s="64"/>
    </row>
    <row r="26" s="1" customFormat="1" ht="15">
      <c r="A26" s="64"/>
    </row>
    <row r="27" s="1" customFormat="1" ht="15">
      <c r="A27" s="64"/>
    </row>
    <row r="28" s="1" customFormat="1" ht="15">
      <c r="A28" s="64"/>
    </row>
    <row r="29" spans="1:3" s="1" customFormat="1" ht="15">
      <c r="A29" s="121" t="s">
        <v>20</v>
      </c>
      <c r="B29" s="122"/>
      <c r="C29" s="122"/>
    </row>
    <row r="30" s="1" customFormat="1" ht="15">
      <c r="A30" s="5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pans="1:2" s="1" customFormat="1" ht="15">
      <c r="A55" s="5"/>
      <c r="B55"/>
    </row>
  </sheetData>
  <sheetProtection/>
  <mergeCells count="2">
    <mergeCell ref="A1:B1"/>
    <mergeCell ref="A29:C2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21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-18245.33</v>
      </c>
    </row>
    <row r="8" spans="2:5" ht="15">
      <c r="B8" s="14" t="s">
        <v>8</v>
      </c>
      <c r="C8" s="38">
        <f>308.5*1.97*6+308.5*2.78*6</f>
        <v>8792.25</v>
      </c>
      <c r="E8" s="24"/>
    </row>
    <row r="9" spans="2:3" ht="15">
      <c r="B9" s="31" t="s">
        <v>17</v>
      </c>
      <c r="C9" s="47">
        <f>C8*0.8315</f>
        <v>7310.755875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22</v>
      </c>
      <c r="C11" s="3">
        <v>2033.6</v>
      </c>
    </row>
    <row r="12" spans="1:3" s="1" customFormat="1" ht="15">
      <c r="A12" s="3">
        <v>2</v>
      </c>
      <c r="B12" s="2" t="s">
        <v>12</v>
      </c>
      <c r="C12" s="3">
        <v>216.38</v>
      </c>
    </row>
    <row r="13" spans="1:3" s="1" customFormat="1" ht="15">
      <c r="A13" s="3"/>
      <c r="B13" s="8" t="s">
        <v>1</v>
      </c>
      <c r="C13" s="7">
        <f>SUM(C11:C12)</f>
        <v>2249.98</v>
      </c>
    </row>
    <row r="14" spans="1:3" s="10" customFormat="1" ht="15">
      <c r="A14" s="7"/>
      <c r="B14" s="15" t="s">
        <v>13</v>
      </c>
      <c r="C14" s="29">
        <f>C7+C8-C13</f>
        <v>-11703.060000000001</v>
      </c>
    </row>
    <row r="15" spans="1:3" s="10" customFormat="1" ht="15">
      <c r="A15" s="27"/>
      <c r="B15" s="28"/>
      <c r="C15" s="48"/>
    </row>
    <row r="16" s="1" customFormat="1" ht="15">
      <c r="A16" s="5"/>
    </row>
    <row r="17" spans="1:2" s="1" customFormat="1" ht="18.75">
      <c r="A17" s="5"/>
      <c r="B17" s="17" t="s">
        <v>5</v>
      </c>
    </row>
    <row r="18" spans="1:2" s="10" customFormat="1" ht="15">
      <c r="A18" s="32"/>
      <c r="B18" s="1"/>
    </row>
    <row r="19" spans="1:3" s="1" customFormat="1" ht="15">
      <c r="A19" s="5"/>
      <c r="B19" s="14" t="s">
        <v>14</v>
      </c>
      <c r="C19" s="10">
        <v>755.16</v>
      </c>
    </row>
    <row r="20" spans="1:3" s="1" customFormat="1" ht="15">
      <c r="A20" s="5"/>
      <c r="B20" s="14" t="s">
        <v>8</v>
      </c>
      <c r="C20" s="10">
        <v>0</v>
      </c>
    </row>
    <row r="21" spans="1:3" s="1" customFormat="1" ht="15">
      <c r="A21" s="5"/>
      <c r="B21" s="14" t="s">
        <v>17</v>
      </c>
      <c r="C21" s="10">
        <v>0</v>
      </c>
    </row>
    <row r="22" spans="1:3" s="1" customFormat="1" ht="30">
      <c r="A22" s="3" t="s">
        <v>0</v>
      </c>
      <c r="B22" s="3" t="s">
        <v>9</v>
      </c>
      <c r="C22" s="9" t="s">
        <v>10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/>
      <c r="C24" s="7">
        <f>SUM(C23:C23)</f>
        <v>0</v>
      </c>
    </row>
    <row r="25" spans="1:3" s="1" customFormat="1" ht="15">
      <c r="A25" s="3"/>
      <c r="B25" s="8" t="s">
        <v>13</v>
      </c>
      <c r="C25" s="7">
        <f>C19+C20-C24</f>
        <v>755.16</v>
      </c>
    </row>
    <row r="26" spans="1:3" s="1" customFormat="1" ht="30">
      <c r="A26" s="3"/>
      <c r="B26" s="51" t="s">
        <v>179</v>
      </c>
      <c r="C26" s="29">
        <f>C14+C19</f>
        <v>-10947.900000000001</v>
      </c>
    </row>
    <row r="27" spans="1:3" s="1" customFormat="1" ht="15">
      <c r="A27" s="40"/>
      <c r="B27" s="42"/>
      <c r="C27" s="27"/>
    </row>
    <row r="28" spans="1:2" s="1" customFormat="1" ht="15">
      <c r="A28" s="5"/>
      <c r="B28" s="10" t="s">
        <v>18</v>
      </c>
    </row>
    <row r="29" spans="1:3" s="1" customFormat="1" ht="15">
      <c r="A29" s="5"/>
      <c r="B29" s="17" t="s">
        <v>183</v>
      </c>
      <c r="C29" s="10">
        <v>351526.27</v>
      </c>
    </row>
    <row r="30" spans="1:3" s="1" customFormat="1" ht="15">
      <c r="A30" s="5"/>
      <c r="B30" s="10"/>
      <c r="C30" s="10"/>
    </row>
    <row r="31" spans="1:3" s="1" customFormat="1" ht="15">
      <c r="A31" s="5"/>
      <c r="B31" s="10" t="s">
        <v>23</v>
      </c>
      <c r="C31" s="10"/>
    </row>
    <row r="32" spans="1:3" s="1" customFormat="1" ht="15">
      <c r="A32" s="5"/>
      <c r="B32" s="10"/>
      <c r="C32" s="10"/>
    </row>
    <row r="33" spans="1:3" s="1" customFormat="1" ht="15">
      <c r="A33" s="5"/>
      <c r="B33" s="10" t="s">
        <v>190</v>
      </c>
      <c r="C33" s="10">
        <f>308.8*2.78*12+C26</f>
        <v>-646.3320000000022</v>
      </c>
    </row>
    <row r="34" spans="1:3" s="1" customFormat="1" ht="15">
      <c r="A34" s="5"/>
      <c r="B34" s="10"/>
      <c r="C34" s="10"/>
    </row>
    <row r="35" spans="1:3" s="1" customFormat="1" ht="15">
      <c r="A35" s="5"/>
      <c r="B35" s="10"/>
      <c r="C35" s="10"/>
    </row>
    <row r="36" spans="1:3" s="1" customFormat="1" ht="15">
      <c r="A36" s="5"/>
      <c r="B36" s="10"/>
      <c r="C36" s="10"/>
    </row>
    <row r="37" spans="1:3" s="1" customFormat="1" ht="15">
      <c r="A37" s="5"/>
      <c r="B37" s="10"/>
      <c r="C37" s="10"/>
    </row>
    <row r="38" s="1" customFormat="1" ht="15">
      <c r="A38" s="5"/>
    </row>
    <row r="39" spans="1:3" s="1" customFormat="1" ht="15">
      <c r="A39" s="121" t="s">
        <v>20</v>
      </c>
      <c r="B39" s="122"/>
      <c r="C39" s="122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pans="1:2" s="1" customFormat="1" ht="15">
      <c r="A65" s="5"/>
      <c r="B65"/>
    </row>
  </sheetData>
  <sheetProtection/>
  <mergeCells count="2">
    <mergeCell ref="A1:B1"/>
    <mergeCell ref="A39:C3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">
      <selection activeCell="E16" sqref="E1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6917.41</v>
      </c>
    </row>
    <row r="8" spans="2:5" ht="15">
      <c r="B8" s="14" t="s">
        <v>8</v>
      </c>
      <c r="C8" s="38">
        <f>150.2*0.4*6+150.2*1.03*6</f>
        <v>1288.716</v>
      </c>
      <c r="E8" s="24"/>
    </row>
    <row r="9" spans="2:3" ht="15">
      <c r="B9" s="31" t="s">
        <v>17</v>
      </c>
      <c r="C9" s="47">
        <f>C8*1.0136</f>
        <v>1306.2425375999999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8206.126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5955.12</v>
      </c>
    </row>
    <row r="19" spans="1:3" s="1" customFormat="1" ht="15">
      <c r="A19" s="5"/>
      <c r="B19" s="14" t="s">
        <v>8</v>
      </c>
      <c r="C19" s="10">
        <v>4866.48</v>
      </c>
    </row>
    <row r="20" spans="1:3" s="1" customFormat="1" ht="15">
      <c r="A20" s="5"/>
      <c r="B20" s="14" t="s">
        <v>17</v>
      </c>
      <c r="C20" s="49">
        <f>C19*1.0136</f>
        <v>4932.664127999999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10821.599999999999</v>
      </c>
    </row>
    <row r="26" s="1" customFormat="1" ht="15">
      <c r="A26" s="5"/>
    </row>
    <row r="27" spans="1:3" s="1" customFormat="1" ht="15">
      <c r="A27" s="5"/>
      <c r="B27" s="10" t="s">
        <v>18</v>
      </c>
      <c r="C27" s="1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0"/>
    </row>
    <row r="32" spans="1:3" s="1" customFormat="1" ht="15">
      <c r="A32" s="33"/>
      <c r="B32" s="17" t="s">
        <v>197</v>
      </c>
      <c r="C32" s="10">
        <f>C19+C25</f>
        <v>15688.079999999998</v>
      </c>
    </row>
    <row r="33" spans="1:3" s="1" customFormat="1" ht="15">
      <c r="A33" s="33"/>
      <c r="B33" s="10" t="s">
        <v>191</v>
      </c>
      <c r="C33" s="49">
        <f>150.2*1.03*12+C13</f>
        <v>10062.598</v>
      </c>
    </row>
    <row r="34" spans="1:3" s="1" customFormat="1" ht="15">
      <c r="A34" s="33"/>
      <c r="B34" s="10"/>
      <c r="C34" s="10"/>
    </row>
    <row r="35" spans="1:3" s="1" customFormat="1" ht="15">
      <c r="A35" s="72">
        <v>1</v>
      </c>
      <c r="B35" s="70" t="s">
        <v>192</v>
      </c>
      <c r="C35" s="74"/>
    </row>
    <row r="36" spans="1:3" s="1" customFormat="1" ht="15">
      <c r="A36" s="77"/>
      <c r="B36" s="71" t="s">
        <v>193</v>
      </c>
      <c r="C36" s="77" t="s">
        <v>198</v>
      </c>
    </row>
    <row r="37" s="1" customFormat="1" ht="15">
      <c r="A37" s="64"/>
    </row>
    <row r="38" s="1" customFormat="1" ht="15">
      <c r="A38" s="64"/>
    </row>
    <row r="39" s="1" customFormat="1" ht="15">
      <c r="A39" s="64"/>
    </row>
    <row r="40" s="1" customFormat="1" ht="15">
      <c r="A40" s="64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-2475.85</v>
      </c>
    </row>
    <row r="8" spans="2:5" ht="15">
      <c r="B8" s="14" t="s">
        <v>8</v>
      </c>
      <c r="C8" s="38">
        <f>107.3*0.33*6+107.3*0.81*6</f>
        <v>733.932</v>
      </c>
      <c r="E8" s="24"/>
    </row>
    <row r="9" spans="2:3" ht="15">
      <c r="B9" s="31" t="s">
        <v>17</v>
      </c>
      <c r="C9" s="47">
        <f>C8*0.7734</f>
        <v>567.6230088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-1741.918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3531.6</v>
      </c>
    </row>
    <row r="19" spans="1:3" s="1" customFormat="1" ht="15">
      <c r="A19" s="5"/>
      <c r="B19" s="14" t="s">
        <v>8</v>
      </c>
      <c r="C19" s="10">
        <v>2421.9</v>
      </c>
    </row>
    <row r="20" spans="1:3" s="1" customFormat="1" ht="15">
      <c r="A20" s="5"/>
      <c r="B20" s="14" t="s">
        <v>17</v>
      </c>
      <c r="C20" s="49">
        <f>C19*0.7734</f>
        <v>1873.09746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5953.5</v>
      </c>
    </row>
    <row r="26" spans="1:3" s="1" customFormat="1" ht="15">
      <c r="A26" s="40"/>
      <c r="B26" s="41"/>
      <c r="C26" s="27"/>
    </row>
    <row r="27" spans="1:3" s="1" customFormat="1" ht="15">
      <c r="A27" s="5"/>
      <c r="B27" s="10" t="s">
        <v>18</v>
      </c>
      <c r="C27" s="10">
        <v>14547.72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0"/>
    </row>
    <row r="32" spans="1:3" s="1" customFormat="1" ht="15">
      <c r="A32" s="33"/>
      <c r="B32" s="17" t="s">
        <v>197</v>
      </c>
      <c r="C32" s="10">
        <f>C19+C25</f>
        <v>8375.4</v>
      </c>
    </row>
    <row r="33" spans="1:3" s="1" customFormat="1" ht="15">
      <c r="A33" s="64"/>
      <c r="B33" s="17" t="s">
        <v>191</v>
      </c>
      <c r="C33" s="49">
        <f>107.3*0.81+C13</f>
        <v>-1655.0049999999999</v>
      </c>
    </row>
    <row r="34" spans="1:3" s="1" customFormat="1" ht="15">
      <c r="A34" s="64"/>
      <c r="B34" s="17"/>
      <c r="C34" s="10"/>
    </row>
    <row r="35" spans="1:3" s="1" customFormat="1" ht="15">
      <c r="A35" s="72">
        <v>1</v>
      </c>
      <c r="B35" s="81" t="s">
        <v>192</v>
      </c>
      <c r="C35" s="82" t="s">
        <v>245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64"/>
      <c r="B39" s="10"/>
      <c r="C39" s="10"/>
    </row>
    <row r="40" spans="1:3" s="1" customFormat="1" ht="15">
      <c r="A40" s="33"/>
      <c r="B40" s="10"/>
      <c r="C40" s="10"/>
    </row>
    <row r="41" spans="1:3" s="1" customFormat="1" ht="15">
      <c r="A41" s="33"/>
      <c r="B41" s="10"/>
      <c r="C41" s="10"/>
    </row>
    <row r="42" s="1" customFormat="1" ht="15">
      <c r="A42" s="33"/>
    </row>
    <row r="43" spans="1:3" s="1" customFormat="1" ht="15">
      <c r="A43" s="121" t="s">
        <v>20</v>
      </c>
      <c r="B43" s="122"/>
      <c r="C43" s="122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pans="1:2" s="1" customFormat="1" ht="15">
      <c r="A69" s="5"/>
      <c r="B69"/>
    </row>
  </sheetData>
  <sheetProtection/>
  <mergeCells count="2">
    <mergeCell ref="A1:B1"/>
    <mergeCell ref="A43:C4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67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-4709.65</v>
      </c>
    </row>
    <row r="8" spans="2:5" ht="15">
      <c r="B8" s="14" t="s">
        <v>8</v>
      </c>
      <c r="C8" s="38">
        <f>403.1*0.29*6+403.1*0.95*6</f>
        <v>2999.0640000000003</v>
      </c>
      <c r="E8" s="24"/>
    </row>
    <row r="9" spans="2:3" ht="15">
      <c r="B9" s="31" t="s">
        <v>17</v>
      </c>
      <c r="C9" s="47">
        <f>C8*0.7309</f>
        <v>2192.0158776000003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76</v>
      </c>
      <c r="C11" s="3">
        <v>582.86</v>
      </c>
    </row>
    <row r="12" spans="1:3" s="1" customFormat="1" ht="15">
      <c r="A12" s="3">
        <v>2</v>
      </c>
      <c r="B12" s="6" t="s">
        <v>77</v>
      </c>
      <c r="C12" s="3">
        <v>432.8</v>
      </c>
    </row>
    <row r="13" spans="1:3" s="1" customFormat="1" ht="15">
      <c r="A13" s="3"/>
      <c r="B13" s="8" t="s">
        <v>1</v>
      </c>
      <c r="C13" s="7">
        <f>SUM(C11:C12)</f>
        <v>1015.6600000000001</v>
      </c>
    </row>
    <row r="14" spans="1:3" s="10" customFormat="1" ht="15">
      <c r="A14" s="7"/>
      <c r="B14" s="15" t="s">
        <v>13</v>
      </c>
      <c r="C14" s="29">
        <f>C7+C8-C13</f>
        <v>-2726.245999999999</v>
      </c>
    </row>
    <row r="15" spans="1:3" s="10" customFormat="1" ht="15">
      <c r="A15" s="27"/>
      <c r="B15" s="28"/>
      <c r="C15" s="27"/>
    </row>
    <row r="16" s="1" customFormat="1" ht="15">
      <c r="A16" s="5"/>
    </row>
    <row r="17" spans="1:3" s="1" customFormat="1" ht="15">
      <c r="A17" s="5"/>
      <c r="B17" s="10" t="s">
        <v>18</v>
      </c>
      <c r="C17" s="10">
        <v>305667.54</v>
      </c>
    </row>
    <row r="18" spans="1:3" s="1" customFormat="1" ht="15">
      <c r="A18" s="5"/>
      <c r="B18" s="17" t="s">
        <v>184</v>
      </c>
      <c r="C18" s="10"/>
    </row>
    <row r="19" spans="1:3" s="1" customFormat="1" ht="15">
      <c r="A19" s="5"/>
      <c r="B19" s="10"/>
      <c r="C19" s="10"/>
    </row>
    <row r="20" spans="1:3" s="1" customFormat="1" ht="15">
      <c r="A20" s="64"/>
      <c r="B20" s="10"/>
      <c r="C20" s="10"/>
    </row>
    <row r="21" spans="1:3" s="1" customFormat="1" ht="15">
      <c r="A21" s="64"/>
      <c r="B21" s="10"/>
      <c r="C21" s="10"/>
    </row>
    <row r="22" spans="1:3" s="1" customFormat="1" ht="15">
      <c r="A22" s="33"/>
      <c r="B22" s="10"/>
      <c r="C22" s="10"/>
    </row>
    <row r="23" s="1" customFormat="1" ht="15">
      <c r="A23" s="33"/>
    </row>
    <row r="24" spans="1:3" s="1" customFormat="1" ht="15">
      <c r="A24" s="121" t="s">
        <v>20</v>
      </c>
      <c r="B24" s="122"/>
      <c r="C24" s="122"/>
    </row>
    <row r="25" s="1" customFormat="1" ht="15">
      <c r="A25" s="5"/>
    </row>
    <row r="26" s="1" customFormat="1" ht="15">
      <c r="A26" s="5"/>
    </row>
    <row r="27" s="1" customFormat="1" ht="15">
      <c r="A27" s="5"/>
    </row>
    <row r="28" s="1" customFormat="1" ht="15">
      <c r="A28" s="5"/>
    </row>
    <row r="29" s="1" customFormat="1" ht="15">
      <c r="A29" s="5"/>
    </row>
    <row r="30" s="1" customFormat="1" ht="15">
      <c r="A30" s="5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pans="1:2" s="1" customFormat="1" ht="15">
      <c r="A50" s="5"/>
      <c r="B50"/>
    </row>
  </sheetData>
  <sheetProtection/>
  <mergeCells count="2">
    <mergeCell ref="A1:B1"/>
    <mergeCell ref="A24:C24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4350.4800000000005</v>
      </c>
    </row>
    <row r="8" spans="2:5" ht="15">
      <c r="B8" s="14" t="s">
        <v>8</v>
      </c>
      <c r="C8" s="38">
        <f>386.8*1.49*6+386.8*2.22*6</f>
        <v>8610.168000000001</v>
      </c>
      <c r="E8" s="24"/>
    </row>
    <row r="9" spans="2:3" ht="15">
      <c r="B9" s="31" t="s">
        <v>17</v>
      </c>
      <c r="C9" s="47">
        <f>C8*1.0076</f>
        <v>8675.605276800003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 t="s">
        <v>77</v>
      </c>
      <c r="C11" s="3">
        <v>216.38</v>
      </c>
    </row>
    <row r="12" spans="1:3" s="1" customFormat="1" ht="15">
      <c r="A12" s="3"/>
      <c r="B12" s="8" t="s">
        <v>1</v>
      </c>
      <c r="C12" s="7">
        <f>SUM(C11:C11)</f>
        <v>216.38</v>
      </c>
    </row>
    <row r="13" spans="1:3" s="10" customFormat="1" ht="15">
      <c r="A13" s="7"/>
      <c r="B13" s="15" t="s">
        <v>13</v>
      </c>
      <c r="C13" s="29">
        <f>C7+C8-C12</f>
        <v>12744.268000000002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-10169.75</v>
      </c>
    </row>
    <row r="19" spans="1:3" s="1" customFormat="1" ht="15">
      <c r="A19" s="5"/>
      <c r="B19" s="14" t="s">
        <v>8</v>
      </c>
      <c r="C19" s="10">
        <v>3168.72</v>
      </c>
    </row>
    <row r="20" spans="1:3" s="1" customFormat="1" ht="15">
      <c r="A20" s="5"/>
      <c r="B20" s="14" t="s">
        <v>17</v>
      </c>
      <c r="C20" s="49">
        <f>C19*1.0076</f>
        <v>3192.802272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-7001.030000000001</v>
      </c>
    </row>
    <row r="26" spans="1:3" s="1" customFormat="1" ht="15">
      <c r="A26" s="40"/>
      <c r="B26" s="41"/>
      <c r="C26" s="27"/>
    </row>
    <row r="27" spans="1:3" s="1" customFormat="1" ht="15">
      <c r="A27" s="5"/>
      <c r="B27" s="10" t="s">
        <v>18</v>
      </c>
      <c r="C27" s="10">
        <v>126874.86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0"/>
    </row>
    <row r="32" spans="1:3" s="1" customFormat="1" ht="15">
      <c r="A32" s="33"/>
      <c r="B32" s="17" t="s">
        <v>197</v>
      </c>
      <c r="C32" s="10">
        <f>C19+C25</f>
        <v>-3832.310000000001</v>
      </c>
    </row>
    <row r="33" spans="1:3" s="1" customFormat="1" ht="15">
      <c r="A33" s="64"/>
      <c r="B33" s="17" t="s">
        <v>191</v>
      </c>
      <c r="C33" s="49">
        <f>386.8*2.2*12+C13</f>
        <v>22955.788000000004</v>
      </c>
    </row>
    <row r="34" spans="1:3" s="1" customFormat="1" ht="15">
      <c r="A34" s="64"/>
      <c r="B34" s="17"/>
      <c r="C34" s="10"/>
    </row>
    <row r="35" spans="1:3" s="1" customFormat="1" ht="15">
      <c r="A35" s="72">
        <v>1</v>
      </c>
      <c r="B35" s="81" t="s">
        <v>192</v>
      </c>
      <c r="C35" s="82" t="s">
        <v>200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27"/>
      <c r="B37" s="76"/>
      <c r="C37" s="76"/>
    </row>
    <row r="38" spans="1:3" s="1" customFormat="1" ht="15">
      <c r="A38" s="27"/>
      <c r="B38" s="76"/>
      <c r="C38" s="76"/>
    </row>
    <row r="39" spans="1:3" s="1" customFormat="1" ht="15">
      <c r="A39" s="33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C48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79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248.02999999999997</v>
      </c>
    </row>
    <row r="8" spans="2:5" ht="15">
      <c r="B8" s="14" t="s">
        <v>8</v>
      </c>
      <c r="C8" s="38">
        <f>357.4*0.96*6+357.4*1.62*6</f>
        <v>5532.552</v>
      </c>
      <c r="E8" s="24"/>
    </row>
    <row r="9" spans="2:3" ht="15">
      <c r="B9" s="31" t="s">
        <v>17</v>
      </c>
      <c r="C9" s="47">
        <f>C8*1.0228</f>
        <v>5658.694185599999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 t="s">
        <v>80</v>
      </c>
      <c r="C11" s="3">
        <v>773.8</v>
      </c>
    </row>
    <row r="12" spans="1:3" s="1" customFormat="1" ht="15">
      <c r="A12" s="3"/>
      <c r="B12" s="8" t="s">
        <v>1</v>
      </c>
      <c r="C12" s="7">
        <f>SUM(C11:C11)</f>
        <v>773.8</v>
      </c>
    </row>
    <row r="13" spans="1:3" s="10" customFormat="1" ht="15">
      <c r="A13" s="7"/>
      <c r="B13" s="15" t="s">
        <v>13</v>
      </c>
      <c r="C13" s="29">
        <f>C7+C8-C12</f>
        <v>5006.781999999999</v>
      </c>
    </row>
    <row r="14" spans="1:3" s="10" customFormat="1" ht="30">
      <c r="A14" s="7"/>
      <c r="B14" s="50" t="s">
        <v>179</v>
      </c>
      <c r="C14" s="29">
        <f>C13+C25</f>
        <v>5403.811999999999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397.03</v>
      </c>
    </row>
    <row r="19" spans="1:3" s="1" customFormat="1" ht="15">
      <c r="A19" s="5"/>
      <c r="B19" s="14" t="s">
        <v>8</v>
      </c>
      <c r="C19" s="1">
        <v>0</v>
      </c>
    </row>
    <row r="20" spans="1:2" s="1" customFormat="1" ht="15">
      <c r="A20" s="5"/>
      <c r="B20" s="14" t="s">
        <v>17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397.03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34334.61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0"/>
    </row>
    <row r="32" spans="1:3" s="1" customFormat="1" ht="15">
      <c r="A32" s="33"/>
      <c r="B32" s="10" t="s">
        <v>191</v>
      </c>
      <c r="C32" s="10">
        <f>357.4*1.62*12+C14</f>
        <v>12351.668</v>
      </c>
    </row>
    <row r="33" spans="1:3" s="1" customFormat="1" ht="15">
      <c r="A33" s="33"/>
      <c r="B33" s="10"/>
      <c r="C33" s="10"/>
    </row>
    <row r="34" spans="1:3" s="1" customFormat="1" ht="15">
      <c r="A34" s="72">
        <v>1</v>
      </c>
      <c r="B34" s="70" t="s">
        <v>192</v>
      </c>
      <c r="C34" s="82" t="s">
        <v>246</v>
      </c>
    </row>
    <row r="35" spans="1:3" s="1" customFormat="1" ht="15">
      <c r="A35" s="77"/>
      <c r="B35" s="71" t="s">
        <v>193</v>
      </c>
      <c r="C35" s="77"/>
    </row>
    <row r="36" s="1" customFormat="1" ht="15">
      <c r="A36" s="64"/>
    </row>
    <row r="37" s="1" customFormat="1" ht="15">
      <c r="A37" s="64"/>
    </row>
    <row r="38" s="1" customFormat="1" ht="15">
      <c r="A38" s="64"/>
    </row>
    <row r="39" s="1" customFormat="1" ht="15">
      <c r="A39" s="64"/>
    </row>
    <row r="40" s="1" customFormat="1" ht="15">
      <c r="A40" s="64"/>
    </row>
    <row r="41" s="1" customFormat="1" ht="15">
      <c r="A41" s="64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81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-7981.2</v>
      </c>
    </row>
    <row r="8" spans="2:5" ht="15">
      <c r="B8" s="14" t="s">
        <v>8</v>
      </c>
      <c r="C8" s="38">
        <f>377*0.47*6+377*1.81*6</f>
        <v>5157.360000000001</v>
      </c>
      <c r="E8" s="24"/>
    </row>
    <row r="9" spans="2:3" ht="15">
      <c r="B9" s="31" t="s">
        <v>17</v>
      </c>
      <c r="C9" s="47">
        <f>C8*0.8847</f>
        <v>4562.716392000001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-2823.8399999999992</v>
      </c>
    </row>
    <row r="14" spans="1:3" s="10" customFormat="1" ht="30">
      <c r="A14" s="7"/>
      <c r="B14" s="15" t="s">
        <v>179</v>
      </c>
      <c r="C14" s="29">
        <f>C13+C25</f>
        <v>11952.13338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15074.55</v>
      </c>
    </row>
    <row r="19" spans="1:3" s="1" customFormat="1" ht="15">
      <c r="A19" s="5"/>
      <c r="B19" s="14" t="s">
        <v>8</v>
      </c>
      <c r="C19" s="10">
        <v>9185.4</v>
      </c>
    </row>
    <row r="20" spans="1:3" s="1" customFormat="1" ht="15">
      <c r="A20" s="65"/>
      <c r="B20" s="53" t="s">
        <v>17</v>
      </c>
      <c r="C20" s="54">
        <f>C19*0.8847</f>
        <v>8126.32338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82</v>
      </c>
      <c r="C22" s="3">
        <v>8424.9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8424.9</v>
      </c>
    </row>
    <row r="25" spans="1:3" s="1" customFormat="1" ht="15">
      <c r="A25" s="3"/>
      <c r="B25" s="8" t="s">
        <v>13</v>
      </c>
      <c r="C25" s="29">
        <f>C18+C20-C24</f>
        <v>14775.973379999998</v>
      </c>
    </row>
    <row r="26" spans="1:2" s="1" customFormat="1" ht="15">
      <c r="A26" s="5"/>
      <c r="B26" s="39" t="s">
        <v>165</v>
      </c>
    </row>
    <row r="27" spans="1:2" s="1" customFormat="1" ht="15">
      <c r="A27" s="5"/>
      <c r="B27" s="39" t="s">
        <v>166</v>
      </c>
    </row>
    <row r="28" spans="1:2" s="1" customFormat="1" ht="15">
      <c r="A28" s="5"/>
      <c r="B28" s="39"/>
    </row>
    <row r="29" spans="1:3" s="1" customFormat="1" ht="15">
      <c r="A29" s="5"/>
      <c r="B29" s="10" t="s">
        <v>18</v>
      </c>
      <c r="C29" s="10">
        <v>40559.65</v>
      </c>
    </row>
    <row r="30" spans="1:3" s="1" customFormat="1" ht="15">
      <c r="A30" s="5"/>
      <c r="B30" s="17" t="s">
        <v>182</v>
      </c>
      <c r="C30" s="10">
        <v>29554.43</v>
      </c>
    </row>
    <row r="31" spans="1:3" s="1" customFormat="1" ht="15">
      <c r="A31" s="5"/>
      <c r="B31" s="17" t="s">
        <v>188</v>
      </c>
      <c r="C31" s="10">
        <v>11005.22</v>
      </c>
    </row>
    <row r="32" spans="1:3" s="1" customFormat="1" ht="15">
      <c r="A32" s="5"/>
      <c r="B32" s="10"/>
      <c r="C32" s="10"/>
    </row>
    <row r="33" spans="1:3" s="1" customFormat="1" ht="15">
      <c r="A33" s="5"/>
      <c r="B33" s="34" t="s">
        <v>23</v>
      </c>
      <c r="C33" s="10"/>
    </row>
    <row r="34" spans="1:3" s="1" customFormat="1" ht="15">
      <c r="A34" s="33"/>
      <c r="B34" s="17"/>
      <c r="C34" s="17"/>
    </row>
    <row r="35" spans="1:3" s="1" customFormat="1" ht="15">
      <c r="A35" s="33"/>
      <c r="B35" s="17" t="s">
        <v>191</v>
      </c>
      <c r="C35" s="49">
        <f>377*1.81*12+C14</f>
        <v>20140.57338</v>
      </c>
    </row>
    <row r="36" spans="1:3" s="1" customFormat="1" ht="15">
      <c r="A36" s="64"/>
      <c r="B36" s="17"/>
      <c r="C36" s="49"/>
    </row>
    <row r="37" spans="1:3" s="1" customFormat="1" ht="15">
      <c r="A37" s="7">
        <v>1</v>
      </c>
      <c r="B37" s="9" t="s">
        <v>86</v>
      </c>
      <c r="C37" s="7" t="s">
        <v>199</v>
      </c>
    </row>
    <row r="38" spans="1:3" s="1" customFormat="1" ht="15">
      <c r="A38" s="72">
        <v>2</v>
      </c>
      <c r="B38" s="81" t="s">
        <v>192</v>
      </c>
      <c r="C38" s="82" t="s">
        <v>247</v>
      </c>
    </row>
    <row r="39" spans="1:3" s="1" customFormat="1" ht="15">
      <c r="A39" s="77"/>
      <c r="B39" s="71" t="s">
        <v>193</v>
      </c>
      <c r="C39" s="75"/>
    </row>
    <row r="40" spans="1:3" s="1" customFormat="1" ht="15">
      <c r="A40" s="27"/>
      <c r="B40" s="76"/>
      <c r="C40" s="76"/>
    </row>
    <row r="41" spans="1:3" s="1" customFormat="1" ht="15">
      <c r="A41" s="27"/>
      <c r="B41" s="76"/>
      <c r="C41" s="76"/>
    </row>
    <row r="42" spans="1:3" s="1" customFormat="1" ht="15">
      <c r="A42" s="27"/>
      <c r="B42" s="76"/>
      <c r="C42" s="76"/>
    </row>
    <row r="43" spans="1:3" s="1" customFormat="1" ht="15">
      <c r="A43" s="27"/>
      <c r="B43" s="76"/>
      <c r="C43" s="76"/>
    </row>
    <row r="44" spans="1:3" s="1" customFormat="1" ht="15">
      <c r="A44" s="27"/>
      <c r="B44" s="76"/>
      <c r="C44" s="76"/>
    </row>
    <row r="45" spans="1:3" s="1" customFormat="1" ht="15">
      <c r="A45" s="27"/>
      <c r="B45" s="76"/>
      <c r="C45" s="76"/>
    </row>
    <row r="46" spans="1:3" s="1" customFormat="1" ht="15">
      <c r="A46" s="33"/>
      <c r="B46" s="10"/>
      <c r="C46" s="10"/>
    </row>
    <row r="47" spans="1:3" s="1" customFormat="1" ht="15">
      <c r="A47" s="33"/>
      <c r="B47" s="10"/>
      <c r="C47" s="10"/>
    </row>
    <row r="48" s="1" customFormat="1" ht="15">
      <c r="A48" s="33"/>
    </row>
    <row r="49" spans="1:3" s="1" customFormat="1" ht="15">
      <c r="A49" s="121" t="s">
        <v>20</v>
      </c>
      <c r="B49" s="122"/>
      <c r="C49" s="122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="1" customFormat="1" ht="15">
      <c r="A69" s="5"/>
    </row>
    <row r="70" s="1" customFormat="1" ht="15">
      <c r="A70" s="5"/>
    </row>
    <row r="71" s="1" customFormat="1" ht="15">
      <c r="A71" s="5"/>
    </row>
    <row r="72" s="1" customFormat="1" ht="15">
      <c r="A72" s="5"/>
    </row>
    <row r="73" s="1" customFormat="1" ht="15">
      <c r="A73" s="5"/>
    </row>
    <row r="74" s="1" customFormat="1" ht="15">
      <c r="A74" s="5"/>
    </row>
    <row r="75" spans="1:2" s="1" customFormat="1" ht="15">
      <c r="A75" s="5"/>
      <c r="B75"/>
    </row>
  </sheetData>
  <sheetProtection/>
  <mergeCells count="2">
    <mergeCell ref="A1:B1"/>
    <mergeCell ref="A49:C4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83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1763.66</v>
      </c>
    </row>
    <row r="8" spans="2:5" ht="15">
      <c r="B8" s="14" t="s">
        <v>8</v>
      </c>
      <c r="C8" s="38">
        <f>81.5*1.25*6+81.5*1.79*6</f>
        <v>1486.56</v>
      </c>
      <c r="E8" s="24"/>
    </row>
    <row r="9" spans="2:3" ht="15">
      <c r="B9" s="31" t="s">
        <v>17</v>
      </c>
      <c r="C9" s="47">
        <f>C8*0.977</f>
        <v>1452.3691199999998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176</v>
      </c>
      <c r="C11" s="3">
        <v>211.66</v>
      </c>
    </row>
    <row r="12" spans="1:3" s="1" customFormat="1" ht="15">
      <c r="A12" s="3"/>
      <c r="B12" s="8" t="s">
        <v>1</v>
      </c>
      <c r="C12" s="7">
        <f>SUM(C11:C11)</f>
        <v>211.66</v>
      </c>
    </row>
    <row r="13" spans="1:3" s="10" customFormat="1" ht="15">
      <c r="A13" s="7"/>
      <c r="B13" s="15" t="s">
        <v>13</v>
      </c>
      <c r="C13" s="29">
        <f>C7+C8-C12</f>
        <v>3038.5600000000004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-19466.83</v>
      </c>
    </row>
    <row r="19" spans="1:3" s="1" customFormat="1" ht="15">
      <c r="A19" s="5"/>
      <c r="B19" s="14" t="s">
        <v>8</v>
      </c>
      <c r="C19" s="1">
        <v>0</v>
      </c>
    </row>
    <row r="20" spans="1:2" s="1" customFormat="1" ht="15">
      <c r="A20" s="5"/>
      <c r="B20" s="14" t="s">
        <v>17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8" t="s">
        <v>1</v>
      </c>
      <c r="C23" s="7">
        <f>SUM(C22:C22)</f>
        <v>0</v>
      </c>
    </row>
    <row r="24" spans="1:3" s="1" customFormat="1" ht="15">
      <c r="A24" s="3"/>
      <c r="B24" s="8" t="s">
        <v>13</v>
      </c>
      <c r="C24" s="7">
        <f>C18+C19-C23</f>
        <v>-19466.83</v>
      </c>
    </row>
    <row r="25" s="1" customFormat="1" ht="15">
      <c r="A25" s="5"/>
    </row>
    <row r="26" spans="1:3" s="1" customFormat="1" ht="15">
      <c r="A26" s="5"/>
      <c r="B26" s="10" t="s">
        <v>18</v>
      </c>
      <c r="C26" s="1">
        <v>0</v>
      </c>
    </row>
    <row r="27" spans="1:3" s="1" customFormat="1" ht="15">
      <c r="A27" s="5"/>
      <c r="B27" s="17" t="s">
        <v>185</v>
      </c>
      <c r="C27" s="10"/>
    </row>
    <row r="28" spans="1:3" s="1" customFormat="1" ht="15">
      <c r="A28" s="5"/>
      <c r="B28" s="10"/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/>
      <c r="C30" s="10"/>
    </row>
    <row r="31" spans="1:3" s="1" customFormat="1" ht="15">
      <c r="A31" s="33"/>
      <c r="B31" s="17" t="s">
        <v>197</v>
      </c>
      <c r="C31" s="10">
        <f>C24</f>
        <v>-19466.83</v>
      </c>
    </row>
    <row r="32" spans="1:3" s="1" customFormat="1" ht="15">
      <c r="A32" s="64"/>
      <c r="B32" s="17" t="s">
        <v>191</v>
      </c>
      <c r="C32" s="10">
        <f>81.5*1.79*12+C13</f>
        <v>4789.18</v>
      </c>
    </row>
    <row r="33" spans="1:3" s="1" customFormat="1" ht="15">
      <c r="A33" s="64"/>
      <c r="B33" s="17"/>
      <c r="C33" s="10"/>
    </row>
    <row r="34" spans="1:3" s="1" customFormat="1" ht="15">
      <c r="A34" s="64"/>
      <c r="B34" s="17"/>
      <c r="C34" s="10"/>
    </row>
    <row r="35" spans="1:3" s="1" customFormat="1" ht="15">
      <c r="A35" s="33"/>
      <c r="B35" s="10"/>
      <c r="C35" s="10"/>
    </row>
    <row r="36" spans="1:3" s="1" customFormat="1" ht="15">
      <c r="A36" s="33"/>
      <c r="B36" s="10"/>
      <c r="C36" s="10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84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1947.65</v>
      </c>
    </row>
    <row r="8" spans="2:5" ht="15">
      <c r="B8" s="14" t="s">
        <v>8</v>
      </c>
      <c r="C8" s="38">
        <f>93.1*0.87*6+93.1*2.16*6</f>
        <v>1692.558</v>
      </c>
      <c r="E8" s="24"/>
    </row>
    <row r="9" spans="2:3" ht="15">
      <c r="B9" s="31" t="s">
        <v>17</v>
      </c>
      <c r="C9" s="47">
        <f>C8*0.8683</f>
        <v>1469.6481113999998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3640.208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-92529.81999999999</v>
      </c>
    </row>
    <row r="19" spans="1:3" s="1" customFormat="1" ht="15">
      <c r="A19" s="5"/>
      <c r="B19" s="14" t="s">
        <v>8</v>
      </c>
      <c r="C19" s="10">
        <v>1506.6</v>
      </c>
    </row>
    <row r="20" spans="1:3" s="1" customFormat="1" ht="15">
      <c r="A20" s="5"/>
      <c r="B20" s="14" t="s">
        <v>17</v>
      </c>
      <c r="C20" s="49">
        <f>C19*0.8683</f>
        <v>1308.18078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8" t="s">
        <v>1</v>
      </c>
      <c r="C23" s="7">
        <f>SUM(C22:C22)</f>
        <v>0</v>
      </c>
    </row>
    <row r="24" spans="1:3" s="1" customFormat="1" ht="15">
      <c r="A24" s="3"/>
      <c r="B24" s="8" t="s">
        <v>13</v>
      </c>
      <c r="C24" s="7">
        <f>C18+C19-C23</f>
        <v>-91023.21999999999</v>
      </c>
    </row>
    <row r="25" s="1" customFormat="1" ht="15">
      <c r="A25" s="5"/>
    </row>
    <row r="26" spans="1:3" s="1" customFormat="1" ht="15">
      <c r="A26" s="5"/>
      <c r="B26" s="10" t="s">
        <v>18</v>
      </c>
      <c r="C26" s="10">
        <v>8355.8</v>
      </c>
    </row>
    <row r="27" spans="1:3" s="1" customFormat="1" ht="15">
      <c r="A27" s="5"/>
      <c r="B27" s="17" t="s">
        <v>185</v>
      </c>
      <c r="C27" s="10"/>
    </row>
    <row r="28" spans="1:3" s="1" customFormat="1" ht="15">
      <c r="A28" s="5"/>
      <c r="B28" s="10"/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/>
      <c r="C30" s="10"/>
    </row>
    <row r="31" spans="1:3" s="1" customFormat="1" ht="15">
      <c r="A31" s="33"/>
      <c r="B31" s="17" t="s">
        <v>197</v>
      </c>
      <c r="C31" s="10">
        <f>C19+C24</f>
        <v>-89516.61999999998</v>
      </c>
    </row>
    <row r="32" spans="1:3" s="1" customFormat="1" ht="15">
      <c r="A32" s="64"/>
      <c r="B32" s="17" t="s">
        <v>191</v>
      </c>
      <c r="C32" s="10">
        <f>93.1*2.16*12+C13</f>
        <v>6053.360000000001</v>
      </c>
    </row>
    <row r="33" spans="1:3" s="1" customFormat="1" ht="15">
      <c r="A33" s="64"/>
      <c r="B33" s="17"/>
      <c r="C33" s="10"/>
    </row>
    <row r="34" spans="1:3" s="1" customFormat="1" ht="15">
      <c r="A34" s="64"/>
      <c r="B34" s="17"/>
      <c r="C34" s="10"/>
    </row>
    <row r="35" spans="1:3" s="1" customFormat="1" ht="15">
      <c r="A35" s="33"/>
      <c r="B35" s="10"/>
      <c r="C35" s="10"/>
    </row>
    <row r="36" spans="1:3" s="1" customFormat="1" ht="15">
      <c r="A36" s="33"/>
      <c r="B36" s="10"/>
      <c r="C36" s="10"/>
    </row>
    <row r="37" spans="1:3" s="1" customFormat="1" ht="15">
      <c r="A37" s="33"/>
      <c r="B37" s="10"/>
      <c r="C37" s="10"/>
    </row>
    <row r="38" s="1" customFormat="1" ht="15">
      <c r="A38" s="33"/>
    </row>
    <row r="39" spans="1:3" s="1" customFormat="1" ht="15">
      <c r="A39" s="121" t="s">
        <v>20</v>
      </c>
      <c r="B39" s="122"/>
      <c r="C39" s="122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pans="1:2" s="1" customFormat="1" ht="15">
      <c r="A65" s="5"/>
      <c r="B65"/>
    </row>
  </sheetData>
  <sheetProtection/>
  <mergeCells count="2">
    <mergeCell ref="A1:B1"/>
    <mergeCell ref="A39:C3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3">
      <selection activeCell="C35" sqref="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85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11403.39</v>
      </c>
    </row>
    <row r="8" spans="2:5" ht="15">
      <c r="B8" s="14" t="s">
        <v>8</v>
      </c>
      <c r="C8" s="38">
        <f>102.3*1.11*6+102.3*0.63*6</f>
        <v>1068.0120000000002</v>
      </c>
      <c r="E8" s="24"/>
    </row>
    <row r="9" spans="2:3" ht="15">
      <c r="B9" s="31" t="s">
        <v>17</v>
      </c>
      <c r="C9" s="47">
        <f>C8*1.1805</f>
        <v>1260.7881660000003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12471.402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2004.75</v>
      </c>
    </row>
    <row r="19" spans="1:3" s="1" customFormat="1" ht="15">
      <c r="A19" s="5"/>
      <c r="B19" s="14" t="s">
        <v>8</v>
      </c>
      <c r="C19" s="10">
        <v>1603.8</v>
      </c>
    </row>
    <row r="20" spans="1:3" s="1" customFormat="1" ht="15">
      <c r="A20" s="5"/>
      <c r="B20" s="14" t="s">
        <v>17</v>
      </c>
      <c r="C20" s="49">
        <f>C19*1.1805</f>
        <v>1893.2859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8" t="s">
        <v>1</v>
      </c>
      <c r="C23" s="7">
        <f>SUM(C22:C22)</f>
        <v>0</v>
      </c>
    </row>
    <row r="24" spans="1:3" s="1" customFormat="1" ht="15">
      <c r="A24" s="3"/>
      <c r="B24" s="8" t="s">
        <v>13</v>
      </c>
      <c r="C24" s="7">
        <f>C18+C19-C23</f>
        <v>3608.55</v>
      </c>
    </row>
    <row r="25" spans="1:3" s="1" customFormat="1" ht="15">
      <c r="A25" s="40"/>
      <c r="B25" s="41"/>
      <c r="C25" s="27"/>
    </row>
    <row r="26" spans="1:3" s="1" customFormat="1" ht="15">
      <c r="A26" s="5"/>
      <c r="B26" s="10" t="s">
        <v>18</v>
      </c>
      <c r="C26" s="1">
        <v>0</v>
      </c>
    </row>
    <row r="27" spans="1:3" s="1" customFormat="1" ht="15">
      <c r="A27" s="5"/>
      <c r="B27" s="17" t="s">
        <v>185</v>
      </c>
      <c r="C27" s="10"/>
    </row>
    <row r="28" spans="1:3" s="1" customFormat="1" ht="15">
      <c r="A28" s="5"/>
      <c r="B28" s="10"/>
      <c r="C28" s="10"/>
    </row>
    <row r="29" spans="1:3" s="1" customFormat="1" ht="15">
      <c r="A29" s="5"/>
      <c r="B29" s="34" t="s">
        <v>23</v>
      </c>
      <c r="C29" s="10"/>
    </row>
    <row r="30" spans="1:3" s="1" customFormat="1" ht="15">
      <c r="A30" s="33"/>
      <c r="B30" s="17"/>
      <c r="C30" s="10"/>
    </row>
    <row r="31" spans="1:3" s="1" customFormat="1" ht="15">
      <c r="A31" s="33"/>
      <c r="B31" s="17" t="s">
        <v>197</v>
      </c>
      <c r="C31" s="10">
        <f>C19+C24</f>
        <v>5212.35</v>
      </c>
    </row>
    <row r="32" spans="1:3" s="1" customFormat="1" ht="15">
      <c r="A32" s="64"/>
      <c r="B32" s="17" t="s">
        <v>191</v>
      </c>
      <c r="C32" s="10">
        <f>102.3*0.63*12+C13</f>
        <v>13244.79</v>
      </c>
    </row>
    <row r="33" spans="1:3" s="1" customFormat="1" ht="15">
      <c r="A33" s="64"/>
      <c r="B33" s="17"/>
      <c r="C33" s="10"/>
    </row>
    <row r="34" spans="1:3" s="1" customFormat="1" ht="15">
      <c r="A34" s="72">
        <v>1</v>
      </c>
      <c r="B34" s="81" t="s">
        <v>192</v>
      </c>
      <c r="C34" s="82" t="s">
        <v>215</v>
      </c>
    </row>
    <row r="35" spans="1:3" s="1" customFormat="1" ht="15">
      <c r="A35" s="77"/>
      <c r="B35" s="71" t="s">
        <v>193</v>
      </c>
      <c r="C35" s="75"/>
    </row>
    <row r="36" spans="1:3" s="1" customFormat="1" ht="15">
      <c r="A36" s="33"/>
      <c r="B36" s="10"/>
      <c r="C36" s="10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3">
      <selection activeCell="C32" sqref="C3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87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2274.73</v>
      </c>
    </row>
    <row r="8" spans="2:5" ht="15">
      <c r="B8" s="14" t="s">
        <v>8</v>
      </c>
      <c r="C8" s="38">
        <f>94.7*0.36*6+94.7*0.89*6</f>
        <v>710.25</v>
      </c>
      <c r="E8" s="24"/>
    </row>
    <row r="9" spans="2:3" ht="15">
      <c r="B9" s="31" t="s">
        <v>17</v>
      </c>
      <c r="C9" s="47">
        <v>710.25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2984.98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6136.56</v>
      </c>
    </row>
    <row r="19" spans="1:3" s="1" customFormat="1" ht="15">
      <c r="A19" s="5"/>
      <c r="B19" s="14" t="s">
        <v>8</v>
      </c>
      <c r="C19" s="10">
        <v>3068.28</v>
      </c>
    </row>
    <row r="20" spans="1:3" s="1" customFormat="1" ht="15">
      <c r="A20" s="5"/>
      <c r="B20" s="14" t="s">
        <v>17</v>
      </c>
      <c r="C20" s="10">
        <v>3068.28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6" t="s">
        <v>88</v>
      </c>
      <c r="C22" s="3">
        <v>4419</v>
      </c>
    </row>
    <row r="23" spans="1:3" s="1" customFormat="1" ht="15">
      <c r="A23" s="3"/>
      <c r="B23" s="8" t="s">
        <v>1</v>
      </c>
      <c r="C23" s="7">
        <f>SUM(C22:C22)</f>
        <v>4419</v>
      </c>
    </row>
    <row r="24" spans="1:3" s="1" customFormat="1" ht="15">
      <c r="A24" s="3"/>
      <c r="B24" s="8" t="s">
        <v>13</v>
      </c>
      <c r="C24" s="7">
        <f>C18+C19-C23</f>
        <v>4785.84</v>
      </c>
    </row>
    <row r="25" spans="1:3" s="1" customFormat="1" ht="15">
      <c r="A25" s="40"/>
      <c r="B25" s="41"/>
      <c r="C25" s="27"/>
    </row>
    <row r="26" spans="1:3" s="1" customFormat="1" ht="15">
      <c r="A26" s="5"/>
      <c r="B26" s="10" t="s">
        <v>18</v>
      </c>
      <c r="C26" s="1">
        <v>0</v>
      </c>
    </row>
    <row r="27" spans="1:3" s="1" customFormat="1" ht="15">
      <c r="A27" s="5"/>
      <c r="B27" s="17" t="s">
        <v>185</v>
      </c>
      <c r="C27" s="10"/>
    </row>
    <row r="28" spans="1:3" s="1" customFormat="1" ht="15">
      <c r="A28" s="5"/>
      <c r="B28" s="10"/>
      <c r="C28" s="10"/>
    </row>
    <row r="29" spans="1:3" s="1" customFormat="1" ht="15">
      <c r="A29" s="5"/>
      <c r="B29" s="34" t="s">
        <v>23</v>
      </c>
      <c r="C29" s="10"/>
    </row>
    <row r="30" spans="1:3" s="1" customFormat="1" ht="15">
      <c r="A30" s="33"/>
      <c r="B30" s="17"/>
      <c r="C30" s="10"/>
    </row>
    <row r="31" spans="1:3" s="1" customFormat="1" ht="15">
      <c r="A31" s="33"/>
      <c r="B31" s="17" t="s">
        <v>197</v>
      </c>
      <c r="C31" s="10">
        <f>C19+C24</f>
        <v>7854.120000000001</v>
      </c>
    </row>
    <row r="32" spans="1:3" s="1" customFormat="1" ht="15">
      <c r="A32" s="64"/>
      <c r="B32" s="17" t="s">
        <v>191</v>
      </c>
      <c r="C32" s="49">
        <f>94.7*0.89*12+C13</f>
        <v>3996.376</v>
      </c>
    </row>
    <row r="33" spans="1:3" s="1" customFormat="1" ht="15">
      <c r="A33" s="64"/>
      <c r="B33" s="17"/>
      <c r="C33" s="10"/>
    </row>
    <row r="34" spans="1:3" s="1" customFormat="1" ht="15">
      <c r="A34" s="72">
        <v>1</v>
      </c>
      <c r="B34" s="81" t="s">
        <v>192</v>
      </c>
      <c r="C34" s="82" t="s">
        <v>201</v>
      </c>
    </row>
    <row r="35" spans="1:3" s="1" customFormat="1" ht="15">
      <c r="A35" s="77"/>
      <c r="B35" s="71" t="s">
        <v>193</v>
      </c>
      <c r="C35" s="75"/>
    </row>
    <row r="36" spans="1:3" s="1" customFormat="1" ht="15">
      <c r="A36" s="64"/>
      <c r="B36" s="10"/>
      <c r="C36" s="10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9">
      <selection activeCell="B31" sqref="B31:C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24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13678.279999999999</v>
      </c>
    </row>
    <row r="8" spans="2:5" ht="15">
      <c r="B8" s="14" t="s">
        <v>8</v>
      </c>
      <c r="C8" s="38">
        <f>382.9*1.02*6+382.9*2.15*6</f>
        <v>7282.758</v>
      </c>
      <c r="E8" s="24"/>
    </row>
    <row r="9" spans="2:3" ht="15">
      <c r="B9" s="31" t="s">
        <v>17</v>
      </c>
      <c r="C9" s="47">
        <f>C8*0.9282</f>
        <v>6759.8559756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25</v>
      </c>
      <c r="C11" s="3">
        <v>4400.3</v>
      </c>
    </row>
    <row r="12" spans="1:3" s="1" customFormat="1" ht="15">
      <c r="A12" s="3">
        <v>2</v>
      </c>
      <c r="B12" s="2" t="s">
        <v>12</v>
      </c>
      <c r="C12" s="3">
        <v>216.38</v>
      </c>
    </row>
    <row r="13" spans="1:3" s="1" customFormat="1" ht="15">
      <c r="A13" s="3"/>
      <c r="B13" s="8" t="s">
        <v>1</v>
      </c>
      <c r="C13" s="7">
        <f>SUM(C11:C12)</f>
        <v>4616.68</v>
      </c>
    </row>
    <row r="14" spans="1:3" s="10" customFormat="1" ht="15">
      <c r="A14" s="7"/>
      <c r="B14" s="15" t="s">
        <v>13</v>
      </c>
      <c r="C14" s="29">
        <f>C7+C8-C13</f>
        <v>16344.358</v>
      </c>
    </row>
    <row r="15" spans="1:3" s="10" customFormat="1" ht="15">
      <c r="A15" s="27"/>
      <c r="B15" s="28"/>
      <c r="C15" s="27"/>
    </row>
    <row r="16" s="1" customFormat="1" ht="15">
      <c r="A16" s="5"/>
    </row>
    <row r="17" spans="1:2" s="1" customFormat="1" ht="18.75">
      <c r="A17" s="5"/>
      <c r="B17" s="17" t="s">
        <v>5</v>
      </c>
    </row>
    <row r="18" spans="1:2" s="10" customFormat="1" ht="15">
      <c r="A18" s="11"/>
      <c r="B18" s="1"/>
    </row>
    <row r="19" spans="1:3" s="1" customFormat="1" ht="15">
      <c r="A19" s="5"/>
      <c r="B19" s="14" t="s">
        <v>14</v>
      </c>
      <c r="C19" s="10">
        <v>-12311.369999999999</v>
      </c>
    </row>
    <row r="20" spans="1:3" s="1" customFormat="1" ht="15">
      <c r="A20" s="5"/>
      <c r="B20" s="14" t="s">
        <v>8</v>
      </c>
      <c r="C20" s="10">
        <v>4685.04</v>
      </c>
    </row>
    <row r="21" spans="1:3" s="1" customFormat="1" ht="15">
      <c r="A21" s="5"/>
      <c r="B21" s="53" t="s">
        <v>17</v>
      </c>
      <c r="C21" s="54">
        <f>C20*0.8315</f>
        <v>3895.61076</v>
      </c>
    </row>
    <row r="22" spans="1:3" s="1" customFormat="1" ht="30">
      <c r="A22" s="3" t="s">
        <v>0</v>
      </c>
      <c r="B22" s="3" t="s">
        <v>9</v>
      </c>
      <c r="C22" s="9" t="s">
        <v>10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SUM(C23:C23)</f>
        <v>0</v>
      </c>
    </row>
    <row r="25" spans="1:3" s="1" customFormat="1" ht="15">
      <c r="A25" s="3"/>
      <c r="B25" s="8" t="s">
        <v>13</v>
      </c>
      <c r="C25" s="29">
        <f>C19+C21</f>
        <v>-8415.75924</v>
      </c>
    </row>
    <row r="26" spans="1:3" s="1" customFormat="1" ht="30">
      <c r="A26" s="3"/>
      <c r="B26" s="51" t="s">
        <v>179</v>
      </c>
      <c r="C26" s="29">
        <f>C14+C25</f>
        <v>7928.598760000001</v>
      </c>
    </row>
    <row r="27" s="1" customFormat="1" ht="15">
      <c r="A27" s="5"/>
    </row>
    <row r="28" spans="1:3" s="1" customFormat="1" ht="15">
      <c r="A28" s="5"/>
      <c r="B28" s="10" t="s">
        <v>18</v>
      </c>
      <c r="C28" s="10">
        <v>153188.18</v>
      </c>
    </row>
    <row r="29" spans="1:3" s="1" customFormat="1" ht="15">
      <c r="A29" s="5"/>
      <c r="B29" s="17" t="s">
        <v>184</v>
      </c>
      <c r="C29" s="10"/>
    </row>
    <row r="30" spans="1:3" s="1" customFormat="1" ht="15">
      <c r="A30" s="5"/>
      <c r="B30" s="10"/>
      <c r="C30" s="10"/>
    </row>
    <row r="31" spans="1:3" s="1" customFormat="1" ht="15">
      <c r="A31" s="5"/>
      <c r="B31" s="10"/>
      <c r="C31" s="10"/>
    </row>
    <row r="32" spans="1:3" s="1" customFormat="1" ht="15">
      <c r="A32" s="5"/>
      <c r="B32" s="10"/>
      <c r="C32" s="10"/>
    </row>
    <row r="33" spans="1:3" s="1" customFormat="1" ht="15">
      <c r="A33" s="5"/>
      <c r="B33" s="68"/>
      <c r="C33" s="69"/>
    </row>
    <row r="34" spans="1:3" s="1" customFormat="1" ht="15">
      <c r="A34" s="5"/>
      <c r="B34" s="10"/>
      <c r="C34" s="10"/>
    </row>
    <row r="35" spans="1:3" s="1" customFormat="1" ht="15">
      <c r="A35" s="5"/>
      <c r="B35" s="17"/>
      <c r="C35" s="10"/>
    </row>
    <row r="36" spans="1:3" s="1" customFormat="1" ht="15">
      <c r="A36" s="5"/>
      <c r="B36" s="10"/>
      <c r="C36" s="10"/>
    </row>
    <row r="37" spans="1:3" s="1" customFormat="1" ht="15">
      <c r="A37" s="5"/>
      <c r="B37" s="10"/>
      <c r="C37" s="10"/>
    </row>
    <row r="38" s="1" customFormat="1" ht="15">
      <c r="A38" s="5"/>
    </row>
    <row r="39" spans="1:3" s="1" customFormat="1" ht="15">
      <c r="A39" s="121" t="s">
        <v>20</v>
      </c>
      <c r="B39" s="122"/>
      <c r="C39" s="122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pans="1:2" s="1" customFormat="1" ht="15">
      <c r="A65" s="5"/>
      <c r="B65"/>
    </row>
  </sheetData>
  <sheetProtection/>
  <mergeCells count="2">
    <mergeCell ref="A1:B1"/>
    <mergeCell ref="A39:C3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">
      <selection activeCell="F23" sqref="F2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89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16273.71</v>
      </c>
    </row>
    <row r="8" spans="2:5" ht="15">
      <c r="B8" s="14" t="s">
        <v>8</v>
      </c>
      <c r="C8" s="38">
        <f>374.94*1.5*6+374.94*3.02*6</f>
        <v>10168.372800000001</v>
      </c>
      <c r="E8" s="24"/>
    </row>
    <row r="9" spans="2:3" ht="15">
      <c r="B9" s="31" t="s">
        <v>17</v>
      </c>
      <c r="C9" s="47">
        <f>C8*0.9899</f>
        <v>10065.672234720001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30">
      <c r="A11" s="3">
        <v>1</v>
      </c>
      <c r="B11" s="6" t="s">
        <v>91</v>
      </c>
      <c r="C11" s="3">
        <v>5606.18</v>
      </c>
    </row>
    <row r="12" spans="1:3" s="1" customFormat="1" ht="15">
      <c r="A12" s="3">
        <v>2</v>
      </c>
      <c r="B12" s="6" t="s">
        <v>28</v>
      </c>
      <c r="C12" s="3">
        <v>216.38</v>
      </c>
    </row>
    <row r="13" spans="1:3" s="1" customFormat="1" ht="15">
      <c r="A13" s="3"/>
      <c r="B13" s="8" t="s">
        <v>1</v>
      </c>
      <c r="C13" s="7">
        <f>SUM(C11:C12)</f>
        <v>5822.56</v>
      </c>
    </row>
    <row r="14" spans="1:3" s="10" customFormat="1" ht="15">
      <c r="A14" s="7"/>
      <c r="B14" s="15" t="s">
        <v>13</v>
      </c>
      <c r="C14" s="29">
        <f>C7+C8-C13</f>
        <v>20619.5228</v>
      </c>
    </row>
    <row r="15" spans="1:3" s="10" customFormat="1" ht="15">
      <c r="A15" s="27"/>
      <c r="B15" s="28"/>
      <c r="C15" s="27"/>
    </row>
    <row r="16" spans="1:3" s="1" customFormat="1" ht="15">
      <c r="A16" s="5"/>
      <c r="B16" s="10" t="s">
        <v>18</v>
      </c>
      <c r="C16" s="10">
        <v>0</v>
      </c>
    </row>
    <row r="17" spans="1:2" s="1" customFormat="1" ht="15">
      <c r="A17" s="5"/>
      <c r="B17" s="17" t="s">
        <v>185</v>
      </c>
    </row>
    <row r="18" spans="1:3" s="1" customFormat="1" ht="15">
      <c r="A18" s="5"/>
      <c r="B18" s="10"/>
      <c r="C18" s="10"/>
    </row>
    <row r="19" spans="1:3" s="1" customFormat="1" ht="15">
      <c r="A19" s="5"/>
      <c r="B19" s="10"/>
      <c r="C19" s="10"/>
    </row>
    <row r="20" spans="1:3" s="1" customFormat="1" ht="15">
      <c r="A20" s="5"/>
      <c r="B20" s="34" t="s">
        <v>23</v>
      </c>
      <c r="C20" s="10"/>
    </row>
    <row r="21" spans="1:3" s="1" customFormat="1" ht="15">
      <c r="A21" s="33"/>
      <c r="B21" s="17"/>
      <c r="C21" s="10"/>
    </row>
    <row r="22" spans="1:3" s="1" customFormat="1" ht="15">
      <c r="A22" s="64"/>
      <c r="B22" s="17" t="s">
        <v>191</v>
      </c>
      <c r="C22" s="49">
        <f>374.94*3.02*12+C14</f>
        <v>34207.3484</v>
      </c>
    </row>
    <row r="23" spans="1:3" s="1" customFormat="1" ht="15">
      <c r="A23" s="64"/>
      <c r="B23" s="17"/>
      <c r="C23" s="10"/>
    </row>
    <row r="24" spans="1:3" s="1" customFormat="1" ht="15">
      <c r="A24" s="72">
        <v>1</v>
      </c>
      <c r="B24" s="70" t="s">
        <v>192</v>
      </c>
      <c r="C24" s="82" t="s">
        <v>202</v>
      </c>
    </row>
    <row r="25" spans="1:3" s="1" customFormat="1" ht="15">
      <c r="A25" s="77"/>
      <c r="B25" s="71" t="s">
        <v>193</v>
      </c>
      <c r="C25" s="75"/>
    </row>
    <row r="26" spans="1:3" s="1" customFormat="1" ht="15">
      <c r="A26" s="27"/>
      <c r="B26" s="76"/>
      <c r="C26" s="76"/>
    </row>
    <row r="27" spans="1:3" s="1" customFormat="1" ht="15">
      <c r="A27" s="27"/>
      <c r="B27" s="76"/>
      <c r="C27" s="76"/>
    </row>
    <row r="28" spans="1:3" s="1" customFormat="1" ht="15">
      <c r="A28" s="27"/>
      <c r="B28" s="76"/>
      <c r="C28" s="76"/>
    </row>
    <row r="29" spans="1:3" s="1" customFormat="1" ht="15">
      <c r="A29" s="27"/>
      <c r="B29" s="76"/>
      <c r="C29" s="76"/>
    </row>
    <row r="30" spans="1:3" s="1" customFormat="1" ht="15">
      <c r="A30" s="33"/>
      <c r="B30" s="10"/>
      <c r="C30" s="10"/>
    </row>
    <row r="31" s="1" customFormat="1" ht="15">
      <c r="A31" s="33"/>
    </row>
    <row r="32" spans="1:3" s="1" customFormat="1" ht="15">
      <c r="A32" s="121" t="s">
        <v>20</v>
      </c>
      <c r="B32" s="122"/>
      <c r="C32" s="122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pans="1:2" s="1" customFormat="1" ht="15">
      <c r="A58" s="5"/>
      <c r="B58"/>
    </row>
  </sheetData>
  <sheetProtection/>
  <mergeCells count="2">
    <mergeCell ref="A1:B1"/>
    <mergeCell ref="A32:C3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10293.67</v>
      </c>
    </row>
    <row r="8" spans="2:5" ht="15">
      <c r="B8" s="14" t="s">
        <v>8</v>
      </c>
      <c r="C8" s="38">
        <f>351.08*1.57*6+351.08*2.27*6</f>
        <v>8088.8832</v>
      </c>
      <c r="E8" s="24"/>
    </row>
    <row r="9" spans="2:3" ht="15">
      <c r="B9" s="31" t="s">
        <v>17</v>
      </c>
      <c r="C9" s="47">
        <f>C8*1.0591</f>
        <v>8566.93619712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30">
      <c r="A11" s="3">
        <v>1</v>
      </c>
      <c r="B11" s="6" t="s">
        <v>92</v>
      </c>
      <c r="C11" s="3">
        <v>3124.6</v>
      </c>
    </row>
    <row r="12" spans="1:3" s="1" customFormat="1" ht="15">
      <c r="A12" s="3">
        <v>2</v>
      </c>
      <c r="B12" s="6" t="s">
        <v>263</v>
      </c>
      <c r="C12" s="3">
        <v>1088.55</v>
      </c>
    </row>
    <row r="13" spans="1:3" s="1" customFormat="1" ht="15">
      <c r="A13" s="3"/>
      <c r="B13" s="8" t="s">
        <v>1</v>
      </c>
      <c r="C13" s="7">
        <f>SUM(C11:C12)</f>
        <v>4213.15</v>
      </c>
    </row>
    <row r="14" spans="1:3" s="10" customFormat="1" ht="15">
      <c r="A14" s="7"/>
      <c r="B14" s="15" t="s">
        <v>13</v>
      </c>
      <c r="C14" s="29">
        <f>C7+C8-C13</f>
        <v>14169.403200000002</v>
      </c>
    </row>
    <row r="15" spans="1:3" s="10" customFormat="1" ht="30">
      <c r="A15" s="7"/>
      <c r="B15" s="15" t="s">
        <v>179</v>
      </c>
      <c r="C15" s="29">
        <f>C14+C26</f>
        <v>35651.603200000005</v>
      </c>
    </row>
    <row r="16" spans="1:3" s="10" customFormat="1" ht="15">
      <c r="A16" s="27"/>
      <c r="B16" s="28"/>
      <c r="C16" s="48"/>
    </row>
    <row r="17" spans="1:3" s="10" customFormat="1" ht="15">
      <c r="A17" s="27"/>
      <c r="B17" s="28"/>
      <c r="C17" s="48"/>
    </row>
    <row r="18" spans="1:3" s="10" customFormat="1" ht="18.75">
      <c r="A18" s="27"/>
      <c r="B18" s="66" t="s">
        <v>177</v>
      </c>
      <c r="C18" s="48"/>
    </row>
    <row r="19" spans="1:3" s="10" customFormat="1" ht="15">
      <c r="A19" s="27"/>
      <c r="B19" s="28"/>
      <c r="C19" s="48"/>
    </row>
    <row r="20" spans="1:3" s="10" customFormat="1" ht="15">
      <c r="A20" s="27"/>
      <c r="B20" s="28" t="s">
        <v>14</v>
      </c>
      <c r="C20" s="48">
        <v>21482.2</v>
      </c>
    </row>
    <row r="21" spans="1:3" s="10" customFormat="1" ht="15">
      <c r="A21" s="27"/>
      <c r="B21" s="28" t="s">
        <v>8</v>
      </c>
      <c r="C21" s="48">
        <v>0</v>
      </c>
    </row>
    <row r="22" spans="1:3" s="10" customFormat="1" ht="15">
      <c r="A22" s="27"/>
      <c r="B22" s="28" t="s">
        <v>17</v>
      </c>
      <c r="C22" s="48">
        <v>0</v>
      </c>
    </row>
    <row r="23" spans="1:3" s="10" customFormat="1" ht="30">
      <c r="A23" s="7" t="s">
        <v>0</v>
      </c>
      <c r="B23" s="45" t="s">
        <v>9</v>
      </c>
      <c r="C23" s="29" t="s">
        <v>10</v>
      </c>
    </row>
    <row r="24" spans="1:3" s="10" customFormat="1" ht="15">
      <c r="A24" s="7">
        <v>1</v>
      </c>
      <c r="B24" s="45"/>
      <c r="C24" s="29">
        <v>0</v>
      </c>
    </row>
    <row r="25" spans="1:3" s="10" customFormat="1" ht="15">
      <c r="A25" s="7"/>
      <c r="B25" s="45" t="s">
        <v>1</v>
      </c>
      <c r="C25" s="29">
        <v>0</v>
      </c>
    </row>
    <row r="26" spans="1:3" s="10" customFormat="1" ht="15">
      <c r="A26" s="7"/>
      <c r="B26" s="45" t="s">
        <v>13</v>
      </c>
      <c r="C26" s="29">
        <f>C20+C25</f>
        <v>21482.2</v>
      </c>
    </row>
    <row r="27" spans="1:3" s="10" customFormat="1" ht="15">
      <c r="A27" s="27"/>
      <c r="B27" s="28"/>
      <c r="C27" s="48"/>
    </row>
    <row r="28" spans="1:2" s="1" customFormat="1" ht="15">
      <c r="A28" s="5"/>
      <c r="B28" s="10" t="s">
        <v>18</v>
      </c>
    </row>
    <row r="29" spans="1:3" s="1" customFormat="1" ht="15">
      <c r="A29" s="5"/>
      <c r="B29" s="17" t="s">
        <v>182</v>
      </c>
      <c r="C29" s="10">
        <v>0</v>
      </c>
    </row>
    <row r="30" spans="1:3" s="1" customFormat="1" ht="15">
      <c r="A30" s="5"/>
      <c r="B30" s="10"/>
      <c r="C30" s="10"/>
    </row>
    <row r="31" spans="1:3" s="1" customFormat="1" ht="15">
      <c r="A31" s="5"/>
      <c r="B31" s="10"/>
      <c r="C31" s="10"/>
    </row>
    <row r="32" spans="1:3" s="1" customFormat="1" ht="15">
      <c r="A32" s="33"/>
      <c r="B32" s="34" t="s">
        <v>23</v>
      </c>
      <c r="C32" s="10"/>
    </row>
    <row r="33" spans="1:3" s="1" customFormat="1" ht="15">
      <c r="A33" s="33"/>
      <c r="B33" s="17"/>
      <c r="C33" s="10"/>
    </row>
    <row r="34" spans="1:3" s="1" customFormat="1" ht="15">
      <c r="A34" s="33"/>
      <c r="B34" s="17" t="s">
        <v>191</v>
      </c>
      <c r="C34" s="49">
        <f>351.08*2.27*12+C15</f>
        <v>45215.0224</v>
      </c>
    </row>
    <row r="35" spans="1:3" s="1" customFormat="1" ht="15">
      <c r="A35" s="33"/>
      <c r="B35" s="10"/>
      <c r="C35" s="10"/>
    </row>
    <row r="36" spans="1:3" s="1" customFormat="1" ht="15">
      <c r="A36" s="72">
        <v>1</v>
      </c>
      <c r="B36" s="70" t="s">
        <v>192</v>
      </c>
      <c r="C36" s="83" t="s">
        <v>203</v>
      </c>
    </row>
    <row r="37" spans="1:3" s="1" customFormat="1" ht="15">
      <c r="A37" s="77"/>
      <c r="B37" s="71" t="s">
        <v>193</v>
      </c>
      <c r="C37" s="84"/>
    </row>
    <row r="38" spans="1:3" s="1" customFormat="1" ht="15" customHeight="1">
      <c r="A38" s="62"/>
      <c r="C38" s="63"/>
    </row>
    <row r="39" spans="1:2" s="1" customFormat="1" ht="15">
      <c r="A39" s="5"/>
      <c r="B39" s="63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pans="1:3" s="1" customFormat="1" ht="15">
      <c r="A45" s="123" t="s">
        <v>20</v>
      </c>
      <c r="B45" s="124"/>
      <c r="C45" s="124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</sheetData>
  <sheetProtection/>
  <mergeCells count="2">
    <mergeCell ref="A1:B1"/>
    <mergeCell ref="A45:C4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3">
      <selection activeCell="G29" sqref="G2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93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3884.22</v>
      </c>
    </row>
    <row r="8" spans="2:5" ht="15">
      <c r="B8" s="14" t="s">
        <v>8</v>
      </c>
      <c r="C8" s="38">
        <f>55.1*0.56*6+55.1*1.98*6</f>
        <v>839.7239999999999</v>
      </c>
      <c r="E8" s="24"/>
    </row>
    <row r="9" spans="2:3" ht="15">
      <c r="B9" s="31" t="s">
        <v>17</v>
      </c>
      <c r="C9" s="47">
        <f>C8*0.6189</f>
        <v>519.7051835999999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/>
    </row>
    <row r="12" spans="1:3" s="1" customFormat="1" ht="15">
      <c r="A12" s="3"/>
      <c r="B12" s="6"/>
      <c r="C12" s="3">
        <v>0</v>
      </c>
    </row>
    <row r="13" spans="1:3" s="1" customFormat="1" ht="15">
      <c r="A13" s="3"/>
      <c r="B13" s="8" t="s">
        <v>1</v>
      </c>
      <c r="C13" s="7">
        <f>SUM(C11:C12)</f>
        <v>0</v>
      </c>
    </row>
    <row r="14" spans="1:3" s="10" customFormat="1" ht="15">
      <c r="A14" s="7"/>
      <c r="B14" s="15" t="s">
        <v>13</v>
      </c>
      <c r="C14" s="29">
        <f>C7+C8-C13</f>
        <v>4723.9439999999995</v>
      </c>
    </row>
    <row r="15" spans="1:3" s="10" customFormat="1" ht="15">
      <c r="A15" s="27"/>
      <c r="B15" s="28"/>
      <c r="C15" s="27"/>
    </row>
    <row r="16" spans="1:3" s="1" customFormat="1" ht="15">
      <c r="A16" s="5"/>
      <c r="B16" s="10" t="s">
        <v>18</v>
      </c>
      <c r="C16" s="10">
        <v>16056.61</v>
      </c>
    </row>
    <row r="17" spans="1:2" s="1" customFormat="1" ht="15">
      <c r="A17" s="5"/>
      <c r="B17" s="17" t="s">
        <v>182</v>
      </c>
    </row>
    <row r="18" spans="1:3" s="1" customFormat="1" ht="15">
      <c r="A18" s="5"/>
      <c r="B18" s="10"/>
      <c r="C18" s="10"/>
    </row>
    <row r="19" spans="1:3" s="1" customFormat="1" ht="15">
      <c r="A19" s="5"/>
      <c r="B19" s="10"/>
      <c r="C19" s="10"/>
    </row>
    <row r="20" spans="1:3" s="1" customFormat="1" ht="15">
      <c r="A20" s="5"/>
      <c r="B20" s="34" t="s">
        <v>23</v>
      </c>
      <c r="C20" s="10"/>
    </row>
    <row r="21" spans="1:3" s="1" customFormat="1" ht="15">
      <c r="A21" s="33"/>
      <c r="B21" s="17"/>
      <c r="C21" s="10"/>
    </row>
    <row r="22" spans="1:3" s="1" customFormat="1" ht="15">
      <c r="A22" s="33"/>
      <c r="B22" s="17" t="s">
        <v>191</v>
      </c>
      <c r="C22" s="10">
        <f>55.1*1.98*12+C14</f>
        <v>6033.119999999999</v>
      </c>
    </row>
    <row r="23" spans="1:3" s="1" customFormat="1" ht="15">
      <c r="A23" s="64"/>
      <c r="B23" s="17"/>
      <c r="C23" s="10"/>
    </row>
    <row r="24" spans="1:3" s="1" customFormat="1" ht="15">
      <c r="A24" s="72">
        <v>1</v>
      </c>
      <c r="B24" s="81" t="s">
        <v>192</v>
      </c>
      <c r="C24" s="82" t="s">
        <v>226</v>
      </c>
    </row>
    <row r="25" spans="1:3" s="1" customFormat="1" ht="15">
      <c r="A25" s="77"/>
      <c r="B25" s="85" t="s">
        <v>193</v>
      </c>
      <c r="C25" s="75"/>
    </row>
    <row r="26" spans="1:3" s="1" customFormat="1" ht="15">
      <c r="A26" s="33"/>
      <c r="B26" s="10"/>
      <c r="C26" s="10"/>
    </row>
    <row r="27" spans="1:3" s="1" customFormat="1" ht="15">
      <c r="A27" s="33"/>
      <c r="B27" s="10"/>
      <c r="C27" s="10"/>
    </row>
    <row r="28" spans="1:3" s="1" customFormat="1" ht="15">
      <c r="A28" s="33"/>
      <c r="B28" s="10"/>
      <c r="C28" s="10"/>
    </row>
    <row r="29" s="1" customFormat="1" ht="15">
      <c r="A29" s="33"/>
    </row>
    <row r="30" spans="1:3" s="1" customFormat="1" ht="15">
      <c r="A30" s="121" t="s">
        <v>20</v>
      </c>
      <c r="B30" s="122"/>
      <c r="C30" s="122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pans="1:2" s="1" customFormat="1" ht="15">
      <c r="A56" s="5"/>
      <c r="B56"/>
    </row>
  </sheetData>
  <sheetProtection/>
  <mergeCells count="2">
    <mergeCell ref="A1:B1"/>
    <mergeCell ref="A30:C3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0">
      <selection activeCell="C35" sqref="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5219.179999999999</v>
      </c>
    </row>
    <row r="8" spans="2:5" ht="15">
      <c r="B8" s="14" t="s">
        <v>8</v>
      </c>
      <c r="C8" s="38">
        <f>134.5*0.32*6+134.5*0.8*6</f>
        <v>903.84</v>
      </c>
      <c r="E8" s="24"/>
    </row>
    <row r="9" spans="2:3" ht="15">
      <c r="B9" s="31" t="s">
        <v>17</v>
      </c>
      <c r="C9" s="47">
        <f>C8*1.0126</f>
        <v>915.228384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 t="s">
        <v>232</v>
      </c>
      <c r="C11" s="3">
        <v>3400</v>
      </c>
    </row>
    <row r="12" spans="1:3" s="1" customFormat="1" ht="15">
      <c r="A12" s="3"/>
      <c r="B12" s="8" t="s">
        <v>1</v>
      </c>
      <c r="C12" s="7">
        <f>SUM(C11:C11)</f>
        <v>3400</v>
      </c>
    </row>
    <row r="13" spans="1:3" s="10" customFormat="1" ht="15">
      <c r="A13" s="7"/>
      <c r="B13" s="15" t="s">
        <v>13</v>
      </c>
      <c r="C13" s="29">
        <f>C7+C8-C12</f>
        <v>2723.0199999999995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6480</v>
      </c>
    </row>
    <row r="19" spans="1:3" s="1" customFormat="1" ht="15">
      <c r="A19" s="5"/>
      <c r="B19" s="14" t="s">
        <v>8</v>
      </c>
      <c r="C19" s="10">
        <v>3240</v>
      </c>
    </row>
    <row r="20" spans="1:3" s="1" customFormat="1" ht="15">
      <c r="A20" s="5"/>
      <c r="B20" s="14" t="s">
        <v>17</v>
      </c>
      <c r="C20" s="49">
        <f>C19*1.0126</f>
        <v>3280.8239999999996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9720</v>
      </c>
    </row>
    <row r="26" spans="1:3" s="1" customFormat="1" ht="15">
      <c r="A26" s="40"/>
      <c r="B26" s="41"/>
      <c r="C26" s="27"/>
    </row>
    <row r="27" spans="1:3" s="1" customFormat="1" ht="15">
      <c r="A27" s="5"/>
      <c r="B27" s="10" t="s">
        <v>18</v>
      </c>
      <c r="C27" s="1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 t="s">
        <v>23</v>
      </c>
      <c r="C30" s="10"/>
    </row>
    <row r="31" spans="1:3" s="1" customFormat="1" ht="15">
      <c r="A31" s="33"/>
      <c r="B31" s="17"/>
      <c r="C31" s="17"/>
    </row>
    <row r="32" spans="1:3" s="1" customFormat="1" ht="15">
      <c r="A32" s="33"/>
      <c r="B32" s="17" t="s">
        <v>197</v>
      </c>
      <c r="C32" s="10">
        <f>C19+C25</f>
        <v>12960</v>
      </c>
    </row>
    <row r="33" spans="1:3" s="1" customFormat="1" ht="15">
      <c r="A33" s="64"/>
      <c r="B33" s="17" t="s">
        <v>191</v>
      </c>
      <c r="C33" s="10">
        <f>134.5*0.8*12+C13</f>
        <v>4014.2199999999993</v>
      </c>
    </row>
    <row r="34" spans="1:3" s="1" customFormat="1" ht="15">
      <c r="A34" s="64"/>
      <c r="B34" s="17"/>
      <c r="C34" s="10"/>
    </row>
    <row r="35" spans="1:3" s="1" customFormat="1" ht="15">
      <c r="A35" s="7">
        <v>1</v>
      </c>
      <c r="B35" s="86" t="s">
        <v>205</v>
      </c>
      <c r="C35" s="45" t="s">
        <v>248</v>
      </c>
    </row>
    <row r="36" spans="1:3" s="1" customFormat="1" ht="15">
      <c r="A36" s="64"/>
      <c r="B36" s="17"/>
      <c r="C36" s="10"/>
    </row>
    <row r="37" spans="1:3" s="1" customFormat="1" ht="15">
      <c r="A37" s="33"/>
      <c r="B37" s="10"/>
      <c r="C37" s="10"/>
    </row>
    <row r="38" spans="1:3" s="1" customFormat="1" ht="15">
      <c r="A38" s="33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2">
      <selection activeCell="F37" sqref="F37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-2049.0539999999996</v>
      </c>
    </row>
    <row r="8" spans="2:5" ht="15">
      <c r="B8" s="14" t="s">
        <v>8</v>
      </c>
      <c r="C8" s="38">
        <f>146.1*1.1*6+146.1*1.61*6</f>
        <v>2375.5860000000002</v>
      </c>
      <c r="E8" s="24"/>
    </row>
    <row r="9" spans="2:3" ht="15">
      <c r="B9" s="31" t="s">
        <v>17</v>
      </c>
      <c r="C9" s="47">
        <f>C8*0.9566</f>
        <v>2272.4855676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326.5320000000006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-1145.06</v>
      </c>
    </row>
    <row r="19" spans="1:3" s="1" customFormat="1" ht="15">
      <c r="A19" s="5"/>
      <c r="B19" s="14" t="s">
        <v>8</v>
      </c>
      <c r="C19" s="10">
        <v>1487.16</v>
      </c>
    </row>
    <row r="20" spans="1:3" s="1" customFormat="1" ht="15">
      <c r="A20" s="5"/>
      <c r="B20" s="14" t="s">
        <v>17</v>
      </c>
      <c r="C20" s="49">
        <f>C19*0.9566</f>
        <v>1422.617256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342.10000000000014</v>
      </c>
    </row>
    <row r="26" spans="1:3" s="1" customFormat="1" ht="15">
      <c r="A26" s="40"/>
      <c r="B26" s="41"/>
      <c r="C26" s="27"/>
    </row>
    <row r="27" spans="1:3" s="1" customFormat="1" ht="15">
      <c r="A27" s="5"/>
      <c r="B27" s="10" t="s">
        <v>18</v>
      </c>
      <c r="C27" s="1">
        <v>0</v>
      </c>
    </row>
    <row r="28" spans="1:3" s="1" customFormat="1" ht="15">
      <c r="A28" s="5"/>
      <c r="B28" s="17" t="s">
        <v>182</v>
      </c>
      <c r="C28" s="10"/>
    </row>
    <row r="29" spans="1:3" s="1" customFormat="1" ht="15">
      <c r="A29" s="5"/>
      <c r="B29" s="10"/>
      <c r="C29" s="10"/>
    </row>
    <row r="30" spans="1:3" s="1" customFormat="1" ht="15">
      <c r="A30" s="5"/>
      <c r="B30" s="34"/>
      <c r="C30" s="10"/>
    </row>
    <row r="31" spans="1:3" s="1" customFormat="1" ht="15">
      <c r="A31" s="33"/>
      <c r="B31" s="17" t="s">
        <v>23</v>
      </c>
      <c r="C31" s="17"/>
    </row>
    <row r="32" spans="1:3" s="1" customFormat="1" ht="15">
      <c r="A32" s="33"/>
      <c r="B32" s="17"/>
      <c r="C32" s="10"/>
    </row>
    <row r="33" spans="1:3" s="1" customFormat="1" ht="15">
      <c r="A33" s="64"/>
      <c r="B33" s="17" t="s">
        <v>197</v>
      </c>
      <c r="C33" s="10">
        <f>C19+C25</f>
        <v>1829.2600000000002</v>
      </c>
    </row>
    <row r="34" spans="1:3" s="1" customFormat="1" ht="15">
      <c r="A34" s="64"/>
      <c r="B34" s="17" t="s">
        <v>191</v>
      </c>
      <c r="C34" s="49">
        <f>146.1*1.61*12+C13</f>
        <v>3149.1840000000007</v>
      </c>
    </row>
    <row r="35" spans="1:3" s="1" customFormat="1" ht="15">
      <c r="A35" s="64"/>
      <c r="B35" s="17"/>
      <c r="C35" s="10"/>
    </row>
    <row r="36" spans="1:3" s="1" customFormat="1" ht="15">
      <c r="A36" s="72">
        <v>1</v>
      </c>
      <c r="B36" s="70" t="s">
        <v>192</v>
      </c>
      <c r="C36" s="82" t="s">
        <v>214</v>
      </c>
    </row>
    <row r="37" spans="1:3" s="1" customFormat="1" ht="15">
      <c r="A37" s="77"/>
      <c r="B37" s="71" t="s">
        <v>193</v>
      </c>
      <c r="C37" s="75"/>
    </row>
    <row r="38" spans="1:3" s="1" customFormat="1" ht="15">
      <c r="A38" s="64"/>
      <c r="B38" s="10"/>
      <c r="C38" s="10"/>
    </row>
    <row r="39" spans="1:3" s="1" customFormat="1" ht="15">
      <c r="A39" s="64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7">
      <selection activeCell="B33" sqref="B33:B34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3472.25</v>
      </c>
    </row>
    <row r="8" spans="2:5" ht="15">
      <c r="B8" s="14" t="s">
        <v>8</v>
      </c>
      <c r="C8" s="38">
        <f>110.3*1.16*6+110.3*2.14*6</f>
        <v>2183.94</v>
      </c>
      <c r="E8" s="24"/>
    </row>
    <row r="9" spans="2:3" ht="15">
      <c r="B9" s="31" t="s">
        <v>17</v>
      </c>
      <c r="C9" s="47">
        <f>C8</f>
        <v>2183.94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5656.1900000000005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-12256.539999999999</v>
      </c>
    </row>
    <row r="19" spans="1:3" s="1" customFormat="1" ht="15">
      <c r="A19" s="5"/>
      <c r="B19" s="14" t="s">
        <v>8</v>
      </c>
      <c r="C19" s="10">
        <v>1613.52</v>
      </c>
    </row>
    <row r="20" spans="1:3" s="1" customFormat="1" ht="15">
      <c r="A20" s="5"/>
      <c r="B20" s="14" t="s">
        <v>17</v>
      </c>
      <c r="C20" s="10">
        <f>C19</f>
        <v>1613.52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-10643.019999999999</v>
      </c>
    </row>
    <row r="26" spans="1:3" s="1" customFormat="1" ht="15">
      <c r="A26" s="40"/>
      <c r="B26" s="41"/>
      <c r="C26" s="27"/>
    </row>
    <row r="27" spans="1:3" s="1" customFormat="1" ht="15">
      <c r="A27" s="40"/>
      <c r="B27" s="41" t="s">
        <v>165</v>
      </c>
      <c r="C27" s="27"/>
    </row>
    <row r="28" spans="1:3" s="1" customFormat="1" ht="15">
      <c r="A28" s="40"/>
      <c r="B28" s="41" t="s">
        <v>166</v>
      </c>
      <c r="C28" s="27"/>
    </row>
    <row r="29" s="1" customFormat="1" ht="15">
      <c r="A29" s="5"/>
    </row>
    <row r="30" spans="1:3" s="1" customFormat="1" ht="15">
      <c r="A30" s="5"/>
      <c r="B30" s="10" t="s">
        <v>18</v>
      </c>
      <c r="C30" s="10">
        <v>0</v>
      </c>
    </row>
    <row r="31" spans="1:3" s="1" customFormat="1" ht="15">
      <c r="A31" s="5"/>
      <c r="B31" s="17" t="s">
        <v>185</v>
      </c>
      <c r="C31" s="10"/>
    </row>
    <row r="32" spans="1:3" s="1" customFormat="1" ht="15">
      <c r="A32" s="5"/>
      <c r="B32" s="34"/>
      <c r="C32" s="10"/>
    </row>
    <row r="33" spans="1:3" s="1" customFormat="1" ht="15">
      <c r="A33" s="33"/>
      <c r="B33" s="17"/>
      <c r="C33" s="17"/>
    </row>
    <row r="34" spans="1:3" s="1" customFormat="1" ht="15">
      <c r="A34" s="33"/>
      <c r="B34" s="17"/>
      <c r="C34" s="10"/>
    </row>
    <row r="35" spans="1:3" s="1" customFormat="1" ht="15">
      <c r="A35" s="64"/>
      <c r="B35" s="17" t="s">
        <v>197</v>
      </c>
      <c r="C35" s="10">
        <f>C19+C25</f>
        <v>-9029.499999999998</v>
      </c>
    </row>
    <row r="36" spans="1:3" s="1" customFormat="1" ht="15">
      <c r="A36" s="64"/>
      <c r="B36" s="17" t="s">
        <v>191</v>
      </c>
      <c r="C36" s="10">
        <f>110.3*2.14*12+C13</f>
        <v>8488.694</v>
      </c>
    </row>
    <row r="37" spans="1:3" s="1" customFormat="1" ht="15">
      <c r="A37" s="64"/>
      <c r="B37" s="17"/>
      <c r="C37" s="10"/>
    </row>
    <row r="38" spans="1:3" s="1" customFormat="1" ht="15">
      <c r="A38" s="27"/>
      <c r="B38" s="76"/>
      <c r="C38" s="27"/>
    </row>
    <row r="39" spans="1:3" s="1" customFormat="1" ht="15">
      <c r="A39" s="27"/>
      <c r="B39" s="76"/>
      <c r="C39" s="27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7">
      <selection activeCell="C36" sqref="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13760.009999999998</v>
      </c>
    </row>
    <row r="8" spans="2:5" ht="15">
      <c r="B8" s="14" t="s">
        <v>8</v>
      </c>
      <c r="C8" s="38">
        <f>99.7*4.08*6+99.7*6.37*6</f>
        <v>6251.1900000000005</v>
      </c>
      <c r="E8" s="24"/>
    </row>
    <row r="9" spans="2:3" ht="15">
      <c r="B9" s="31" t="s">
        <v>17</v>
      </c>
      <c r="C9" s="47">
        <f>C8</f>
        <v>6251.1900000000005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20011.199999999997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3084.48</v>
      </c>
    </row>
    <row r="19" spans="1:3" s="1" customFormat="1" ht="15">
      <c r="A19" s="5"/>
      <c r="B19" s="14" t="s">
        <v>8</v>
      </c>
      <c r="C19" s="10">
        <v>1542.24</v>
      </c>
    </row>
    <row r="20" spans="1:3" s="1" customFormat="1" ht="15">
      <c r="A20" s="5"/>
      <c r="B20" s="14" t="s">
        <v>17</v>
      </c>
      <c r="C20" s="10">
        <f>C19</f>
        <v>1542.24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4626.72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0"/>
    </row>
    <row r="32" spans="1:3" s="1" customFormat="1" ht="15">
      <c r="A32" s="64"/>
      <c r="B32" s="17" t="s">
        <v>197</v>
      </c>
      <c r="C32" s="10">
        <f>C19+C25</f>
        <v>6168.96</v>
      </c>
    </row>
    <row r="33" spans="1:3" s="1" customFormat="1" ht="15">
      <c r="A33" s="64"/>
      <c r="B33" s="17" t="s">
        <v>191</v>
      </c>
      <c r="C33" s="49">
        <f>99.7*6.37*12+C13</f>
        <v>27632.267999999996</v>
      </c>
    </row>
    <row r="34" spans="1:3" s="1" customFormat="1" ht="15">
      <c r="A34" s="64"/>
      <c r="B34" s="17"/>
      <c r="C34" s="10"/>
    </row>
    <row r="35" spans="1:3" s="1" customFormat="1" ht="15">
      <c r="A35" s="72">
        <v>1</v>
      </c>
      <c r="B35" s="70" t="s">
        <v>192</v>
      </c>
      <c r="C35" s="82" t="s">
        <v>195</v>
      </c>
    </row>
    <row r="36" spans="1:3" s="1" customFormat="1" ht="15">
      <c r="A36" s="77"/>
      <c r="B36" s="71" t="s">
        <v>193</v>
      </c>
      <c r="C36" s="77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3" s="18" customFormat="1" ht="15.75">
      <c r="A1" s="125" t="s">
        <v>2</v>
      </c>
      <c r="B1" s="125"/>
      <c r="C1" s="93"/>
    </row>
    <row r="2" spans="1:3" s="18" customFormat="1" ht="15.75">
      <c r="A2" s="94" t="s">
        <v>3</v>
      </c>
      <c r="B2" s="95"/>
      <c r="C2" s="93"/>
    </row>
    <row r="3" spans="1:3" s="18" customFormat="1" ht="15.75">
      <c r="A3" s="94" t="s">
        <v>98</v>
      </c>
      <c r="B3" s="95"/>
      <c r="C3" s="93"/>
    </row>
    <row r="4" spans="1:3" s="18" customFormat="1" ht="15.75">
      <c r="A4" s="96"/>
      <c r="B4" s="97" t="s">
        <v>7</v>
      </c>
      <c r="C4" s="93"/>
    </row>
    <row r="5" spans="1:3" ht="15">
      <c r="A5" s="98"/>
      <c r="B5" s="99"/>
      <c r="C5" s="99"/>
    </row>
    <row r="6" spans="1:3" s="13" customFormat="1" ht="18.75">
      <c r="A6" s="100"/>
      <c r="B6" s="101" t="s">
        <v>249</v>
      </c>
      <c r="C6" s="102"/>
    </row>
    <row r="7" spans="1:3" ht="15">
      <c r="A7" s="98"/>
      <c r="B7" s="57" t="s">
        <v>14</v>
      </c>
      <c r="C7" s="103">
        <v>8588.07</v>
      </c>
    </row>
    <row r="8" spans="1:5" ht="15">
      <c r="A8" s="98"/>
      <c r="B8" s="53" t="s">
        <v>8</v>
      </c>
      <c r="C8" s="103">
        <f>51.2*0.31*6+51.2*1.77*6</f>
        <v>638.976</v>
      </c>
      <c r="E8" s="24"/>
    </row>
    <row r="9" spans="1:3" ht="15">
      <c r="A9" s="98"/>
      <c r="B9" s="57" t="s">
        <v>17</v>
      </c>
      <c r="C9" s="58">
        <f>C8*0.7391</f>
        <v>472.2671616</v>
      </c>
    </row>
    <row r="10" spans="1:3" ht="50.25" customHeight="1">
      <c r="A10" s="104" t="s">
        <v>0</v>
      </c>
      <c r="B10" s="104" t="s">
        <v>9</v>
      </c>
      <c r="C10" s="105" t="s">
        <v>10</v>
      </c>
    </row>
    <row r="11" spans="1:3" s="1" customFormat="1" ht="15">
      <c r="A11" s="104"/>
      <c r="B11" s="106"/>
      <c r="C11" s="104">
        <v>0</v>
      </c>
    </row>
    <row r="12" spans="1:3" s="1" customFormat="1" ht="15">
      <c r="A12" s="104"/>
      <c r="B12" s="108" t="s">
        <v>1</v>
      </c>
      <c r="C12" s="107">
        <f>SUM(C11:C11)</f>
        <v>0</v>
      </c>
    </row>
    <row r="13" spans="1:3" s="10" customFormat="1" ht="15">
      <c r="A13" s="107"/>
      <c r="B13" s="109" t="s">
        <v>13</v>
      </c>
      <c r="C13" s="110">
        <f>C7+C8-C12</f>
        <v>9227.046</v>
      </c>
    </row>
    <row r="14" spans="1:3" s="10" customFormat="1" ht="15">
      <c r="A14" s="60"/>
      <c r="B14" s="111"/>
      <c r="C14" s="60"/>
    </row>
    <row r="15" spans="1:3" s="1" customFormat="1" ht="15">
      <c r="A15" s="65"/>
      <c r="B15" s="114" t="s">
        <v>18</v>
      </c>
      <c r="C15" s="87">
        <v>0</v>
      </c>
    </row>
    <row r="16" spans="1:3" s="1" customFormat="1" ht="15">
      <c r="A16" s="65"/>
      <c r="B16" s="112" t="s">
        <v>185</v>
      </c>
      <c r="C16" s="87"/>
    </row>
    <row r="17" spans="1:3" s="1" customFormat="1" ht="15">
      <c r="A17" s="65"/>
      <c r="B17" s="114"/>
      <c r="C17" s="114"/>
    </row>
    <row r="18" spans="1:7" s="1" customFormat="1" ht="15">
      <c r="A18" s="65"/>
      <c r="B18" s="114"/>
      <c r="C18" s="114"/>
      <c r="G18" s="87"/>
    </row>
    <row r="19" spans="1:3" s="1" customFormat="1" ht="15">
      <c r="A19" s="65"/>
      <c r="B19" s="116"/>
      <c r="C19" s="114"/>
    </row>
    <row r="20" spans="1:3" s="1" customFormat="1" ht="15">
      <c r="A20" s="118"/>
      <c r="B20" s="112" t="s">
        <v>23</v>
      </c>
      <c r="C20" s="112"/>
    </row>
    <row r="21" spans="1:3" s="1" customFormat="1" ht="15">
      <c r="A21" s="118"/>
      <c r="B21" s="112" t="s">
        <v>206</v>
      </c>
      <c r="C21" s="114"/>
    </row>
    <row r="22" spans="1:3" s="1" customFormat="1" ht="15">
      <c r="A22" s="118"/>
      <c r="B22" s="114"/>
      <c r="C22" s="114"/>
    </row>
    <row r="23" spans="1:3" s="1" customFormat="1" ht="15">
      <c r="A23" s="118"/>
      <c r="B23" s="114"/>
      <c r="C23" s="114"/>
    </row>
    <row r="24" spans="1:3" s="1" customFormat="1" ht="15">
      <c r="A24" s="118"/>
      <c r="B24" s="114"/>
      <c r="C24" s="114"/>
    </row>
    <row r="25" spans="1:3" s="1" customFormat="1" ht="15">
      <c r="A25" s="118"/>
      <c r="B25" s="87"/>
      <c r="C25" s="87"/>
    </row>
    <row r="26" spans="1:3" s="1" customFormat="1" ht="15">
      <c r="A26" s="126" t="s">
        <v>20</v>
      </c>
      <c r="B26" s="127"/>
      <c r="C26" s="127"/>
    </row>
    <row r="27" spans="1:3" s="1" customFormat="1" ht="15">
      <c r="A27" s="65"/>
      <c r="B27" s="87"/>
      <c r="C27" s="87"/>
    </row>
    <row r="28" spans="1:3" s="1" customFormat="1" ht="15">
      <c r="A28" s="65"/>
      <c r="B28" s="87"/>
      <c r="C28" s="87"/>
    </row>
    <row r="29" s="1" customFormat="1" ht="15">
      <c r="A29" s="5"/>
    </row>
    <row r="30" s="1" customFormat="1" ht="15">
      <c r="A30" s="5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pans="1:2" s="1" customFormat="1" ht="15">
      <c r="A52" s="5"/>
      <c r="B52"/>
    </row>
  </sheetData>
  <sheetProtection/>
  <mergeCells count="2">
    <mergeCell ref="A1:B1"/>
    <mergeCell ref="A26:C26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6">
      <selection activeCell="C33" sqref="C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99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10309.619999999999</v>
      </c>
    </row>
    <row r="8" spans="2:5" ht="15">
      <c r="B8" s="14" t="s">
        <v>8</v>
      </c>
      <c r="C8" s="38">
        <f>111.1*3.02*6+111.1*5.08*6</f>
        <v>5399.460000000001</v>
      </c>
      <c r="E8" s="24"/>
    </row>
    <row r="9" spans="2:3" ht="15">
      <c r="B9" s="31" t="s">
        <v>17</v>
      </c>
      <c r="C9" s="47">
        <f>C8</f>
        <v>5399.460000000001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15709.08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7199.28</v>
      </c>
    </row>
    <row r="19" spans="1:3" s="1" customFormat="1" ht="15">
      <c r="A19" s="5"/>
      <c r="B19" s="14" t="s">
        <v>8</v>
      </c>
      <c r="C19" s="10">
        <v>3599.64</v>
      </c>
    </row>
    <row r="20" spans="1:3" s="1" customFormat="1" ht="15">
      <c r="A20" s="5"/>
      <c r="B20" s="14" t="s">
        <v>17</v>
      </c>
      <c r="C20" s="10">
        <f>C19</f>
        <v>3599.64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10798.92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64"/>
      <c r="B31" s="17"/>
      <c r="C31" s="17"/>
    </row>
    <row r="32" spans="1:3" s="1" customFormat="1" ht="15">
      <c r="A32" s="64"/>
      <c r="B32" s="17" t="s">
        <v>197</v>
      </c>
      <c r="C32" s="17">
        <f>C19+C25</f>
        <v>14398.56</v>
      </c>
    </row>
    <row r="33" spans="1:3" s="1" customFormat="1" ht="15">
      <c r="A33" s="64"/>
      <c r="B33" s="17" t="s">
        <v>191</v>
      </c>
      <c r="C33" s="88">
        <f>111.1*5.08*12+C13</f>
        <v>22481.736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81" t="s">
        <v>192</v>
      </c>
      <c r="C35" s="82" t="s">
        <v>207</v>
      </c>
    </row>
    <row r="36" spans="1:3" s="1" customFormat="1" ht="15">
      <c r="A36" s="77"/>
      <c r="B36" s="71" t="s">
        <v>193</v>
      </c>
      <c r="C36" s="77"/>
    </row>
    <row r="37" spans="1:3" s="1" customFormat="1" ht="15">
      <c r="A37" s="27"/>
      <c r="B37" s="76"/>
      <c r="C37" s="27"/>
    </row>
    <row r="38" spans="1:3" s="1" customFormat="1" ht="15">
      <c r="A38" s="27"/>
      <c r="B38" s="76"/>
      <c r="C38" s="27"/>
    </row>
    <row r="39" spans="1:3" s="1" customFormat="1" ht="15">
      <c r="A39" s="33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8">
      <selection activeCell="D39" sqref="D3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100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6149.389999999999</v>
      </c>
    </row>
    <row r="8" spans="2:5" ht="15">
      <c r="B8" s="14" t="s">
        <v>8</v>
      </c>
      <c r="C8" s="38">
        <f>111*2.79*6+111*3.4*6</f>
        <v>4122.539999999999</v>
      </c>
      <c r="E8" s="24"/>
    </row>
    <row r="9" spans="2:3" ht="15">
      <c r="B9" s="31" t="s">
        <v>17</v>
      </c>
      <c r="C9" s="47">
        <f>C8*0.4115</f>
        <v>1696.4252099999994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10271.929999999998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4173.12</v>
      </c>
    </row>
    <row r="19" spans="1:3" s="1" customFormat="1" ht="15">
      <c r="A19" s="5"/>
      <c r="B19" s="14" t="s">
        <v>8</v>
      </c>
      <c r="C19" s="10">
        <v>2086.56</v>
      </c>
    </row>
    <row r="20" spans="1:3" s="1" customFormat="1" ht="15">
      <c r="A20" s="5"/>
      <c r="B20" s="14" t="s">
        <v>17</v>
      </c>
      <c r="C20" s="49">
        <f>C19*0.4115</f>
        <v>858.6194399999999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6259.68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38545.84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0"/>
    </row>
    <row r="32" spans="1:3" s="1" customFormat="1" ht="15">
      <c r="A32" s="64"/>
      <c r="B32" s="17" t="s">
        <v>197</v>
      </c>
      <c r="C32" s="10">
        <f>C19+C25</f>
        <v>8346.24</v>
      </c>
    </row>
    <row r="33" spans="1:3" s="1" customFormat="1" ht="15">
      <c r="A33" s="64"/>
      <c r="B33" s="17" t="s">
        <v>191</v>
      </c>
      <c r="C33" s="10">
        <f>111*3.4*12+C13</f>
        <v>14800.729999999998</v>
      </c>
    </row>
    <row r="34" spans="1:3" s="1" customFormat="1" ht="15">
      <c r="A34" s="64"/>
      <c r="B34" s="17"/>
      <c r="C34" s="10"/>
    </row>
    <row r="35" spans="1:3" s="1" customFormat="1" ht="15">
      <c r="A35" s="72">
        <v>1</v>
      </c>
      <c r="B35" s="81" t="s">
        <v>192</v>
      </c>
      <c r="C35" s="82" t="s">
        <v>250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33"/>
      <c r="B37" s="10"/>
      <c r="C37" s="10"/>
    </row>
    <row r="38" spans="1:3" s="1" customFormat="1" ht="15">
      <c r="A38" s="33"/>
      <c r="B38" s="10"/>
      <c r="C38" s="10"/>
    </row>
    <row r="39" s="1" customFormat="1" ht="15">
      <c r="A39" s="33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">
      <selection activeCell="C36" sqref="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26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7915.970000000001</v>
      </c>
    </row>
    <row r="8" spans="2:5" ht="15">
      <c r="B8" s="14" t="s">
        <v>8</v>
      </c>
      <c r="C8" s="38">
        <f>613.5*0.5*6+613.5*2.93*6</f>
        <v>12625.83</v>
      </c>
      <c r="E8" s="24"/>
    </row>
    <row r="9" spans="2:3" ht="15">
      <c r="B9" s="31" t="s">
        <v>17</v>
      </c>
      <c r="C9" s="47">
        <f>C8*0.9352</f>
        <v>11807.676216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27</v>
      </c>
      <c r="C11" s="3">
        <v>5464.39</v>
      </c>
    </row>
    <row r="12" spans="1:3" s="1" customFormat="1" ht="15">
      <c r="A12" s="3">
        <v>2</v>
      </c>
      <c r="B12" s="6" t="s">
        <v>28</v>
      </c>
      <c r="C12" s="3">
        <v>1400.64</v>
      </c>
    </row>
    <row r="13" spans="1:3" s="1" customFormat="1" ht="15">
      <c r="A13" s="3"/>
      <c r="B13" s="8" t="s">
        <v>1</v>
      </c>
      <c r="C13" s="7">
        <f>SUM(C11:C12)</f>
        <v>6865.030000000001</v>
      </c>
    </row>
    <row r="14" spans="1:3" s="10" customFormat="1" ht="15">
      <c r="A14" s="7"/>
      <c r="B14" s="15" t="s">
        <v>13</v>
      </c>
      <c r="C14" s="29">
        <f>C7+C8-C13</f>
        <v>13676.770000000002</v>
      </c>
    </row>
    <row r="15" spans="1:3" s="10" customFormat="1" ht="30">
      <c r="A15" s="7"/>
      <c r="B15" s="15" t="s">
        <v>179</v>
      </c>
      <c r="C15" s="29">
        <f>C14+C26</f>
        <v>16131.424336000002</v>
      </c>
    </row>
    <row r="16" spans="1:3" s="10" customFormat="1" ht="15">
      <c r="A16" s="27"/>
      <c r="B16" s="28"/>
      <c r="C16" s="27"/>
    </row>
    <row r="17" s="1" customFormat="1" ht="15">
      <c r="A17" s="5"/>
    </row>
    <row r="18" spans="1:2" s="1" customFormat="1" ht="18.75">
      <c r="A18" s="5"/>
      <c r="B18" s="17" t="s">
        <v>5</v>
      </c>
    </row>
    <row r="19" spans="1:2" s="10" customFormat="1" ht="15">
      <c r="A19" s="32"/>
      <c r="B19" s="1"/>
    </row>
    <row r="20" spans="1:3" s="1" customFormat="1" ht="15">
      <c r="A20" s="5"/>
      <c r="B20" s="14" t="s">
        <v>14</v>
      </c>
      <c r="C20" s="10">
        <v>-3514.2200000000003</v>
      </c>
    </row>
    <row r="21" spans="1:3" s="1" customFormat="1" ht="15">
      <c r="A21" s="5"/>
      <c r="B21" s="14" t="s">
        <v>8</v>
      </c>
      <c r="C21" s="10">
        <v>15817.68</v>
      </c>
    </row>
    <row r="22" spans="1:3" s="1" customFormat="1" ht="15">
      <c r="A22" s="5"/>
      <c r="B22" s="53" t="s">
        <v>17</v>
      </c>
      <c r="C22" s="54">
        <f>C21*0.9352</f>
        <v>14792.694336</v>
      </c>
    </row>
    <row r="23" spans="1:3" s="1" customFormat="1" ht="30">
      <c r="A23" s="3" t="s">
        <v>0</v>
      </c>
      <c r="B23" s="3" t="s">
        <v>9</v>
      </c>
      <c r="C23" s="9" t="s">
        <v>10</v>
      </c>
    </row>
    <row r="24" spans="1:3" s="1" customFormat="1" ht="15">
      <c r="A24" s="3">
        <v>1</v>
      </c>
      <c r="B24" s="30" t="s">
        <v>29</v>
      </c>
      <c r="C24" s="3">
        <v>8823.82</v>
      </c>
    </row>
    <row r="25" spans="1:3" s="1" customFormat="1" ht="15">
      <c r="A25" s="3"/>
      <c r="B25" s="8" t="s">
        <v>1</v>
      </c>
      <c r="C25" s="7">
        <f>SUM(C24:C24)</f>
        <v>8823.82</v>
      </c>
    </row>
    <row r="26" spans="1:3" s="1" customFormat="1" ht="15">
      <c r="A26" s="3"/>
      <c r="B26" s="8" t="s">
        <v>13</v>
      </c>
      <c r="C26" s="29">
        <f>C20+C22-C24</f>
        <v>2454.6543359999996</v>
      </c>
    </row>
    <row r="27" spans="1:3" s="1" customFormat="1" ht="15">
      <c r="A27" s="3"/>
      <c r="B27" s="51"/>
      <c r="C27" s="29"/>
    </row>
    <row r="28" s="1" customFormat="1" ht="15">
      <c r="A28" s="5"/>
    </row>
    <row r="29" spans="1:3" s="1" customFormat="1" ht="15">
      <c r="A29" s="5"/>
      <c r="B29" s="10" t="s">
        <v>18</v>
      </c>
      <c r="C29" s="10">
        <v>229809.35</v>
      </c>
    </row>
    <row r="30" spans="1:3" s="1" customFormat="1" ht="15">
      <c r="A30" s="5"/>
      <c r="B30" s="17" t="s">
        <v>185</v>
      </c>
      <c r="C30" s="10">
        <v>165014.34</v>
      </c>
    </row>
    <row r="31" spans="1:3" s="1" customFormat="1" ht="15">
      <c r="A31" s="5"/>
      <c r="B31" s="17" t="s">
        <v>187</v>
      </c>
      <c r="C31" s="10">
        <v>64795.01</v>
      </c>
    </row>
    <row r="32" spans="1:3" s="1" customFormat="1" ht="15">
      <c r="A32" s="5"/>
      <c r="B32" s="10"/>
      <c r="C32" s="10"/>
    </row>
    <row r="33" spans="1:3" s="1" customFormat="1" ht="15">
      <c r="A33" s="5"/>
      <c r="B33" s="34" t="s">
        <v>23</v>
      </c>
      <c r="C33" s="10"/>
    </row>
    <row r="34" spans="1:3" s="1" customFormat="1" ht="15">
      <c r="A34" s="5"/>
      <c r="B34" s="34"/>
      <c r="C34" s="10"/>
    </row>
    <row r="35" spans="1:3" s="1" customFormat="1" ht="15">
      <c r="A35" s="5"/>
      <c r="B35" s="34" t="s">
        <v>191</v>
      </c>
      <c r="C35" s="49">
        <f>613.5*2.93*12+C15</f>
        <v>37702.084336</v>
      </c>
    </row>
    <row r="36" spans="1:3" s="1" customFormat="1" ht="15">
      <c r="A36" s="5"/>
      <c r="B36" s="34"/>
      <c r="C36" s="10"/>
    </row>
    <row r="37" spans="1:3" s="1" customFormat="1" ht="15">
      <c r="A37" s="7">
        <v>1</v>
      </c>
      <c r="B37" s="9" t="s">
        <v>30</v>
      </c>
      <c r="C37" s="9" t="s">
        <v>194</v>
      </c>
    </row>
    <row r="38" spans="1:3" s="1" customFormat="1" ht="15">
      <c r="A38" s="72">
        <v>2</v>
      </c>
      <c r="B38" s="70" t="s">
        <v>192</v>
      </c>
      <c r="C38" s="74"/>
    </row>
    <row r="39" spans="1:3" s="1" customFormat="1" ht="15">
      <c r="A39" s="73"/>
      <c r="B39" s="71" t="s">
        <v>193</v>
      </c>
      <c r="C39" s="75" t="s">
        <v>239</v>
      </c>
    </row>
    <row r="40" spans="1:3" s="1" customFormat="1" ht="15">
      <c r="A40" s="5"/>
      <c r="B40" s="10"/>
      <c r="C40" s="10"/>
    </row>
    <row r="41" spans="1:3" s="1" customFormat="1" ht="15">
      <c r="A41" s="5"/>
      <c r="B41" s="10"/>
      <c r="C41" s="10"/>
    </row>
    <row r="42" spans="1:3" s="1" customFormat="1" ht="15">
      <c r="A42" s="5"/>
      <c r="B42" s="10"/>
      <c r="C42" s="10"/>
    </row>
    <row r="43" spans="1:3" s="1" customFormat="1" ht="15">
      <c r="A43" s="5"/>
      <c r="B43" s="10"/>
      <c r="C43" s="10"/>
    </row>
    <row r="44" spans="1:3" s="1" customFormat="1" ht="15">
      <c r="A44" s="5"/>
      <c r="B44" s="10"/>
      <c r="C44" s="10"/>
    </row>
    <row r="45" spans="1:3" s="1" customFormat="1" ht="15">
      <c r="A45" s="5"/>
      <c r="B45" s="10"/>
      <c r="C45" s="10"/>
    </row>
    <row r="46" s="1" customFormat="1" ht="15">
      <c r="A46" s="5"/>
    </row>
    <row r="47" spans="1:3" s="1" customFormat="1" ht="15">
      <c r="A47" s="121" t="s">
        <v>20</v>
      </c>
      <c r="B47" s="122"/>
      <c r="C47" s="122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="1" customFormat="1" ht="15">
      <c r="A69" s="5"/>
    </row>
    <row r="70" s="1" customFormat="1" ht="15">
      <c r="A70" s="5"/>
    </row>
    <row r="71" s="1" customFormat="1" ht="15">
      <c r="A71" s="5"/>
    </row>
    <row r="72" s="1" customFormat="1" ht="15">
      <c r="A72" s="5"/>
    </row>
    <row r="73" spans="1:2" s="1" customFormat="1" ht="15">
      <c r="A73" s="5"/>
      <c r="B73"/>
    </row>
  </sheetData>
  <sheetProtection/>
  <mergeCells count="2">
    <mergeCell ref="A1:B1"/>
    <mergeCell ref="A47:C47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">
      <selection activeCell="C36" sqref="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101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2428.17</v>
      </c>
    </row>
    <row r="8" spans="2:5" ht="15">
      <c r="B8" s="14" t="s">
        <v>8</v>
      </c>
      <c r="C8" s="38">
        <f>47.1*1.56*6+47.1*4.06*6</f>
        <v>1588.212</v>
      </c>
      <c r="E8" s="24"/>
    </row>
    <row r="9" spans="2:3" ht="15">
      <c r="B9" s="31" t="s">
        <v>17</v>
      </c>
      <c r="C9" s="47">
        <f>C8*0.5764</f>
        <v>915.4453968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4016.382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890.19</v>
      </c>
    </row>
    <row r="19" spans="1:3" s="1" customFormat="1" ht="15">
      <c r="A19" s="5"/>
      <c r="B19" s="14" t="s">
        <v>8</v>
      </c>
      <c r="C19" s="10">
        <v>1526.04</v>
      </c>
    </row>
    <row r="20" spans="1:3" s="1" customFormat="1" ht="15">
      <c r="A20" s="5"/>
      <c r="B20" s="14" t="s">
        <v>17</v>
      </c>
      <c r="C20" s="49">
        <f>C19*0.5764</f>
        <v>879.609456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2416.23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4134.58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0"/>
    </row>
    <row r="32" spans="1:3" s="1" customFormat="1" ht="15">
      <c r="A32" s="64"/>
      <c r="B32" s="17" t="s">
        <v>197</v>
      </c>
      <c r="C32" s="10">
        <f>C19+C25</f>
        <v>3942.27</v>
      </c>
    </row>
    <row r="33" spans="1:3" s="1" customFormat="1" ht="15">
      <c r="A33" s="64"/>
      <c r="B33" s="17" t="s">
        <v>191</v>
      </c>
      <c r="C33" s="49">
        <f>47.1*4.06*12+C13</f>
        <v>6311.094</v>
      </c>
    </row>
    <row r="34" spans="1:3" s="1" customFormat="1" ht="15">
      <c r="A34" s="64"/>
      <c r="B34" s="17"/>
      <c r="C34" s="10"/>
    </row>
    <row r="35" spans="1:3" s="1" customFormat="1" ht="15">
      <c r="A35" s="72">
        <v>1</v>
      </c>
      <c r="B35" s="70" t="s">
        <v>192</v>
      </c>
      <c r="C35" s="82" t="s">
        <v>251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3">
      <selection activeCell="F37" sqref="F37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102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-7590.91</v>
      </c>
    </row>
    <row r="8" spans="2:5" ht="15">
      <c r="B8" s="14" t="s">
        <v>8</v>
      </c>
      <c r="C8" s="38">
        <f>162.6*1.69*6+162.6*2.26*6</f>
        <v>3853.62</v>
      </c>
      <c r="E8" s="24"/>
    </row>
    <row r="9" spans="2:3" ht="15">
      <c r="B9" s="31" t="s">
        <v>17</v>
      </c>
      <c r="C9" s="47">
        <f>C8*1.0319</f>
        <v>3976.550478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-3737.29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1139.2799999999997</v>
      </c>
    </row>
    <row r="19" spans="1:3" s="1" customFormat="1" ht="15">
      <c r="A19" s="5"/>
      <c r="B19" s="14" t="s">
        <v>8</v>
      </c>
      <c r="C19" s="10">
        <v>5268.24</v>
      </c>
    </row>
    <row r="20" spans="1:3" s="1" customFormat="1" ht="15">
      <c r="A20" s="5"/>
      <c r="B20" s="14" t="s">
        <v>17</v>
      </c>
      <c r="C20" s="49">
        <f>C19*1.0319</f>
        <v>5436.296856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82</v>
      </c>
      <c r="C22" s="3">
        <v>3955.3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3955.3</v>
      </c>
    </row>
    <row r="25" spans="1:3" s="1" customFormat="1" ht="15">
      <c r="A25" s="3"/>
      <c r="B25" s="8" t="s">
        <v>13</v>
      </c>
      <c r="C25" s="7">
        <f>C18+C19-C24</f>
        <v>2452.2199999999993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33"/>
      <c r="B32" s="10" t="s">
        <v>197</v>
      </c>
      <c r="C32" s="10">
        <f>C19+C25</f>
        <v>7720.459999999999</v>
      </c>
    </row>
    <row r="33" spans="1:3" s="1" customFormat="1" ht="15">
      <c r="A33" s="64"/>
      <c r="B33" s="10" t="s">
        <v>191</v>
      </c>
      <c r="C33" s="10">
        <f>162.6*2.26*12+C13</f>
        <v>672.4219999999996</v>
      </c>
    </row>
    <row r="34" spans="1:3" s="1" customFormat="1" ht="15">
      <c r="A34" s="64"/>
      <c r="B34" s="10"/>
      <c r="C34" s="10"/>
    </row>
    <row r="35" spans="1:3" s="1" customFormat="1" ht="15">
      <c r="A35" s="72">
        <v>1</v>
      </c>
      <c r="B35" s="70" t="s">
        <v>192</v>
      </c>
      <c r="C35" s="82" t="s">
        <v>208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pans="1:3" s="1" customFormat="1" ht="15">
      <c r="A44" s="5">
        <v>1</v>
      </c>
      <c r="B44" s="1" t="s">
        <v>103</v>
      </c>
      <c r="C44" s="1" t="s">
        <v>104</v>
      </c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3">
      <selection activeCell="C33" sqref="C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105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3202.12</v>
      </c>
    </row>
    <row r="8" spans="2:5" ht="15">
      <c r="B8" s="14" t="s">
        <v>8</v>
      </c>
      <c r="C8" s="38">
        <f>163.5*1.69*6+163.5*2.25*6</f>
        <v>3865.14</v>
      </c>
      <c r="E8" s="24"/>
    </row>
    <row r="9" spans="2:3" ht="15">
      <c r="B9" s="31" t="s">
        <v>17</v>
      </c>
      <c r="C9" s="47">
        <f>C8*0.9956</f>
        <v>3848.133384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7067.26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-1914.420000000001</v>
      </c>
    </row>
    <row r="19" spans="1:3" s="1" customFormat="1" ht="15">
      <c r="A19" s="5"/>
      <c r="B19" s="14" t="s">
        <v>8</v>
      </c>
      <c r="C19" s="10">
        <v>5297.4</v>
      </c>
    </row>
    <row r="20" spans="1:3" s="1" customFormat="1" ht="15">
      <c r="A20" s="5"/>
      <c r="B20" s="14" t="s">
        <v>17</v>
      </c>
      <c r="C20" s="49">
        <f>C19*0.9956</f>
        <v>5274.09144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82</v>
      </c>
      <c r="C22" s="3">
        <v>3983.05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3983.05</v>
      </c>
    </row>
    <row r="25" spans="1:3" s="1" customFormat="1" ht="15">
      <c r="A25" s="3"/>
      <c r="B25" s="8" t="s">
        <v>13</v>
      </c>
      <c r="C25" s="7">
        <f>C18+C19-C24</f>
        <v>-600.0700000000015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4697.329999999998</v>
      </c>
    </row>
    <row r="33" spans="1:3" s="1" customFormat="1" ht="15">
      <c r="A33" s="64"/>
      <c r="B33" s="17" t="s">
        <v>191</v>
      </c>
      <c r="C33" s="17">
        <f>163.5*2.25*12+C13</f>
        <v>11481.76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70" t="s">
        <v>192</v>
      </c>
      <c r="C35" s="82" t="s">
        <v>209</v>
      </c>
    </row>
    <row r="36" spans="1:3" s="1" customFormat="1" ht="15">
      <c r="A36" s="77"/>
      <c r="B36" s="71" t="s">
        <v>193</v>
      </c>
      <c r="C36" s="77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3">
      <selection activeCell="F34" sqref="F34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106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10132.74</v>
      </c>
    </row>
    <row r="8" spans="2:5" ht="15">
      <c r="B8" s="14" t="s">
        <v>8</v>
      </c>
      <c r="C8" s="38">
        <f>87.6*2.97*6+87.6*3.6*6</f>
        <v>3453.192</v>
      </c>
      <c r="E8" s="24"/>
    </row>
    <row r="9" spans="2:3" ht="15">
      <c r="B9" s="31" t="s">
        <v>17</v>
      </c>
      <c r="C9" s="47">
        <f>C8*0.9481</f>
        <v>3273.9713352000003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13585.932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2220.4799999999996</v>
      </c>
    </row>
    <row r="19" spans="1:3" s="1" customFormat="1" ht="15">
      <c r="A19" s="5"/>
      <c r="B19" s="14" t="s">
        <v>8</v>
      </c>
      <c r="C19" s="10">
        <v>2838.24</v>
      </c>
    </row>
    <row r="20" spans="1:3" s="1" customFormat="1" ht="15">
      <c r="A20" s="5"/>
      <c r="B20" s="14" t="s">
        <v>17</v>
      </c>
      <c r="C20" s="49">
        <f>C19*0.9481</f>
        <v>2690.935344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5058.719999999999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7896.959999999999</v>
      </c>
    </row>
    <row r="33" spans="1:3" s="1" customFormat="1" ht="15">
      <c r="A33" s="64"/>
      <c r="B33" s="17" t="s">
        <v>191</v>
      </c>
      <c r="C33" s="88">
        <f>87.6*3.6*12+C13</f>
        <v>17370.252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70" t="s">
        <v>192</v>
      </c>
      <c r="C35" s="72" t="s">
        <v>210</v>
      </c>
    </row>
    <row r="36" spans="1:3" s="1" customFormat="1" ht="15">
      <c r="A36" s="77"/>
      <c r="B36" s="71" t="s">
        <v>193</v>
      </c>
      <c r="C36" s="77"/>
    </row>
    <row r="37" spans="1:3" s="1" customFormat="1" ht="15">
      <c r="A37" s="33"/>
      <c r="B37" s="10"/>
      <c r="C37" s="10"/>
    </row>
    <row r="38" s="1" customFormat="1" ht="15">
      <c r="A38" s="33"/>
    </row>
    <row r="39" spans="1:3" s="1" customFormat="1" ht="15">
      <c r="A39" s="121" t="s">
        <v>20</v>
      </c>
      <c r="B39" s="122"/>
      <c r="C39" s="122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pans="1:2" s="1" customFormat="1" ht="15">
      <c r="A65" s="5"/>
      <c r="B65"/>
    </row>
  </sheetData>
  <sheetProtection/>
  <mergeCells count="2">
    <mergeCell ref="A1:B1"/>
    <mergeCell ref="A39:C3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107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193.42000000000007</v>
      </c>
    </row>
    <row r="8" spans="2:5" ht="15">
      <c r="B8" s="14" t="s">
        <v>8</v>
      </c>
      <c r="C8" s="38">
        <f>968.7*0.42*6+968.7*0.1*6</f>
        <v>3022.344</v>
      </c>
      <c r="E8" s="24"/>
    </row>
    <row r="9" spans="2:3" ht="15">
      <c r="B9" s="31" t="s">
        <v>17</v>
      </c>
      <c r="C9" s="47">
        <f>C8*0.9924</f>
        <v>2999.3741855999997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109</v>
      </c>
      <c r="C11" s="3">
        <v>350</v>
      </c>
    </row>
    <row r="12" spans="1:3" s="1" customFormat="1" ht="15">
      <c r="A12" s="3">
        <v>2</v>
      </c>
      <c r="B12" s="6" t="s">
        <v>110</v>
      </c>
      <c r="C12" s="3">
        <v>9382.95</v>
      </c>
    </row>
    <row r="13" spans="1:3" s="1" customFormat="1" ht="15">
      <c r="A13" s="3">
        <v>3</v>
      </c>
      <c r="B13" s="6" t="s">
        <v>111</v>
      </c>
      <c r="C13" s="3">
        <v>87.32</v>
      </c>
    </row>
    <row r="14" spans="1:3" s="1" customFormat="1" ht="15">
      <c r="A14" s="3">
        <v>4</v>
      </c>
      <c r="B14" s="6" t="s">
        <v>174</v>
      </c>
      <c r="C14" s="3">
        <v>3167.97</v>
      </c>
    </row>
    <row r="15" spans="1:3" s="1" customFormat="1" ht="15">
      <c r="A15" s="3"/>
      <c r="B15" s="8" t="s">
        <v>1</v>
      </c>
      <c r="C15" s="7">
        <f>SUM(C11:C14)</f>
        <v>12988.24</v>
      </c>
    </row>
    <row r="16" spans="1:3" s="10" customFormat="1" ht="15">
      <c r="A16" s="7"/>
      <c r="B16" s="15" t="s">
        <v>13</v>
      </c>
      <c r="C16" s="29">
        <f>C7+C8-C15</f>
        <v>-9772.475999999999</v>
      </c>
    </row>
    <row r="17" spans="1:3" s="10" customFormat="1" ht="30">
      <c r="A17" s="51"/>
      <c r="B17" s="50" t="s">
        <v>179</v>
      </c>
      <c r="C17" s="29">
        <f>C16+C28</f>
        <v>-7974.307072</v>
      </c>
    </row>
    <row r="18" s="1" customFormat="1" ht="15">
      <c r="A18" s="5"/>
    </row>
    <row r="19" spans="1:2" s="1" customFormat="1" ht="18.75">
      <c r="A19" s="5"/>
      <c r="B19" s="17" t="s">
        <v>5</v>
      </c>
    </row>
    <row r="20" spans="1:2" s="10" customFormat="1" ht="15">
      <c r="A20" s="33"/>
      <c r="B20" s="1"/>
    </row>
    <row r="21" spans="1:3" s="1" customFormat="1" ht="15">
      <c r="A21" s="5"/>
      <c r="B21" s="14" t="s">
        <v>14</v>
      </c>
      <c r="C21" s="10">
        <v>-4110.629999999999</v>
      </c>
    </row>
    <row r="22" spans="1:3" s="1" customFormat="1" ht="15">
      <c r="A22" s="5"/>
      <c r="B22" s="14" t="s">
        <v>8</v>
      </c>
      <c r="C22" s="10">
        <v>29331.72</v>
      </c>
    </row>
    <row r="23" spans="1:3" s="1" customFormat="1" ht="15">
      <c r="A23" s="5"/>
      <c r="B23" s="53" t="s">
        <v>17</v>
      </c>
      <c r="C23" s="54">
        <f>C22*0.9924</f>
        <v>29108.798928</v>
      </c>
    </row>
    <row r="24" spans="1:3" s="1" customFormat="1" ht="30">
      <c r="A24" s="3" t="s">
        <v>0</v>
      </c>
      <c r="B24" s="3" t="s">
        <v>9</v>
      </c>
      <c r="C24" s="9" t="s">
        <v>10</v>
      </c>
    </row>
    <row r="25" spans="1:3" s="1" customFormat="1" ht="15">
      <c r="A25" s="3">
        <v>1</v>
      </c>
      <c r="B25" s="37" t="s">
        <v>108</v>
      </c>
      <c r="C25" s="3">
        <v>10000</v>
      </c>
    </row>
    <row r="26" spans="1:3" s="1" customFormat="1" ht="15">
      <c r="A26" s="3">
        <v>2</v>
      </c>
      <c r="B26" s="30" t="s">
        <v>235</v>
      </c>
      <c r="C26" s="3">
        <v>13200</v>
      </c>
    </row>
    <row r="27" spans="1:3" s="1" customFormat="1" ht="15">
      <c r="A27" s="3"/>
      <c r="B27" s="8" t="s">
        <v>1</v>
      </c>
      <c r="C27" s="7">
        <f>SUM(C25:C26)</f>
        <v>23200</v>
      </c>
    </row>
    <row r="28" spans="1:3" s="1" customFormat="1" ht="15">
      <c r="A28" s="3"/>
      <c r="B28" s="8" t="s">
        <v>13</v>
      </c>
      <c r="C28" s="29">
        <f>C21+C23-C27</f>
        <v>1798.1689279999991</v>
      </c>
    </row>
    <row r="29" s="1" customFormat="1" ht="15">
      <c r="A29" s="5"/>
    </row>
    <row r="30" spans="1:3" s="1" customFormat="1" ht="15">
      <c r="A30" s="5"/>
      <c r="B30" s="10" t="s">
        <v>18</v>
      </c>
      <c r="C30" s="10">
        <v>22017.12</v>
      </c>
    </row>
    <row r="31" spans="1:3" s="1" customFormat="1" ht="15">
      <c r="A31" s="5"/>
      <c r="B31" s="17" t="s">
        <v>185</v>
      </c>
      <c r="C31" s="10">
        <v>15042.22</v>
      </c>
    </row>
    <row r="32" spans="1:3" s="1" customFormat="1" ht="15">
      <c r="A32" s="5"/>
      <c r="B32" s="17" t="s">
        <v>187</v>
      </c>
      <c r="C32" s="10">
        <v>6974.9</v>
      </c>
    </row>
    <row r="33" spans="1:3" s="1" customFormat="1" ht="15">
      <c r="A33" s="5"/>
      <c r="B33" s="34"/>
      <c r="C33" s="10"/>
    </row>
    <row r="34" spans="1:3" s="1" customFormat="1" ht="15">
      <c r="A34" s="33"/>
      <c r="B34" s="17"/>
      <c r="C34" s="17"/>
    </row>
    <row r="35" spans="1:3" s="1" customFormat="1" ht="15">
      <c r="A35" s="33"/>
      <c r="B35" s="17"/>
      <c r="C35" s="17"/>
    </row>
    <row r="36" spans="1:3" s="1" customFormat="1" ht="15">
      <c r="A36" s="64"/>
      <c r="B36" s="17" t="s">
        <v>191</v>
      </c>
      <c r="C36" s="88">
        <f>968.7*0.1*12+C17</f>
        <v>-6811.867071999999</v>
      </c>
    </row>
    <row r="37" spans="1:3" s="1" customFormat="1" ht="15">
      <c r="A37" s="64"/>
      <c r="B37" s="17"/>
      <c r="C37" s="17"/>
    </row>
    <row r="38" spans="1:3" s="1" customFormat="1" ht="15">
      <c r="A38" s="64"/>
      <c r="B38" s="17"/>
      <c r="C38" s="17"/>
    </row>
    <row r="39" spans="1:3" s="1" customFormat="1" ht="15">
      <c r="A39" s="33"/>
      <c r="B39" s="10"/>
      <c r="C39" s="10"/>
    </row>
    <row r="40" spans="1:3" s="1" customFormat="1" ht="15">
      <c r="A40" s="33"/>
      <c r="B40" s="10"/>
      <c r="C40" s="10"/>
    </row>
    <row r="41" spans="1:3" s="1" customFormat="1" ht="15">
      <c r="A41" s="64"/>
      <c r="B41" s="10"/>
      <c r="C41" s="10"/>
    </row>
    <row r="42" spans="1:3" s="1" customFormat="1" ht="15">
      <c r="A42" s="64"/>
      <c r="B42" s="10"/>
      <c r="C42" s="10"/>
    </row>
    <row r="43" spans="1:3" s="1" customFormat="1" ht="15">
      <c r="A43" s="33"/>
      <c r="B43" s="10"/>
      <c r="C43" s="10"/>
    </row>
    <row r="44" s="1" customFormat="1" ht="15">
      <c r="A44" s="33"/>
    </row>
    <row r="45" spans="1:3" s="1" customFormat="1" ht="15">
      <c r="A45" s="121" t="s">
        <v>20</v>
      </c>
      <c r="B45" s="122"/>
      <c r="C45" s="122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="1" customFormat="1" ht="15">
      <c r="A69" s="5"/>
    </row>
    <row r="70" s="1" customFormat="1" ht="15">
      <c r="A70" s="5"/>
    </row>
    <row r="71" spans="1:2" s="1" customFormat="1" ht="15">
      <c r="A71" s="5"/>
      <c r="B71"/>
    </row>
  </sheetData>
  <sheetProtection/>
  <mergeCells count="2">
    <mergeCell ref="A1:B1"/>
    <mergeCell ref="A45:C4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2">
      <selection activeCell="G39" sqref="G3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-6668.789999999999</v>
      </c>
    </row>
    <row r="8" spans="2:5" ht="15">
      <c r="B8" s="14" t="s">
        <v>8</v>
      </c>
      <c r="C8" s="38">
        <f>105*0.9*6+105*2.96*6</f>
        <v>2431.8</v>
      </c>
      <c r="E8" s="24"/>
    </row>
    <row r="9" spans="2:3" ht="15">
      <c r="B9" s="31" t="s">
        <v>17</v>
      </c>
      <c r="C9" s="47">
        <f>C8</f>
        <v>2431.8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-4236.989999999999</v>
      </c>
    </row>
    <row r="14" spans="1:3" s="10" customFormat="1" ht="15">
      <c r="A14" s="27"/>
      <c r="B14" s="28"/>
      <c r="C14" s="27"/>
    </row>
    <row r="15" spans="1:3" s="10" customFormat="1" ht="15">
      <c r="A15" s="27"/>
      <c r="B15" s="42" t="s">
        <v>168</v>
      </c>
      <c r="C15" s="27"/>
    </row>
    <row r="16" spans="1:3" s="10" customFormat="1" ht="15">
      <c r="A16" s="27"/>
      <c r="B16" s="17" t="s">
        <v>167</v>
      </c>
      <c r="C16" s="27"/>
    </row>
    <row r="17" spans="1:2" s="1" customFormat="1" ht="15">
      <c r="A17" s="5"/>
      <c r="B17" s="28"/>
    </row>
    <row r="18" spans="1:2" s="1" customFormat="1" ht="18.75">
      <c r="A18" s="5"/>
      <c r="B18" s="17" t="s">
        <v>5</v>
      </c>
    </row>
    <row r="19" spans="1:2" s="10" customFormat="1" ht="15">
      <c r="A19" s="33"/>
      <c r="B19" s="1"/>
    </row>
    <row r="20" spans="1:3" s="1" customFormat="1" ht="15">
      <c r="A20" s="5"/>
      <c r="B20" s="14" t="s">
        <v>14</v>
      </c>
      <c r="C20" s="10">
        <v>3784.32</v>
      </c>
    </row>
    <row r="21" spans="1:3" s="1" customFormat="1" ht="15">
      <c r="A21" s="5"/>
      <c r="B21" s="14" t="s">
        <v>8</v>
      </c>
      <c r="C21" s="10">
        <v>1892.16</v>
      </c>
    </row>
    <row r="22" spans="1:3" s="1" customFormat="1" ht="15">
      <c r="A22" s="5"/>
      <c r="B22" s="14" t="s">
        <v>17</v>
      </c>
      <c r="C22" s="10">
        <f>C21</f>
        <v>1892.16</v>
      </c>
    </row>
    <row r="23" spans="1:3" s="1" customFormat="1" ht="30">
      <c r="A23" s="3" t="s">
        <v>0</v>
      </c>
      <c r="B23" s="3" t="s">
        <v>9</v>
      </c>
      <c r="C23" s="9" t="s">
        <v>10</v>
      </c>
    </row>
    <row r="24" spans="1:3" s="1" customFormat="1" ht="15">
      <c r="A24" s="3"/>
      <c r="B24" s="30"/>
      <c r="C24" s="3">
        <v>0</v>
      </c>
    </row>
    <row r="25" spans="1:3" s="1" customFormat="1" ht="15">
      <c r="A25" s="3"/>
      <c r="B25" s="30"/>
      <c r="C25" s="3">
        <v>0</v>
      </c>
    </row>
    <row r="26" spans="1:3" s="1" customFormat="1" ht="15">
      <c r="A26" s="3"/>
      <c r="B26" s="8" t="s">
        <v>1</v>
      </c>
      <c r="C26" s="7">
        <f>SUM(C24:C25)</f>
        <v>0</v>
      </c>
    </row>
    <row r="27" spans="1:3" s="1" customFormat="1" ht="15">
      <c r="A27" s="3"/>
      <c r="B27" s="8" t="s">
        <v>13</v>
      </c>
      <c r="C27" s="7">
        <f>C20+C21-C26</f>
        <v>5676.4800000000005</v>
      </c>
    </row>
    <row r="28" s="1" customFormat="1" ht="15">
      <c r="A28" s="5"/>
    </row>
    <row r="29" spans="1:3" s="1" customFormat="1" ht="15">
      <c r="A29" s="5"/>
      <c r="B29" s="10" t="s">
        <v>18</v>
      </c>
      <c r="C29" s="10">
        <v>0</v>
      </c>
    </row>
    <row r="30" spans="1:3" s="1" customFormat="1" ht="15">
      <c r="A30" s="5"/>
      <c r="B30" s="17" t="s">
        <v>185</v>
      </c>
      <c r="C30" s="10"/>
    </row>
    <row r="31" spans="1:3" s="1" customFormat="1" ht="15">
      <c r="A31" s="5"/>
      <c r="B31" s="34"/>
      <c r="C31" s="10"/>
    </row>
    <row r="32" spans="1:3" s="1" customFormat="1" ht="15">
      <c r="A32" s="33"/>
      <c r="B32" s="17" t="s">
        <v>23</v>
      </c>
      <c r="C32" s="17"/>
    </row>
    <row r="33" spans="1:3" s="1" customFormat="1" ht="15">
      <c r="A33" s="33"/>
      <c r="B33" s="17"/>
      <c r="C33" s="17"/>
    </row>
    <row r="34" spans="1:3" s="1" customFormat="1" ht="15">
      <c r="A34" s="64"/>
      <c r="B34" s="17" t="s">
        <v>197</v>
      </c>
      <c r="C34" s="17">
        <f>C21+C27</f>
        <v>7568.64</v>
      </c>
    </row>
    <row r="35" spans="1:3" s="1" customFormat="1" ht="15">
      <c r="A35" s="64"/>
      <c r="B35" s="17" t="s">
        <v>191</v>
      </c>
      <c r="C35" s="17">
        <f>105*2.96*12+C13</f>
        <v>-507.3899999999985</v>
      </c>
    </row>
    <row r="36" spans="1:3" s="1" customFormat="1" ht="15">
      <c r="A36" s="64"/>
      <c r="B36" s="17"/>
      <c r="C36" s="17"/>
    </row>
    <row r="37" spans="1:3" s="1" customFormat="1" ht="15">
      <c r="A37" s="72">
        <v>1</v>
      </c>
      <c r="B37" s="70" t="s">
        <v>192</v>
      </c>
      <c r="C37" s="83" t="s">
        <v>212</v>
      </c>
    </row>
    <row r="38" spans="1:3" s="1" customFormat="1" ht="15">
      <c r="A38" s="77"/>
      <c r="B38" s="71" t="s">
        <v>193</v>
      </c>
      <c r="C38" s="75"/>
    </row>
    <row r="39" spans="1:3" s="1" customFormat="1" ht="15">
      <c r="A39" s="27"/>
      <c r="B39" s="76"/>
      <c r="C39" s="76"/>
    </row>
    <row r="40" spans="1:3" s="1" customFormat="1" ht="15">
      <c r="A40" s="27"/>
      <c r="B40" s="76"/>
      <c r="C40" s="76"/>
    </row>
    <row r="41" spans="1:3" s="1" customFormat="1" ht="15">
      <c r="A41" s="33"/>
      <c r="B41" s="10"/>
      <c r="C41" s="10"/>
    </row>
    <row r="42" s="1" customFormat="1" ht="15">
      <c r="A42" s="33"/>
    </row>
    <row r="43" spans="1:3" s="1" customFormat="1" ht="15">
      <c r="A43" s="121" t="s">
        <v>20</v>
      </c>
      <c r="B43" s="122"/>
      <c r="C43" s="122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pans="1:2" s="1" customFormat="1" ht="15">
      <c r="A69" s="5"/>
      <c r="B69"/>
    </row>
  </sheetData>
  <sheetProtection/>
  <mergeCells count="2">
    <mergeCell ref="A1:B1"/>
    <mergeCell ref="A43:C4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6">
      <selection activeCell="F40" sqref="F40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113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1346.3119999999994</v>
      </c>
    </row>
    <row r="8" spans="2:5" ht="15">
      <c r="B8" s="14" t="s">
        <v>8</v>
      </c>
      <c r="C8" s="38">
        <f>87.6*2.77*6+87.6*3.27*6</f>
        <v>3174.624</v>
      </c>
      <c r="E8" s="24"/>
    </row>
    <row r="9" spans="2:3" ht="15">
      <c r="B9" s="31" t="s">
        <v>17</v>
      </c>
      <c r="C9" s="47">
        <f>C8</f>
        <v>3174.624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4520.936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-981.2600000000002</v>
      </c>
    </row>
    <row r="19" spans="1:3" s="1" customFormat="1" ht="15">
      <c r="A19" s="5"/>
      <c r="B19" s="14" t="s">
        <v>8</v>
      </c>
      <c r="C19" s="10">
        <v>1558.44</v>
      </c>
    </row>
    <row r="20" spans="1:3" s="1" customFormat="1" ht="15">
      <c r="A20" s="5"/>
      <c r="B20" s="14" t="s">
        <v>17</v>
      </c>
      <c r="C20" s="10">
        <f>C19</f>
        <v>1558.44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577.1799999999998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2135.62</v>
      </c>
    </row>
    <row r="33" spans="1:3" s="1" customFormat="1" ht="15">
      <c r="A33" s="64"/>
      <c r="B33" s="17" t="s">
        <v>191</v>
      </c>
      <c r="C33" s="17">
        <f>87.6*3.27*12+C13</f>
        <v>7958.36</v>
      </c>
    </row>
    <row r="34" spans="1:3" s="1" customFormat="1" ht="15">
      <c r="A34" s="64"/>
      <c r="B34" s="17"/>
      <c r="C34" s="17"/>
    </row>
    <row r="35" spans="1:3" s="1" customFormat="1" ht="15">
      <c r="A35" s="64">
        <v>1</v>
      </c>
      <c r="B35" s="17" t="s">
        <v>192</v>
      </c>
      <c r="C35" s="17" t="s">
        <v>211</v>
      </c>
    </row>
    <row r="36" spans="1:3" s="1" customFormat="1" ht="15">
      <c r="A36" s="33"/>
      <c r="B36" s="10" t="s">
        <v>193</v>
      </c>
      <c r="C36" s="10"/>
    </row>
    <row r="37" spans="1:3" s="1" customFormat="1" ht="15">
      <c r="A37" s="33"/>
      <c r="B37" s="10"/>
      <c r="C37" s="10"/>
    </row>
    <row r="38" spans="1:3" s="1" customFormat="1" ht="15">
      <c r="A38" s="33"/>
      <c r="B38" s="10"/>
      <c r="C38" s="10"/>
    </row>
    <row r="39" s="1" customFormat="1" ht="15">
      <c r="A39" s="33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0">
      <selection activeCell="B36" sqref="B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3295.79</v>
      </c>
    </row>
    <row r="8" spans="2:5" ht="15">
      <c r="B8" s="14" t="s">
        <v>8</v>
      </c>
      <c r="C8" s="38">
        <f>57.7*1.02*6+57.7*2.37*6</f>
        <v>1173.6180000000002</v>
      </c>
      <c r="E8" s="24"/>
    </row>
    <row r="9" spans="2:3" ht="15">
      <c r="B9" s="31" t="s">
        <v>17</v>
      </c>
      <c r="C9" s="47">
        <f>C8*0.969</f>
        <v>1137.235842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4469.408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3" s="1" customFormat="1" ht="15">
      <c r="A16" s="5"/>
      <c r="B16" s="10" t="s">
        <v>18</v>
      </c>
      <c r="C16" s="1">
        <v>0</v>
      </c>
    </row>
    <row r="17" spans="1:3" s="1" customFormat="1" ht="15">
      <c r="A17" s="5"/>
      <c r="B17" s="17" t="s">
        <v>185</v>
      </c>
      <c r="C17" s="10"/>
    </row>
    <row r="18" spans="1:3" s="1" customFormat="1" ht="15">
      <c r="A18" s="5"/>
      <c r="B18" s="10"/>
      <c r="C18" s="10"/>
    </row>
    <row r="19" spans="1:3" s="1" customFormat="1" ht="15">
      <c r="A19" s="5"/>
      <c r="B19" s="34"/>
      <c r="C19" s="10"/>
    </row>
    <row r="20" spans="1:3" s="1" customFormat="1" ht="15">
      <c r="A20" s="33"/>
      <c r="B20" s="17" t="s">
        <v>23</v>
      </c>
      <c r="C20" s="17"/>
    </row>
    <row r="21" spans="1:3" s="1" customFormat="1" ht="15">
      <c r="A21" s="33"/>
      <c r="B21" s="17"/>
      <c r="C21" s="17"/>
    </row>
    <row r="22" spans="1:3" s="1" customFormat="1" ht="15">
      <c r="A22" s="64"/>
      <c r="B22" s="17" t="s">
        <v>191</v>
      </c>
      <c r="C22" s="89">
        <f>57.7*2.37*12+C13</f>
        <v>6110.396000000001</v>
      </c>
    </row>
    <row r="23" spans="1:3" s="1" customFormat="1" ht="15">
      <c r="A23" s="64"/>
      <c r="B23" s="17"/>
      <c r="C23" s="17"/>
    </row>
    <row r="24" spans="1:3" s="1" customFormat="1" ht="15">
      <c r="A24" s="72">
        <v>1</v>
      </c>
      <c r="B24" s="70" t="s">
        <v>192</v>
      </c>
      <c r="C24" s="83" t="s">
        <v>204</v>
      </c>
    </row>
    <row r="25" spans="1:3" s="1" customFormat="1" ht="15">
      <c r="A25" s="77"/>
      <c r="B25" s="71" t="s">
        <v>193</v>
      </c>
      <c r="C25" s="75"/>
    </row>
    <row r="26" spans="1:3" s="1" customFormat="1" ht="15">
      <c r="A26" s="64"/>
      <c r="B26" s="10"/>
      <c r="C26" s="10"/>
    </row>
    <row r="27" spans="1:3" s="1" customFormat="1" ht="15">
      <c r="A27" s="64"/>
      <c r="B27" s="10"/>
      <c r="C27" s="10"/>
    </row>
    <row r="28" spans="1:3" s="1" customFormat="1" ht="15">
      <c r="A28" s="33"/>
      <c r="B28" s="10"/>
      <c r="C28" s="10"/>
    </row>
    <row r="29" s="1" customFormat="1" ht="15">
      <c r="A29" s="33"/>
    </row>
    <row r="30" spans="1:3" s="1" customFormat="1" ht="15">
      <c r="A30" s="121" t="s">
        <v>20</v>
      </c>
      <c r="B30" s="122"/>
      <c r="C30" s="122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pans="1:2" s="1" customFormat="1" ht="15">
      <c r="A56" s="5"/>
      <c r="B56"/>
    </row>
  </sheetData>
  <sheetProtection/>
  <mergeCells count="2">
    <mergeCell ref="A1:B1"/>
    <mergeCell ref="A30:C3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24">
        <v>1397.7599999999998</v>
      </c>
    </row>
    <row r="8" spans="2:5" ht="15">
      <c r="B8" s="14" t="s">
        <v>8</v>
      </c>
      <c r="C8" s="24">
        <f>96*1.25*6+96*3.45*6</f>
        <v>2707.2000000000003</v>
      </c>
      <c r="E8" s="24"/>
    </row>
    <row r="9" spans="2:3" ht="15">
      <c r="B9" s="31" t="s">
        <v>17</v>
      </c>
      <c r="C9" s="25">
        <f>C8*1.2604</f>
        <v>3412.15488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4104.96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">
        <v>3136.32</v>
      </c>
    </row>
    <row r="19" spans="1:3" s="1" customFormat="1" ht="15">
      <c r="A19" s="5"/>
      <c r="B19" s="14" t="s">
        <v>8</v>
      </c>
      <c r="C19" s="1">
        <v>1568.16</v>
      </c>
    </row>
    <row r="20" spans="1:3" s="1" customFormat="1" ht="15">
      <c r="A20" s="5"/>
      <c r="B20" s="14" t="s">
        <v>17</v>
      </c>
      <c r="C20" s="1">
        <f>C19*1.2604</f>
        <v>1976.5088640000001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4704.4800000000005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38292.29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6272.64</v>
      </c>
    </row>
    <row r="33" spans="1:3" s="1" customFormat="1" ht="15">
      <c r="A33" s="64"/>
      <c r="B33" s="17" t="s">
        <v>191</v>
      </c>
      <c r="C33" s="17">
        <f>96*3.45*12+C13</f>
        <v>8079.360000000001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70" t="s">
        <v>192</v>
      </c>
      <c r="C35" s="83" t="s">
        <v>246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2223.95</v>
      </c>
    </row>
    <row r="8" spans="2:5" ht="15">
      <c r="B8" s="14" t="s">
        <v>8</v>
      </c>
      <c r="C8" s="38">
        <f>105.4*0.56*6+105.4*0.98*6</f>
        <v>973.896</v>
      </c>
      <c r="E8" s="24"/>
    </row>
    <row r="9" spans="2:3" ht="15">
      <c r="B9" s="31" t="s">
        <v>17</v>
      </c>
      <c r="C9" s="47">
        <f>C8*0.562</f>
        <v>547.329552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3197.8459999999995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3402</v>
      </c>
    </row>
    <row r="19" spans="1:3" s="1" customFormat="1" ht="15">
      <c r="A19" s="5"/>
      <c r="B19" s="14" t="s">
        <v>8</v>
      </c>
      <c r="C19" s="10">
        <v>1701</v>
      </c>
    </row>
    <row r="20" spans="1:3" s="1" customFormat="1" ht="15">
      <c r="A20" s="5"/>
      <c r="B20" s="14" t="s">
        <v>17</v>
      </c>
      <c r="C20" s="52">
        <f>C19*0.562</f>
        <v>955.9620000000001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5103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15280.36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6804</v>
      </c>
    </row>
    <row r="33" spans="1:3" s="1" customFormat="1" ht="15">
      <c r="A33" s="64"/>
      <c r="B33" s="17" t="s">
        <v>191</v>
      </c>
      <c r="C33" s="17">
        <f>105.4*0.98*12+C13</f>
        <v>4437.349999999999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81" t="s">
        <v>192</v>
      </c>
      <c r="C35" s="83" t="s">
        <v>252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33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64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20" sqref="B20:C2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31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13">
        <v>-4813.054</v>
      </c>
    </row>
    <row r="8" spans="2:5" ht="15">
      <c r="B8" s="14" t="s">
        <v>8</v>
      </c>
      <c r="C8" s="38">
        <f>52.2*3.74*6+52.2*4.32*6</f>
        <v>2524.392</v>
      </c>
      <c r="E8" s="24"/>
    </row>
    <row r="9" spans="2:3" ht="15">
      <c r="B9" s="31" t="s">
        <v>17</v>
      </c>
      <c r="C9" s="47">
        <f>C8*0.9805</f>
        <v>2475.1663559999997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/>
    </row>
    <row r="12" spans="1:3" s="1" customFormat="1" ht="15">
      <c r="A12" s="3"/>
      <c r="B12" s="6"/>
      <c r="C12" s="3">
        <v>0</v>
      </c>
    </row>
    <row r="13" spans="1:3" s="1" customFormat="1" ht="15">
      <c r="A13" s="3"/>
      <c r="B13" s="8" t="s">
        <v>1</v>
      </c>
      <c r="C13" s="7">
        <f>SUM(C11:C12)</f>
        <v>0</v>
      </c>
    </row>
    <row r="14" spans="1:3" s="10" customFormat="1" ht="15">
      <c r="A14" s="7"/>
      <c r="B14" s="15" t="s">
        <v>13</v>
      </c>
      <c r="C14" s="29">
        <f>C7+C8-C13</f>
        <v>-2288.6620000000003</v>
      </c>
    </row>
    <row r="15" spans="1:3" s="10" customFormat="1" ht="15">
      <c r="A15" s="27"/>
      <c r="B15" s="28"/>
      <c r="C15" s="27"/>
    </row>
    <row r="16" s="1" customFormat="1" ht="15">
      <c r="A16" s="5"/>
    </row>
    <row r="17" spans="1:3" s="1" customFormat="1" ht="15">
      <c r="A17" s="5"/>
      <c r="B17" s="10" t="s">
        <v>18</v>
      </c>
      <c r="C17" s="1">
        <v>0</v>
      </c>
    </row>
    <row r="18" spans="1:3" s="1" customFormat="1" ht="15">
      <c r="A18" s="5"/>
      <c r="B18" s="17" t="s">
        <v>183</v>
      </c>
      <c r="C18" s="10"/>
    </row>
    <row r="19" spans="1:3" s="1" customFormat="1" ht="15">
      <c r="A19" s="5"/>
      <c r="B19" s="10"/>
      <c r="C19" s="10"/>
    </row>
    <row r="20" spans="1:3" s="1" customFormat="1" ht="15">
      <c r="A20" s="5"/>
      <c r="B20" s="34"/>
      <c r="C20" s="10"/>
    </row>
    <row r="21" spans="1:3" s="1" customFormat="1" ht="15">
      <c r="A21" s="5"/>
      <c r="B21" s="34"/>
      <c r="C21" s="10"/>
    </row>
    <row r="22" spans="1:3" s="1" customFormat="1" ht="15">
      <c r="A22" s="5"/>
      <c r="B22" s="34"/>
      <c r="C22" s="10"/>
    </row>
    <row r="23" spans="1:3" s="1" customFormat="1" ht="15">
      <c r="A23" s="5"/>
      <c r="B23" s="34"/>
      <c r="C23" s="10"/>
    </row>
    <row r="24" spans="1:3" s="1" customFormat="1" ht="15">
      <c r="A24" s="5"/>
      <c r="B24" s="34"/>
      <c r="C24" s="10"/>
    </row>
    <row r="25" spans="1:3" s="1" customFormat="1" ht="15">
      <c r="A25" s="5"/>
      <c r="B25" s="10"/>
      <c r="C25" s="10"/>
    </row>
    <row r="26" spans="1:3" s="1" customFormat="1" ht="15">
      <c r="A26" s="5"/>
      <c r="B26" s="10"/>
      <c r="C26" s="10"/>
    </row>
    <row r="27" s="1" customFormat="1" ht="15">
      <c r="A27" s="5"/>
    </row>
    <row r="28" spans="1:3" s="1" customFormat="1" ht="15">
      <c r="A28" s="121" t="s">
        <v>20</v>
      </c>
      <c r="B28" s="122"/>
      <c r="C28" s="122"/>
    </row>
    <row r="29" s="1" customFormat="1" ht="15">
      <c r="A29" s="5"/>
    </row>
    <row r="30" s="1" customFormat="1" ht="15">
      <c r="A30" s="5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pans="1:2" s="1" customFormat="1" ht="15">
      <c r="A54" s="5"/>
      <c r="B54"/>
    </row>
  </sheetData>
  <sheetProtection/>
  <mergeCells count="2">
    <mergeCell ref="A1:B1"/>
    <mergeCell ref="A28:C2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3856.2200000000003</v>
      </c>
    </row>
    <row r="8" spans="2:5" ht="15">
      <c r="B8" s="14" t="s">
        <v>8</v>
      </c>
      <c r="C8" s="38">
        <f>127.1*1.38*6+127.1*1.85*6</f>
        <v>2463.198</v>
      </c>
      <c r="E8" s="24"/>
    </row>
    <row r="9" spans="2:3" ht="15">
      <c r="B9" s="31" t="s">
        <v>17</v>
      </c>
      <c r="C9" s="47">
        <f>C8*1.1838</f>
        <v>2915.9337923999997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6319.418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-27710.120000000003</v>
      </c>
    </row>
    <row r="19" spans="1:3" s="1" customFormat="1" ht="15">
      <c r="A19" s="5"/>
      <c r="B19" s="14" t="s">
        <v>8</v>
      </c>
      <c r="C19" s="10">
        <v>1639.44</v>
      </c>
    </row>
    <row r="20" spans="1:3" s="1" customFormat="1" ht="15">
      <c r="A20" s="5"/>
      <c r="B20" s="14" t="s">
        <v>17</v>
      </c>
      <c r="C20" s="49">
        <f>C19*1.1838</f>
        <v>1940.769072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-26070.680000000004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/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-24431.240000000005</v>
      </c>
    </row>
    <row r="33" spans="1:3" s="1" customFormat="1" ht="15">
      <c r="A33" s="64"/>
      <c r="B33" s="17" t="s">
        <v>191</v>
      </c>
      <c r="C33" s="17">
        <f>127.1*1.85*12+C13</f>
        <v>9141.038</v>
      </c>
    </row>
    <row r="34" spans="1:3" s="1" customFormat="1" ht="15">
      <c r="A34" s="64"/>
      <c r="B34" s="17"/>
      <c r="C34" s="17"/>
    </row>
    <row r="35" spans="1:3" s="1" customFormat="1" ht="15">
      <c r="A35" s="33"/>
      <c r="B35" s="10"/>
      <c r="C35" s="10"/>
    </row>
    <row r="36" spans="1:3" s="1" customFormat="1" ht="15">
      <c r="A36" s="33"/>
      <c r="B36" s="10"/>
      <c r="C36" s="10"/>
    </row>
    <row r="37" spans="1:3" s="1" customFormat="1" ht="15">
      <c r="A37" s="33"/>
      <c r="B37" s="10"/>
      <c r="C37" s="10"/>
    </row>
    <row r="38" s="1" customFormat="1" ht="15">
      <c r="A38" s="33"/>
    </row>
    <row r="39" spans="1:3" s="1" customFormat="1" ht="15">
      <c r="A39" s="121" t="s">
        <v>20</v>
      </c>
      <c r="B39" s="122"/>
      <c r="C39" s="122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pans="1:2" s="1" customFormat="1" ht="15">
      <c r="A65" s="5"/>
      <c r="B65"/>
    </row>
  </sheetData>
  <sheetProtection/>
  <mergeCells count="2">
    <mergeCell ref="A1:B1"/>
    <mergeCell ref="A39:C3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0">
      <selection activeCell="A32" sqref="A32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1873.4279999999999</v>
      </c>
    </row>
    <row r="8" spans="2:5" ht="15">
      <c r="B8" s="14" t="s">
        <v>8</v>
      </c>
      <c r="C8" s="38">
        <f>54.9*1.15*6+54.9*2.62*6</f>
        <v>1241.838</v>
      </c>
      <c r="E8" s="24"/>
    </row>
    <row r="9" spans="2:3" ht="15">
      <c r="B9" s="31" t="s">
        <v>17</v>
      </c>
      <c r="C9" s="47">
        <f>C8*0.9175</f>
        <v>1139.3863649999998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3115.2659999999996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0">
        <v>3557.52</v>
      </c>
    </row>
    <row r="19" spans="1:3" s="1" customFormat="1" ht="15">
      <c r="A19" s="5"/>
      <c r="B19" s="14" t="s">
        <v>8</v>
      </c>
      <c r="C19" s="10">
        <v>1778.76</v>
      </c>
    </row>
    <row r="20" spans="1:3" s="1" customFormat="1" ht="15">
      <c r="A20" s="5"/>
      <c r="B20" s="14" t="s">
        <v>17</v>
      </c>
      <c r="C20" s="10">
        <f>C19*0.9175</f>
        <v>1632.0122999999999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5336.28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7115.04</v>
      </c>
    </row>
    <row r="33" spans="1:3" s="1" customFormat="1" ht="15">
      <c r="A33" s="64"/>
      <c r="B33" s="17" t="s">
        <v>191</v>
      </c>
      <c r="C33" s="88">
        <f>54.9*2.62*12+C13</f>
        <v>4841.322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81" t="s">
        <v>192</v>
      </c>
      <c r="C35" s="83" t="s">
        <v>218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33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64"/>
      <c r="B39" s="10"/>
      <c r="C39" s="10"/>
    </row>
    <row r="40" spans="1:3" s="1" customFormat="1" ht="15">
      <c r="A40" s="33"/>
      <c r="B40" s="10"/>
      <c r="C40" s="10"/>
    </row>
    <row r="41" s="1" customFormat="1" ht="15">
      <c r="A41" s="33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">
      <selection activeCell="A32" sqref="A32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117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24">
        <v>4513.88</v>
      </c>
    </row>
    <row r="8" spans="2:5" ht="15">
      <c r="B8" s="14" t="s">
        <v>8</v>
      </c>
      <c r="C8" s="24">
        <f>100.5*0.68*6+100.5*2.76*6</f>
        <v>2074.32</v>
      </c>
      <c r="E8" s="24"/>
    </row>
    <row r="9" spans="2:3" ht="15">
      <c r="B9" s="31" t="s">
        <v>17</v>
      </c>
      <c r="C9" s="25">
        <f>C8</f>
        <v>2074.32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6588.200000000001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3"/>
      <c r="B17" s="1"/>
    </row>
    <row r="18" spans="1:3" s="1" customFormat="1" ht="15">
      <c r="A18" s="5"/>
      <c r="B18" s="14" t="s">
        <v>14</v>
      </c>
      <c r="C18" s="1">
        <v>-6770.17</v>
      </c>
    </row>
    <row r="19" spans="1:3" s="1" customFormat="1" ht="15">
      <c r="A19" s="5"/>
      <c r="B19" s="14" t="s">
        <v>8</v>
      </c>
      <c r="C19" s="1">
        <v>0</v>
      </c>
    </row>
    <row r="20" spans="1:3" s="1" customFormat="1" ht="15">
      <c r="A20" s="5"/>
      <c r="B20" s="14" t="s">
        <v>17</v>
      </c>
      <c r="C20" s="1">
        <v>0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-6770.17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3"/>
      <c r="B30" s="17" t="s">
        <v>23</v>
      </c>
      <c r="C30" s="17"/>
    </row>
    <row r="31" spans="1:3" s="1" customFormat="1" ht="15">
      <c r="A31" s="33"/>
      <c r="B31" s="17"/>
      <c r="C31" s="17"/>
    </row>
    <row r="32" spans="1:3" s="1" customFormat="1" ht="15">
      <c r="A32" s="64"/>
      <c r="B32" s="17" t="s">
        <v>197</v>
      </c>
      <c r="C32" s="17">
        <f>C19+C25</f>
        <v>-6770.17</v>
      </c>
    </row>
    <row r="33" spans="1:3" s="1" customFormat="1" ht="15">
      <c r="A33" s="64"/>
      <c r="B33" s="17" t="s">
        <v>191</v>
      </c>
      <c r="C33" s="17">
        <f>100.5*2.76*12+C13</f>
        <v>9916.76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81" t="s">
        <v>192</v>
      </c>
      <c r="C35" s="83" t="s">
        <v>219</v>
      </c>
    </row>
    <row r="36" spans="1:3" s="1" customFormat="1" ht="15">
      <c r="A36" s="77"/>
      <c r="B36" s="85" t="s">
        <v>193</v>
      </c>
      <c r="C36" s="90"/>
    </row>
    <row r="37" spans="1:3" s="1" customFormat="1" ht="15">
      <c r="A37" s="33"/>
      <c r="B37" s="10"/>
      <c r="C37" s="10"/>
    </row>
    <row r="38" spans="1:3" s="1" customFormat="1" ht="15">
      <c r="A38" s="33"/>
      <c r="B38" s="10"/>
      <c r="C38" s="10"/>
    </row>
    <row r="39" spans="1:3" s="1" customFormat="1" ht="15">
      <c r="A39" s="33"/>
      <c r="B39" s="10"/>
      <c r="C39" s="10"/>
    </row>
    <row r="40" s="1" customFormat="1" ht="15">
      <c r="A40" s="33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120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-3414.67</v>
      </c>
    </row>
    <row r="8" spans="2:5" ht="15">
      <c r="B8" s="14" t="s">
        <v>8</v>
      </c>
      <c r="C8" s="38">
        <f>279.7*1.14*6+279.7*1.83*6</f>
        <v>4984.253999999999</v>
      </c>
      <c r="E8" s="24"/>
    </row>
    <row r="9" spans="2:3" ht="15">
      <c r="B9" s="31" t="s">
        <v>17</v>
      </c>
      <c r="C9" s="47">
        <f>C8*0.8942</f>
        <v>4456.919926799999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121</v>
      </c>
      <c r="C11" s="3">
        <v>299.11</v>
      </c>
    </row>
    <row r="12" spans="1:3" s="1" customFormat="1" ht="15">
      <c r="A12" s="3"/>
      <c r="B12" s="8" t="s">
        <v>1</v>
      </c>
      <c r="C12" s="7">
        <f>SUM(C11:C11)</f>
        <v>299.11</v>
      </c>
    </row>
    <row r="13" spans="1:3" s="10" customFormat="1" ht="15">
      <c r="A13" s="7"/>
      <c r="B13" s="15" t="s">
        <v>13</v>
      </c>
      <c r="C13" s="29">
        <f>C7+C8-C12</f>
        <v>1270.4739999999988</v>
      </c>
    </row>
    <row r="14" spans="1:3" s="10" customFormat="1" ht="30">
      <c r="A14" s="51"/>
      <c r="B14" s="50" t="s">
        <v>179</v>
      </c>
      <c r="C14" s="29">
        <f>C13+C25</f>
        <v>22669.262656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14787.36</v>
      </c>
    </row>
    <row r="19" spans="1:3" s="1" customFormat="1" ht="15">
      <c r="A19" s="5"/>
      <c r="B19" s="14" t="s">
        <v>8</v>
      </c>
      <c r="C19" s="10">
        <v>7393.68</v>
      </c>
    </row>
    <row r="20" spans="1:3" s="1" customFormat="1" ht="15">
      <c r="A20" s="5"/>
      <c r="B20" s="53" t="s">
        <v>17</v>
      </c>
      <c r="C20" s="54">
        <f>C19*0.8942</f>
        <v>6611.428656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29">
        <f>C18+C20</f>
        <v>21398.788656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22307.83</v>
      </c>
    </row>
    <row r="28" spans="1:3" s="1" customFormat="1" ht="15">
      <c r="A28" s="5"/>
      <c r="B28" s="17" t="s">
        <v>185</v>
      </c>
      <c r="C28" s="10">
        <v>16067.78</v>
      </c>
    </row>
    <row r="29" spans="1:3" s="1" customFormat="1" ht="15">
      <c r="A29" s="5"/>
      <c r="B29" s="17" t="s">
        <v>188</v>
      </c>
      <c r="C29" s="10">
        <v>6240.05</v>
      </c>
    </row>
    <row r="30" spans="1:3" s="1" customFormat="1" ht="15">
      <c r="A30" s="5"/>
      <c r="B30" s="34"/>
      <c r="C30" s="10"/>
    </row>
    <row r="31" spans="1:3" s="1" customFormat="1" ht="15">
      <c r="A31" s="35"/>
      <c r="B31" s="17" t="s">
        <v>23</v>
      </c>
      <c r="C31" s="17"/>
    </row>
    <row r="32" spans="1:3" s="1" customFormat="1" ht="15">
      <c r="A32" s="35"/>
      <c r="B32" s="17"/>
      <c r="C32" s="17"/>
    </row>
    <row r="33" spans="1:3" s="1" customFormat="1" ht="15">
      <c r="A33" s="64"/>
      <c r="B33" s="17" t="s">
        <v>191</v>
      </c>
      <c r="C33" s="88">
        <f>279.7*1.83*12+C14</f>
        <v>28811.474656</v>
      </c>
    </row>
    <row r="34" spans="1:3" s="1" customFormat="1" ht="15">
      <c r="A34" s="64"/>
      <c r="B34" s="17"/>
      <c r="C34" s="17"/>
    </row>
    <row r="35" spans="1:3" s="1" customFormat="1" ht="15">
      <c r="A35" s="72">
        <v>1</v>
      </c>
      <c r="B35" s="91" t="s">
        <v>192</v>
      </c>
      <c r="C35" s="83" t="s">
        <v>220</v>
      </c>
    </row>
    <row r="36" spans="1:3" s="1" customFormat="1" ht="15">
      <c r="A36" s="77"/>
      <c r="B36" s="92" t="s">
        <v>193</v>
      </c>
      <c r="C36" s="75"/>
    </row>
    <row r="37" spans="1:3" s="1" customFormat="1" ht="15">
      <c r="A37" s="64"/>
      <c r="B37" s="10"/>
      <c r="C37" s="10"/>
    </row>
    <row r="38" spans="1:3" s="1" customFormat="1" ht="15">
      <c r="A38" s="64"/>
      <c r="B38" s="10"/>
      <c r="C38" s="10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122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5679.3399999999965</v>
      </c>
    </row>
    <row r="8" spans="2:5" ht="15">
      <c r="B8" s="14" t="s">
        <v>8</v>
      </c>
      <c r="C8" s="38">
        <f>466.9*1.18*6+466.9*1.85*6</f>
        <v>8488.241999999998</v>
      </c>
      <c r="E8" s="24"/>
    </row>
    <row r="9" spans="2:3" ht="15">
      <c r="B9" s="31" t="s">
        <v>17</v>
      </c>
      <c r="C9" s="47">
        <f>C8*1.0158</f>
        <v>8622.356223599998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>
        <v>0</v>
      </c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14167.581999999995</v>
      </c>
    </row>
    <row r="14" spans="1:3" s="10" customFormat="1" ht="30">
      <c r="A14" s="7"/>
      <c r="B14" s="15" t="s">
        <v>179</v>
      </c>
      <c r="C14" s="29">
        <f>C13+C25</f>
        <v>36746.864032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8934</v>
      </c>
    </row>
    <row r="19" spans="1:3" s="1" customFormat="1" ht="15">
      <c r="A19" s="5"/>
      <c r="B19" s="14" t="s">
        <v>8</v>
      </c>
      <c r="C19" s="10">
        <v>13433.04</v>
      </c>
    </row>
    <row r="20" spans="1:3" s="1" customFormat="1" ht="15">
      <c r="A20" s="5"/>
      <c r="B20" s="53" t="s">
        <v>17</v>
      </c>
      <c r="C20" s="54">
        <f>C19*1.0158</f>
        <v>13645.282032000001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29">
        <f>C18+C20</f>
        <v>22579.282032000003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42232.43</v>
      </c>
    </row>
    <row r="28" spans="1:3" s="1" customFormat="1" ht="15">
      <c r="A28" s="5"/>
      <c r="B28" s="17" t="s">
        <v>185</v>
      </c>
      <c r="C28" s="10">
        <v>19864.21</v>
      </c>
    </row>
    <row r="29" spans="1:3" s="1" customFormat="1" ht="15">
      <c r="A29" s="5"/>
      <c r="B29" s="17" t="s">
        <v>189</v>
      </c>
      <c r="C29" s="10">
        <v>22368.22</v>
      </c>
    </row>
    <row r="30" spans="1:3" s="1" customFormat="1" ht="15">
      <c r="A30" s="5"/>
      <c r="B30" s="34"/>
      <c r="C30" s="10"/>
    </row>
    <row r="31" spans="1:3" s="1" customFormat="1" ht="15">
      <c r="A31" s="35"/>
      <c r="B31" s="17" t="s">
        <v>23</v>
      </c>
      <c r="C31" s="17"/>
    </row>
    <row r="32" spans="1:3" s="1" customFormat="1" ht="15">
      <c r="A32" s="35"/>
      <c r="B32" s="17"/>
      <c r="C32" s="17"/>
    </row>
    <row r="33" spans="1:3" s="1" customFormat="1" ht="15">
      <c r="A33" s="35"/>
      <c r="B33" s="10" t="s">
        <v>191</v>
      </c>
      <c r="C33" s="49">
        <f>466.9*1.85*12+C14</f>
        <v>47112.044032</v>
      </c>
    </row>
    <row r="34" spans="1:3" s="1" customFormat="1" ht="15">
      <c r="A34" s="64"/>
      <c r="B34" s="10"/>
      <c r="C34" s="10"/>
    </row>
    <row r="35" spans="1:3" s="1" customFormat="1" ht="15">
      <c r="A35" s="7" t="s">
        <v>123</v>
      </c>
      <c r="B35" s="9" t="s">
        <v>124</v>
      </c>
      <c r="C35" s="50" t="s">
        <v>216</v>
      </c>
    </row>
    <row r="36" spans="1:3" s="1" customFormat="1" ht="15">
      <c r="A36" s="72" t="s">
        <v>221</v>
      </c>
      <c r="B36" s="70" t="s">
        <v>192</v>
      </c>
      <c r="C36" s="83" t="s">
        <v>253</v>
      </c>
    </row>
    <row r="37" spans="1:3" s="1" customFormat="1" ht="15">
      <c r="A37" s="77"/>
      <c r="B37" s="71" t="s">
        <v>193</v>
      </c>
      <c r="C37" s="75"/>
    </row>
    <row r="38" spans="1:3" s="1" customFormat="1" ht="15">
      <c r="A38" s="35"/>
      <c r="B38" s="10"/>
      <c r="C38" s="10"/>
    </row>
    <row r="39" spans="1:3" s="1" customFormat="1" ht="15">
      <c r="A39" s="64"/>
      <c r="B39" s="10"/>
      <c r="C39" s="10"/>
    </row>
    <row r="40" spans="1:3" s="1" customFormat="1" ht="15">
      <c r="A40" s="64"/>
      <c r="B40" s="10"/>
      <c r="C40" s="10"/>
    </row>
    <row r="41" spans="1:3" s="1" customFormat="1" ht="15">
      <c r="A41" s="35"/>
      <c r="B41" s="10"/>
      <c r="C41" s="10"/>
    </row>
    <row r="42" s="1" customFormat="1" ht="15">
      <c r="A42" s="35"/>
    </row>
    <row r="43" spans="1:3" s="1" customFormat="1" ht="15">
      <c r="A43" s="121" t="s">
        <v>20</v>
      </c>
      <c r="B43" s="122"/>
      <c r="C43" s="122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pans="1:2" s="1" customFormat="1" ht="15">
      <c r="A69" s="5"/>
      <c r="B69"/>
    </row>
  </sheetData>
  <sheetProtection/>
  <mergeCells count="2">
    <mergeCell ref="A1:B1"/>
    <mergeCell ref="A43:C4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3">
      <selection activeCell="G25" sqref="G2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125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24">
        <v>2829.55</v>
      </c>
    </row>
    <row r="8" spans="2:5" ht="15">
      <c r="B8" s="14" t="s">
        <v>8</v>
      </c>
      <c r="C8" s="24">
        <f>84.8*1.39*6+84.8*3.45*6</f>
        <v>2462.592</v>
      </c>
      <c r="E8" s="24"/>
    </row>
    <row r="9" spans="2:3" ht="15">
      <c r="B9" s="31" t="s">
        <v>17</v>
      </c>
      <c r="C9" s="25">
        <f>C8*0.8955</f>
        <v>2205.251136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5292.142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3" s="1" customFormat="1" ht="15">
      <c r="A16" s="5"/>
      <c r="B16" s="10" t="s">
        <v>18</v>
      </c>
      <c r="C16" s="10">
        <v>4241.32</v>
      </c>
    </row>
    <row r="17" spans="1:3" s="1" customFormat="1" ht="15">
      <c r="A17" s="5"/>
      <c r="B17" s="17" t="s">
        <v>185</v>
      </c>
      <c r="C17" s="10"/>
    </row>
    <row r="18" spans="1:3" s="1" customFormat="1" ht="15">
      <c r="A18" s="5"/>
      <c r="B18" s="10"/>
      <c r="C18" s="10"/>
    </row>
    <row r="19" spans="1:3" s="1" customFormat="1" ht="15">
      <c r="A19" s="5"/>
      <c r="B19" s="34"/>
      <c r="C19" s="10"/>
    </row>
    <row r="20" spans="1:3" s="1" customFormat="1" ht="15">
      <c r="A20" s="35"/>
      <c r="B20" s="17" t="s">
        <v>23</v>
      </c>
      <c r="C20" s="17"/>
    </row>
    <row r="21" spans="1:3" s="1" customFormat="1" ht="15">
      <c r="A21" s="35"/>
      <c r="B21" s="17"/>
      <c r="C21" s="17"/>
    </row>
    <row r="22" spans="1:3" s="1" customFormat="1" ht="15">
      <c r="A22" s="67"/>
      <c r="B22" s="17" t="s">
        <v>191</v>
      </c>
      <c r="C22" s="88">
        <f>84.8*3.45*12+C13</f>
        <v>8802.862000000001</v>
      </c>
    </row>
    <row r="23" spans="1:3" s="1" customFormat="1" ht="15">
      <c r="A23" s="67"/>
      <c r="B23" s="17"/>
      <c r="C23" s="17"/>
    </row>
    <row r="24" spans="1:3" s="1" customFormat="1" ht="15">
      <c r="A24" s="72">
        <v>1</v>
      </c>
      <c r="B24" s="81" t="s">
        <v>192</v>
      </c>
      <c r="C24" s="83" t="s">
        <v>254</v>
      </c>
    </row>
    <row r="25" spans="1:3" s="1" customFormat="1" ht="15">
      <c r="A25" s="77"/>
      <c r="B25" s="71" t="s">
        <v>193</v>
      </c>
      <c r="C25" s="75"/>
    </row>
    <row r="26" spans="1:3" s="1" customFormat="1" ht="15">
      <c r="A26" s="35"/>
      <c r="B26" s="10"/>
      <c r="C26" s="10"/>
    </row>
    <row r="27" spans="1:3" s="1" customFormat="1" ht="15">
      <c r="A27" s="67"/>
      <c r="B27" s="10"/>
      <c r="C27" s="10"/>
    </row>
    <row r="28" spans="1:3" s="1" customFormat="1" ht="15">
      <c r="A28" s="67"/>
      <c r="B28" s="10"/>
      <c r="C28" s="10"/>
    </row>
    <row r="29" spans="1:3" s="1" customFormat="1" ht="15">
      <c r="A29" s="35"/>
      <c r="B29" s="10"/>
      <c r="C29" s="10"/>
    </row>
    <row r="30" s="1" customFormat="1" ht="15">
      <c r="A30" s="35"/>
    </row>
    <row r="31" spans="1:3" s="1" customFormat="1" ht="15">
      <c r="A31" s="121" t="s">
        <v>20</v>
      </c>
      <c r="B31" s="122"/>
      <c r="C31" s="122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pans="1:2" s="1" customFormat="1" ht="15">
      <c r="A57" s="5"/>
      <c r="B57"/>
    </row>
  </sheetData>
  <sheetProtection/>
  <mergeCells count="2">
    <mergeCell ref="A1:B1"/>
    <mergeCell ref="A31:C3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7">
      <selection activeCell="A32" sqref="A32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126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8660.79</v>
      </c>
    </row>
    <row r="8" spans="2:5" ht="15">
      <c r="B8" s="14" t="s">
        <v>8</v>
      </c>
      <c r="C8" s="38">
        <f>137.6*0.98*6+137.6*1.5*6</f>
        <v>2047.4879999999998</v>
      </c>
      <c r="E8" s="24"/>
    </row>
    <row r="9" spans="2:3" ht="15">
      <c r="B9" s="31" t="s">
        <v>17</v>
      </c>
      <c r="C9" s="47">
        <f>C8</f>
        <v>2047.4879999999998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 t="s">
        <v>127</v>
      </c>
      <c r="C11" s="3">
        <v>11112.06</v>
      </c>
    </row>
    <row r="12" spans="1:3" s="1" customFormat="1" ht="15">
      <c r="A12" s="3"/>
      <c r="B12" s="8" t="s">
        <v>1</v>
      </c>
      <c r="C12" s="7">
        <f>SUM(C11:C11)</f>
        <v>11112.06</v>
      </c>
    </row>
    <row r="13" spans="1:3" s="10" customFormat="1" ht="15">
      <c r="A13" s="7"/>
      <c r="B13" s="15" t="s">
        <v>13</v>
      </c>
      <c r="C13" s="29">
        <f>C7+C8-C12</f>
        <v>-403.78199999999924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6661.44</v>
      </c>
    </row>
    <row r="19" spans="1:3" s="1" customFormat="1" ht="15">
      <c r="A19" s="5"/>
      <c r="B19" s="14" t="s">
        <v>8</v>
      </c>
      <c r="C19" s="10">
        <v>3330.72</v>
      </c>
    </row>
    <row r="20" spans="1:3" s="1" customFormat="1" ht="15">
      <c r="A20" s="5"/>
      <c r="B20" s="14" t="s">
        <v>17</v>
      </c>
      <c r="C20" s="10">
        <f>C19</f>
        <v>3330.72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 t="s">
        <v>127</v>
      </c>
      <c r="C22" s="3">
        <v>9449.44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9449.44</v>
      </c>
    </row>
    <row r="25" spans="1:3" s="1" customFormat="1" ht="15">
      <c r="A25" s="3"/>
      <c r="B25" s="8" t="s">
        <v>13</v>
      </c>
      <c r="C25" s="7">
        <f>C18+C19-C24</f>
        <v>542.7199999999993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3873.439999999999</v>
      </c>
    </row>
    <row r="33" spans="1:3" s="1" customFormat="1" ht="15">
      <c r="A33" s="67"/>
      <c r="B33" s="17" t="s">
        <v>191</v>
      </c>
      <c r="C33" s="88">
        <f>137.6*1.5*12+C13</f>
        <v>2073.0180000000005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81" t="s">
        <v>192</v>
      </c>
      <c r="C35" s="83" t="s">
        <v>222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35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67"/>
      <c r="B39" s="10"/>
      <c r="C39" s="10"/>
    </row>
    <row r="40" spans="1:3" s="1" customFormat="1" ht="15">
      <c r="A40" s="35"/>
      <c r="B40" s="10"/>
      <c r="C40" s="10"/>
    </row>
    <row r="41" s="1" customFormat="1" ht="15">
      <c r="A41" s="35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6">
      <selection activeCell="E40" sqref="E40:E41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128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3407.3900000000003</v>
      </c>
    </row>
    <row r="8" spans="2:5" ht="15">
      <c r="B8" s="14" t="s">
        <v>8</v>
      </c>
      <c r="C8" s="38">
        <f>114.1*0.43*6+114.1*0.93*6</f>
        <v>931.056</v>
      </c>
      <c r="E8" s="24"/>
    </row>
    <row r="9" spans="2:3" ht="15">
      <c r="B9" s="31" t="s">
        <v>17</v>
      </c>
      <c r="C9" s="47">
        <f>C8*0.8977</f>
        <v>835.8089712000001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132</v>
      </c>
      <c r="C11" s="3">
        <v>1684.33</v>
      </c>
    </row>
    <row r="12" spans="1:3" s="1" customFormat="1" ht="15">
      <c r="A12" s="3">
        <v>2</v>
      </c>
      <c r="B12" s="6" t="s">
        <v>133</v>
      </c>
      <c r="C12" s="3">
        <v>915.93</v>
      </c>
    </row>
    <row r="13" spans="1:3" s="1" customFormat="1" ht="15">
      <c r="A13" s="3"/>
      <c r="B13" s="8" t="s">
        <v>1</v>
      </c>
      <c r="C13" s="7">
        <f>SUM(C11:C12)</f>
        <v>2600.2599999999998</v>
      </c>
    </row>
    <row r="14" spans="1:3" s="10" customFormat="1" ht="15">
      <c r="A14" s="7"/>
      <c r="B14" s="15" t="s">
        <v>13</v>
      </c>
      <c r="C14" s="29">
        <f>C7+C8-C13</f>
        <v>1738.1860000000001</v>
      </c>
    </row>
    <row r="15" spans="1:3" s="10" customFormat="1" ht="15">
      <c r="A15" s="27"/>
      <c r="B15" s="28"/>
      <c r="C15" s="27"/>
    </row>
    <row r="16" s="1" customFormat="1" ht="15">
      <c r="A16" s="5"/>
    </row>
    <row r="17" spans="1:2" s="1" customFormat="1" ht="18.75">
      <c r="A17" s="5"/>
      <c r="B17" s="17" t="s">
        <v>5</v>
      </c>
    </row>
    <row r="18" spans="1:2" s="10" customFormat="1" ht="15">
      <c r="A18" s="35"/>
      <c r="B18" s="1"/>
    </row>
    <row r="19" spans="1:3" s="1" customFormat="1" ht="15">
      <c r="A19" s="5"/>
      <c r="B19" s="14" t="s">
        <v>14</v>
      </c>
      <c r="C19" s="10">
        <v>3479.76</v>
      </c>
    </row>
    <row r="20" spans="1:3" s="1" customFormat="1" ht="15">
      <c r="A20" s="5"/>
      <c r="B20" s="14" t="s">
        <v>8</v>
      </c>
      <c r="C20" s="10">
        <v>1739.88</v>
      </c>
    </row>
    <row r="21" spans="1:3" s="1" customFormat="1" ht="15">
      <c r="A21" s="5"/>
      <c r="B21" s="14" t="s">
        <v>17</v>
      </c>
      <c r="C21" s="49">
        <f>C20*0.8977</f>
        <v>1561.890276</v>
      </c>
    </row>
    <row r="22" spans="1:3" s="1" customFormat="1" ht="30">
      <c r="A22" s="3" t="s">
        <v>0</v>
      </c>
      <c r="B22" s="3" t="s">
        <v>9</v>
      </c>
      <c r="C22" s="9" t="s">
        <v>10</v>
      </c>
    </row>
    <row r="23" spans="1:3" s="1" customFormat="1" ht="15">
      <c r="A23" s="3"/>
      <c r="B23" s="30"/>
      <c r="C23" s="3"/>
    </row>
    <row r="24" spans="1:3" s="1" customFormat="1" ht="15">
      <c r="A24" s="3"/>
      <c r="B24" s="30"/>
      <c r="C24" s="3">
        <v>0</v>
      </c>
    </row>
    <row r="25" spans="1:3" s="1" customFormat="1" ht="15">
      <c r="A25" s="3"/>
      <c r="B25" s="8" t="s">
        <v>1</v>
      </c>
      <c r="C25" s="7">
        <f>SUM(C23:C24)</f>
        <v>0</v>
      </c>
    </row>
    <row r="26" spans="1:3" s="1" customFormat="1" ht="15">
      <c r="A26" s="3"/>
      <c r="B26" s="8" t="s">
        <v>13</v>
      </c>
      <c r="C26" s="7">
        <f>C19+C20-C25</f>
        <v>5219.64</v>
      </c>
    </row>
    <row r="27" s="1" customFormat="1" ht="15">
      <c r="A27" s="5"/>
    </row>
    <row r="28" spans="1:3" s="1" customFormat="1" ht="15">
      <c r="A28" s="5"/>
      <c r="B28" s="10" t="s">
        <v>18</v>
      </c>
      <c r="C28" s="10">
        <v>12799.9</v>
      </c>
    </row>
    <row r="29" spans="1:3" s="1" customFormat="1" ht="15">
      <c r="A29" s="5"/>
      <c r="B29" s="17" t="s">
        <v>185</v>
      </c>
      <c r="C29" s="10"/>
    </row>
    <row r="30" spans="1:3" s="1" customFormat="1" ht="15">
      <c r="A30" s="5"/>
      <c r="B30" s="34"/>
      <c r="C30" s="10"/>
    </row>
    <row r="31" spans="1:3" s="1" customFormat="1" ht="15">
      <c r="A31" s="35"/>
      <c r="B31" s="17" t="s">
        <v>23</v>
      </c>
      <c r="C31" s="17"/>
    </row>
    <row r="32" spans="1:3" s="1" customFormat="1" ht="15">
      <c r="A32" s="35"/>
      <c r="B32" s="17"/>
      <c r="C32" s="17"/>
    </row>
    <row r="33" spans="1:3" s="1" customFormat="1" ht="15">
      <c r="A33" s="67"/>
      <c r="B33" s="17" t="s">
        <v>197</v>
      </c>
      <c r="C33" s="17">
        <f>C20+C26</f>
        <v>6959.52</v>
      </c>
    </row>
    <row r="34" spans="1:3" s="1" customFormat="1" ht="15">
      <c r="A34" s="67"/>
      <c r="B34" s="17" t="s">
        <v>191</v>
      </c>
      <c r="C34" s="88">
        <f>114.1*0.93*12+C14</f>
        <v>3011.5420000000004</v>
      </c>
    </row>
    <row r="35" spans="1:3" s="1" customFormat="1" ht="15">
      <c r="A35" s="67"/>
      <c r="B35" s="17"/>
      <c r="C35" s="17"/>
    </row>
    <row r="36" spans="1:3" s="1" customFormat="1" ht="15">
      <c r="A36" s="72">
        <v>1</v>
      </c>
      <c r="B36" s="70" t="s">
        <v>192</v>
      </c>
      <c r="C36" s="83" t="s">
        <v>255</v>
      </c>
    </row>
    <row r="37" spans="1:3" s="1" customFormat="1" ht="15">
      <c r="A37" s="77"/>
      <c r="B37" s="71" t="s">
        <v>193</v>
      </c>
      <c r="C37" s="75"/>
    </row>
    <row r="38" spans="1:3" s="1" customFormat="1" ht="15">
      <c r="A38" s="67"/>
      <c r="B38" s="10"/>
      <c r="C38" s="10"/>
    </row>
    <row r="39" spans="1:3" s="1" customFormat="1" ht="15">
      <c r="A39" s="67"/>
      <c r="B39" s="10"/>
      <c r="C39" s="10"/>
    </row>
    <row r="40" spans="1:3" s="1" customFormat="1" ht="15">
      <c r="A40" s="35"/>
      <c r="B40" s="10"/>
      <c r="C40" s="10"/>
    </row>
    <row r="41" s="1" customFormat="1" ht="15">
      <c r="A41" s="35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130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6861.96</v>
      </c>
    </row>
    <row r="8" spans="2:5" ht="15">
      <c r="B8" s="14" t="s">
        <v>8</v>
      </c>
      <c r="C8" s="38">
        <f>78.8*2.36*6+78.8*2.97*6</f>
        <v>2520.024</v>
      </c>
      <c r="E8" s="24"/>
    </row>
    <row r="9" spans="2:3" ht="15">
      <c r="B9" s="31" t="s">
        <v>17</v>
      </c>
      <c r="C9" s="47">
        <f>C8*0.9526</f>
        <v>2400.5748624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129</v>
      </c>
      <c r="C11" s="3">
        <v>705.4</v>
      </c>
    </row>
    <row r="12" spans="1:3" s="1" customFormat="1" ht="15">
      <c r="A12" s="3"/>
      <c r="B12" s="8" t="s">
        <v>1</v>
      </c>
      <c r="C12" s="7">
        <f>SUM(C11:C11)</f>
        <v>705.4</v>
      </c>
    </row>
    <row r="13" spans="1:3" s="10" customFormat="1" ht="15">
      <c r="A13" s="7"/>
      <c r="B13" s="15" t="s">
        <v>13</v>
      </c>
      <c r="C13" s="29">
        <f>C7+C8-C12</f>
        <v>8676.584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2553.12</v>
      </c>
    </row>
    <row r="19" spans="1:3" s="1" customFormat="1" ht="15">
      <c r="A19" s="5"/>
      <c r="B19" s="14" t="s">
        <v>8</v>
      </c>
      <c r="C19" s="10">
        <v>1276.56</v>
      </c>
    </row>
    <row r="20" spans="1:3" s="1" customFormat="1" ht="15">
      <c r="A20" s="5"/>
      <c r="B20" s="14" t="s">
        <v>17</v>
      </c>
      <c r="C20" s="49">
        <f>C19*0.9526</f>
        <v>1216.051056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3829.68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28236.28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5106.24</v>
      </c>
    </row>
    <row r="33" spans="1:3" s="1" customFormat="1" ht="15">
      <c r="A33" s="67"/>
      <c r="B33" s="17" t="s">
        <v>191</v>
      </c>
      <c r="C33" s="88">
        <f>78.8*2.97*12+C13</f>
        <v>11485.016</v>
      </c>
    </row>
    <row r="34" spans="1:3" s="1" customFormat="1" ht="15">
      <c r="A34" s="67"/>
      <c r="B34" s="17"/>
      <c r="C34" s="88"/>
    </row>
    <row r="35" spans="1:3" s="1" customFormat="1" ht="15">
      <c r="A35" s="7">
        <v>1</v>
      </c>
      <c r="B35" s="50" t="s">
        <v>131</v>
      </c>
      <c r="C35" s="50" t="s">
        <v>256</v>
      </c>
    </row>
    <row r="36" spans="1:3" s="1" customFormat="1" ht="15">
      <c r="A36" s="35"/>
      <c r="B36" s="10"/>
      <c r="C36" s="10"/>
    </row>
    <row r="37" spans="1:3" s="1" customFormat="1" ht="15">
      <c r="A37" s="67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0">
      <selection activeCell="F37" sqref="F37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134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5793.01</v>
      </c>
    </row>
    <row r="8" spans="2:5" ht="15">
      <c r="B8" s="14" t="s">
        <v>8</v>
      </c>
      <c r="C8" s="38">
        <f>93.3*0.54*6+93.3*1.05*6</f>
        <v>890.082</v>
      </c>
      <c r="E8" s="24"/>
    </row>
    <row r="9" spans="2:3" ht="15">
      <c r="B9" s="31" t="s">
        <v>17</v>
      </c>
      <c r="C9" s="47">
        <f>C8*0.9131</f>
        <v>812.7338742000001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6683.092000000001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5052.4</v>
      </c>
    </row>
    <row r="19" spans="1:3" s="1" customFormat="1" ht="15">
      <c r="A19" s="5"/>
      <c r="B19" s="14" t="s">
        <v>8</v>
      </c>
      <c r="C19" s="10">
        <v>2527.2</v>
      </c>
    </row>
    <row r="20" spans="1:3" s="1" customFormat="1" ht="15">
      <c r="A20" s="5"/>
      <c r="B20" s="14" t="s">
        <v>17</v>
      </c>
      <c r="C20" s="49">
        <f>C19*0.9131</f>
        <v>2307.58632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7579.599999999999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13341.13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10106.8</v>
      </c>
    </row>
    <row r="33" spans="1:3" s="1" customFormat="1" ht="15">
      <c r="A33" s="67"/>
      <c r="B33" s="17" t="s">
        <v>191</v>
      </c>
      <c r="C33" s="88">
        <f>93.3*1.05*12+C13</f>
        <v>7858.6720000000005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70" t="s">
        <v>192</v>
      </c>
      <c r="C35" s="83" t="s">
        <v>257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27"/>
      <c r="B37" s="76"/>
      <c r="C37" s="76"/>
    </row>
    <row r="38" spans="1:3" s="1" customFormat="1" ht="15">
      <c r="A38" s="27"/>
      <c r="B38" s="76"/>
      <c r="C38" s="76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32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19507.0008</v>
      </c>
    </row>
    <row r="8" spans="2:5" ht="15">
      <c r="B8" s="14" t="s">
        <v>8</v>
      </c>
      <c r="C8" s="38">
        <f>446.92*0.67*6+446.92*1.34*6</f>
        <v>5389.855200000001</v>
      </c>
      <c r="E8" s="24"/>
    </row>
    <row r="9" spans="2:3" ht="15">
      <c r="B9" s="31" t="s">
        <v>17</v>
      </c>
      <c r="C9" s="47">
        <f>C8*1.0778</f>
        <v>5809.185934560001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33</v>
      </c>
      <c r="C11" s="3">
        <v>283.55</v>
      </c>
    </row>
    <row r="12" spans="1:3" s="1" customFormat="1" ht="15">
      <c r="A12" s="3">
        <v>2</v>
      </c>
      <c r="B12" s="2" t="s">
        <v>12</v>
      </c>
      <c r="C12" s="3">
        <v>1030.59</v>
      </c>
    </row>
    <row r="13" spans="1:3" s="1" customFormat="1" ht="15">
      <c r="A13" s="3"/>
      <c r="B13" s="8" t="s">
        <v>1</v>
      </c>
      <c r="C13" s="7">
        <f>SUM(C11:C12)</f>
        <v>1314.1399999999999</v>
      </c>
    </row>
    <row r="14" spans="1:3" s="10" customFormat="1" ht="15">
      <c r="A14" s="7"/>
      <c r="B14" s="15" t="s">
        <v>13</v>
      </c>
      <c r="C14" s="29">
        <f>C7+C8-C13</f>
        <v>23582.716000000004</v>
      </c>
    </row>
    <row r="15" spans="1:3" s="10" customFormat="1" ht="30">
      <c r="A15" s="7"/>
      <c r="B15" s="15" t="s">
        <v>179</v>
      </c>
      <c r="C15" s="29">
        <f>C14+C26</f>
        <v>26234.716000000004</v>
      </c>
    </row>
    <row r="16" spans="1:3" s="10" customFormat="1" ht="15">
      <c r="A16" s="27"/>
      <c r="B16" s="28"/>
      <c r="C16" s="48"/>
    </row>
    <row r="17" s="1" customFormat="1" ht="15">
      <c r="A17" s="5"/>
    </row>
    <row r="18" spans="1:2" s="1" customFormat="1" ht="18.75">
      <c r="A18" s="5"/>
      <c r="B18" s="17" t="s">
        <v>5</v>
      </c>
    </row>
    <row r="19" spans="1:2" s="10" customFormat="1" ht="15">
      <c r="A19" s="32"/>
      <c r="B19" s="1"/>
    </row>
    <row r="20" spans="1:3" s="1" customFormat="1" ht="15">
      <c r="A20" s="5"/>
      <c r="B20" s="14" t="s">
        <v>14</v>
      </c>
      <c r="C20" s="10">
        <v>2652</v>
      </c>
    </row>
    <row r="21" spans="1:3" s="1" customFormat="1" ht="15">
      <c r="A21" s="5"/>
      <c r="B21" s="14" t="s">
        <v>8</v>
      </c>
      <c r="C21" s="1">
        <v>0</v>
      </c>
    </row>
    <row r="22" spans="1:2" s="1" customFormat="1" ht="15">
      <c r="A22" s="5"/>
      <c r="B22" s="14" t="s">
        <v>17</v>
      </c>
    </row>
    <row r="23" spans="1:3" s="1" customFormat="1" ht="30">
      <c r="A23" s="3" t="s">
        <v>0</v>
      </c>
      <c r="B23" s="3" t="s">
        <v>9</v>
      </c>
      <c r="C23" s="9" t="s">
        <v>10</v>
      </c>
    </row>
    <row r="24" spans="1:3" s="1" customFormat="1" ht="15">
      <c r="A24" s="3"/>
      <c r="B24" s="30"/>
      <c r="C24" s="3">
        <v>0</v>
      </c>
    </row>
    <row r="25" spans="1:3" s="1" customFormat="1" ht="15">
      <c r="A25" s="3"/>
      <c r="B25" s="8" t="s">
        <v>1</v>
      </c>
      <c r="C25" s="7">
        <f>SUM(C24:C24)</f>
        <v>0</v>
      </c>
    </row>
    <row r="26" spans="1:3" s="1" customFormat="1" ht="15">
      <c r="A26" s="3"/>
      <c r="B26" s="8" t="s">
        <v>13</v>
      </c>
      <c r="C26" s="7">
        <f>C20+C21-C25</f>
        <v>2652</v>
      </c>
    </row>
    <row r="27" spans="1:3" s="1" customFormat="1" ht="15">
      <c r="A27" s="40"/>
      <c r="B27" s="41"/>
      <c r="C27" s="27"/>
    </row>
    <row r="28" s="1" customFormat="1" ht="15">
      <c r="A28" s="5"/>
    </row>
    <row r="29" spans="1:3" s="1" customFormat="1" ht="15">
      <c r="A29" s="5"/>
      <c r="B29" s="10" t="s">
        <v>18</v>
      </c>
      <c r="C29" s="10">
        <v>107461.62</v>
      </c>
    </row>
    <row r="30" spans="1:3" s="1" customFormat="1" ht="15">
      <c r="A30" s="5"/>
      <c r="B30" s="17" t="s">
        <v>185</v>
      </c>
      <c r="C30" s="10">
        <v>82207.03</v>
      </c>
    </row>
    <row r="31" spans="1:3" s="1" customFormat="1" ht="15">
      <c r="A31" s="5"/>
      <c r="B31" s="17" t="s">
        <v>187</v>
      </c>
      <c r="C31" s="10">
        <v>25254.59</v>
      </c>
    </row>
    <row r="32" spans="1:3" s="1" customFormat="1" ht="15">
      <c r="A32" s="5"/>
      <c r="B32" s="10"/>
      <c r="C32" s="10"/>
    </row>
    <row r="33" spans="1:3" s="1" customFormat="1" ht="15">
      <c r="A33" s="5"/>
      <c r="B33" s="10" t="s">
        <v>23</v>
      </c>
      <c r="C33" s="10"/>
    </row>
    <row r="34" spans="1:3" s="1" customFormat="1" ht="15">
      <c r="A34" s="5"/>
      <c r="B34" s="10"/>
      <c r="C34" s="10"/>
    </row>
    <row r="35" spans="1:3" s="1" customFormat="1" ht="15">
      <c r="A35" s="5"/>
      <c r="B35" s="34" t="s">
        <v>191</v>
      </c>
      <c r="C35" s="69">
        <f>446.92*1.34*12+C15</f>
        <v>33421.189600000005</v>
      </c>
    </row>
    <row r="36" spans="1:3" s="1" customFormat="1" ht="15">
      <c r="A36" s="5"/>
      <c r="B36" s="10"/>
      <c r="C36" s="10"/>
    </row>
    <row r="37" spans="1:3" s="1" customFormat="1" ht="15">
      <c r="A37" s="72">
        <v>1</v>
      </c>
      <c r="B37" s="70" t="s">
        <v>192</v>
      </c>
      <c r="C37" s="74"/>
    </row>
    <row r="38" spans="1:3" s="1" customFormat="1" ht="15">
      <c r="A38" s="73"/>
      <c r="B38" s="71" t="s">
        <v>193</v>
      </c>
      <c r="C38" s="78" t="s">
        <v>240</v>
      </c>
    </row>
    <row r="39" spans="1:3" s="1" customFormat="1" ht="15">
      <c r="A39" s="40"/>
      <c r="B39" s="76"/>
      <c r="C39" s="76"/>
    </row>
    <row r="40" spans="1:3" s="1" customFormat="1" ht="15">
      <c r="A40" s="40"/>
      <c r="B40" s="76"/>
      <c r="C40" s="76"/>
    </row>
    <row r="41" spans="1:3" s="1" customFormat="1" ht="15">
      <c r="A41" s="40"/>
      <c r="B41" s="76"/>
      <c r="C41" s="76"/>
    </row>
    <row r="42" spans="1:3" s="1" customFormat="1" ht="15">
      <c r="A42" s="40"/>
      <c r="B42" s="76"/>
      <c r="C42" s="76"/>
    </row>
    <row r="43" spans="1:3" s="1" customFormat="1" ht="15">
      <c r="A43" s="5"/>
      <c r="B43" s="10"/>
      <c r="C43" s="10"/>
    </row>
    <row r="44" s="1" customFormat="1" ht="15">
      <c r="A44" s="5"/>
    </row>
    <row r="45" spans="1:3" s="1" customFormat="1" ht="15">
      <c r="A45" s="121" t="s">
        <v>20</v>
      </c>
      <c r="B45" s="122"/>
      <c r="C45" s="122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="1" customFormat="1" ht="15">
      <c r="A69" s="5"/>
    </row>
    <row r="70" s="1" customFormat="1" ht="15">
      <c r="A70" s="5"/>
    </row>
    <row r="71" spans="1:2" s="1" customFormat="1" ht="15">
      <c r="A71" s="5"/>
      <c r="B71"/>
    </row>
  </sheetData>
  <sheetProtection/>
  <mergeCells count="2">
    <mergeCell ref="A1:B1"/>
    <mergeCell ref="A45:C4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0">
      <selection activeCell="B30" sqref="B30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135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-13355.19</v>
      </c>
    </row>
    <row r="8" spans="2:5" ht="15">
      <c r="B8" s="14" t="s">
        <v>8</v>
      </c>
      <c r="C8" s="38">
        <f>120.8*0.92*6+120.8*1.45*6</f>
        <v>1717.776</v>
      </c>
      <c r="E8" s="24"/>
    </row>
    <row r="9" spans="2:3" ht="15">
      <c r="B9" s="31" t="s">
        <v>17</v>
      </c>
      <c r="C9" s="47">
        <f>C8*0.9827</f>
        <v>1688.0584752000002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-11637.414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3745.44</v>
      </c>
    </row>
    <row r="19" spans="1:3" s="1" customFormat="1" ht="15">
      <c r="A19" s="5"/>
      <c r="B19" s="14" t="s">
        <v>8</v>
      </c>
      <c r="C19" s="10">
        <v>1872.72</v>
      </c>
    </row>
    <row r="20" spans="1:3" s="1" customFormat="1" ht="15">
      <c r="A20" s="5"/>
      <c r="B20" s="14" t="s">
        <v>17</v>
      </c>
      <c r="C20" s="49">
        <f>C19*0.9827</f>
        <v>1840.321944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5618.16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16195.24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/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7490.88</v>
      </c>
    </row>
    <row r="33" spans="1:3" s="1" customFormat="1" ht="15">
      <c r="A33" s="67"/>
      <c r="B33" s="17" t="s">
        <v>191</v>
      </c>
      <c r="C33" s="88">
        <f>120.8*1.45*12+C13</f>
        <v>-9535.494</v>
      </c>
    </row>
    <row r="34" spans="1:3" s="1" customFormat="1" ht="15">
      <c r="A34" s="67"/>
      <c r="B34" s="17"/>
      <c r="C34" s="17"/>
    </row>
    <row r="35" spans="1:3" s="1" customFormat="1" ht="15">
      <c r="A35" s="35"/>
      <c r="B35" s="10"/>
      <c r="C35" s="10"/>
    </row>
    <row r="36" spans="1:3" s="1" customFormat="1" ht="15">
      <c r="A36" s="67"/>
      <c r="B36" s="10"/>
      <c r="C36" s="10"/>
    </row>
    <row r="37" spans="1:3" s="1" customFormat="1" ht="15">
      <c r="A37" s="67"/>
      <c r="B37" s="10"/>
      <c r="C37" s="10"/>
    </row>
    <row r="38" spans="1:3" s="1" customFormat="1" ht="15">
      <c r="A38" s="35"/>
      <c r="B38" s="10"/>
      <c r="C38" s="10"/>
    </row>
    <row r="39" s="1" customFormat="1" ht="15">
      <c r="A39" s="35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136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10954.19</v>
      </c>
    </row>
    <row r="8" spans="2:5" ht="15">
      <c r="B8" s="14" t="s">
        <v>8</v>
      </c>
      <c r="C8" s="38">
        <f>105.9*1.36*6+105.9*1.88*6</f>
        <v>2058.6960000000004</v>
      </c>
      <c r="E8" s="24"/>
    </row>
    <row r="9" spans="2:3" ht="15">
      <c r="B9" s="31" t="s">
        <v>17</v>
      </c>
      <c r="C9" s="47">
        <f>C8*1.208</f>
        <v>2486.9047680000003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13012.886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4224.96</v>
      </c>
    </row>
    <row r="19" spans="1:3" s="1" customFormat="1" ht="15">
      <c r="A19" s="5"/>
      <c r="B19" s="14" t="s">
        <v>8</v>
      </c>
      <c r="C19" s="10">
        <v>2112.48</v>
      </c>
    </row>
    <row r="20" spans="1:3" s="1" customFormat="1" ht="15">
      <c r="A20" s="5"/>
      <c r="B20" s="14" t="s">
        <v>17</v>
      </c>
      <c r="C20" s="49">
        <f>C19*1.208</f>
        <v>2551.87584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6337.4400000000005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8574.96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8449.92</v>
      </c>
    </row>
    <row r="33" spans="1:3" s="1" customFormat="1" ht="15">
      <c r="A33" s="67"/>
      <c r="B33" s="17" t="s">
        <v>191</v>
      </c>
      <c r="C33" s="17">
        <f>105.9*1.88*12+C13</f>
        <v>15401.990000000002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70" t="s">
        <v>192</v>
      </c>
      <c r="C35" s="83" t="s">
        <v>213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27"/>
      <c r="B37" s="76"/>
      <c r="C37" s="76"/>
    </row>
    <row r="38" spans="1:3" s="1" customFormat="1" ht="15">
      <c r="A38" s="27"/>
      <c r="B38" s="76"/>
      <c r="C38" s="76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6">
      <selection activeCell="A32" sqref="A32: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137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5789.74</v>
      </c>
    </row>
    <row r="8" spans="2:5" ht="15">
      <c r="B8" s="14" t="s">
        <v>8</v>
      </c>
      <c r="C8" s="38">
        <f>195.9*0.34*6+195.9*0.77*6</f>
        <v>1304.6940000000002</v>
      </c>
      <c r="E8" s="24"/>
    </row>
    <row r="9" spans="2:3" ht="15">
      <c r="B9" s="31" t="s">
        <v>17</v>
      </c>
      <c r="C9" s="47">
        <f>C8*1.0847</f>
        <v>1415.2015818000002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3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7094.434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8517.920000000002</v>
      </c>
    </row>
    <row r="19" spans="1:3" s="1" customFormat="1" ht="15">
      <c r="A19" s="5"/>
      <c r="B19" s="14" t="s">
        <v>8</v>
      </c>
      <c r="C19" s="10">
        <v>6347.16</v>
      </c>
    </row>
    <row r="20" spans="1:3" s="1" customFormat="1" ht="15">
      <c r="A20" s="5"/>
      <c r="B20" s="14" t="s">
        <v>17</v>
      </c>
      <c r="C20" s="56">
        <f>C19*1.0847</f>
        <v>6884.764451999999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138</v>
      </c>
      <c r="C22" s="3">
        <v>4446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4446</v>
      </c>
    </row>
    <row r="25" spans="1:3" s="1" customFormat="1" ht="15">
      <c r="A25" s="3"/>
      <c r="B25" s="8" t="s">
        <v>13</v>
      </c>
      <c r="C25" s="7">
        <f>C18+C19-C24</f>
        <v>10419.080000000002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35"/>
      <c r="B32" s="10" t="s">
        <v>197</v>
      </c>
      <c r="C32" s="10">
        <f>C19+C25</f>
        <v>16766.24</v>
      </c>
    </row>
    <row r="33" spans="1:3" s="1" customFormat="1" ht="15">
      <c r="A33" s="67"/>
      <c r="B33" s="10" t="s">
        <v>191</v>
      </c>
      <c r="C33" s="10">
        <f>195.9*0.77*12+C13</f>
        <v>8904.550000000001</v>
      </c>
    </row>
    <row r="34" spans="1:3" s="1" customFormat="1" ht="15">
      <c r="A34" s="67"/>
      <c r="B34" s="10"/>
      <c r="C34" s="10"/>
    </row>
    <row r="35" spans="1:3" s="1" customFormat="1" ht="15">
      <c r="A35" s="7">
        <v>1</v>
      </c>
      <c r="B35" s="9" t="s">
        <v>139</v>
      </c>
      <c r="C35" s="50" t="s">
        <v>198</v>
      </c>
    </row>
    <row r="36" spans="1:3" s="1" customFormat="1" ht="15">
      <c r="A36" s="67"/>
      <c r="B36" s="10"/>
      <c r="C36" s="10"/>
    </row>
    <row r="37" spans="1:3" s="1" customFormat="1" ht="15">
      <c r="A37" s="67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67"/>
      <c r="B39" s="10"/>
      <c r="C39" s="10"/>
    </row>
    <row r="40" spans="1:3" s="1" customFormat="1" ht="15">
      <c r="A40" s="35"/>
      <c r="B40" s="10"/>
      <c r="C40" s="10"/>
    </row>
    <row r="41" s="1" customFormat="1" ht="15">
      <c r="A41" s="35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pans="1:3" s="1" customFormat="1" ht="15">
      <c r="A45" s="67"/>
      <c r="B45" s="17"/>
      <c r="C45" s="17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3">
      <selection activeCell="A32" sqref="A32:B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9251.34</v>
      </c>
    </row>
    <row r="8" spans="2:5" ht="15">
      <c r="B8" s="14" t="s">
        <v>8</v>
      </c>
      <c r="C8" s="38">
        <f>167.2*3.31*6+167.2*3.47*6</f>
        <v>6801.696</v>
      </c>
      <c r="E8" s="24"/>
    </row>
    <row r="9" spans="2:3" ht="15">
      <c r="B9" s="31" t="s">
        <v>17</v>
      </c>
      <c r="C9" s="47">
        <f>C8*1.0412</f>
        <v>7081.9258752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138</v>
      </c>
      <c r="C11" s="7">
        <v>13036.64</v>
      </c>
    </row>
    <row r="12" spans="1:3" s="1" customFormat="1" ht="15">
      <c r="A12" s="3"/>
      <c r="B12" s="8" t="s">
        <v>1</v>
      </c>
      <c r="C12" s="7">
        <f>SUM(C11:C11)</f>
        <v>13036.64</v>
      </c>
    </row>
    <row r="13" spans="1:3" s="10" customFormat="1" ht="15">
      <c r="A13" s="7"/>
      <c r="B13" s="15" t="s">
        <v>13</v>
      </c>
      <c r="C13" s="29">
        <f>C7+C8-C12</f>
        <v>3016.3960000000006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4421.79</v>
      </c>
    </row>
    <row r="19" spans="1:3" s="1" customFormat="1" ht="15">
      <c r="A19" s="5"/>
      <c r="B19" s="14" t="s">
        <v>8</v>
      </c>
      <c r="C19" s="10">
        <v>3330.72</v>
      </c>
    </row>
    <row r="20" spans="1:3" s="1" customFormat="1" ht="15">
      <c r="A20" s="5"/>
      <c r="B20" s="14" t="s">
        <v>17</v>
      </c>
      <c r="C20" s="49">
        <f>C19*1.0412</f>
        <v>3467.9456639999994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138</v>
      </c>
      <c r="C22" s="7">
        <v>7304.2</v>
      </c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7304.2</v>
      </c>
    </row>
    <row r="25" spans="1:3" s="1" customFormat="1" ht="15">
      <c r="A25" s="3"/>
      <c r="B25" s="8" t="s">
        <v>13</v>
      </c>
      <c r="C25" s="7">
        <f>C18+C19-C24</f>
        <v>448.3100000000004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67"/>
      <c r="B31" s="17"/>
      <c r="C31" s="17"/>
    </row>
    <row r="32" spans="1:3" s="1" customFormat="1" ht="15">
      <c r="A32" s="67"/>
      <c r="B32" s="17" t="s">
        <v>197</v>
      </c>
      <c r="C32" s="17">
        <f>C19+C25</f>
        <v>3779.03</v>
      </c>
    </row>
    <row r="33" spans="1:3" s="1" customFormat="1" ht="15">
      <c r="A33" s="67"/>
      <c r="B33" s="17" t="s">
        <v>191</v>
      </c>
      <c r="C33" s="88">
        <f>167.2*3.47*12+C13</f>
        <v>9978.604</v>
      </c>
    </row>
    <row r="34" spans="1:3" s="1" customFormat="1" ht="15">
      <c r="A34" s="67"/>
      <c r="B34" s="17"/>
      <c r="C34" s="17"/>
    </row>
    <row r="35" spans="1:3" s="1" customFormat="1" ht="15">
      <c r="A35" s="7">
        <v>1</v>
      </c>
      <c r="B35" s="50" t="s">
        <v>141</v>
      </c>
      <c r="C35" s="50" t="s">
        <v>223</v>
      </c>
    </row>
    <row r="36" spans="1:3" s="1" customFormat="1" ht="15">
      <c r="A36" s="35"/>
      <c r="B36" s="10"/>
      <c r="C36" s="10"/>
    </row>
    <row r="37" spans="1:3" s="1" customFormat="1" ht="15">
      <c r="A37" s="67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-4240.41</v>
      </c>
    </row>
    <row r="8" spans="2:5" ht="15">
      <c r="B8" s="14" t="s">
        <v>8</v>
      </c>
      <c r="C8" s="38">
        <f>171.2*2.99*6+171.2*4.83*6</f>
        <v>8032.704</v>
      </c>
      <c r="E8" s="24"/>
    </row>
    <row r="9" spans="2:3" ht="15">
      <c r="B9" s="31" t="s">
        <v>17</v>
      </c>
      <c r="C9" s="47">
        <f>C8</f>
        <v>8032.704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3792.294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3" s="1" customFormat="1" ht="15">
      <c r="A16" s="5"/>
      <c r="B16" s="10" t="s">
        <v>18</v>
      </c>
      <c r="C16" s="1">
        <v>0</v>
      </c>
    </row>
    <row r="17" spans="1:3" s="1" customFormat="1" ht="15">
      <c r="A17" s="5"/>
      <c r="B17" s="17" t="s">
        <v>182</v>
      </c>
      <c r="C17" s="10"/>
    </row>
    <row r="18" spans="1:3" s="1" customFormat="1" ht="15">
      <c r="A18" s="5"/>
      <c r="B18" s="10"/>
      <c r="C18" s="10"/>
    </row>
    <row r="19" spans="1:3" s="1" customFormat="1" ht="15">
      <c r="A19" s="5"/>
      <c r="B19" s="34"/>
      <c r="C19" s="10"/>
    </row>
    <row r="20" spans="1:3" s="1" customFormat="1" ht="15">
      <c r="A20" s="35"/>
      <c r="B20" s="17" t="s">
        <v>23</v>
      </c>
      <c r="C20" s="17"/>
    </row>
    <row r="21" spans="1:3" s="1" customFormat="1" ht="15">
      <c r="A21" s="67"/>
      <c r="B21" s="17"/>
      <c r="C21" s="17"/>
    </row>
    <row r="22" spans="1:3" s="1" customFormat="1" ht="15">
      <c r="A22" s="67"/>
      <c r="B22" s="17" t="s">
        <v>191</v>
      </c>
      <c r="C22" s="88">
        <f>171.2*4.83*12+C13</f>
        <v>13715.046</v>
      </c>
    </row>
    <row r="23" spans="1:3" s="1" customFormat="1" ht="15">
      <c r="A23" s="67"/>
      <c r="B23" s="17"/>
      <c r="C23" s="17"/>
    </row>
    <row r="24" spans="1:3" s="1" customFormat="1" ht="15">
      <c r="A24" s="72">
        <v>1</v>
      </c>
      <c r="B24" s="81" t="s">
        <v>192</v>
      </c>
      <c r="C24" s="83" t="s">
        <v>224</v>
      </c>
    </row>
    <row r="25" spans="1:3" s="1" customFormat="1" ht="15">
      <c r="A25" s="77"/>
      <c r="B25" s="71" t="s">
        <v>193</v>
      </c>
      <c r="C25" s="75"/>
    </row>
    <row r="26" spans="1:3" s="1" customFormat="1" ht="15">
      <c r="A26" s="35"/>
      <c r="B26" s="10"/>
      <c r="C26" s="10"/>
    </row>
    <row r="27" spans="1:3" s="1" customFormat="1" ht="15">
      <c r="A27" s="67"/>
      <c r="B27" s="10"/>
      <c r="C27" s="10"/>
    </row>
    <row r="28" spans="1:3" s="1" customFormat="1" ht="15">
      <c r="A28" s="67"/>
      <c r="B28" s="10"/>
      <c r="C28" s="10"/>
    </row>
    <row r="29" spans="1:3" s="1" customFormat="1" ht="15">
      <c r="A29" s="35"/>
      <c r="B29" s="10"/>
      <c r="C29" s="10"/>
    </row>
    <row r="30" s="1" customFormat="1" ht="15">
      <c r="A30" s="35"/>
    </row>
    <row r="31" spans="1:3" s="1" customFormat="1" ht="15">
      <c r="A31" s="121" t="s">
        <v>20</v>
      </c>
      <c r="B31" s="122"/>
      <c r="C31" s="122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pans="1:2" s="1" customFormat="1" ht="15">
      <c r="A57" s="5"/>
      <c r="B57"/>
    </row>
  </sheetData>
  <sheetProtection/>
  <mergeCells count="2">
    <mergeCell ref="A1:B1"/>
    <mergeCell ref="A31:C3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3">
      <selection activeCell="A1" sqref="A1:D4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4" s="18" customFormat="1" ht="15.75">
      <c r="A1" s="125" t="s">
        <v>2</v>
      </c>
      <c r="B1" s="125"/>
      <c r="C1" s="93"/>
      <c r="D1" s="93"/>
    </row>
    <row r="2" spans="1:4" s="18" customFormat="1" ht="15.75">
      <c r="A2" s="94" t="s">
        <v>3</v>
      </c>
      <c r="B2" s="95"/>
      <c r="C2" s="93"/>
      <c r="D2" s="93"/>
    </row>
    <row r="3" spans="1:4" s="18" customFormat="1" ht="15.75">
      <c r="A3" s="94" t="s">
        <v>142</v>
      </c>
      <c r="B3" s="95"/>
      <c r="C3" s="93"/>
      <c r="D3" s="93"/>
    </row>
    <row r="4" spans="1:4" s="18" customFormat="1" ht="15.75">
      <c r="A4" s="96"/>
      <c r="B4" s="97" t="s">
        <v>7</v>
      </c>
      <c r="C4" s="93"/>
      <c r="D4" s="93"/>
    </row>
    <row r="5" spans="1:4" ht="15">
      <c r="A5" s="98"/>
      <c r="B5" s="99"/>
      <c r="C5" s="99"/>
      <c r="D5" s="99"/>
    </row>
    <row r="6" spans="1:4" s="13" customFormat="1" ht="18.75">
      <c r="A6" s="100"/>
      <c r="B6" s="101" t="s">
        <v>237</v>
      </c>
      <c r="C6" s="102"/>
      <c r="D6" s="102"/>
    </row>
    <row r="7" spans="1:4" ht="15">
      <c r="A7" s="98"/>
      <c r="B7" s="57" t="s">
        <v>14</v>
      </c>
      <c r="C7" s="103">
        <v>27463.36</v>
      </c>
      <c r="D7" s="99"/>
    </row>
    <row r="8" spans="1:5" ht="15">
      <c r="A8" s="98"/>
      <c r="B8" s="53" t="s">
        <v>8</v>
      </c>
      <c r="C8" s="103">
        <f>170.2*3.07*2</f>
        <v>1045.0279999999998</v>
      </c>
      <c r="D8" s="99"/>
      <c r="E8" s="24"/>
    </row>
    <row r="9" spans="1:4" ht="15">
      <c r="A9" s="98"/>
      <c r="B9" s="57" t="s">
        <v>17</v>
      </c>
      <c r="C9" s="58">
        <f>C8*0.8373</f>
        <v>875.0019443999998</v>
      </c>
      <c r="D9" s="99"/>
    </row>
    <row r="10" spans="1:4" ht="50.25" customHeight="1">
      <c r="A10" s="104" t="s">
        <v>0</v>
      </c>
      <c r="B10" s="104" t="s">
        <v>9</v>
      </c>
      <c r="C10" s="105" t="s">
        <v>10</v>
      </c>
      <c r="D10" s="99"/>
    </row>
    <row r="11" spans="1:4" s="1" customFormat="1" ht="15">
      <c r="A11" s="104"/>
      <c r="B11" s="106"/>
      <c r="C11" s="107"/>
      <c r="D11" s="87"/>
    </row>
    <row r="12" spans="1:4" s="1" customFormat="1" ht="15">
      <c r="A12" s="104"/>
      <c r="B12" s="108" t="s">
        <v>1</v>
      </c>
      <c r="C12" s="107">
        <f>SUM(C11:C11)</f>
        <v>0</v>
      </c>
      <c r="D12" s="87"/>
    </row>
    <row r="13" spans="1:4" s="10" customFormat="1" ht="15">
      <c r="A13" s="107"/>
      <c r="B13" s="109" t="s">
        <v>13</v>
      </c>
      <c r="C13" s="110">
        <f>C7+C8-C12</f>
        <v>28508.388</v>
      </c>
      <c r="D13" s="114"/>
    </row>
    <row r="14" spans="1:4" s="10" customFormat="1" ht="15">
      <c r="A14" s="60"/>
      <c r="B14" s="111"/>
      <c r="C14" s="60"/>
      <c r="D14" s="114"/>
    </row>
    <row r="15" spans="1:4" s="1" customFormat="1" ht="15">
      <c r="A15" s="65"/>
      <c r="B15" s="87"/>
      <c r="C15" s="87"/>
      <c r="D15" s="87"/>
    </row>
    <row r="16" spans="1:4" s="1" customFormat="1" ht="18.75">
      <c r="A16" s="65"/>
      <c r="B16" s="112" t="s">
        <v>238</v>
      </c>
      <c r="C16" s="87"/>
      <c r="D16" s="87"/>
    </row>
    <row r="17" spans="1:4" s="10" customFormat="1" ht="15">
      <c r="A17" s="117"/>
      <c r="B17" s="87"/>
      <c r="C17" s="114"/>
      <c r="D17" s="114"/>
    </row>
    <row r="18" spans="1:4" s="1" customFormat="1" ht="15">
      <c r="A18" s="65"/>
      <c r="B18" s="53" t="s">
        <v>14</v>
      </c>
      <c r="C18" s="114">
        <v>2602.2699999999995</v>
      </c>
      <c r="D18" s="87"/>
    </row>
    <row r="19" spans="1:4" s="1" customFormat="1" ht="15">
      <c r="A19" s="65"/>
      <c r="B19" s="53" t="s">
        <v>8</v>
      </c>
      <c r="C19" s="114">
        <v>919.08</v>
      </c>
      <c r="D19" s="87"/>
    </row>
    <row r="20" spans="1:4" s="1" customFormat="1" ht="15">
      <c r="A20" s="65"/>
      <c r="B20" s="53" t="s">
        <v>17</v>
      </c>
      <c r="C20" s="54">
        <f>C19*0.8373</f>
        <v>769.545684</v>
      </c>
      <c r="D20" s="87"/>
    </row>
    <row r="21" spans="1:4" s="1" customFormat="1" ht="30">
      <c r="A21" s="104" t="s">
        <v>0</v>
      </c>
      <c r="B21" s="104" t="s">
        <v>9</v>
      </c>
      <c r="C21" s="115" t="s">
        <v>10</v>
      </c>
      <c r="D21" s="87"/>
    </row>
    <row r="22" spans="1:4" s="1" customFormat="1" ht="15">
      <c r="A22" s="104"/>
      <c r="B22" s="106"/>
      <c r="C22" s="107"/>
      <c r="D22" s="87"/>
    </row>
    <row r="23" spans="1:4" s="1" customFormat="1" ht="15">
      <c r="A23" s="104"/>
      <c r="B23" s="106"/>
      <c r="C23" s="104">
        <v>0</v>
      </c>
      <c r="D23" s="87"/>
    </row>
    <row r="24" spans="1:4" s="1" customFormat="1" ht="15">
      <c r="A24" s="104"/>
      <c r="B24" s="108" t="s">
        <v>1</v>
      </c>
      <c r="C24" s="107">
        <f>SUM(C22:C23)</f>
        <v>0</v>
      </c>
      <c r="D24" s="87"/>
    </row>
    <row r="25" spans="1:4" s="1" customFormat="1" ht="15">
      <c r="A25" s="104"/>
      <c r="B25" s="108" t="s">
        <v>13</v>
      </c>
      <c r="C25" s="107">
        <f>C18+C19-C24</f>
        <v>3521.3499999999995</v>
      </c>
      <c r="D25" s="87"/>
    </row>
    <row r="26" spans="1:4" s="1" customFormat="1" ht="15">
      <c r="A26" s="65"/>
      <c r="B26" s="87"/>
      <c r="C26" s="87"/>
      <c r="D26" s="87"/>
    </row>
    <row r="27" spans="1:4" s="1" customFormat="1" ht="15">
      <c r="A27" s="65"/>
      <c r="B27" s="114" t="s">
        <v>18</v>
      </c>
      <c r="C27" s="114">
        <v>0</v>
      </c>
      <c r="D27" s="87"/>
    </row>
    <row r="28" spans="1:4" s="1" customFormat="1" ht="15">
      <c r="A28" s="65"/>
      <c r="B28" s="114" t="s">
        <v>19</v>
      </c>
      <c r="C28" s="114"/>
      <c r="D28" s="87"/>
    </row>
    <row r="29" spans="1:4" s="1" customFormat="1" ht="15">
      <c r="A29" s="65"/>
      <c r="B29" s="114"/>
      <c r="C29" s="114"/>
      <c r="D29" s="87"/>
    </row>
    <row r="30" spans="1:4" s="1" customFormat="1" ht="15">
      <c r="A30" s="65"/>
      <c r="B30" s="116"/>
      <c r="C30" s="114"/>
      <c r="D30" s="87"/>
    </row>
    <row r="31" spans="1:4" s="1" customFormat="1" ht="15">
      <c r="A31" s="117"/>
      <c r="B31" s="112" t="s">
        <v>169</v>
      </c>
      <c r="C31" s="112"/>
      <c r="D31" s="87"/>
    </row>
    <row r="32" spans="1:4" s="1" customFormat="1" ht="15">
      <c r="A32" s="117"/>
      <c r="B32" s="112"/>
      <c r="C32" s="112"/>
      <c r="D32" s="87"/>
    </row>
    <row r="33" spans="1:4" s="1" customFormat="1" ht="15">
      <c r="A33" s="117"/>
      <c r="B33" s="114"/>
      <c r="C33" s="114"/>
      <c r="D33" s="87"/>
    </row>
    <row r="34" spans="1:4" s="1" customFormat="1" ht="15">
      <c r="A34" s="117"/>
      <c r="B34" s="114"/>
      <c r="C34" s="114"/>
      <c r="D34" s="87"/>
    </row>
    <row r="35" spans="1:4" s="1" customFormat="1" ht="15">
      <c r="A35" s="117"/>
      <c r="B35" s="114"/>
      <c r="C35" s="114"/>
      <c r="D35" s="87"/>
    </row>
    <row r="36" spans="1:4" s="1" customFormat="1" ht="15">
      <c r="A36" s="117"/>
      <c r="B36" s="87"/>
      <c r="C36" s="87"/>
      <c r="D36" s="87"/>
    </row>
    <row r="37" spans="1:4" s="1" customFormat="1" ht="15">
      <c r="A37" s="126" t="s">
        <v>20</v>
      </c>
      <c r="B37" s="127"/>
      <c r="C37" s="127"/>
      <c r="D37" s="87"/>
    </row>
    <row r="38" spans="1:4" s="1" customFormat="1" ht="15">
      <c r="A38" s="65"/>
      <c r="B38" s="87"/>
      <c r="C38" s="87"/>
      <c r="D38" s="87"/>
    </row>
    <row r="39" spans="1:4" s="1" customFormat="1" ht="15">
      <c r="A39" s="65"/>
      <c r="B39" s="87"/>
      <c r="C39" s="87"/>
      <c r="D39" s="87"/>
    </row>
    <row r="40" spans="1:4" s="1" customFormat="1" ht="15">
      <c r="A40" s="65"/>
      <c r="B40" s="87"/>
      <c r="C40" s="87"/>
      <c r="D40" s="87"/>
    </row>
    <row r="41" spans="1:4" s="1" customFormat="1" ht="15">
      <c r="A41" s="65"/>
      <c r="B41" s="87"/>
      <c r="C41" s="87"/>
      <c r="D41" s="87"/>
    </row>
    <row r="42" spans="1:4" s="1" customFormat="1" ht="15">
      <c r="A42" s="65"/>
      <c r="B42" s="87"/>
      <c r="C42" s="87"/>
      <c r="D42" s="87"/>
    </row>
    <row r="43" spans="1:4" s="1" customFormat="1" ht="15">
      <c r="A43" s="65"/>
      <c r="B43" s="87"/>
      <c r="C43" s="87"/>
      <c r="D43" s="87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pans="1:2" s="1" customFormat="1" ht="15">
      <c r="A63" s="5"/>
      <c r="B63"/>
    </row>
  </sheetData>
  <sheetProtection/>
  <mergeCells count="2">
    <mergeCell ref="A1:B1"/>
    <mergeCell ref="A37:C37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143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9957.77</v>
      </c>
    </row>
    <row r="8" spans="2:5" ht="15">
      <c r="B8" s="14" t="s">
        <v>8</v>
      </c>
      <c r="C8" s="38">
        <f>57.7*2.23*6+57.7*3.66*6</f>
        <v>2039.118</v>
      </c>
      <c r="E8" s="24"/>
    </row>
    <row r="9" spans="2:3" ht="15">
      <c r="B9" s="57" t="s">
        <v>17</v>
      </c>
      <c r="C9" s="61">
        <v>0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11996.888</v>
      </c>
    </row>
    <row r="14" spans="1:3" s="10" customFormat="1" ht="15">
      <c r="A14" s="27"/>
      <c r="B14" s="28"/>
      <c r="C14" s="27"/>
    </row>
    <row r="15" spans="1:3" s="10" customFormat="1" ht="15">
      <c r="A15" s="27"/>
      <c r="B15" s="28"/>
      <c r="C15" s="27"/>
    </row>
    <row r="16" spans="1:3" s="10" customFormat="1" ht="15">
      <c r="A16" s="27"/>
      <c r="B16" s="28"/>
      <c r="C16" s="27"/>
    </row>
    <row r="17" spans="1:3" s="10" customFormat="1" ht="18.75">
      <c r="A17" s="27"/>
      <c r="B17" s="46" t="s">
        <v>177</v>
      </c>
      <c r="C17" s="27"/>
    </row>
    <row r="18" spans="1:3" s="10" customFormat="1" ht="15">
      <c r="A18" s="27"/>
      <c r="B18" s="28"/>
      <c r="C18" s="27"/>
    </row>
    <row r="19" spans="1:3" s="10" customFormat="1" ht="15">
      <c r="A19" s="27"/>
      <c r="B19" s="44" t="s">
        <v>14</v>
      </c>
      <c r="C19" s="27">
        <v>3738.96</v>
      </c>
    </row>
    <row r="20" spans="1:3" s="10" customFormat="1" ht="15">
      <c r="A20" s="27"/>
      <c r="B20" s="44" t="s">
        <v>8</v>
      </c>
      <c r="C20" s="27">
        <v>1869.48</v>
      </c>
    </row>
    <row r="21" spans="1:3" s="10" customFormat="1" ht="15">
      <c r="A21" s="27"/>
      <c r="B21" s="59" t="s">
        <v>17</v>
      </c>
      <c r="C21" s="60">
        <v>0</v>
      </c>
    </row>
    <row r="22" spans="1:3" s="10" customFormat="1" ht="15">
      <c r="A22" s="27"/>
      <c r="B22" s="28"/>
      <c r="C22" s="27"/>
    </row>
    <row r="23" spans="1:3" s="10" customFormat="1" ht="30">
      <c r="A23" s="7" t="s">
        <v>0</v>
      </c>
      <c r="B23" s="45" t="s">
        <v>9</v>
      </c>
      <c r="C23" s="7" t="s">
        <v>10</v>
      </c>
    </row>
    <row r="24" spans="1:3" s="10" customFormat="1" ht="15">
      <c r="A24" s="7"/>
      <c r="B24" s="15"/>
      <c r="C24" s="7"/>
    </row>
    <row r="25" spans="1:3" s="10" customFormat="1" ht="15">
      <c r="A25" s="7"/>
      <c r="B25" s="15"/>
      <c r="C25" s="7">
        <v>0</v>
      </c>
    </row>
    <row r="26" spans="1:3" s="10" customFormat="1" ht="15">
      <c r="A26" s="7"/>
      <c r="B26" s="15" t="s">
        <v>1</v>
      </c>
      <c r="C26" s="7">
        <v>0</v>
      </c>
    </row>
    <row r="27" spans="1:3" s="10" customFormat="1" ht="15">
      <c r="A27" s="7"/>
      <c r="B27" s="15" t="s">
        <v>13</v>
      </c>
      <c r="C27" s="7">
        <f>C19+C21</f>
        <v>3738.96</v>
      </c>
    </row>
    <row r="28" s="1" customFormat="1" ht="15">
      <c r="A28" s="5"/>
    </row>
    <row r="29" s="1" customFormat="1" ht="15">
      <c r="A29" s="5"/>
    </row>
    <row r="30" spans="1:3" s="1" customFormat="1" ht="15">
      <c r="A30" s="5"/>
      <c r="B30" s="10" t="s">
        <v>18</v>
      </c>
      <c r="C30" s="10">
        <v>74236.14</v>
      </c>
    </row>
    <row r="31" spans="1:3" s="1" customFormat="1" ht="15">
      <c r="A31" s="5"/>
      <c r="B31" s="10" t="s">
        <v>19</v>
      </c>
      <c r="C31" s="10"/>
    </row>
    <row r="32" spans="1:3" s="1" customFormat="1" ht="15">
      <c r="A32" s="5"/>
      <c r="B32" s="10"/>
      <c r="C32" s="10"/>
    </row>
    <row r="33" spans="1:3" s="1" customFormat="1" ht="15">
      <c r="A33" s="5"/>
      <c r="B33" s="10"/>
      <c r="C33" s="10"/>
    </row>
    <row r="34" spans="1:3" s="1" customFormat="1" ht="15">
      <c r="A34" s="5"/>
      <c r="B34" s="10"/>
      <c r="C34" s="10"/>
    </row>
    <row r="35" spans="1:3" s="1" customFormat="1" ht="15">
      <c r="A35" s="5"/>
      <c r="B35" s="10"/>
      <c r="C35" s="10"/>
    </row>
    <row r="36" spans="1:3" s="1" customFormat="1" ht="15">
      <c r="A36" s="5"/>
      <c r="B36" s="34"/>
      <c r="C36" s="10"/>
    </row>
    <row r="37" s="1" customFormat="1" ht="15">
      <c r="A37" s="35"/>
    </row>
    <row r="38" spans="1:3" s="1" customFormat="1" ht="15">
      <c r="A38" s="121" t="s">
        <v>20</v>
      </c>
      <c r="B38" s="122"/>
      <c r="C38" s="122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pans="1:2" s="1" customFormat="1" ht="15">
      <c r="A64" s="5"/>
      <c r="B64"/>
    </row>
  </sheetData>
  <sheetProtection/>
  <mergeCells count="2">
    <mergeCell ref="A1:B1"/>
    <mergeCell ref="A38:C3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D2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4" s="18" customFormat="1" ht="15.75">
      <c r="A1" s="125" t="s">
        <v>2</v>
      </c>
      <c r="B1" s="125"/>
      <c r="C1" s="93"/>
      <c r="D1" s="93"/>
    </row>
    <row r="2" spans="1:4" s="18" customFormat="1" ht="15.75">
      <c r="A2" s="94" t="s">
        <v>3</v>
      </c>
      <c r="B2" s="95"/>
      <c r="C2" s="93"/>
      <c r="D2" s="93"/>
    </row>
    <row r="3" spans="1:4" s="18" customFormat="1" ht="15.75">
      <c r="A3" s="94" t="s">
        <v>170</v>
      </c>
      <c r="B3" s="95"/>
      <c r="C3" s="93"/>
      <c r="D3" s="93"/>
    </row>
    <row r="4" spans="1:4" s="18" customFormat="1" ht="15.75">
      <c r="A4" s="96"/>
      <c r="B4" s="97" t="s">
        <v>7</v>
      </c>
      <c r="C4" s="93"/>
      <c r="D4" s="93"/>
    </row>
    <row r="5" spans="1:4" ht="15">
      <c r="A5" s="98"/>
      <c r="B5" s="99"/>
      <c r="C5" s="99"/>
      <c r="D5" s="99"/>
    </row>
    <row r="6" spans="1:4" s="13" customFormat="1" ht="18.75">
      <c r="A6" s="100"/>
      <c r="B6" s="101" t="s">
        <v>249</v>
      </c>
      <c r="C6" s="102"/>
      <c r="D6" s="102"/>
    </row>
    <row r="7" spans="1:4" ht="15">
      <c r="A7" s="98"/>
      <c r="B7" s="57" t="s">
        <v>14</v>
      </c>
      <c r="C7" s="103">
        <v>-2618.1899999999996</v>
      </c>
      <c r="D7" s="99"/>
    </row>
    <row r="8" spans="1:5" ht="15">
      <c r="A8" s="98"/>
      <c r="B8" s="53" t="s">
        <v>8</v>
      </c>
      <c r="C8" s="103">
        <f>53.5*1.86*6+53.5*3.33*5</f>
        <v>1487.835</v>
      </c>
      <c r="D8" s="99"/>
      <c r="E8" s="24"/>
    </row>
    <row r="9" spans="1:4" ht="15">
      <c r="A9" s="98"/>
      <c r="B9" s="57" t="s">
        <v>17</v>
      </c>
      <c r="C9" s="58">
        <f>C8</f>
        <v>1487.835</v>
      </c>
      <c r="D9" s="99"/>
    </row>
    <row r="10" spans="1:4" ht="50.25" customHeight="1">
      <c r="A10" s="104" t="s">
        <v>0</v>
      </c>
      <c r="B10" s="104" t="s">
        <v>9</v>
      </c>
      <c r="C10" s="105" t="s">
        <v>10</v>
      </c>
      <c r="D10" s="99"/>
    </row>
    <row r="11" spans="1:4" s="1" customFormat="1" ht="15">
      <c r="A11" s="104"/>
      <c r="B11" s="106"/>
      <c r="C11" s="107"/>
      <c r="D11" s="87"/>
    </row>
    <row r="12" spans="1:4" s="1" customFormat="1" ht="15">
      <c r="A12" s="104"/>
      <c r="B12" s="108" t="s">
        <v>1</v>
      </c>
      <c r="C12" s="107">
        <f>SUM(C11:C11)</f>
        <v>0</v>
      </c>
      <c r="D12" s="87"/>
    </row>
    <row r="13" spans="1:4" s="10" customFormat="1" ht="15">
      <c r="A13" s="107"/>
      <c r="B13" s="109" t="s">
        <v>13</v>
      </c>
      <c r="C13" s="110">
        <f>C7+C8-C12</f>
        <v>-1130.3549999999996</v>
      </c>
      <c r="D13" s="114"/>
    </row>
    <row r="14" spans="1:4" s="10" customFormat="1" ht="15">
      <c r="A14" s="60"/>
      <c r="B14" s="111"/>
      <c r="C14" s="60"/>
      <c r="D14" s="114"/>
    </row>
    <row r="15" spans="1:4" s="1" customFormat="1" ht="15">
      <c r="A15" s="65"/>
      <c r="B15" s="87"/>
      <c r="C15" s="87"/>
      <c r="D15" s="87"/>
    </row>
    <row r="16" spans="1:4" s="1" customFormat="1" ht="15">
      <c r="A16" s="65"/>
      <c r="B16" s="114" t="s">
        <v>18</v>
      </c>
      <c r="C16" s="87">
        <v>0</v>
      </c>
      <c r="D16" s="87"/>
    </row>
    <row r="17" spans="1:4" s="1" customFormat="1" ht="15">
      <c r="A17" s="65"/>
      <c r="B17" s="112" t="s">
        <v>185</v>
      </c>
      <c r="C17" s="114"/>
      <c r="D17" s="87"/>
    </row>
    <row r="18" spans="1:4" s="1" customFormat="1" ht="15">
      <c r="A18" s="65"/>
      <c r="B18" s="114"/>
      <c r="C18" s="114"/>
      <c r="D18" s="87"/>
    </row>
    <row r="19" spans="1:4" s="1" customFormat="1" ht="15">
      <c r="A19" s="65"/>
      <c r="B19" s="116"/>
      <c r="C19" s="114"/>
      <c r="D19" s="87"/>
    </row>
    <row r="20" spans="1:4" s="1" customFormat="1" ht="15">
      <c r="A20" s="118"/>
      <c r="B20" s="112" t="s">
        <v>171</v>
      </c>
      <c r="C20" s="112"/>
      <c r="D20" s="87"/>
    </row>
    <row r="21" spans="1:4" s="1" customFormat="1" ht="15">
      <c r="A21" s="118"/>
      <c r="B21" s="112"/>
      <c r="C21" s="112"/>
      <c r="D21" s="87"/>
    </row>
    <row r="22" spans="1:4" s="1" customFormat="1" ht="15">
      <c r="A22" s="118"/>
      <c r="B22" s="114"/>
      <c r="C22" s="114"/>
      <c r="D22" s="87"/>
    </row>
    <row r="23" spans="1:4" s="1" customFormat="1" ht="15">
      <c r="A23" s="118"/>
      <c r="B23" s="114"/>
      <c r="C23" s="114"/>
      <c r="D23" s="87"/>
    </row>
    <row r="24" spans="1:4" s="1" customFormat="1" ht="15">
      <c r="A24" s="118"/>
      <c r="B24" s="114"/>
      <c r="C24" s="114"/>
      <c r="D24" s="87"/>
    </row>
    <row r="25" spans="1:4" s="1" customFormat="1" ht="15">
      <c r="A25" s="118"/>
      <c r="B25" s="87"/>
      <c r="C25" s="87"/>
      <c r="D25" s="87"/>
    </row>
    <row r="26" spans="1:4" s="1" customFormat="1" ht="15">
      <c r="A26" s="126" t="s">
        <v>20</v>
      </c>
      <c r="B26" s="127"/>
      <c r="C26" s="127"/>
      <c r="D26" s="87"/>
    </row>
    <row r="27" spans="1:4" s="1" customFormat="1" ht="15">
      <c r="A27" s="65"/>
      <c r="B27" s="87"/>
      <c r="C27" s="87"/>
      <c r="D27" s="87"/>
    </row>
    <row r="28" spans="1:4" s="1" customFormat="1" ht="15">
      <c r="A28" s="65"/>
      <c r="B28" s="87"/>
      <c r="C28" s="87"/>
      <c r="D28" s="87"/>
    </row>
    <row r="29" spans="1:4" s="1" customFormat="1" ht="15">
      <c r="A29" s="65"/>
      <c r="B29" s="87"/>
      <c r="C29" s="87"/>
      <c r="D29" s="87"/>
    </row>
    <row r="30" s="1" customFormat="1" ht="15">
      <c r="A30" s="5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pans="1:2" s="1" customFormat="1" ht="15">
      <c r="A52" s="5"/>
      <c r="B52"/>
    </row>
  </sheetData>
  <sheetProtection/>
  <mergeCells count="2">
    <mergeCell ref="A1:B1"/>
    <mergeCell ref="A26:C26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3">
      <selection activeCell="C24" sqref="C24:C2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7771.8099999999995</v>
      </c>
    </row>
    <row r="8" spans="2:5" ht="15">
      <c r="B8" s="14" t="s">
        <v>8</v>
      </c>
      <c r="C8" s="38">
        <f>53.4*3.2*6+53.4*5.49*6</f>
        <v>2784.276</v>
      </c>
      <c r="E8" s="24"/>
    </row>
    <row r="9" spans="2:3" ht="15">
      <c r="B9" s="31" t="s">
        <v>17</v>
      </c>
      <c r="C9" s="47">
        <v>15210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/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10556.086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3" s="1" customFormat="1" ht="15">
      <c r="A16" s="5"/>
      <c r="B16" s="10" t="s">
        <v>18</v>
      </c>
      <c r="C16" s="1">
        <v>0</v>
      </c>
    </row>
    <row r="17" spans="1:3" s="1" customFormat="1" ht="15">
      <c r="A17" s="5"/>
      <c r="B17" s="17" t="s">
        <v>185</v>
      </c>
      <c r="C17" s="10"/>
    </row>
    <row r="18" spans="1:3" s="1" customFormat="1" ht="15">
      <c r="A18" s="5"/>
      <c r="B18" s="10"/>
      <c r="C18" s="10"/>
    </row>
    <row r="19" spans="1:3" s="1" customFormat="1" ht="15">
      <c r="A19" s="5"/>
      <c r="B19" s="34"/>
      <c r="C19" s="10"/>
    </row>
    <row r="20" spans="1:3" s="1" customFormat="1" ht="15">
      <c r="A20" s="35"/>
      <c r="B20" s="17" t="s">
        <v>23</v>
      </c>
      <c r="C20" s="17"/>
    </row>
    <row r="21" spans="1:3" s="1" customFormat="1" ht="15">
      <c r="A21" s="35"/>
      <c r="B21" s="17"/>
      <c r="C21" s="17"/>
    </row>
    <row r="22" spans="1:3" s="1" customFormat="1" ht="15">
      <c r="A22" s="67"/>
      <c r="B22" s="17" t="s">
        <v>191</v>
      </c>
      <c r="C22" s="17">
        <f>53.4*5.49*12+C13</f>
        <v>14074.078</v>
      </c>
    </row>
    <row r="23" spans="1:3" s="1" customFormat="1" ht="15">
      <c r="A23" s="67"/>
      <c r="B23" s="17"/>
      <c r="C23" s="17"/>
    </row>
    <row r="24" spans="1:3" s="1" customFormat="1" ht="15">
      <c r="A24" s="72">
        <v>1</v>
      </c>
      <c r="B24" s="70" t="s">
        <v>192</v>
      </c>
      <c r="C24" s="83" t="s">
        <v>217</v>
      </c>
    </row>
    <row r="25" spans="1:3" s="1" customFormat="1" ht="15">
      <c r="A25" s="77"/>
      <c r="B25" s="71" t="s">
        <v>193</v>
      </c>
      <c r="C25" s="75"/>
    </row>
    <row r="26" spans="1:3" s="1" customFormat="1" ht="15">
      <c r="A26" s="67"/>
      <c r="B26" s="10"/>
      <c r="C26" s="10"/>
    </row>
    <row r="27" spans="1:3" s="1" customFormat="1" ht="15">
      <c r="A27" s="67"/>
      <c r="B27" s="10"/>
      <c r="C27" s="10"/>
    </row>
    <row r="28" spans="1:3" s="1" customFormat="1" ht="15">
      <c r="A28" s="35"/>
      <c r="B28" s="10"/>
      <c r="C28" s="10"/>
    </row>
    <row r="29" s="1" customFormat="1" ht="15">
      <c r="A29" s="35"/>
    </row>
    <row r="30" spans="1:3" s="1" customFormat="1" ht="15">
      <c r="A30" s="121" t="s">
        <v>20</v>
      </c>
      <c r="B30" s="122"/>
      <c r="C30" s="122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pans="1:2" s="1" customFormat="1" ht="15">
      <c r="A56" s="5"/>
      <c r="B56"/>
    </row>
  </sheetData>
  <sheetProtection/>
  <mergeCells count="2">
    <mergeCell ref="A1:B1"/>
    <mergeCell ref="A30:C3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7">
      <selection activeCell="A32" sqref="A32:C37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145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21658.91</v>
      </c>
    </row>
    <row r="8" spans="2:5" ht="15">
      <c r="B8" s="14" t="s">
        <v>8</v>
      </c>
      <c r="C8" s="38">
        <f>86.94*1.66*6+86.94*4.05*6</f>
        <v>2978.5643999999998</v>
      </c>
      <c r="E8" s="24"/>
    </row>
    <row r="9" spans="2:3" ht="15">
      <c r="B9" s="31" t="s">
        <v>17</v>
      </c>
      <c r="C9" s="47">
        <f>C8*1.0478</f>
        <v>3120.9397783199997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24637.4744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5633.74</v>
      </c>
    </row>
    <row r="19" spans="1:3" s="1" customFormat="1" ht="15">
      <c r="A19" s="5"/>
      <c r="B19" s="14" t="s">
        <v>8</v>
      </c>
      <c r="C19" s="10">
        <v>2816.88</v>
      </c>
    </row>
    <row r="20" spans="1:3" s="1" customFormat="1" ht="15">
      <c r="A20" s="5"/>
      <c r="B20" s="14" t="s">
        <v>17</v>
      </c>
      <c r="C20" s="49">
        <f>C19*1.0478</f>
        <v>2951.5268640000004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8450.619999999999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11267.5</v>
      </c>
    </row>
    <row r="33" spans="1:3" s="1" customFormat="1" ht="15">
      <c r="A33" s="67"/>
      <c r="B33" s="17" t="s">
        <v>191</v>
      </c>
      <c r="C33" s="88">
        <f>86.94*4.05*12+C13</f>
        <v>28862.7584</v>
      </c>
    </row>
    <row r="34" spans="1:3" s="1" customFormat="1" ht="15">
      <c r="A34" s="67"/>
      <c r="B34" s="17"/>
      <c r="C34" s="17"/>
    </row>
    <row r="35" spans="1:3" s="1" customFormat="1" ht="15">
      <c r="A35" s="7">
        <v>1</v>
      </c>
      <c r="B35" s="50" t="s">
        <v>146</v>
      </c>
      <c r="C35" s="50" t="s">
        <v>225</v>
      </c>
    </row>
    <row r="36" spans="1:3" s="1" customFormat="1" ht="15">
      <c r="A36" s="72">
        <v>2</v>
      </c>
      <c r="B36" s="70" t="s">
        <v>192</v>
      </c>
      <c r="C36" s="74" t="s">
        <v>215</v>
      </c>
    </row>
    <row r="37" spans="1:3" s="1" customFormat="1" ht="15">
      <c r="A37" s="77"/>
      <c r="B37" s="71" t="s">
        <v>193</v>
      </c>
      <c r="C37" s="75"/>
    </row>
    <row r="38" spans="1:3" s="1" customFormat="1" ht="15">
      <c r="A38" s="67"/>
      <c r="B38" s="10"/>
      <c r="C38" s="10"/>
    </row>
    <row r="39" spans="1:3" s="1" customFormat="1" ht="15">
      <c r="A39" s="67"/>
      <c r="B39" s="10"/>
      <c r="C39" s="10"/>
    </row>
    <row r="40" spans="1:3" s="1" customFormat="1" ht="15">
      <c r="A40" s="35"/>
      <c r="B40" s="10"/>
      <c r="C40" s="10"/>
    </row>
    <row r="41" s="1" customFormat="1" ht="15">
      <c r="A41" s="35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pans="1:3" s="1" customFormat="1" ht="15">
      <c r="A45" s="67"/>
      <c r="B45" s="17"/>
      <c r="C45" s="17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34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-20039.78</v>
      </c>
    </row>
    <row r="8" spans="2:5" ht="15">
      <c r="B8" s="14" t="s">
        <v>8</v>
      </c>
      <c r="C8" s="38">
        <f>442.09*0.86*6+442.09*1.27*6</f>
        <v>5649.9102</v>
      </c>
      <c r="E8" s="24"/>
    </row>
    <row r="9" spans="2:3" ht="15">
      <c r="B9" s="31" t="s">
        <v>17</v>
      </c>
      <c r="C9" s="47">
        <f>C8*0.9903</f>
        <v>5595.10607106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35</v>
      </c>
      <c r="C11" s="3">
        <v>221.55</v>
      </c>
    </row>
    <row r="12" spans="1:3" s="1" customFormat="1" ht="15">
      <c r="A12" s="3">
        <v>2</v>
      </c>
      <c r="B12" s="2" t="s">
        <v>12</v>
      </c>
      <c r="C12" s="3">
        <v>814.7</v>
      </c>
    </row>
    <row r="13" spans="1:3" s="1" customFormat="1" ht="15">
      <c r="A13" s="3">
        <v>3</v>
      </c>
      <c r="B13" s="2" t="s">
        <v>36</v>
      </c>
      <c r="C13" s="3">
        <v>5499.49</v>
      </c>
    </row>
    <row r="14" spans="1:3" s="1" customFormat="1" ht="15">
      <c r="A14" s="3"/>
      <c r="B14" s="8" t="s">
        <v>1</v>
      </c>
      <c r="C14" s="7">
        <f>SUM(C11:C13)</f>
        <v>6535.74</v>
      </c>
    </row>
    <row r="15" spans="1:3" s="10" customFormat="1" ht="15">
      <c r="A15" s="7"/>
      <c r="B15" s="15" t="s">
        <v>13</v>
      </c>
      <c r="C15" s="29">
        <f>C7+C8-C14</f>
        <v>-20925.6098</v>
      </c>
    </row>
    <row r="16" spans="1:3" s="10" customFormat="1" ht="30">
      <c r="A16" s="7"/>
      <c r="B16" s="15" t="s">
        <v>180</v>
      </c>
      <c r="C16" s="29">
        <f>C15+C27</f>
        <v>-21978.692304</v>
      </c>
    </row>
    <row r="17" spans="1:3" s="10" customFormat="1" ht="15">
      <c r="A17" s="27"/>
      <c r="B17" s="28"/>
      <c r="C17" s="27"/>
    </row>
    <row r="18" s="1" customFormat="1" ht="15">
      <c r="A18" s="5"/>
    </row>
    <row r="19" spans="1:2" s="1" customFormat="1" ht="18.75">
      <c r="A19" s="5"/>
      <c r="B19" s="17" t="s">
        <v>5</v>
      </c>
    </row>
    <row r="20" spans="1:2" s="10" customFormat="1" ht="15">
      <c r="A20" s="32"/>
      <c r="B20" s="1"/>
    </row>
    <row r="21" spans="1:3" s="1" customFormat="1" ht="15">
      <c r="A21" s="5"/>
      <c r="B21" s="14" t="s">
        <v>14</v>
      </c>
      <c r="C21" s="10">
        <v>6062.32</v>
      </c>
    </row>
    <row r="22" spans="1:3" s="1" customFormat="1" ht="15">
      <c r="A22" s="5"/>
      <c r="B22" s="14" t="s">
        <v>8</v>
      </c>
      <c r="C22" s="10">
        <v>8302.32</v>
      </c>
    </row>
    <row r="23" spans="1:3" s="1" customFormat="1" ht="15">
      <c r="A23" s="5"/>
      <c r="B23" s="53" t="s">
        <v>17</v>
      </c>
      <c r="C23" s="54">
        <f>C22*0.9903</f>
        <v>8221.787495999999</v>
      </c>
    </row>
    <row r="24" spans="1:3" s="1" customFormat="1" ht="30">
      <c r="A24" s="3" t="s">
        <v>0</v>
      </c>
      <c r="B24" s="3" t="s">
        <v>9</v>
      </c>
      <c r="C24" s="9" t="s">
        <v>10</v>
      </c>
    </row>
    <row r="25" spans="1:3" s="1" customFormat="1" ht="15">
      <c r="A25" s="3">
        <v>1</v>
      </c>
      <c r="B25" s="30" t="s">
        <v>37</v>
      </c>
      <c r="C25" s="3">
        <v>15337.19</v>
      </c>
    </row>
    <row r="26" spans="1:3" s="1" customFormat="1" ht="15">
      <c r="A26" s="3"/>
      <c r="B26" s="8" t="s">
        <v>1</v>
      </c>
      <c r="C26" s="7">
        <f>SUM(C25:C25)</f>
        <v>15337.19</v>
      </c>
    </row>
    <row r="27" spans="1:3" s="1" customFormat="1" ht="15">
      <c r="A27" s="3"/>
      <c r="B27" s="8" t="s">
        <v>13</v>
      </c>
      <c r="C27" s="29">
        <f>C21+C23-C26</f>
        <v>-1053.0825040000018</v>
      </c>
    </row>
    <row r="28" s="1" customFormat="1" ht="15">
      <c r="A28" s="5"/>
    </row>
    <row r="29" spans="1:3" s="1" customFormat="1" ht="15">
      <c r="A29" s="5"/>
      <c r="B29" s="10" t="s">
        <v>18</v>
      </c>
      <c r="C29" s="10">
        <v>0</v>
      </c>
    </row>
    <row r="30" spans="1:3" s="1" customFormat="1" ht="15">
      <c r="A30" s="5"/>
      <c r="B30" s="17" t="s">
        <v>185</v>
      </c>
      <c r="C30" s="10"/>
    </row>
    <row r="31" spans="1:3" s="1" customFormat="1" ht="15">
      <c r="A31" s="5"/>
      <c r="B31" s="10"/>
      <c r="C31" s="10"/>
    </row>
    <row r="32" spans="1:3" s="1" customFormat="1" ht="15">
      <c r="A32" s="5"/>
      <c r="B32" s="10"/>
      <c r="C32" s="10"/>
    </row>
    <row r="33" spans="1:3" s="1" customFormat="1" ht="15">
      <c r="A33" s="5"/>
      <c r="B33" s="10"/>
      <c r="C33" s="10"/>
    </row>
    <row r="34" spans="1:3" s="1" customFormat="1" ht="15">
      <c r="A34" s="5"/>
      <c r="B34" s="68" t="s">
        <v>190</v>
      </c>
      <c r="C34" s="69">
        <f>442.09*1.27*12+C16</f>
        <v>-15241.240704</v>
      </c>
    </row>
    <row r="35" spans="1:3" s="1" customFormat="1" ht="15">
      <c r="A35" s="5"/>
      <c r="B35" s="10"/>
      <c r="C35" s="10"/>
    </row>
    <row r="36" spans="1:3" s="1" customFormat="1" ht="15">
      <c r="A36" s="5"/>
      <c r="B36" s="10"/>
      <c r="C36" s="10"/>
    </row>
    <row r="37" spans="1:3" s="1" customFormat="1" ht="15">
      <c r="A37" s="5"/>
      <c r="B37" s="10"/>
      <c r="C37" s="10"/>
    </row>
    <row r="38" spans="1:3" s="1" customFormat="1" ht="15">
      <c r="A38" s="5"/>
      <c r="B38" s="10"/>
      <c r="C38" s="10"/>
    </row>
    <row r="39" s="1" customFormat="1" ht="15">
      <c r="A39" s="5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0">
      <selection activeCell="C35" sqref="C35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9494.47</v>
      </c>
    </row>
    <row r="8" spans="2:5" ht="15">
      <c r="B8" s="14" t="s">
        <v>8</v>
      </c>
      <c r="C8" s="38">
        <f>79.8*0.87*6+79.8*3.39*6</f>
        <v>2039.688</v>
      </c>
      <c r="E8" s="24"/>
    </row>
    <row r="9" spans="2:3" ht="15">
      <c r="B9" s="31" t="s">
        <v>17</v>
      </c>
      <c r="C9" s="47">
        <f>C8*1.1056</f>
        <v>2255.0790527999998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11534.158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-12236.71</v>
      </c>
    </row>
    <row r="19" spans="1:3" s="1" customFormat="1" ht="15">
      <c r="A19" s="5"/>
      <c r="B19" s="14" t="s">
        <v>8</v>
      </c>
      <c r="C19" s="10">
        <v>1283.04</v>
      </c>
    </row>
    <row r="20" spans="1:3" s="1" customFormat="1" ht="15">
      <c r="A20" s="5"/>
      <c r="B20" s="14" t="s">
        <v>17</v>
      </c>
      <c r="C20" s="49">
        <f>C19*1.1056</f>
        <v>1418.529024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-10953.669999999998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-9670.629999999997</v>
      </c>
    </row>
    <row r="33" spans="1:3" s="1" customFormat="1" ht="15">
      <c r="A33" s="67"/>
      <c r="B33" s="17" t="s">
        <v>191</v>
      </c>
      <c r="C33" s="88">
        <f>79.8*3.39*12+C13</f>
        <v>14780.421999999999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70" t="s">
        <v>192</v>
      </c>
      <c r="C35" s="83" t="s">
        <v>226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7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67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0">
      <selection activeCell="F32" sqref="F32:F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17982.66</v>
      </c>
    </row>
    <row r="8" spans="2:5" ht="15">
      <c r="B8" s="14" t="s">
        <v>8</v>
      </c>
      <c r="C8" s="38">
        <f>91.87*3.47*6+91.87*4.11*6</f>
        <v>4178.247600000001</v>
      </c>
      <c r="E8" s="24"/>
    </row>
    <row r="9" spans="2:3" ht="15">
      <c r="B9" s="31" t="s">
        <v>17</v>
      </c>
      <c r="C9" s="25">
        <v>0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22160.9076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2978.88</v>
      </c>
    </row>
    <row r="19" spans="1:3" s="1" customFormat="1" ht="15">
      <c r="A19" s="5"/>
      <c r="B19" s="14" t="s">
        <v>8</v>
      </c>
      <c r="C19" s="1">
        <v>1489.44</v>
      </c>
    </row>
    <row r="20" spans="1:3" s="1" customFormat="1" ht="15">
      <c r="A20" s="5"/>
      <c r="B20" s="14" t="s">
        <v>17</v>
      </c>
      <c r="C20" s="1">
        <v>0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4468.32</v>
      </c>
    </row>
    <row r="26" s="1" customFormat="1" ht="15">
      <c r="A26" s="5"/>
    </row>
    <row r="27" spans="1:3" s="1" customFormat="1" ht="15">
      <c r="A27" s="5"/>
      <c r="B27" s="10" t="s">
        <v>18</v>
      </c>
      <c r="C27" s="114">
        <v>40112.6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67"/>
      <c r="B30" s="10"/>
      <c r="C30" s="10"/>
    </row>
    <row r="31" spans="1:3" s="1" customFormat="1" ht="15">
      <c r="A31" s="35"/>
      <c r="B31" s="10"/>
      <c r="C31" s="10"/>
    </row>
    <row r="32" s="1" customFormat="1" ht="15">
      <c r="A32" s="35"/>
    </row>
    <row r="33" spans="1:3" s="1" customFormat="1" ht="15">
      <c r="A33" s="121" t="s">
        <v>20</v>
      </c>
      <c r="B33" s="122"/>
      <c r="C33" s="122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pans="1:2" s="1" customFormat="1" ht="15">
      <c r="A59" s="5"/>
      <c r="B59"/>
    </row>
  </sheetData>
  <sheetProtection/>
  <mergeCells count="2">
    <mergeCell ref="A1:B1"/>
    <mergeCell ref="A33:C3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C24" sqref="C24:C2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149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5665.92</v>
      </c>
    </row>
    <row r="8" spans="2:5" ht="15">
      <c r="B8" s="14" t="s">
        <v>8</v>
      </c>
      <c r="C8" s="38">
        <f>72.14*0.58*6+72.14*1.79*6</f>
        <v>1025.8308000000002</v>
      </c>
      <c r="E8" s="24"/>
    </row>
    <row r="9" spans="2:3" ht="15">
      <c r="B9" s="31" t="s">
        <v>17</v>
      </c>
      <c r="C9" s="47">
        <f>C8</f>
        <v>1025.8308000000002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6691.7508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3" s="1" customFormat="1" ht="15">
      <c r="A16" s="5"/>
      <c r="B16" s="10" t="s">
        <v>18</v>
      </c>
      <c r="C16" s="1">
        <v>0</v>
      </c>
    </row>
    <row r="17" spans="1:3" s="1" customFormat="1" ht="15">
      <c r="A17" s="5"/>
      <c r="B17" s="17" t="s">
        <v>185</v>
      </c>
      <c r="C17" s="10"/>
    </row>
    <row r="18" spans="1:3" s="1" customFormat="1" ht="15">
      <c r="A18" s="5"/>
      <c r="B18" s="10"/>
      <c r="C18" s="10"/>
    </row>
    <row r="19" spans="1:3" s="1" customFormat="1" ht="15">
      <c r="A19" s="5"/>
      <c r="B19" s="34"/>
      <c r="C19" s="10"/>
    </row>
    <row r="20" spans="1:3" s="1" customFormat="1" ht="15">
      <c r="A20" s="35"/>
      <c r="B20" s="17" t="s">
        <v>23</v>
      </c>
      <c r="C20" s="17"/>
    </row>
    <row r="21" spans="1:3" s="1" customFormat="1" ht="15">
      <c r="A21" s="35"/>
      <c r="B21" s="17"/>
      <c r="C21" s="17"/>
    </row>
    <row r="22" spans="1:3" s="1" customFormat="1" ht="15">
      <c r="A22" s="67"/>
      <c r="B22" s="17" t="s">
        <v>191</v>
      </c>
      <c r="C22" s="88">
        <f>72.14*1.79*12+C13</f>
        <v>8241.318</v>
      </c>
    </row>
    <row r="23" spans="1:3" s="1" customFormat="1" ht="15">
      <c r="A23" s="67"/>
      <c r="B23" s="17"/>
      <c r="C23" s="17"/>
    </row>
    <row r="24" spans="1:3" s="1" customFormat="1" ht="15">
      <c r="A24" s="72">
        <v>1</v>
      </c>
      <c r="B24" s="70" t="s">
        <v>192</v>
      </c>
      <c r="C24" s="83" t="s">
        <v>208</v>
      </c>
    </row>
    <row r="25" spans="1:3" s="1" customFormat="1" ht="15">
      <c r="A25" s="77"/>
      <c r="B25" s="71" t="s">
        <v>193</v>
      </c>
      <c r="C25" s="75"/>
    </row>
    <row r="26" spans="1:3" s="1" customFormat="1" ht="15">
      <c r="A26" s="67"/>
      <c r="B26" s="10"/>
      <c r="C26" s="10"/>
    </row>
    <row r="27" spans="1:3" s="1" customFormat="1" ht="15">
      <c r="A27" s="67"/>
      <c r="B27" s="10"/>
      <c r="C27" s="10"/>
    </row>
    <row r="28" spans="1:3" s="1" customFormat="1" ht="15">
      <c r="A28" s="35"/>
      <c r="B28" s="10"/>
      <c r="C28" s="10"/>
    </row>
    <row r="29" s="1" customFormat="1" ht="15">
      <c r="A29" s="35"/>
    </row>
    <row r="30" spans="1:3" s="1" customFormat="1" ht="15">
      <c r="A30" s="121" t="s">
        <v>20</v>
      </c>
      <c r="B30" s="122"/>
      <c r="C30" s="122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pans="1:2" s="1" customFormat="1" ht="15">
      <c r="A56" s="5"/>
      <c r="B56"/>
    </row>
  </sheetData>
  <sheetProtection/>
  <mergeCells count="2">
    <mergeCell ref="A1:B1"/>
    <mergeCell ref="A30:C3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2" sqref="A32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1690.54</v>
      </c>
    </row>
    <row r="8" spans="2:5" ht="15">
      <c r="B8" s="14" t="s">
        <v>8</v>
      </c>
      <c r="C8" s="38">
        <f>93.4*0.58*6+93.4*1.9*6</f>
        <v>1389.792</v>
      </c>
      <c r="E8" s="24"/>
    </row>
    <row r="9" spans="2:3" ht="15">
      <c r="B9" s="31" t="s">
        <v>17</v>
      </c>
      <c r="C9" s="47">
        <f>C8</f>
        <v>1389.792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3080.332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-5108.99</v>
      </c>
    </row>
    <row r="19" spans="1:3" s="1" customFormat="1" ht="15">
      <c r="A19" s="5"/>
      <c r="B19" s="14" t="s">
        <v>8</v>
      </c>
      <c r="C19" s="10">
        <v>3026.16</v>
      </c>
    </row>
    <row r="20" spans="1:3" s="1" customFormat="1" ht="15">
      <c r="A20" s="5"/>
      <c r="B20" s="14" t="s">
        <v>17</v>
      </c>
      <c r="C20" s="10">
        <f>C19</f>
        <v>3026.16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-2082.83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943.3299999999999</v>
      </c>
    </row>
    <row r="33" spans="1:3" s="1" customFormat="1" ht="15">
      <c r="A33" s="67"/>
      <c r="B33" s="17" t="s">
        <v>191</v>
      </c>
      <c r="C33" s="88">
        <f>93.4*1.9*12+C13</f>
        <v>5209.852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70" t="s">
        <v>192</v>
      </c>
      <c r="C35" s="83" t="s">
        <v>204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7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1">
      <selection activeCell="B14" sqref="B14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6641.658</v>
      </c>
    </row>
    <row r="8" spans="2:5" ht="15">
      <c r="B8" s="14" t="s">
        <v>8</v>
      </c>
      <c r="C8" s="38">
        <f>101.7*1.48*6+101.7*0.84*6</f>
        <v>1415.664</v>
      </c>
      <c r="E8" s="24"/>
    </row>
    <row r="9" spans="2:3" ht="15">
      <c r="B9" s="31" t="s">
        <v>17</v>
      </c>
      <c r="C9" s="25">
        <f>C8*1.0085</f>
        <v>1427.697144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8057.322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6590.16</v>
      </c>
    </row>
    <row r="19" spans="1:3" s="1" customFormat="1" ht="15">
      <c r="A19" s="5"/>
      <c r="B19" s="14" t="s">
        <v>8</v>
      </c>
      <c r="C19" s="10">
        <v>3295.08</v>
      </c>
    </row>
    <row r="20" spans="1:3" s="1" customFormat="1" ht="15">
      <c r="A20" s="5"/>
      <c r="B20" s="14" t="s">
        <v>17</v>
      </c>
      <c r="C20" s="49">
        <f>C19*1.0085</f>
        <v>3323.0881799999997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9885.24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 t="s">
        <v>197</v>
      </c>
      <c r="C32" s="17">
        <f>C19+C25</f>
        <v>13180.32</v>
      </c>
    </row>
    <row r="33" spans="1:3" s="1" customFormat="1" ht="15">
      <c r="A33" s="67"/>
      <c r="B33" s="17" t="s">
        <v>191</v>
      </c>
      <c r="C33" s="88">
        <f>101.7*0.84*12+C13</f>
        <v>9082.458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70" t="s">
        <v>192</v>
      </c>
      <c r="C35" s="83" t="s">
        <v>227</v>
      </c>
    </row>
    <row r="36" spans="1:3" s="1" customFormat="1" ht="15">
      <c r="A36" s="77"/>
      <c r="B36" s="71" t="s">
        <v>193</v>
      </c>
      <c r="C36" s="75"/>
    </row>
    <row r="37" spans="1:3" s="1" customFormat="1" ht="15">
      <c r="A37" s="67"/>
      <c r="B37" s="10"/>
      <c r="C37" s="10"/>
    </row>
    <row r="38" spans="1:3" s="1" customFormat="1" ht="15">
      <c r="A38" s="67"/>
      <c r="B38" s="10"/>
      <c r="C38" s="10"/>
    </row>
    <row r="39" spans="1:3" s="1" customFormat="1" ht="15">
      <c r="A39" s="35"/>
      <c r="B39" s="10"/>
      <c r="C39" s="10"/>
    </row>
    <row r="40" s="1" customFormat="1" ht="15">
      <c r="A40" s="35"/>
    </row>
    <row r="41" spans="1:3" s="1" customFormat="1" ht="15">
      <c r="A41" s="121" t="s">
        <v>20</v>
      </c>
      <c r="B41" s="122"/>
      <c r="C41" s="122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pans="1:2" s="1" customFormat="1" ht="15">
      <c r="A67" s="5"/>
      <c r="B67"/>
    </row>
  </sheetData>
  <sheetProtection/>
  <mergeCells count="2">
    <mergeCell ref="A1:B1"/>
    <mergeCell ref="A41:C4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7">
      <selection activeCell="D42" sqref="D4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152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-1637.4199999999992</v>
      </c>
    </row>
    <row r="8" spans="2:5" ht="15">
      <c r="B8" s="14" t="s">
        <v>8</v>
      </c>
      <c r="C8" s="38">
        <f>1265.1*0.62*6+1265.1*1.14*6</f>
        <v>13359.455999999998</v>
      </c>
      <c r="E8" s="24"/>
    </row>
    <row r="9" spans="2:3" ht="15">
      <c r="B9" s="31" t="s">
        <v>17</v>
      </c>
      <c r="C9" s="47">
        <f>C8*0.8806</f>
        <v>11764.3369536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11722.036</v>
      </c>
    </row>
    <row r="14" spans="1:3" s="10" customFormat="1" ht="30">
      <c r="A14" s="7"/>
      <c r="B14" s="50" t="s">
        <v>179</v>
      </c>
      <c r="C14" s="29">
        <f>C13+C25</f>
        <v>30535.17143999997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9111.149999999965</v>
      </c>
    </row>
    <row r="19" spans="1:3" s="1" customFormat="1" ht="15">
      <c r="A19" s="5"/>
      <c r="B19" s="14" t="s">
        <v>8</v>
      </c>
      <c r="C19" s="10">
        <v>35672.4</v>
      </c>
    </row>
    <row r="20" spans="1:3" s="1" customFormat="1" ht="15">
      <c r="A20" s="65"/>
      <c r="B20" s="53" t="s">
        <v>17</v>
      </c>
      <c r="C20" s="54">
        <f>C19*0.8806</f>
        <v>31413.11544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153</v>
      </c>
      <c r="C22" s="7">
        <v>8511.13</v>
      </c>
    </row>
    <row r="23" spans="1:3" s="1" customFormat="1" ht="15">
      <c r="A23" s="3">
        <v>2</v>
      </c>
      <c r="B23" s="30" t="s">
        <v>235</v>
      </c>
      <c r="C23" s="7">
        <v>13200</v>
      </c>
    </row>
    <row r="24" spans="1:3" s="1" customFormat="1" ht="15">
      <c r="A24" s="3"/>
      <c r="B24" s="8" t="s">
        <v>1</v>
      </c>
      <c r="C24" s="7">
        <f>SUM(C22:C23)</f>
        <v>21711.129999999997</v>
      </c>
    </row>
    <row r="25" spans="1:3" s="1" customFormat="1" ht="15">
      <c r="A25" s="3"/>
      <c r="B25" s="8" t="s">
        <v>13</v>
      </c>
      <c r="C25" s="29">
        <f>C18+C20-C24</f>
        <v>18813.13543999997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110992.28</v>
      </c>
    </row>
    <row r="28" spans="1:3" s="1" customFormat="1" ht="15">
      <c r="A28" s="5"/>
      <c r="B28" s="17" t="s">
        <v>185</v>
      </c>
      <c r="C28" s="10">
        <v>70791.08</v>
      </c>
    </row>
    <row r="29" spans="1:3" s="1" customFormat="1" ht="15">
      <c r="A29" s="5"/>
      <c r="B29" s="17" t="s">
        <v>187</v>
      </c>
      <c r="C29" s="10">
        <v>40201.2</v>
      </c>
    </row>
    <row r="30" spans="1:3" s="1" customFormat="1" ht="15">
      <c r="A30" s="5"/>
      <c r="B30" s="34"/>
      <c r="C30" s="10"/>
    </row>
    <row r="31" spans="1:3" s="1" customFormat="1" ht="15">
      <c r="A31" s="35"/>
      <c r="B31" s="17" t="s">
        <v>23</v>
      </c>
      <c r="C31" s="17"/>
    </row>
    <row r="32" spans="1:3" s="1" customFormat="1" ht="15">
      <c r="A32" s="67"/>
      <c r="B32" s="17"/>
      <c r="C32" s="17"/>
    </row>
    <row r="33" spans="1:3" s="1" customFormat="1" ht="15">
      <c r="A33" s="67"/>
      <c r="B33" s="17" t="s">
        <v>191</v>
      </c>
      <c r="C33" s="88">
        <f>1265.1*1.14*12+C14</f>
        <v>47841.73943999996</v>
      </c>
    </row>
    <row r="34" spans="1:3" s="1" customFormat="1" ht="15">
      <c r="A34" s="67"/>
      <c r="B34" s="17"/>
      <c r="C34" s="17"/>
    </row>
    <row r="35" spans="1:3" s="1" customFormat="1" ht="15">
      <c r="A35" s="7">
        <v>1</v>
      </c>
      <c r="B35" s="50" t="s">
        <v>154</v>
      </c>
      <c r="C35" s="50" t="s">
        <v>228</v>
      </c>
    </row>
    <row r="36" spans="1:3" s="1" customFormat="1" ht="15">
      <c r="A36" s="7">
        <v>2</v>
      </c>
      <c r="B36" s="50" t="s">
        <v>155</v>
      </c>
      <c r="C36" s="50" t="s">
        <v>264</v>
      </c>
    </row>
    <row r="37" spans="1:3" s="1" customFormat="1" ht="15">
      <c r="A37" s="72">
        <v>3</v>
      </c>
      <c r="B37" s="81" t="s">
        <v>192</v>
      </c>
      <c r="C37" s="83" t="s">
        <v>258</v>
      </c>
    </row>
    <row r="38" spans="1:3" s="1" customFormat="1" ht="15">
      <c r="A38" s="77"/>
      <c r="B38" s="85" t="s">
        <v>193</v>
      </c>
      <c r="C38" s="90"/>
    </row>
    <row r="39" spans="1:3" s="1" customFormat="1" ht="15">
      <c r="A39" s="35"/>
      <c r="B39" s="17"/>
      <c r="C39" s="10"/>
    </row>
    <row r="40" spans="1:3" s="1" customFormat="1" ht="15">
      <c r="A40" s="35"/>
      <c r="B40" s="10"/>
      <c r="C40" s="10"/>
    </row>
    <row r="41" spans="1:3" s="1" customFormat="1" ht="15">
      <c r="A41" s="35"/>
      <c r="B41" s="10"/>
      <c r="C41" s="10"/>
    </row>
    <row r="42" s="1" customFormat="1" ht="15">
      <c r="A42" s="35"/>
    </row>
    <row r="43" spans="1:3" s="1" customFormat="1" ht="15">
      <c r="A43" s="121" t="s">
        <v>20</v>
      </c>
      <c r="B43" s="122"/>
      <c r="C43" s="122"/>
    </row>
    <row r="44" s="1" customFormat="1" ht="15">
      <c r="A44" s="5"/>
    </row>
    <row r="45" spans="1:3" s="1" customFormat="1" ht="15">
      <c r="A45" s="67"/>
      <c r="B45" s="17"/>
      <c r="C45" s="17"/>
    </row>
    <row r="46" spans="1:3" s="1" customFormat="1" ht="15">
      <c r="A46" s="67"/>
      <c r="B46" s="17"/>
      <c r="C46" s="10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pans="1:2" s="1" customFormat="1" ht="15">
      <c r="A69" s="5"/>
      <c r="B69"/>
    </row>
  </sheetData>
  <sheetProtection/>
  <mergeCells count="2">
    <mergeCell ref="A1:B1"/>
    <mergeCell ref="A43:C4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7">
      <selection activeCell="A32" sqref="A32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156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-4331.81</v>
      </c>
    </row>
    <row r="8" spans="2:5" ht="15">
      <c r="B8" s="14" t="s">
        <v>8</v>
      </c>
      <c r="C8" s="38">
        <f>90.7*1.51*6+90.7*3.81*6</f>
        <v>2895.1440000000002</v>
      </c>
      <c r="E8" s="24"/>
    </row>
    <row r="9" spans="2:3" ht="15">
      <c r="B9" s="31" t="s">
        <v>17</v>
      </c>
      <c r="C9" s="47">
        <f>C8</f>
        <v>2895.1440000000002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-1436.6660000000002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-4594.5</v>
      </c>
    </row>
    <row r="19" spans="1:3" s="1" customFormat="1" ht="15">
      <c r="A19" s="5"/>
      <c r="B19" s="14" t="s">
        <v>8</v>
      </c>
      <c r="C19" s="10">
        <v>1464.48</v>
      </c>
    </row>
    <row r="20" spans="1:3" s="1" customFormat="1" ht="15">
      <c r="A20" s="5"/>
      <c r="B20" s="14" t="s">
        <v>17</v>
      </c>
      <c r="C20" s="10">
        <f>C19</f>
        <v>1464.48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-3130.02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67"/>
      <c r="B31" s="17"/>
      <c r="C31" s="17"/>
    </row>
    <row r="32" spans="1:3" s="1" customFormat="1" ht="15">
      <c r="A32" s="67"/>
      <c r="B32" s="17" t="s">
        <v>197</v>
      </c>
      <c r="C32" s="17">
        <f>C19+C25</f>
        <v>-1665.54</v>
      </c>
    </row>
    <row r="33" spans="1:3" s="1" customFormat="1" ht="15">
      <c r="A33" s="67"/>
      <c r="B33" s="17" t="s">
        <v>191</v>
      </c>
      <c r="C33" s="88">
        <f>90.7*3.81*12+C13</f>
        <v>2710.138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81" t="s">
        <v>192</v>
      </c>
      <c r="C35" s="83" t="s">
        <v>229</v>
      </c>
    </row>
    <row r="36" spans="1:3" s="1" customFormat="1" ht="15">
      <c r="A36" s="77"/>
      <c r="B36" s="85" t="s">
        <v>193</v>
      </c>
      <c r="C36" s="75"/>
    </row>
    <row r="37" spans="1:3" s="1" customFormat="1" ht="15">
      <c r="A37" s="35"/>
      <c r="B37" s="10"/>
      <c r="C37" s="10"/>
    </row>
    <row r="38" spans="1:3" s="1" customFormat="1" ht="15">
      <c r="A38" s="35"/>
      <c r="B38" s="10"/>
      <c r="C38" s="10"/>
    </row>
    <row r="39" s="1" customFormat="1" ht="15">
      <c r="A39" s="35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20" sqref="A20:C22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157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-2118.52</v>
      </c>
    </row>
    <row r="8" spans="2:5" ht="15">
      <c r="B8" s="14" t="s">
        <v>8</v>
      </c>
      <c r="C8" s="38">
        <f>44.9*0.65*6+44.9*2.23*6</f>
        <v>775.872</v>
      </c>
      <c r="E8" s="24"/>
    </row>
    <row r="9" spans="2:3" ht="15">
      <c r="B9" s="31" t="s">
        <v>17</v>
      </c>
      <c r="C9" s="47">
        <f>C8*0.6448</f>
        <v>500.2822656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-1342.6480000000001</v>
      </c>
    </row>
    <row r="14" spans="1:3" s="10" customFormat="1" ht="15">
      <c r="A14" s="27"/>
      <c r="B14" s="28"/>
      <c r="C14" s="27"/>
    </row>
    <row r="15" s="1" customFormat="1" ht="15">
      <c r="A15" s="5"/>
    </row>
    <row r="16" s="1" customFormat="1" ht="15">
      <c r="A16" s="5"/>
    </row>
    <row r="17" spans="1:3" s="1" customFormat="1" ht="15">
      <c r="A17" s="5"/>
      <c r="B17" s="10" t="s">
        <v>18</v>
      </c>
      <c r="C17" s="10">
        <v>2942.7</v>
      </c>
    </row>
    <row r="18" spans="1:3" s="1" customFormat="1" ht="15">
      <c r="A18" s="5"/>
      <c r="B18" s="17" t="s">
        <v>182</v>
      </c>
      <c r="C18" s="10"/>
    </row>
    <row r="19" spans="1:3" s="1" customFormat="1" ht="15">
      <c r="A19" s="5"/>
      <c r="B19" s="34"/>
      <c r="C19" s="10"/>
    </row>
    <row r="20" spans="1:3" s="1" customFormat="1" ht="15">
      <c r="A20" s="35"/>
      <c r="B20" s="17"/>
      <c r="C20" s="17"/>
    </row>
    <row r="21" spans="1:3" s="1" customFormat="1" ht="15">
      <c r="A21" s="67"/>
      <c r="B21" s="17"/>
      <c r="C21" s="17"/>
    </row>
    <row r="22" spans="1:3" s="1" customFormat="1" ht="15">
      <c r="A22" s="67"/>
      <c r="B22" s="17"/>
      <c r="C22" s="17"/>
    </row>
    <row r="23" spans="1:3" s="1" customFormat="1" ht="15">
      <c r="A23" s="35"/>
      <c r="B23" s="17"/>
      <c r="C23" s="17"/>
    </row>
    <row r="24" spans="1:3" s="1" customFormat="1" ht="15">
      <c r="A24" s="35"/>
      <c r="B24" s="17"/>
      <c r="C24" s="10"/>
    </row>
    <row r="25" spans="1:3" s="1" customFormat="1" ht="15">
      <c r="A25" s="35"/>
      <c r="B25" s="10"/>
      <c r="C25" s="10"/>
    </row>
    <row r="26" spans="1:3" s="1" customFormat="1" ht="15">
      <c r="A26" s="35"/>
      <c r="B26" s="10"/>
      <c r="C26" s="10"/>
    </row>
    <row r="27" s="1" customFormat="1" ht="15">
      <c r="A27" s="35"/>
    </row>
    <row r="28" spans="1:3" s="1" customFormat="1" ht="15">
      <c r="A28" s="121" t="s">
        <v>20</v>
      </c>
      <c r="B28" s="122"/>
      <c r="C28" s="122"/>
    </row>
    <row r="29" s="1" customFormat="1" ht="15">
      <c r="A29" s="5"/>
    </row>
    <row r="30" s="1" customFormat="1" ht="15">
      <c r="A30" s="5"/>
    </row>
    <row r="31" s="1" customFormat="1" ht="15">
      <c r="A31" s="5"/>
    </row>
    <row r="32" s="1" customFormat="1" ht="15">
      <c r="A32" s="5"/>
    </row>
    <row r="33" s="1" customFormat="1" ht="15">
      <c r="A33" s="5"/>
    </row>
    <row r="34" s="1" customFormat="1" ht="15">
      <c r="A34" s="5"/>
    </row>
    <row r="35" s="1" customFormat="1" ht="15">
      <c r="A35" s="5"/>
    </row>
    <row r="36" s="1" customFormat="1" ht="15">
      <c r="A36" s="5"/>
    </row>
    <row r="37" s="1" customFormat="1" ht="15">
      <c r="A37" s="5"/>
    </row>
    <row r="38" s="1" customFormat="1" ht="15">
      <c r="A38" s="5"/>
    </row>
    <row r="39" s="1" customFormat="1" ht="15">
      <c r="A39" s="5"/>
    </row>
    <row r="40" s="1" customFormat="1" ht="15">
      <c r="A40" s="5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pans="1:2" s="1" customFormat="1" ht="15">
      <c r="A54" s="5"/>
      <c r="B54"/>
    </row>
  </sheetData>
  <sheetProtection/>
  <mergeCells count="2">
    <mergeCell ref="A1:B1"/>
    <mergeCell ref="A28:C2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9807.06</v>
      </c>
    </row>
    <row r="8" spans="2:5" ht="15">
      <c r="B8" s="14" t="s">
        <v>8</v>
      </c>
      <c r="C8" s="38">
        <f>96.8*0.77*6+96.8*1.27*6</f>
        <v>1184.8319999999999</v>
      </c>
      <c r="E8" s="24"/>
    </row>
    <row r="9" spans="2:3" ht="15">
      <c r="B9" s="31" t="s">
        <v>17</v>
      </c>
      <c r="C9" s="47">
        <f>C8*0.6986</f>
        <v>827.7236351999999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10991.892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3340.44</v>
      </c>
    </row>
    <row r="19" spans="1:3" s="1" customFormat="1" ht="15">
      <c r="A19" s="5"/>
      <c r="B19" s="14" t="s">
        <v>8</v>
      </c>
      <c r="C19" s="10">
        <v>1626.48</v>
      </c>
    </row>
    <row r="20" spans="1:3" s="1" customFormat="1" ht="15">
      <c r="A20" s="5"/>
      <c r="B20" s="14" t="s">
        <v>17</v>
      </c>
      <c r="C20" s="49">
        <f>C19*0.6986</f>
        <v>1136.258928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4966.92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35460.4</v>
      </c>
    </row>
    <row r="28" spans="1:3" s="1" customFormat="1" ht="15">
      <c r="A28" s="5"/>
      <c r="B28" s="17" t="s">
        <v>185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/>
      <c r="C30" s="17"/>
    </row>
    <row r="31" spans="1:3" s="1" customFormat="1" ht="15">
      <c r="A31" s="35"/>
      <c r="B31" s="17"/>
      <c r="C31" s="17"/>
    </row>
    <row r="32" spans="1:3" s="1" customFormat="1" ht="15">
      <c r="A32" s="67"/>
      <c r="B32" s="17"/>
      <c r="C32" s="17"/>
    </row>
    <row r="33" spans="1:3" s="1" customFormat="1" ht="15">
      <c r="A33" s="67"/>
      <c r="B33" s="17"/>
      <c r="C33" s="89"/>
    </row>
    <row r="34" spans="1:3" s="1" customFormat="1" ht="15">
      <c r="A34" s="67"/>
      <c r="B34" s="17"/>
      <c r="C34" s="17"/>
    </row>
    <row r="35" spans="1:3" s="1" customFormat="1" ht="15">
      <c r="A35" s="67"/>
      <c r="B35" s="10"/>
      <c r="C35" s="10"/>
    </row>
    <row r="36" spans="1:3" s="1" customFormat="1" ht="15">
      <c r="A36" s="67"/>
      <c r="B36" s="10"/>
      <c r="C36" s="10"/>
    </row>
    <row r="37" spans="1:3" s="1" customFormat="1" ht="15">
      <c r="A37" s="35"/>
      <c r="B37" s="10"/>
      <c r="C37" s="10"/>
    </row>
    <row r="38" s="1" customFormat="1" ht="15">
      <c r="A38" s="35"/>
    </row>
    <row r="39" spans="1:3" s="1" customFormat="1" ht="15">
      <c r="A39" s="121" t="s">
        <v>20</v>
      </c>
      <c r="B39" s="122"/>
      <c r="C39" s="122"/>
    </row>
    <row r="40" s="1" customFormat="1" ht="15">
      <c r="A40" s="5"/>
    </row>
    <row r="41" s="1" customFormat="1" ht="15">
      <c r="A41" s="5"/>
    </row>
    <row r="42" spans="1:3" s="1" customFormat="1" ht="15">
      <c r="A42" s="67"/>
      <c r="B42" s="17"/>
      <c r="C42" s="17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pans="1:2" s="1" customFormat="1" ht="15">
      <c r="A65" s="5"/>
      <c r="B65"/>
    </row>
  </sheetData>
  <sheetProtection/>
  <mergeCells count="2">
    <mergeCell ref="A1:B1"/>
    <mergeCell ref="A39:C3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3" s="18" customFormat="1" ht="15.75">
      <c r="A1" s="125" t="s">
        <v>2</v>
      </c>
      <c r="B1" s="125"/>
      <c r="C1" s="93"/>
    </row>
    <row r="2" spans="1:3" s="18" customFormat="1" ht="15.75">
      <c r="A2" s="94" t="s">
        <v>3</v>
      </c>
      <c r="B2" s="95"/>
      <c r="C2" s="93"/>
    </row>
    <row r="3" spans="1:3" s="18" customFormat="1" ht="15.75">
      <c r="A3" s="94" t="s">
        <v>172</v>
      </c>
      <c r="B3" s="95"/>
      <c r="C3" s="93"/>
    </row>
    <row r="4" spans="1:3" s="18" customFormat="1" ht="15.75">
      <c r="A4" s="96"/>
      <c r="B4" s="97" t="s">
        <v>7</v>
      </c>
      <c r="C4" s="93"/>
    </row>
    <row r="5" spans="1:3" ht="15">
      <c r="A5" s="98"/>
      <c r="B5" s="99"/>
      <c r="C5" s="99"/>
    </row>
    <row r="6" spans="1:3" s="13" customFormat="1" ht="18.75">
      <c r="A6" s="100"/>
      <c r="B6" s="101" t="s">
        <v>233</v>
      </c>
      <c r="C6" s="102"/>
    </row>
    <row r="7" spans="1:3" ht="15">
      <c r="A7" s="98"/>
      <c r="B7" s="57" t="s">
        <v>14</v>
      </c>
      <c r="C7" s="103">
        <v>26917.35</v>
      </c>
    </row>
    <row r="8" spans="1:5" ht="15">
      <c r="A8" s="98"/>
      <c r="B8" s="53" t="s">
        <v>8</v>
      </c>
      <c r="C8" s="103">
        <v>0</v>
      </c>
      <c r="E8" s="24"/>
    </row>
    <row r="9" spans="1:3" ht="15">
      <c r="A9" s="98"/>
      <c r="B9" s="57" t="s">
        <v>17</v>
      </c>
      <c r="C9" s="61">
        <v>0</v>
      </c>
    </row>
    <row r="10" spans="1:3" ht="50.25" customHeight="1">
      <c r="A10" s="104" t="s">
        <v>0</v>
      </c>
      <c r="B10" s="104" t="s">
        <v>9</v>
      </c>
      <c r="C10" s="105" t="s">
        <v>10</v>
      </c>
    </row>
    <row r="11" spans="1:3" s="1" customFormat="1" ht="15">
      <c r="A11" s="104">
        <v>1</v>
      </c>
      <c r="B11" s="106"/>
      <c r="C11" s="107"/>
    </row>
    <row r="12" spans="1:3" s="1" customFormat="1" ht="15">
      <c r="A12" s="104"/>
      <c r="B12" s="108" t="s">
        <v>1</v>
      </c>
      <c r="C12" s="107">
        <f>SUM(C11:C11)</f>
        <v>0</v>
      </c>
    </row>
    <row r="13" spans="1:3" s="10" customFormat="1" ht="15">
      <c r="A13" s="107"/>
      <c r="B13" s="109" t="s">
        <v>13</v>
      </c>
      <c r="C13" s="110">
        <f>C7+C8-C12</f>
        <v>26917.35</v>
      </c>
    </row>
    <row r="14" spans="1:3" s="10" customFormat="1" ht="15">
      <c r="A14" s="60"/>
      <c r="B14" s="111"/>
      <c r="C14" s="60"/>
    </row>
    <row r="15" spans="1:3" s="1" customFormat="1" ht="15">
      <c r="A15" s="65"/>
      <c r="B15" s="87"/>
      <c r="C15" s="87"/>
    </row>
    <row r="16" spans="1:3" s="1" customFormat="1" ht="18.75">
      <c r="A16" s="65"/>
      <c r="B16" s="112" t="s">
        <v>234</v>
      </c>
      <c r="C16" s="87"/>
    </row>
    <row r="17" spans="1:3" s="10" customFormat="1" ht="15">
      <c r="A17" s="113"/>
      <c r="B17" s="87"/>
      <c r="C17" s="114"/>
    </row>
    <row r="18" spans="1:3" s="1" customFormat="1" ht="15">
      <c r="A18" s="65"/>
      <c r="B18" s="53" t="s">
        <v>14</v>
      </c>
      <c r="C18" s="114">
        <v>6512.4</v>
      </c>
    </row>
    <row r="19" spans="1:3" s="1" customFormat="1" ht="15">
      <c r="A19" s="65"/>
      <c r="B19" s="53" t="s">
        <v>8</v>
      </c>
      <c r="C19" s="87">
        <v>0</v>
      </c>
    </row>
    <row r="20" spans="1:3" s="1" customFormat="1" ht="15">
      <c r="A20" s="65"/>
      <c r="B20" s="53" t="s">
        <v>17</v>
      </c>
      <c r="C20" s="87">
        <v>0</v>
      </c>
    </row>
    <row r="21" spans="1:3" s="1" customFormat="1" ht="30">
      <c r="A21" s="104" t="s">
        <v>0</v>
      </c>
      <c r="B21" s="104" t="s">
        <v>9</v>
      </c>
      <c r="C21" s="115" t="s">
        <v>10</v>
      </c>
    </row>
    <row r="22" spans="1:3" s="1" customFormat="1" ht="15">
      <c r="A22" s="104">
        <v>1</v>
      </c>
      <c r="B22" s="106"/>
      <c r="C22" s="107"/>
    </row>
    <row r="23" spans="1:3" s="1" customFormat="1" ht="15">
      <c r="A23" s="104"/>
      <c r="B23" s="106"/>
      <c r="C23" s="104">
        <v>0</v>
      </c>
    </row>
    <row r="24" spans="1:3" s="1" customFormat="1" ht="15">
      <c r="A24" s="104"/>
      <c r="B24" s="108" t="s">
        <v>1</v>
      </c>
      <c r="C24" s="107">
        <f>SUM(C22:C23)</f>
        <v>0</v>
      </c>
    </row>
    <row r="25" spans="1:3" s="1" customFormat="1" ht="15">
      <c r="A25" s="104"/>
      <c r="B25" s="108" t="s">
        <v>13</v>
      </c>
      <c r="C25" s="107">
        <f>C18+C19-C24</f>
        <v>6512.4</v>
      </c>
    </row>
    <row r="26" spans="1:3" s="1" customFormat="1" ht="15">
      <c r="A26" s="65"/>
      <c r="B26" s="87"/>
      <c r="C26" s="87"/>
    </row>
    <row r="27" spans="1:3" s="1" customFormat="1" ht="15">
      <c r="A27" s="65"/>
      <c r="B27" s="114" t="s">
        <v>18</v>
      </c>
      <c r="C27" s="114">
        <v>0</v>
      </c>
    </row>
    <row r="28" spans="1:3" s="1" customFormat="1" ht="15">
      <c r="A28" s="65"/>
      <c r="B28" s="114" t="s">
        <v>178</v>
      </c>
      <c r="C28" s="114"/>
    </row>
    <row r="29" spans="1:3" s="1" customFormat="1" ht="15">
      <c r="A29" s="65"/>
      <c r="B29" s="116"/>
      <c r="C29" s="114"/>
    </row>
    <row r="30" spans="1:3" s="1" customFormat="1" ht="15">
      <c r="A30" s="113"/>
      <c r="B30" s="112" t="s">
        <v>173</v>
      </c>
      <c r="C30" s="112"/>
    </row>
    <row r="31" spans="1:3" s="1" customFormat="1" ht="15">
      <c r="A31" s="113"/>
      <c r="B31" s="112"/>
      <c r="C31" s="112"/>
    </row>
    <row r="32" spans="1:3" s="1" customFormat="1" ht="15">
      <c r="A32" s="113"/>
      <c r="B32" s="112"/>
      <c r="C32" s="114"/>
    </row>
    <row r="33" spans="1:3" s="1" customFormat="1" ht="15">
      <c r="A33" s="113"/>
      <c r="B33" s="114"/>
      <c r="C33" s="114"/>
    </row>
    <row r="34" spans="1:3" s="1" customFormat="1" ht="15">
      <c r="A34" s="113"/>
      <c r="B34" s="114"/>
      <c r="C34" s="114"/>
    </row>
    <row r="35" spans="1:3" s="1" customFormat="1" ht="15">
      <c r="A35" s="113"/>
      <c r="B35" s="87"/>
      <c r="C35" s="87"/>
    </row>
    <row r="36" spans="1:3" s="1" customFormat="1" ht="15">
      <c r="A36" s="126" t="s">
        <v>20</v>
      </c>
      <c r="B36" s="127"/>
      <c r="C36" s="127"/>
    </row>
    <row r="37" spans="1:3" s="1" customFormat="1" ht="15">
      <c r="A37" s="65"/>
      <c r="B37" s="87"/>
      <c r="C37" s="87"/>
    </row>
    <row r="38" spans="1:3" s="1" customFormat="1" ht="15">
      <c r="A38" s="65"/>
      <c r="B38" s="87"/>
      <c r="C38" s="87"/>
    </row>
    <row r="39" spans="1:3" s="1" customFormat="1" ht="15">
      <c r="A39" s="65"/>
      <c r="B39" s="87"/>
      <c r="C39" s="87"/>
    </row>
    <row r="40" spans="1:3" s="1" customFormat="1" ht="15">
      <c r="A40" s="65"/>
      <c r="B40" s="87"/>
      <c r="C40" s="87"/>
    </row>
    <row r="41" spans="1:3" s="1" customFormat="1" ht="15">
      <c r="A41" s="65"/>
      <c r="B41" s="87"/>
      <c r="C41" s="87"/>
    </row>
    <row r="42" spans="1:3" s="1" customFormat="1" ht="15">
      <c r="A42" s="65"/>
      <c r="B42" s="87"/>
      <c r="C42" s="87"/>
    </row>
    <row r="43" spans="1:3" s="1" customFormat="1" ht="15">
      <c r="A43" s="65"/>
      <c r="B43" s="87"/>
      <c r="C43" s="87"/>
    </row>
    <row r="44" spans="1:3" s="1" customFormat="1" ht="15">
      <c r="A44" s="65"/>
      <c r="B44" s="87"/>
      <c r="C44" s="87"/>
    </row>
    <row r="45" spans="1:3" s="1" customFormat="1" ht="15">
      <c r="A45" s="65"/>
      <c r="B45" s="87"/>
      <c r="C45" s="87"/>
    </row>
    <row r="46" spans="1:3" s="1" customFormat="1" ht="15">
      <c r="A46" s="65"/>
      <c r="B46" s="87"/>
      <c r="C46" s="87"/>
    </row>
    <row r="47" spans="1:3" s="1" customFormat="1" ht="15">
      <c r="A47" s="65"/>
      <c r="B47" s="87"/>
      <c r="C47" s="87"/>
    </row>
    <row r="48" spans="1:3" s="1" customFormat="1" ht="15">
      <c r="A48" s="65"/>
      <c r="B48" s="87"/>
      <c r="C48" s="87"/>
    </row>
    <row r="49" spans="1:3" s="1" customFormat="1" ht="15">
      <c r="A49" s="65"/>
      <c r="B49" s="87"/>
      <c r="C49" s="87"/>
    </row>
    <row r="50" spans="1:3" s="1" customFormat="1" ht="15">
      <c r="A50" s="65"/>
      <c r="B50" s="87"/>
      <c r="C50" s="87"/>
    </row>
    <row r="51" spans="1:3" s="1" customFormat="1" ht="15">
      <c r="A51" s="65"/>
      <c r="B51" s="87"/>
      <c r="C51" s="87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pans="1:2" s="1" customFormat="1" ht="15">
      <c r="A62" s="5"/>
      <c r="B62"/>
    </row>
  </sheetData>
  <sheetProtection/>
  <mergeCells count="2">
    <mergeCell ref="A1:B1"/>
    <mergeCell ref="A36:C36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0">
      <selection activeCell="B35" sqref="B35:C35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38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16402.120000000003</v>
      </c>
    </row>
    <row r="8" spans="2:5" ht="15">
      <c r="B8" s="14" t="s">
        <v>8</v>
      </c>
      <c r="C8" s="38">
        <f>376.7*1.41*6+376.7*1.85*6</f>
        <v>7368.2519999999995</v>
      </c>
      <c r="E8" s="24"/>
    </row>
    <row r="9" spans="2:3" ht="15">
      <c r="B9" s="31" t="s">
        <v>17</v>
      </c>
      <c r="C9" s="47">
        <f>C8*0.7553</f>
        <v>5565.240735599999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39</v>
      </c>
      <c r="C11" s="3">
        <v>343.05</v>
      </c>
    </row>
    <row r="12" spans="1:3" s="1" customFormat="1" ht="15">
      <c r="A12" s="3">
        <v>2</v>
      </c>
      <c r="B12" s="2" t="s">
        <v>12</v>
      </c>
      <c r="C12" s="3">
        <v>1184.24</v>
      </c>
    </row>
    <row r="13" spans="1:3" s="1" customFormat="1" ht="15">
      <c r="A13" s="3">
        <v>3</v>
      </c>
      <c r="B13" s="6" t="s">
        <v>40</v>
      </c>
      <c r="C13" s="3">
        <v>1800</v>
      </c>
    </row>
    <row r="14" spans="1:3" s="1" customFormat="1" ht="15">
      <c r="A14" s="3">
        <v>4</v>
      </c>
      <c r="B14" s="6" t="s">
        <v>41</v>
      </c>
      <c r="C14" s="3">
        <v>3452.9</v>
      </c>
    </row>
    <row r="15" spans="1:3" s="1" customFormat="1" ht="15">
      <c r="A15" s="3">
        <v>5</v>
      </c>
      <c r="B15" s="6" t="s">
        <v>42</v>
      </c>
      <c r="C15" s="3">
        <v>21429.91</v>
      </c>
    </row>
    <row r="16" spans="1:3" s="1" customFormat="1" ht="15">
      <c r="A16" s="3"/>
      <c r="B16" s="8" t="s">
        <v>1</v>
      </c>
      <c r="C16" s="7">
        <f>SUM(C11:C15)</f>
        <v>28210.1</v>
      </c>
    </row>
    <row r="17" spans="1:3" s="10" customFormat="1" ht="15">
      <c r="A17" s="7"/>
      <c r="B17" s="15" t="s">
        <v>13</v>
      </c>
      <c r="C17" s="29">
        <f>C7+C8-C16</f>
        <v>-4439.7279999999955</v>
      </c>
    </row>
    <row r="18" spans="1:3" s="10" customFormat="1" ht="30">
      <c r="A18" s="7"/>
      <c r="B18" s="50" t="s">
        <v>180</v>
      </c>
      <c r="C18" s="29">
        <f>C17+C28</f>
        <v>-4612.307999999995</v>
      </c>
    </row>
    <row r="19" s="1" customFormat="1" ht="15">
      <c r="A19" s="5"/>
    </row>
    <row r="20" spans="1:2" s="1" customFormat="1" ht="18.75">
      <c r="A20" s="5"/>
      <c r="B20" s="17" t="s">
        <v>5</v>
      </c>
    </row>
    <row r="21" spans="1:2" s="10" customFormat="1" ht="15">
      <c r="A21" s="32"/>
      <c r="B21" s="1"/>
    </row>
    <row r="22" spans="1:3" s="1" customFormat="1" ht="15">
      <c r="A22" s="5"/>
      <c r="B22" s="14" t="s">
        <v>14</v>
      </c>
      <c r="C22" s="10">
        <v>1516.32</v>
      </c>
    </row>
    <row r="23" spans="1:3" s="1" customFormat="1" ht="15">
      <c r="A23" s="5"/>
      <c r="B23" s="14" t="s">
        <v>8</v>
      </c>
      <c r="C23" s="10">
        <v>0</v>
      </c>
    </row>
    <row r="24" spans="1:2" s="1" customFormat="1" ht="15">
      <c r="A24" s="5"/>
      <c r="B24" s="14" t="s">
        <v>17</v>
      </c>
    </row>
    <row r="25" spans="1:3" s="1" customFormat="1" ht="30">
      <c r="A25" s="3" t="s">
        <v>0</v>
      </c>
      <c r="B25" s="3" t="s">
        <v>9</v>
      </c>
      <c r="C25" s="9" t="s">
        <v>10</v>
      </c>
    </row>
    <row r="26" spans="1:3" s="1" customFormat="1" ht="15">
      <c r="A26" s="3">
        <v>1</v>
      </c>
      <c r="B26" s="30" t="s">
        <v>262</v>
      </c>
      <c r="C26" s="3">
        <v>1688.9</v>
      </c>
    </row>
    <row r="27" spans="1:3" s="1" customFormat="1" ht="15">
      <c r="A27" s="3"/>
      <c r="B27" s="8" t="s">
        <v>1</v>
      </c>
      <c r="C27" s="7">
        <f>SUM(C26:C26)</f>
        <v>1688.9</v>
      </c>
    </row>
    <row r="28" spans="1:3" s="1" customFormat="1" ht="15">
      <c r="A28" s="3"/>
      <c r="B28" s="8" t="s">
        <v>13</v>
      </c>
      <c r="C28" s="7">
        <f>C22+C23-C27</f>
        <v>-172.58000000000015</v>
      </c>
    </row>
    <row r="29" s="1" customFormat="1" ht="15">
      <c r="A29" s="5"/>
    </row>
    <row r="30" spans="1:3" s="1" customFormat="1" ht="15">
      <c r="A30" s="5"/>
      <c r="B30" s="10" t="s">
        <v>18</v>
      </c>
      <c r="C30" s="10">
        <v>287619.14</v>
      </c>
    </row>
    <row r="31" spans="1:3" s="1" customFormat="1" ht="15">
      <c r="A31" s="5"/>
      <c r="B31" s="17" t="s">
        <v>185</v>
      </c>
      <c r="C31" s="10">
        <v>221426.55</v>
      </c>
    </row>
    <row r="32" spans="1:3" s="1" customFormat="1" ht="15">
      <c r="A32" s="5"/>
      <c r="B32" s="17" t="s">
        <v>187</v>
      </c>
      <c r="C32" s="114">
        <v>66192.59</v>
      </c>
    </row>
    <row r="33" spans="1:3" s="1" customFormat="1" ht="15">
      <c r="A33" s="5"/>
      <c r="B33" s="10"/>
      <c r="C33" s="10"/>
    </row>
    <row r="34" spans="1:3" s="1" customFormat="1" ht="15">
      <c r="A34" s="5"/>
      <c r="B34" s="10"/>
      <c r="C34" s="10"/>
    </row>
    <row r="35" spans="1:3" s="1" customFormat="1" ht="15">
      <c r="A35" s="5"/>
      <c r="B35" s="10" t="s">
        <v>190</v>
      </c>
      <c r="C35" s="10">
        <f>376.7*1.85*12+C18</f>
        <v>3750.4320000000043</v>
      </c>
    </row>
    <row r="36" spans="1:3" s="1" customFormat="1" ht="15">
      <c r="A36" s="5"/>
      <c r="B36" s="34"/>
      <c r="C36" s="69"/>
    </row>
    <row r="37" spans="1:3" s="1" customFormat="1" ht="15">
      <c r="A37" s="5"/>
      <c r="B37" s="10"/>
      <c r="C37" s="10"/>
    </row>
    <row r="38" spans="1:3" s="1" customFormat="1" ht="15">
      <c r="A38" s="5"/>
      <c r="B38" s="10"/>
      <c r="C38" s="10"/>
    </row>
    <row r="39" spans="1:3" s="1" customFormat="1" ht="15">
      <c r="A39" s="5"/>
      <c r="B39" s="10"/>
      <c r="C39" s="10"/>
    </row>
    <row r="40" spans="1:3" s="1" customFormat="1" ht="15">
      <c r="A40" s="5"/>
      <c r="B40" s="10"/>
      <c r="C40" s="10"/>
    </row>
    <row r="41" s="1" customFormat="1" ht="15">
      <c r="A41" s="5"/>
    </row>
    <row r="42" spans="1:3" s="1" customFormat="1" ht="15">
      <c r="A42" s="121" t="s">
        <v>20</v>
      </c>
      <c r="B42" s="122"/>
      <c r="C42" s="122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pans="1:2" s="1" customFormat="1" ht="15">
      <c r="A68" s="5"/>
      <c r="B68"/>
    </row>
  </sheetData>
  <sheetProtection/>
  <mergeCells count="2">
    <mergeCell ref="A1:B1"/>
    <mergeCell ref="A42:C4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3">
      <selection activeCell="A35" sqref="A35:C36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159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14561.609999999999</v>
      </c>
    </row>
    <row r="8" spans="2:5" ht="15">
      <c r="B8" s="14" t="s">
        <v>8</v>
      </c>
      <c r="C8" s="38">
        <f>130.3*1.02*6+130.3*1.56*6</f>
        <v>2017.0440000000003</v>
      </c>
      <c r="E8" s="24"/>
    </row>
    <row r="9" spans="2:3" ht="15">
      <c r="B9" s="31" t="s">
        <v>17</v>
      </c>
      <c r="C9" s="47">
        <f>C8</f>
        <v>2017.0440000000003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16578.654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8443.44</v>
      </c>
    </row>
    <row r="19" spans="1:3" s="1" customFormat="1" ht="15">
      <c r="A19" s="5"/>
      <c r="B19" s="14" t="s">
        <v>8</v>
      </c>
      <c r="C19" s="10">
        <v>4221.72</v>
      </c>
    </row>
    <row r="20" spans="1:3" s="1" customFormat="1" ht="15">
      <c r="A20" s="5"/>
      <c r="B20" s="14" t="s">
        <v>17</v>
      </c>
      <c r="C20" s="10">
        <f>C19</f>
        <v>4221.72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12665.16</v>
      </c>
    </row>
    <row r="26" s="1" customFormat="1" ht="15">
      <c r="A26" s="5"/>
    </row>
    <row r="27" spans="1:3" s="1" customFormat="1" ht="15">
      <c r="A27" s="5"/>
      <c r="B27" s="10" t="s">
        <v>18</v>
      </c>
      <c r="C27" s="10">
        <v>0</v>
      </c>
    </row>
    <row r="28" spans="1:3" s="1" customFormat="1" ht="15">
      <c r="A28" s="5"/>
      <c r="B28" s="17" t="s">
        <v>182</v>
      </c>
      <c r="C28" s="10"/>
    </row>
    <row r="29" spans="1:3" s="1" customFormat="1" ht="15">
      <c r="A29" s="5"/>
      <c r="B29" s="34"/>
      <c r="C29" s="10"/>
    </row>
    <row r="30" spans="1:3" s="1" customFormat="1" ht="15">
      <c r="A30" s="35"/>
      <c r="B30" s="17" t="s">
        <v>23</v>
      </c>
      <c r="C30" s="17"/>
    </row>
    <row r="31" spans="1:3" s="1" customFormat="1" ht="15">
      <c r="A31" s="67"/>
      <c r="B31" s="17"/>
      <c r="C31" s="17"/>
    </row>
    <row r="32" spans="1:3" s="1" customFormat="1" ht="15">
      <c r="A32" s="67"/>
      <c r="B32" s="17" t="s">
        <v>197</v>
      </c>
      <c r="C32" s="17">
        <f>C19+C25</f>
        <v>16886.88</v>
      </c>
    </row>
    <row r="33" spans="1:3" s="1" customFormat="1" ht="15">
      <c r="A33" s="67"/>
      <c r="B33" s="17" t="s">
        <v>191</v>
      </c>
      <c r="C33" s="17">
        <f>130.3*1.56*12+C13</f>
        <v>19017.87</v>
      </c>
    </row>
    <row r="34" spans="1:3" s="1" customFormat="1" ht="15">
      <c r="A34" s="67"/>
      <c r="B34" s="17"/>
      <c r="C34" s="17"/>
    </row>
    <row r="35" spans="1:3" s="1" customFormat="1" ht="15">
      <c r="A35" s="72">
        <v>1</v>
      </c>
      <c r="B35" s="81" t="s">
        <v>192</v>
      </c>
      <c r="C35" s="83" t="s">
        <v>230</v>
      </c>
    </row>
    <row r="36" spans="1:3" s="1" customFormat="1" ht="15">
      <c r="A36" s="77"/>
      <c r="B36" s="85" t="s">
        <v>193</v>
      </c>
      <c r="C36" s="75"/>
    </row>
    <row r="37" spans="1:3" s="1" customFormat="1" ht="15">
      <c r="A37" s="35"/>
      <c r="B37" s="10"/>
      <c r="C37" s="10"/>
    </row>
    <row r="38" spans="1:3" s="1" customFormat="1" ht="15">
      <c r="A38" s="35"/>
      <c r="B38" s="10"/>
      <c r="C38" s="10"/>
    </row>
    <row r="39" s="1" customFormat="1" ht="15">
      <c r="A39" s="35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3">
      <selection activeCell="A35" sqref="A35:C39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160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11791.960000000001</v>
      </c>
    </row>
    <row r="8" spans="2:5" ht="15">
      <c r="B8" s="14" t="s">
        <v>8</v>
      </c>
      <c r="C8" s="38">
        <f>135.3*2.13*6+135.3*2.73*6</f>
        <v>3945.348</v>
      </c>
      <c r="E8" s="24"/>
    </row>
    <row r="9" spans="2:3" ht="15">
      <c r="B9" s="31" t="s">
        <v>17</v>
      </c>
      <c r="C9" s="47">
        <f>C8*1.9814</f>
        <v>7817.3125272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/>
      <c r="C11" s="7"/>
    </row>
    <row r="12" spans="1:3" s="1" customFormat="1" ht="15">
      <c r="A12" s="3"/>
      <c r="B12" s="8" t="s">
        <v>1</v>
      </c>
      <c r="C12" s="7">
        <f>SUM(C11:C11)</f>
        <v>0</v>
      </c>
    </row>
    <row r="13" spans="1:3" s="10" customFormat="1" ht="15">
      <c r="A13" s="7"/>
      <c r="B13" s="15" t="s">
        <v>13</v>
      </c>
      <c r="C13" s="29">
        <f>C7+C8-C12</f>
        <v>15737.308</v>
      </c>
    </row>
    <row r="14" spans="1:3" s="10" customFormat="1" ht="15">
      <c r="A14" s="27"/>
      <c r="B14" s="28"/>
      <c r="C14" s="27"/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4412.88</v>
      </c>
    </row>
    <row r="19" spans="1:3" s="1" customFormat="1" ht="15">
      <c r="A19" s="5"/>
      <c r="B19" s="14" t="s">
        <v>8</v>
      </c>
      <c r="C19" s="10">
        <v>2206.44</v>
      </c>
    </row>
    <row r="20" spans="1:3" s="1" customFormat="1" ht="15">
      <c r="A20" s="5"/>
      <c r="B20" s="14" t="s">
        <v>17</v>
      </c>
      <c r="C20" s="49">
        <f>C19*1.9814</f>
        <v>4371.8402160000005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/>
      <c r="C22" s="7"/>
    </row>
    <row r="23" spans="1:3" s="1" customFormat="1" ht="15">
      <c r="A23" s="3"/>
      <c r="B23" s="30"/>
      <c r="C23" s="3">
        <v>0</v>
      </c>
    </row>
    <row r="24" spans="1:3" s="1" customFormat="1" ht="15">
      <c r="A24" s="3"/>
      <c r="B24" s="8" t="s">
        <v>1</v>
      </c>
      <c r="C24" s="7">
        <f>SUM(C22:C23)</f>
        <v>0</v>
      </c>
    </row>
    <row r="25" spans="1:3" s="1" customFormat="1" ht="15">
      <c r="A25" s="3"/>
      <c r="B25" s="8" t="s">
        <v>13</v>
      </c>
      <c r="C25" s="7">
        <f>C18+C19-C24</f>
        <v>6619.32</v>
      </c>
    </row>
    <row r="26" spans="1:3" s="1" customFormat="1" ht="15">
      <c r="A26" s="40"/>
      <c r="B26" s="41"/>
      <c r="C26" s="27"/>
    </row>
    <row r="27" spans="1:3" s="1" customFormat="1" ht="15">
      <c r="A27" s="40"/>
      <c r="B27" s="41" t="s">
        <v>165</v>
      </c>
      <c r="C27" s="27"/>
    </row>
    <row r="28" spans="1:3" s="1" customFormat="1" ht="15">
      <c r="A28" s="40"/>
      <c r="B28" s="41" t="s">
        <v>166</v>
      </c>
      <c r="C28" s="27"/>
    </row>
    <row r="29" s="1" customFormat="1" ht="15">
      <c r="A29" s="5"/>
    </row>
    <row r="30" spans="1:3" s="1" customFormat="1" ht="15">
      <c r="A30" s="5"/>
      <c r="B30" s="10" t="s">
        <v>18</v>
      </c>
      <c r="C30" s="10">
        <v>0</v>
      </c>
    </row>
    <row r="31" spans="1:3" s="1" customFormat="1" ht="15">
      <c r="A31" s="5"/>
      <c r="B31" s="17" t="s">
        <v>185</v>
      </c>
      <c r="C31" s="10"/>
    </row>
    <row r="32" spans="1:3" s="1" customFormat="1" ht="15">
      <c r="A32" s="5"/>
      <c r="B32" s="34"/>
      <c r="C32" s="10"/>
    </row>
    <row r="33" spans="1:3" s="1" customFormat="1" ht="15">
      <c r="A33" s="35"/>
      <c r="B33" s="17" t="s">
        <v>23</v>
      </c>
      <c r="C33" s="17"/>
    </row>
    <row r="34" spans="1:3" s="1" customFormat="1" ht="15">
      <c r="A34" s="67"/>
      <c r="B34" s="17"/>
      <c r="C34" s="17"/>
    </row>
    <row r="35" spans="1:3" s="1" customFormat="1" ht="15">
      <c r="A35" s="67"/>
      <c r="B35" s="17" t="s">
        <v>197</v>
      </c>
      <c r="C35" s="17">
        <f>C19+C25</f>
        <v>8825.76</v>
      </c>
    </row>
    <row r="36" spans="1:3" s="1" customFormat="1" ht="15">
      <c r="A36" s="67"/>
      <c r="B36" s="17" t="s">
        <v>191</v>
      </c>
      <c r="C36" s="88">
        <f>135.3*2.73*12+C13</f>
        <v>20169.736</v>
      </c>
    </row>
    <row r="37" spans="1:3" s="1" customFormat="1" ht="15">
      <c r="A37" s="35"/>
      <c r="B37" s="17"/>
      <c r="C37" s="17"/>
    </row>
    <row r="38" spans="1:3" s="1" customFormat="1" ht="15">
      <c r="A38" s="72">
        <v>1</v>
      </c>
      <c r="B38" s="81" t="s">
        <v>192</v>
      </c>
      <c r="C38" s="83" t="s">
        <v>220</v>
      </c>
    </row>
    <row r="39" spans="1:3" s="1" customFormat="1" ht="15">
      <c r="A39" s="77"/>
      <c r="B39" s="71" t="s">
        <v>193</v>
      </c>
      <c r="C39" s="75"/>
    </row>
    <row r="40" spans="1:3" s="1" customFormat="1" ht="15">
      <c r="A40" s="67"/>
      <c r="B40" s="10"/>
      <c r="C40" s="10"/>
    </row>
    <row r="41" spans="1:3" s="1" customFormat="1" ht="15">
      <c r="A41" s="67"/>
      <c r="B41" s="10"/>
      <c r="C41" s="10"/>
    </row>
    <row r="42" spans="1:3" s="1" customFormat="1" ht="15">
      <c r="A42" s="35"/>
      <c r="B42" s="10"/>
      <c r="C42" s="10"/>
    </row>
    <row r="43" s="1" customFormat="1" ht="15">
      <c r="A43" s="35"/>
    </row>
    <row r="44" spans="1:3" s="1" customFormat="1" ht="15">
      <c r="A44" s="121" t="s">
        <v>20</v>
      </c>
      <c r="B44" s="122"/>
      <c r="C44" s="122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="1" customFormat="1" ht="15">
      <c r="A66" s="5"/>
    </row>
    <row r="67" s="1" customFormat="1" ht="15">
      <c r="A67" s="5"/>
    </row>
    <row r="68" s="1" customFormat="1" ht="15">
      <c r="A68" s="5"/>
    </row>
    <row r="69" s="1" customFormat="1" ht="15">
      <c r="A69" s="5"/>
    </row>
    <row r="70" spans="1:2" s="1" customFormat="1" ht="15">
      <c r="A70" s="5"/>
      <c r="B70"/>
    </row>
  </sheetData>
  <sheetProtection/>
  <mergeCells count="2">
    <mergeCell ref="A1:B1"/>
    <mergeCell ref="A44:C44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161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-7286.030000000001</v>
      </c>
    </row>
    <row r="8" spans="2:5" ht="15">
      <c r="B8" s="14" t="s">
        <v>8</v>
      </c>
      <c r="C8" s="38">
        <f>1119.76*1.32*6+1119.76*1.72*6</f>
        <v>20424.422400000003</v>
      </c>
      <c r="E8" s="24"/>
    </row>
    <row r="9" spans="2:3" ht="15">
      <c r="B9" s="31" t="s">
        <v>17</v>
      </c>
      <c r="C9" s="47">
        <f>C8*1.0098</f>
        <v>20624.581739520003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6" t="s">
        <v>80</v>
      </c>
      <c r="C11" s="7">
        <v>1206.61</v>
      </c>
    </row>
    <row r="12" spans="1:3" s="1" customFormat="1" ht="15">
      <c r="A12" s="3"/>
      <c r="B12" s="8" t="s">
        <v>1</v>
      </c>
      <c r="C12" s="7">
        <f>SUM(C11:C11)</f>
        <v>1206.61</v>
      </c>
    </row>
    <row r="13" spans="1:3" s="10" customFormat="1" ht="15">
      <c r="A13" s="7"/>
      <c r="B13" s="15" t="s">
        <v>13</v>
      </c>
      <c r="C13" s="29">
        <f>C7+C8-C12</f>
        <v>11931.782400000002</v>
      </c>
    </row>
    <row r="14" spans="1:3" s="10" customFormat="1" ht="30">
      <c r="A14" s="51"/>
      <c r="B14" s="50" t="s">
        <v>180</v>
      </c>
      <c r="C14" s="29">
        <f>C13+C26</f>
        <v>7461.7040240000115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5"/>
      <c r="B17" s="1"/>
    </row>
    <row r="18" spans="1:3" s="1" customFormat="1" ht="15">
      <c r="A18" s="5"/>
      <c r="B18" s="14" t="s">
        <v>14</v>
      </c>
      <c r="C18" s="10">
        <v>41321.97000000001</v>
      </c>
    </row>
    <row r="19" spans="1:3" s="1" customFormat="1" ht="15">
      <c r="A19" s="5"/>
      <c r="B19" s="14" t="s">
        <v>8</v>
      </c>
      <c r="C19" s="10">
        <v>30185.88</v>
      </c>
    </row>
    <row r="20" spans="1:3" s="1" customFormat="1" ht="15">
      <c r="A20" s="5"/>
      <c r="B20" s="53" t="s">
        <v>17</v>
      </c>
      <c r="C20" s="54">
        <f>C19*1.0098</f>
        <v>30481.701624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>
        <v>1</v>
      </c>
      <c r="B22" s="30" t="s">
        <v>162</v>
      </c>
      <c r="C22" s="7">
        <v>36221</v>
      </c>
    </row>
    <row r="23" spans="1:3" s="1" customFormat="1" ht="15">
      <c r="A23" s="3">
        <v>2</v>
      </c>
      <c r="B23" s="30" t="s">
        <v>163</v>
      </c>
      <c r="C23" s="7">
        <v>26852.75</v>
      </c>
    </row>
    <row r="24" spans="1:3" s="1" customFormat="1" ht="15">
      <c r="A24" s="3">
        <v>3</v>
      </c>
      <c r="B24" s="30" t="s">
        <v>235</v>
      </c>
      <c r="C24" s="7">
        <v>13200</v>
      </c>
    </row>
    <row r="25" spans="1:3" s="1" customFormat="1" ht="15">
      <c r="A25" s="3"/>
      <c r="B25" s="8" t="s">
        <v>1</v>
      </c>
      <c r="C25" s="7">
        <f>SUM(C22:C24)</f>
        <v>76273.75</v>
      </c>
    </row>
    <row r="26" spans="1:3" s="1" customFormat="1" ht="15">
      <c r="A26" s="3"/>
      <c r="B26" s="8" t="s">
        <v>13</v>
      </c>
      <c r="C26" s="29">
        <f>C18+C20-C25</f>
        <v>-4470.07837599999</v>
      </c>
    </row>
    <row r="27" s="1" customFormat="1" ht="15">
      <c r="A27" s="5"/>
    </row>
    <row r="28" spans="1:3" s="1" customFormat="1" ht="15">
      <c r="A28" s="5"/>
      <c r="B28" s="10" t="s">
        <v>18</v>
      </c>
      <c r="C28" s="10">
        <v>0</v>
      </c>
    </row>
    <row r="29" spans="1:3" s="1" customFormat="1" ht="15">
      <c r="A29" s="5"/>
      <c r="B29" s="17" t="s">
        <v>185</v>
      </c>
      <c r="C29" s="10"/>
    </row>
    <row r="30" spans="1:3" s="1" customFormat="1" ht="15">
      <c r="A30" s="5"/>
      <c r="B30" s="34"/>
      <c r="C30" s="10"/>
    </row>
    <row r="31" spans="1:3" s="1" customFormat="1" ht="15">
      <c r="A31" s="35"/>
      <c r="B31" s="17" t="s">
        <v>23</v>
      </c>
      <c r="C31" s="17"/>
    </row>
    <row r="32" spans="1:3" s="1" customFormat="1" ht="15">
      <c r="A32" s="67"/>
      <c r="B32" s="17"/>
      <c r="C32" s="17"/>
    </row>
    <row r="33" spans="1:3" s="1" customFormat="1" ht="15">
      <c r="A33" s="67"/>
      <c r="B33" s="17" t="s">
        <v>191</v>
      </c>
      <c r="C33" s="88">
        <f>1119.76*1.72*12+C14</f>
        <v>30573.550424000015</v>
      </c>
    </row>
    <row r="34" spans="1:3" s="1" customFormat="1" ht="15">
      <c r="A34" s="35"/>
      <c r="B34" s="17"/>
      <c r="C34" s="17"/>
    </row>
    <row r="35" spans="1:3" s="1" customFormat="1" ht="15">
      <c r="A35" s="7">
        <v>1</v>
      </c>
      <c r="B35" s="50" t="s">
        <v>164</v>
      </c>
      <c r="C35" s="50" t="s">
        <v>236</v>
      </c>
    </row>
    <row r="36" spans="1:3" s="1" customFormat="1" ht="15">
      <c r="A36" s="7">
        <v>2</v>
      </c>
      <c r="B36" s="50" t="s">
        <v>181</v>
      </c>
      <c r="C36" s="50" t="s">
        <v>231</v>
      </c>
    </row>
    <row r="37" spans="1:3" s="1" customFormat="1" ht="15">
      <c r="A37" s="67"/>
      <c r="B37" s="17"/>
      <c r="C37" s="10"/>
    </row>
    <row r="38" spans="1:3" s="1" customFormat="1" ht="15">
      <c r="A38" s="35"/>
      <c r="B38" s="10"/>
      <c r="C38" s="10"/>
    </row>
    <row r="39" s="1" customFormat="1" ht="15">
      <c r="A39" s="35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8">
      <selection activeCell="F33" sqref="F33"/>
    </sheetView>
  </sheetViews>
  <sheetFormatPr defaultColWidth="9.140625" defaultRowHeight="15"/>
  <cols>
    <col min="1" max="1" width="6.140625" style="4" customWidth="1"/>
    <col min="2" max="2" width="71.140625" style="0" customWidth="1"/>
    <col min="3" max="3" width="14.140625" style="0" customWidth="1"/>
  </cols>
  <sheetData>
    <row r="1" spans="1:2" s="18" customFormat="1" ht="15.75">
      <c r="A1" s="120" t="s">
        <v>2</v>
      </c>
      <c r="B1" s="120"/>
    </row>
    <row r="2" spans="1:2" s="18" customFormat="1" ht="15.75">
      <c r="A2" s="19" t="s">
        <v>3</v>
      </c>
      <c r="B2" s="20"/>
    </row>
    <row r="3" spans="1:2" s="18" customFormat="1" ht="15.75">
      <c r="A3" s="19" t="s">
        <v>43</v>
      </c>
      <c r="B3" s="20"/>
    </row>
    <row r="4" spans="1:2" s="18" customFormat="1" ht="15.75">
      <c r="A4" s="21"/>
      <c r="B4" s="22" t="s">
        <v>7</v>
      </c>
    </row>
    <row r="6" spans="1:2" s="13" customFormat="1" ht="18.75">
      <c r="A6" s="12"/>
      <c r="B6" s="16" t="s">
        <v>4</v>
      </c>
    </row>
    <row r="7" spans="2:3" ht="15">
      <c r="B7" s="23" t="s">
        <v>14</v>
      </c>
      <c r="C7" s="38">
        <v>11688.590000000002</v>
      </c>
    </row>
    <row r="8" spans="2:5" ht="15">
      <c r="B8" s="14" t="s">
        <v>8</v>
      </c>
      <c r="C8" s="38">
        <f>387.05*0.79*6+387.05*1.91*6</f>
        <v>6270.21</v>
      </c>
      <c r="E8" s="24"/>
    </row>
    <row r="9" spans="2:3" ht="15">
      <c r="B9" s="31" t="s">
        <v>17</v>
      </c>
      <c r="C9" s="47">
        <f>C8*0.7546</f>
        <v>4731.500466</v>
      </c>
    </row>
    <row r="10" spans="1:3" ht="50.25" customHeight="1">
      <c r="A10" s="3" t="s">
        <v>0</v>
      </c>
      <c r="B10" s="3" t="s">
        <v>9</v>
      </c>
      <c r="C10" s="26" t="s">
        <v>10</v>
      </c>
    </row>
    <row r="11" spans="1:3" s="1" customFormat="1" ht="15">
      <c r="A11" s="3">
        <v>1</v>
      </c>
      <c r="B11" s="2" t="s">
        <v>12</v>
      </c>
      <c r="C11" s="3">
        <v>1503.74</v>
      </c>
    </row>
    <row r="12" spans="1:3" s="1" customFormat="1" ht="15">
      <c r="A12" s="3"/>
      <c r="B12" s="8" t="s">
        <v>1</v>
      </c>
      <c r="C12" s="7">
        <f>SUM(C11:C11)</f>
        <v>1503.74</v>
      </c>
    </row>
    <row r="13" spans="1:3" s="10" customFormat="1" ht="15">
      <c r="A13" s="7"/>
      <c r="B13" s="15" t="s">
        <v>13</v>
      </c>
      <c r="C13" s="29">
        <f>C7+C8-C12</f>
        <v>16455.06</v>
      </c>
    </row>
    <row r="14" spans="1:3" s="10" customFormat="1" ht="30">
      <c r="A14" s="7"/>
      <c r="B14" s="50" t="s">
        <v>179</v>
      </c>
      <c r="C14" s="29">
        <f>C13+C24</f>
        <v>25812.625792000003</v>
      </c>
    </row>
    <row r="15" s="1" customFormat="1" ht="15">
      <c r="A15" s="5"/>
    </row>
    <row r="16" spans="1:2" s="1" customFormat="1" ht="18.75">
      <c r="A16" s="5"/>
      <c r="B16" s="17" t="s">
        <v>5</v>
      </c>
    </row>
    <row r="17" spans="1:2" s="10" customFormat="1" ht="15">
      <c r="A17" s="32"/>
      <c r="B17" s="1"/>
    </row>
    <row r="18" spans="1:3" s="1" customFormat="1" ht="15">
      <c r="A18" s="5"/>
      <c r="B18" s="14" t="s">
        <v>14</v>
      </c>
      <c r="C18" s="10">
        <v>3449.4100000000008</v>
      </c>
    </row>
    <row r="19" spans="1:3" s="1" customFormat="1" ht="15">
      <c r="A19" s="5"/>
      <c r="B19" s="14" t="s">
        <v>8</v>
      </c>
      <c r="C19" s="10">
        <v>7829.52</v>
      </c>
    </row>
    <row r="20" spans="1:3" s="1" customFormat="1" ht="15">
      <c r="A20" s="5"/>
      <c r="B20" s="53" t="s">
        <v>17</v>
      </c>
      <c r="C20" s="54">
        <f>C19*0.7546</f>
        <v>5908.1557920000005</v>
      </c>
    </row>
    <row r="21" spans="1:3" s="1" customFormat="1" ht="30">
      <c r="A21" s="3" t="s">
        <v>0</v>
      </c>
      <c r="B21" s="3" t="s">
        <v>9</v>
      </c>
      <c r="C21" s="9" t="s">
        <v>10</v>
      </c>
    </row>
    <row r="22" spans="1:3" s="1" customFormat="1" ht="15">
      <c r="A22" s="3"/>
      <c r="B22" s="30"/>
      <c r="C22" s="3">
        <v>0</v>
      </c>
    </row>
    <row r="23" spans="1:3" s="1" customFormat="1" ht="15">
      <c r="A23" s="3"/>
      <c r="B23" s="8" t="s">
        <v>1</v>
      </c>
      <c r="C23" s="7">
        <f>SUM(C22:C22)</f>
        <v>0</v>
      </c>
    </row>
    <row r="24" spans="1:3" s="1" customFormat="1" ht="15">
      <c r="A24" s="3"/>
      <c r="B24" s="8" t="s">
        <v>13</v>
      </c>
      <c r="C24" s="29">
        <f>C18+C20</f>
        <v>9357.565792000001</v>
      </c>
    </row>
    <row r="25" spans="1:3" s="1" customFormat="1" ht="15">
      <c r="A25" s="40"/>
      <c r="B25" s="41"/>
      <c r="C25" s="48"/>
    </row>
    <row r="26" spans="1:3" s="1" customFormat="1" ht="15">
      <c r="A26" s="5"/>
      <c r="B26" s="10" t="s">
        <v>18</v>
      </c>
      <c r="C26" s="10">
        <v>288325.79</v>
      </c>
    </row>
    <row r="27" spans="1:3" s="1" customFormat="1" ht="15">
      <c r="A27" s="5"/>
      <c r="B27" s="17" t="s">
        <v>185</v>
      </c>
      <c r="C27" s="10">
        <v>207044.48</v>
      </c>
    </row>
    <row r="28" spans="1:3" s="1" customFormat="1" ht="15">
      <c r="A28" s="5"/>
      <c r="B28" s="17" t="s">
        <v>187</v>
      </c>
      <c r="C28" s="10">
        <v>81281.31</v>
      </c>
    </row>
    <row r="29" spans="1:3" s="1" customFormat="1" ht="15">
      <c r="A29" s="5"/>
      <c r="B29" s="10"/>
      <c r="C29" s="10"/>
    </row>
    <row r="30" spans="1:3" s="1" customFormat="1" ht="15">
      <c r="A30" s="5"/>
      <c r="B30" s="10" t="s">
        <v>23</v>
      </c>
      <c r="C30" s="10"/>
    </row>
    <row r="31" spans="1:3" s="1" customFormat="1" ht="15">
      <c r="A31" s="5"/>
      <c r="B31" s="10"/>
      <c r="C31" s="10"/>
    </row>
    <row r="32" spans="1:3" s="1" customFormat="1" ht="15">
      <c r="A32" s="5"/>
      <c r="B32" s="34" t="s">
        <v>191</v>
      </c>
      <c r="C32" s="69">
        <f>387.5*1.91*12+C14</f>
        <v>34694.125792000006</v>
      </c>
    </row>
    <row r="33" spans="1:3" s="1" customFormat="1" ht="15">
      <c r="A33" s="5"/>
      <c r="B33" s="10"/>
      <c r="C33" s="10"/>
    </row>
    <row r="34" spans="1:3" s="1" customFormat="1" ht="15">
      <c r="A34" s="72">
        <v>1</v>
      </c>
      <c r="B34" s="70" t="s">
        <v>192</v>
      </c>
      <c r="C34" s="74"/>
    </row>
    <row r="35" spans="1:3" s="1" customFormat="1" ht="15">
      <c r="A35" s="73"/>
      <c r="B35" s="71" t="s">
        <v>193</v>
      </c>
      <c r="C35" s="78" t="s">
        <v>241</v>
      </c>
    </row>
    <row r="36" spans="1:3" s="1" customFormat="1" ht="15">
      <c r="A36" s="40"/>
      <c r="B36" s="76"/>
      <c r="C36" s="27"/>
    </row>
    <row r="37" spans="1:3" s="1" customFormat="1" ht="15">
      <c r="A37" s="40"/>
      <c r="B37" s="76"/>
      <c r="C37" s="27"/>
    </row>
    <row r="38" spans="1:3" s="1" customFormat="1" ht="15">
      <c r="A38" s="5"/>
      <c r="B38" s="10"/>
      <c r="C38" s="10"/>
    </row>
    <row r="39" s="1" customFormat="1" ht="15">
      <c r="A39" s="5"/>
    </row>
    <row r="40" spans="1:3" s="1" customFormat="1" ht="15">
      <c r="A40" s="121" t="s">
        <v>20</v>
      </c>
      <c r="B40" s="122"/>
      <c r="C40" s="122"/>
    </row>
    <row r="41" s="1" customFormat="1" ht="15">
      <c r="A41" s="5"/>
    </row>
    <row r="42" s="1" customFormat="1" ht="15">
      <c r="A42" s="5"/>
    </row>
    <row r="43" s="1" customFormat="1" ht="15">
      <c r="A43" s="5"/>
    </row>
    <row r="44" s="1" customFormat="1" ht="15">
      <c r="A44" s="5"/>
    </row>
    <row r="45" s="1" customFormat="1" ht="15">
      <c r="A45" s="5"/>
    </row>
    <row r="46" s="1" customFormat="1" ht="15">
      <c r="A46" s="5"/>
    </row>
    <row r="47" s="1" customFormat="1" ht="15">
      <c r="A47" s="5"/>
    </row>
    <row r="48" s="1" customFormat="1" ht="15">
      <c r="A48" s="5"/>
    </row>
    <row r="49" s="1" customFormat="1" ht="15">
      <c r="A49" s="5"/>
    </row>
    <row r="50" s="1" customFormat="1" ht="15">
      <c r="A50" s="5"/>
    </row>
    <row r="51" s="1" customFormat="1" ht="15">
      <c r="A51" s="5"/>
    </row>
    <row r="52" s="1" customFormat="1" ht="15">
      <c r="A52" s="5"/>
    </row>
    <row r="53" s="1" customFormat="1" ht="15">
      <c r="A53" s="5"/>
    </row>
    <row r="54" s="1" customFormat="1" ht="15">
      <c r="A54" s="5"/>
    </row>
    <row r="55" s="1" customFormat="1" ht="15">
      <c r="A55" s="5"/>
    </row>
    <row r="56" s="1" customFormat="1" ht="15">
      <c r="A56" s="5"/>
    </row>
    <row r="57" s="1" customFormat="1" ht="15">
      <c r="A57" s="5"/>
    </row>
    <row r="58" s="1" customFormat="1" ht="15">
      <c r="A58" s="5"/>
    </row>
    <row r="59" s="1" customFormat="1" ht="15">
      <c r="A59" s="5"/>
    </row>
    <row r="60" s="1" customFormat="1" ht="15">
      <c r="A60" s="5"/>
    </row>
    <row r="61" s="1" customFormat="1" ht="15">
      <c r="A61" s="5"/>
    </row>
    <row r="62" s="1" customFormat="1" ht="15">
      <c r="A62" s="5"/>
    </row>
    <row r="63" s="1" customFormat="1" ht="15">
      <c r="A63" s="5"/>
    </row>
    <row r="64" s="1" customFormat="1" ht="15">
      <c r="A64" s="5"/>
    </row>
    <row r="65" s="1" customFormat="1" ht="15">
      <c r="A65" s="5"/>
    </row>
    <row r="66" spans="1:2" s="1" customFormat="1" ht="15">
      <c r="A66" s="5"/>
      <c r="B66"/>
    </row>
  </sheetData>
  <sheetProtection/>
  <mergeCells count="2">
    <mergeCell ref="A1:B1"/>
    <mergeCell ref="A40:C40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Сметчик</cp:lastModifiedBy>
  <cp:lastPrinted>2015-03-27T08:33:18Z</cp:lastPrinted>
  <dcterms:created xsi:type="dcterms:W3CDTF">2015-01-15T12:07:46Z</dcterms:created>
  <dcterms:modified xsi:type="dcterms:W3CDTF">2015-03-27T12:45:10Z</dcterms:modified>
  <cp:category/>
  <cp:version/>
  <cp:contentType/>
  <cp:contentStatus/>
</cp:coreProperties>
</file>