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5" activeTab="11"/>
  </bookViews>
  <sheets>
    <sheet name="Рождественская 1" sheetId="1" r:id="rId1"/>
    <sheet name="Рождественская 2" sheetId="2" r:id="rId2"/>
    <sheet name="Рождественская 3" sheetId="3" r:id="rId3"/>
    <sheet name="Рождественская 4" sheetId="4" r:id="rId4"/>
    <sheet name="Рождественская 5" sheetId="5" r:id="rId5"/>
    <sheet name="Рождественская 6" sheetId="6" r:id="rId6"/>
    <sheet name="Рождественская 7" sheetId="7" r:id="rId7"/>
    <sheet name="Рождественская 8" sheetId="8" r:id="rId8"/>
    <sheet name="Рождественская 10" sheetId="9" r:id="rId9"/>
    <sheet name="Весенняя 1" sheetId="10" r:id="rId10"/>
    <sheet name="Весенняя 2" sheetId="11" r:id="rId11"/>
    <sheet name="Весенняя 3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<sst xmlns="http://schemas.openxmlformats.org/spreadsheetml/2006/main" count="670" uniqueCount="284">
  <si>
    <t>№ п.п.</t>
  </si>
  <si>
    <t>Итого</t>
  </si>
  <si>
    <t xml:space="preserve">                                                              Отчет</t>
  </si>
  <si>
    <t xml:space="preserve">                                   о выполненных ремонтно-строительных работах</t>
  </si>
  <si>
    <r>
      <t xml:space="preserve">                                          </t>
    </r>
    <r>
      <rPr>
        <b/>
        <u val="single"/>
        <sz val="14"/>
        <color indexed="8"/>
        <rFont val="Calibri"/>
        <family val="2"/>
      </rPr>
      <t>Текущий ремонт</t>
    </r>
    <r>
      <rPr>
        <b/>
        <sz val="11"/>
        <color indexed="8"/>
        <rFont val="Calibri"/>
        <family val="2"/>
      </rPr>
      <t xml:space="preserve"> </t>
    </r>
  </si>
  <si>
    <r>
      <t xml:space="preserve">                                                    </t>
    </r>
    <r>
      <rPr>
        <b/>
        <u val="single"/>
        <sz val="14"/>
        <color indexed="8"/>
        <rFont val="Calibri"/>
        <family val="2"/>
      </rPr>
      <t>Капитальный ремонт</t>
    </r>
  </si>
  <si>
    <t>за 2014 год</t>
  </si>
  <si>
    <t>Начислено  за 2014 год в  руб.</t>
  </si>
  <si>
    <t>Перечень выполненных работ</t>
  </si>
  <si>
    <t>Стоимость работ  в руб.</t>
  </si>
  <si>
    <t>Остаток денежных средств на конец отчетного периода:</t>
  </si>
  <si>
    <t>остаток денежных средств на начало 2014г.в руб.</t>
  </si>
  <si>
    <t>оплачено за 2014г. в руб.</t>
  </si>
  <si>
    <t>Справочно : сумма задолженности перед управляющей компанией</t>
  </si>
  <si>
    <t>Генеральный директор ООО "Домоуправляющая компания"                                         /Е.М.Кузьмичев/</t>
  </si>
  <si>
    <t>План работ на 2015год.</t>
  </si>
  <si>
    <t>Ремонт кровли</t>
  </si>
  <si>
    <t xml:space="preserve">                                    по дому № 1 ул. Рождественская   г. Заволжье  </t>
  </si>
  <si>
    <t>Доходы от размещения средств связи</t>
  </si>
  <si>
    <t>Доходы от размещения рекламы</t>
  </si>
  <si>
    <t>Ремонт лифта</t>
  </si>
  <si>
    <t>Ремонт электрики</t>
  </si>
  <si>
    <t>Ремонт люка выхода на кровлю</t>
  </si>
  <si>
    <t>Смена кранов ХВС,ГВС в кв.522</t>
  </si>
  <si>
    <t>Смена гибкой подводки в кв.12</t>
  </si>
  <si>
    <t>Смена участка ГВС в кв.№15</t>
  </si>
  <si>
    <t>Смена уч-ка стояка ХВС над парикмахерской</t>
  </si>
  <si>
    <t>Ремонт антенны</t>
  </si>
  <si>
    <t>Установка урн</t>
  </si>
  <si>
    <t>Смена кранов кв.525;Смена п/сушит. Кв615,726,612,5; Смена участков канализации Кв.712; смена участков  отопления Кв.7; смена участков  ГВС кв.2</t>
  </si>
  <si>
    <t>Ремонт остекления</t>
  </si>
  <si>
    <t>Смена вентилей в подвале</t>
  </si>
  <si>
    <t>Ремонт вентиляционных труб на кровле с установкой зонтов</t>
  </si>
  <si>
    <t>10 тыс. руб.</t>
  </si>
  <si>
    <t>Частичная замена запорной арматуры ХВС,ГВС,отопления</t>
  </si>
  <si>
    <t>Ремонт мест общего пользования (кухни,коридоры)</t>
  </si>
  <si>
    <t>40 тыс. руб.</t>
  </si>
  <si>
    <t xml:space="preserve">                                    по дому № 1 ул. Весенняя   г. Заволжье  </t>
  </si>
  <si>
    <t xml:space="preserve">                                    по дому № 2 ул. Рождественская   г. Заволжье  </t>
  </si>
  <si>
    <t>Ремонт двери во 2м под-де,установка навесного замка на э/щит</t>
  </si>
  <si>
    <t>Смена участка отопления в подвале 2го под-да; в кв.39,37,72</t>
  </si>
  <si>
    <t>Смена  пакетного выключателя в э/щ, смена замка в э/щ</t>
  </si>
  <si>
    <t>Смена розлива ГВС на техэтаже 3го подъезда; смена участка ГВС в подвале по кв,85,86</t>
  </si>
  <si>
    <t>Монтаж металлического отлива над 2м под-м</t>
  </si>
  <si>
    <t>Смена  участка отопления с выводом в подвал в кв.1</t>
  </si>
  <si>
    <t>Ремонт металлических парапетов, 2 под-д</t>
  </si>
  <si>
    <t>Ремонт вводного автовыключателя Кв.1</t>
  </si>
  <si>
    <t>Ремонт ступеней 2 под-д</t>
  </si>
  <si>
    <t>Ремонт лифтов</t>
  </si>
  <si>
    <t>Смена ГВС(обратка )подвал 3п-да</t>
  </si>
  <si>
    <t>Смена участка ГВС в подвале1,2 под-в; Смена кранов на техэтаже,кв,82; Смена  участка канализации по кв.71-75</t>
  </si>
  <si>
    <t>Смена выключателя  в цокольном  этаже 2 под-да</t>
  </si>
  <si>
    <t>Смена  вентилей в кв. 54</t>
  </si>
  <si>
    <t>Устройство газонного ограждения</t>
  </si>
  <si>
    <t>Ремонт швов кв.91,66,6,49</t>
  </si>
  <si>
    <t>частичн. Замена запорной арматуры ХВС,ГВС,отопления</t>
  </si>
  <si>
    <t xml:space="preserve">Ремонт межпанельных швов </t>
  </si>
  <si>
    <t>100 тыс. руб.</t>
  </si>
  <si>
    <t>Ремонт оцинк. парапетных сливов (12м)</t>
  </si>
  <si>
    <t>30 тыс. руб.</t>
  </si>
  <si>
    <t xml:space="preserve">                                    по дому № 3 ул. Рождественская   г. Заволжье  </t>
  </si>
  <si>
    <t>Ремонт двери в 3м под-де</t>
  </si>
  <si>
    <t>Смена  участка канализации  в кв.1,5</t>
  </si>
  <si>
    <t>Смена участков ГВС,ХВС в кв.9,смена кранов в кв.5,22</t>
  </si>
  <si>
    <t xml:space="preserve">Монтаж оптоакустических  светильников в подъездах </t>
  </si>
  <si>
    <t>Смена кранов в кв. 98,   смена участка  ГВС по 78,74</t>
  </si>
  <si>
    <t>Ремонт электрики в подъездах</t>
  </si>
  <si>
    <t>Смена участков ХВС кв.58,62</t>
  </si>
  <si>
    <t>Ремонт кровли тамбуров2,3; ремонт кровли на д 1,2,3 под-х</t>
  </si>
  <si>
    <t>Ремонт швов в кв.13</t>
  </si>
  <si>
    <t>Установка перил 1-3 подъезды,обрамление ступеней</t>
  </si>
  <si>
    <t>Смена  участка отопления в кв. №4,70,66, в подвале;  смена участка розлива ХВС, в подвале; смена кранов в кв.39;  смена участка стояка ХВС в кв.30</t>
  </si>
  <si>
    <t>Установка светильников ,смена плафонов</t>
  </si>
  <si>
    <t>Смена муфт комбинированныхв кв.26 на батарее отопления</t>
  </si>
  <si>
    <t>Ремонт антенны в 3м под-де</t>
  </si>
  <si>
    <t>Ремонт швов кв.34,35,101,66,51</t>
  </si>
  <si>
    <t>Установка узла учета отопления</t>
  </si>
  <si>
    <t>60 тыс. руб.</t>
  </si>
  <si>
    <t>ремонт оцинк. парапетных сливов (20м)</t>
  </si>
  <si>
    <t>16 тыс. руб.</t>
  </si>
  <si>
    <t xml:space="preserve">ремонт швов </t>
  </si>
  <si>
    <t>80 тыс. руб.</t>
  </si>
  <si>
    <t>Ремонт ступеней подъездов</t>
  </si>
  <si>
    <t>Установка ограждения подъездов</t>
  </si>
  <si>
    <t>Ремонт оцинк. парапетных сливов (20м)</t>
  </si>
  <si>
    <t xml:space="preserve">Ремонт межпанельных  швов </t>
  </si>
  <si>
    <t xml:space="preserve">                                    по дому № 4 ул. Рождественская   г. Заволжье  </t>
  </si>
  <si>
    <t>Смена кранов ХВС,ГВС в кв.13,23;смена участка отопления под кв. 71,67,63,59,71</t>
  </si>
  <si>
    <t>Смена участка ХВС в кв.65</t>
  </si>
  <si>
    <t>Устройство пандуса  во 2м под-де</t>
  </si>
  <si>
    <t>Смена ГВС,ХВС в подвале 1го под-да</t>
  </si>
  <si>
    <t>Монтаж оптоакустических светильников в подъездах</t>
  </si>
  <si>
    <t>Ремонт межпанельных швов кв.37</t>
  </si>
  <si>
    <t>Смена уч-в  ГВС кв.63,59,на техэтаже 1п-да; Смена  запорной арматуры  в подвале 1п-да</t>
  </si>
  <si>
    <t>Смена  выключателя на   лестничной площадке  ,3подъезда</t>
  </si>
  <si>
    <t>Смена вентилей в кв.7</t>
  </si>
  <si>
    <t>Ремонт 2-го подъезда</t>
  </si>
  <si>
    <t>Ремонт швов кв.35,63</t>
  </si>
  <si>
    <t>25 тыс. руб.</t>
  </si>
  <si>
    <t xml:space="preserve">                                    по дому № 5 ул. Рождественская   г. Заволжье  </t>
  </si>
  <si>
    <t>120 тыс. руб.</t>
  </si>
  <si>
    <t xml:space="preserve">Утепление простенка кв. 4 (3м2) </t>
  </si>
  <si>
    <t xml:space="preserve">Ремонт швов </t>
  </si>
  <si>
    <t xml:space="preserve">                                    по дому № 6 ул. Рождественская   г. Заволжье  </t>
  </si>
  <si>
    <t>Смена кранов ХВС,ГВС в кв.3,39,13; см. уч-ка отопления в кв.20; Смена участка ХВС,ГВс и обратки на ГВс по кв. 87</t>
  </si>
  <si>
    <t>Смена участков  отопления на стояках по кв. 60,100 с подключением  к конвектору  ; смена участка розлива отопления в подвале 5го под-да</t>
  </si>
  <si>
    <t>Смена оптошумового  светильника на 1м этаже; перенос светильника  в тамбуре 1го эт.</t>
  </si>
  <si>
    <t>Смена участка канализации в 4м под-де</t>
  </si>
  <si>
    <t>Ремонт металлического ограждения лестниц  под-ды 5,7</t>
  </si>
  <si>
    <t>Смена кранов кв.33; смена задвижек в узле отопл. 7го под-да</t>
  </si>
  <si>
    <t>Ремонт швов в кв. 1,65; Штукатурка фасада</t>
  </si>
  <si>
    <t>5подъезд, 1,2 эт. Ремонт остекления</t>
  </si>
  <si>
    <t>Монтаж оптоакустических светильников на этажных площадках</t>
  </si>
  <si>
    <t>Смена вентилей , смена участка канализации в кв.27,20</t>
  </si>
  <si>
    <t>снятие по исковым заявлениям с кап. рем.</t>
  </si>
  <si>
    <t>ремонт штукатурки фасада (двор) (80м2)</t>
  </si>
  <si>
    <t>7 тыс. руб.</t>
  </si>
  <si>
    <t>ремонт асфальтового покрытия</t>
  </si>
  <si>
    <t>64 тыс. руб.</t>
  </si>
  <si>
    <t>48 тыс. руб.</t>
  </si>
  <si>
    <t>ремонт кровли лоджии кв.86</t>
  </si>
  <si>
    <t>15 тыс.руб.</t>
  </si>
  <si>
    <t xml:space="preserve">                                    по дому № 7 ул. Рождественская   г. Заволжье  </t>
  </si>
  <si>
    <t>Смена запорной арматуры на стояках отопления в подвале 1го под-да</t>
  </si>
  <si>
    <t>Смена пакетного выключателя в э/щ у кв. 40</t>
  </si>
  <si>
    <t>Смена участка стояка отопления  по кв.3</t>
  </si>
  <si>
    <t>Смена участка ХВС в кв.37</t>
  </si>
  <si>
    <t>Уутепление углов в кв.37</t>
  </si>
  <si>
    <t>Утепление фасада кв.4</t>
  </si>
  <si>
    <t>Смена кранов кв. 40,25</t>
  </si>
  <si>
    <t>Смена розлива и запорной арматуры в подвале</t>
  </si>
  <si>
    <t>Смена патронов в подвале</t>
  </si>
  <si>
    <t>Смена манжет,заглушек в подвале</t>
  </si>
  <si>
    <t>Монтаж поддонов для сборов стоков в ливнев.канализ на техэтаже(2шт)</t>
  </si>
  <si>
    <t xml:space="preserve">Установка антенны </t>
  </si>
  <si>
    <t>Ремонт швов кв.17,18,20,37,4</t>
  </si>
  <si>
    <t>3,5 тыс. руб.</t>
  </si>
  <si>
    <t>Удлинение выпуска ливневой  трубы и ремонт отмостки (1подъезд)</t>
  </si>
  <si>
    <t>Смена верхнего розлива ГВС, изоляция труб отопления</t>
  </si>
  <si>
    <t>Ремонт кровли (180м2)</t>
  </si>
  <si>
    <t xml:space="preserve">                                    по дому № 8 ул. Рождественская   г. Заволжье  </t>
  </si>
  <si>
    <t>Смена участков ГВС и запорной арматуры в подвале 1,2 под-в</t>
  </si>
  <si>
    <t>Смена почтового ящика  в кв.43</t>
  </si>
  <si>
    <t>Смена  выключателя в подвале</t>
  </si>
  <si>
    <t>Смена крана ХВс в кв.12</t>
  </si>
  <si>
    <t>Ремонт скамеек</t>
  </si>
  <si>
    <t>Смена кранов на отоплении в подвале</t>
  </si>
  <si>
    <t>Смена пакетного выключателя кв.54</t>
  </si>
  <si>
    <t>Смена вентилей и муфт комбинированных в кв. 64</t>
  </si>
  <si>
    <t>Смена верхнего розлива ГВС (2 п-д),</t>
  </si>
  <si>
    <t>Утепление по торцу дома</t>
  </si>
  <si>
    <t>200 тыс. руб.</t>
  </si>
  <si>
    <t xml:space="preserve">                                    по дому № 10 ул. Рождественская   г. Заволжье  </t>
  </si>
  <si>
    <t>Смена  участка ГВС в подвале 3го под-да</t>
  </si>
  <si>
    <t>Смена  участков стояков ГВС,ХВс по кв. 62</t>
  </si>
  <si>
    <t>Монтаж акустического светильника (4 п-д,уличное освещение)</t>
  </si>
  <si>
    <t>Ремонт кровли (270м2)</t>
  </si>
  <si>
    <t>Смена автомата в э/щ,смена выключателя  у лифта  у к.22</t>
  </si>
  <si>
    <t>Смена кранов шаровых в кв.39,в подвале 1го под-да  по кв.21;  смена сгона на конвекторе в кв.82</t>
  </si>
  <si>
    <t>Уустановка оптоакустических светильников на 1эт. в 1,2,3,4 под-х; смена выключателя  у тамбурной двери</t>
  </si>
  <si>
    <t>Смена участка стояка отопления в кв. №15; смена уч-в стояков ГВС и ХВС с выводом на техэтаж по кв.69</t>
  </si>
  <si>
    <t>Замена кнопки вызова лифт 2 под-д</t>
  </si>
  <si>
    <t>Смена кранов на техэтаже,уст-ка 3 радиаторов(без стоимости радиаторов)в кв.34</t>
  </si>
  <si>
    <t>Установка заглушек канализации  в1,2,3,4 под-х , муфты на стояке канализации  в 2 под-де</t>
  </si>
  <si>
    <t>Ремонт лифтов 3под-д</t>
  </si>
  <si>
    <t>Установка замка накл.на дверь 3под-д</t>
  </si>
  <si>
    <t>Смена выключателя в тамбуре кв. №130</t>
  </si>
  <si>
    <t>Смена  ХВС по кв.142;  Смена  ХВС в подвале 2го под-да;  Смена ГВС(обратка) в 3м п-де;  смена  задвижки в подвале 1го под-да</t>
  </si>
  <si>
    <t>Ремонт лифтов  2,3 под-ды</t>
  </si>
  <si>
    <t>Смена  участков  ХВС,ГВС в подвале; смена кранов в подвале,в  кв. 23,117,122,14,135;  смена задвижек в теплоузле</t>
  </si>
  <si>
    <t xml:space="preserve">Установка  светильников во 2м под-де, смена плафонов </t>
  </si>
  <si>
    <t>Ремонт швов</t>
  </si>
  <si>
    <t>Смена патронов на техэтаже</t>
  </si>
  <si>
    <t>Смена участка  ХВС в кв.40; смена  участка обратки ГВС в кв.4;</t>
  </si>
  <si>
    <t>Установка общедомового узла  учета тепловой энергии</t>
  </si>
  <si>
    <t xml:space="preserve">Смена розлива на техэтаже : ХВС в 4м под-де,ГВС (1-4п-ды) </t>
  </si>
  <si>
    <t>Ремонт кровли (110м2)</t>
  </si>
  <si>
    <t>Ремонт 1,2-го подъездов</t>
  </si>
  <si>
    <t>Ремонт оцинкованных парапетных сливов (20м)</t>
  </si>
  <si>
    <t xml:space="preserve">                                    по дому № 2 ул. Весенняя   г. Заволжье  </t>
  </si>
  <si>
    <t>Смена автомата в электрощитовой</t>
  </si>
  <si>
    <t>Установка продухов в подвале</t>
  </si>
  <si>
    <t>Ремонт лифта в 1м под-де</t>
  </si>
  <si>
    <t>Смена кранов ХВС,ГВС в подвале 2го под-да,в кв. 59;  Смена участка стояка отопления с подсоединением к конвектору и выводом на техэтаж  по кв,44</t>
  </si>
  <si>
    <t>Облицовка  стены оцинкованной сталью  в под-де  № 1</t>
  </si>
  <si>
    <t>Смена кранов шаровых  ХВС,ГВС в кв.19</t>
  </si>
  <si>
    <t>Смена кранов ГВС,ХВС в кв.39,63 , смена участка труб ГВС в подвале 1,2 под-в</t>
  </si>
  <si>
    <t>Смена патрона в тамбуре  у  кв. № 80.</t>
  </si>
  <si>
    <t>Смена кранов в кв.71,76,44,34;  Смена задвижки на отопл; смена ХВС в подвале по 37кв; Смена отсечных кранов по ХВС,ГВС в кв.33</t>
  </si>
  <si>
    <t>Смена вентилей,задвижек в подвале</t>
  </si>
  <si>
    <t>Смена вентиля в кв. 85</t>
  </si>
  <si>
    <t>Ремонт покрытия лоджии над 86кв.</t>
  </si>
  <si>
    <t>Частичная  замена запорной арматуры ХВС,ГВС,отопления</t>
  </si>
  <si>
    <t>Утепление стен по квартирам</t>
  </si>
  <si>
    <t xml:space="preserve">                                    по дому № 3 ул. Весенняя   г. Заволжье  </t>
  </si>
  <si>
    <t xml:space="preserve">Дополнительный взнос по текущему ремонту </t>
  </si>
  <si>
    <t>Закрытие  э/проводки  асбестцементным листом во 2м под-де</t>
  </si>
  <si>
    <t>Остекление МОП 1эт</t>
  </si>
  <si>
    <t>Смена крана ХВС в кв.108</t>
  </si>
  <si>
    <t>Смена кранов ГВС,ХВС в кв.107,101 ; Установка  полотенцесушителя в кв.77</t>
  </si>
  <si>
    <t>Смена  крана ХВС в кв. 119</t>
  </si>
  <si>
    <t>Ремонт температурных швов</t>
  </si>
  <si>
    <t>Смена кранов в кв. 24</t>
  </si>
  <si>
    <t>5,85 тыс.руб</t>
  </si>
  <si>
    <t>10,43 тыс.руб.</t>
  </si>
  <si>
    <t>Монтаж окон-продухов в подвале</t>
  </si>
  <si>
    <t>Ремонт кирпичной кладки крыльца и стен,ремонт штукатурки откосов</t>
  </si>
  <si>
    <t>Установка конвекторов в 2,3 под-х</t>
  </si>
  <si>
    <t>Ремонт лифтов 2 подъезд</t>
  </si>
  <si>
    <t>Смена участка отопления  ГВС во 2м под-де (у кв.21)</t>
  </si>
  <si>
    <t>Установка  полотенцесушителя в кв.56, смена  участка отопления по кв.64; смена крана на сброснике отопления по кв.72-80</t>
  </si>
  <si>
    <t>Смена участков ГВС в кв.16 с выходом в кв.20,12</t>
  </si>
  <si>
    <t>Смена пакетного выключателя  в кв.23</t>
  </si>
  <si>
    <t>Смена патрона, пакетного выключателя, светильника на 1м эт.</t>
  </si>
  <si>
    <t>Смена ХВСи ГВС на техэтаже; смена  запорной  арматуры отопления в подвале  4под-да;</t>
  </si>
  <si>
    <t>Ремонт детского городка</t>
  </si>
  <si>
    <t>Установка светильников, смена плафонов,пакетных выключателей</t>
  </si>
  <si>
    <t>Ремонт швов кв.40,29 п-д №1</t>
  </si>
  <si>
    <t>Проект на узел учета</t>
  </si>
  <si>
    <t>20 тыс. руб.</t>
  </si>
  <si>
    <t>Утепление торца дома 3го под-да</t>
  </si>
  <si>
    <t>Доходы от сторонних организаций</t>
  </si>
  <si>
    <t>ремонт внутридомовых сетей канализации в районе кв.99</t>
  </si>
  <si>
    <t>Ремонт стены вентшахты 2го под-да</t>
  </si>
  <si>
    <t>Ремонт стенки вентшахты  3го под-да; смена пружин,петель дверных</t>
  </si>
  <si>
    <t>ИТОГО остаток денежных средств по текущему ремонту с учетом остатка по капитальному ремонту:</t>
  </si>
  <si>
    <t>Установка общедомового узла учета тепловой энергии (по решению жителей)</t>
  </si>
  <si>
    <t>в том числе за коммунальные услуги</t>
  </si>
  <si>
    <t>в том числе  за коммунальные услуги</t>
  </si>
  <si>
    <t>в том числе за  коммунальные услуги</t>
  </si>
  <si>
    <t>В том числе за коммунальные услуги</t>
  </si>
  <si>
    <t>В том числе  за коммунальные услуги</t>
  </si>
  <si>
    <t>за содержание и ремонт</t>
  </si>
  <si>
    <t>ИТОГО остаток денежных средств по текущему ремонту с учетом перерасхода по капитальному ремонту:</t>
  </si>
  <si>
    <t>Крепление трубопроводов розлива ГВС и ХВС на техэтаже</t>
  </si>
  <si>
    <t>12 тыс. руб.</t>
  </si>
  <si>
    <t>Денежные средства с планом 2015г. по Т.Р. с учетом остатка 2014г.</t>
  </si>
  <si>
    <t>72 тыс. руб.</t>
  </si>
  <si>
    <t xml:space="preserve">Ремонтные работы общего имущества по результатам обследований </t>
  </si>
  <si>
    <t>и заявлениям жителей,поступающих в течении года.</t>
  </si>
  <si>
    <t>Остаток денежных средств по К.Р.</t>
  </si>
  <si>
    <t>170 т.руб.</t>
  </si>
  <si>
    <t>140 тыс. руб.</t>
  </si>
  <si>
    <t>490  т.р.</t>
  </si>
  <si>
    <t>70 тыс. руб.</t>
  </si>
  <si>
    <t>235 тыс.руб.</t>
  </si>
  <si>
    <t>170 тыс.руб.</t>
  </si>
  <si>
    <t>6 тыс. руб.</t>
  </si>
  <si>
    <t>150 тыс. руб.</t>
  </si>
  <si>
    <t>130 тыс.руб.</t>
  </si>
  <si>
    <t>123 тыс.руб.</t>
  </si>
  <si>
    <t>77 тыс.руб.</t>
  </si>
  <si>
    <t>19 тыс. руб.</t>
  </si>
  <si>
    <t>Установка оптошумовых светильников</t>
  </si>
  <si>
    <t>19 тыс.руб.</t>
  </si>
  <si>
    <t>Смена  участка отопления в подвале и на техэтаже; смена кранов ГВС,ХВС в подвале,кв.25,17,подключение подъездного конвектора во 2м под-де</t>
  </si>
  <si>
    <t>смена дверных блоков в подвал (2шт)</t>
  </si>
  <si>
    <t>230 тыс.руб.</t>
  </si>
  <si>
    <t>ремонт кровли (380м2)</t>
  </si>
  <si>
    <t>Ремонт внутридомовых сетей канализации по стоякам  кв.43,19</t>
  </si>
  <si>
    <t>Смена  полотенцесушителя  и участка стояка по ГВС в кв. №30, смена кранов ХВС в подвале на розливе</t>
  </si>
  <si>
    <t>Ремонт внутридомовых сетей канализации по стояку кв.  52</t>
  </si>
  <si>
    <t>Смена участка отопления в подвале по кв. 84; Смена участка канализации в подвале, смена вентилей  в кв. 91,95</t>
  </si>
  <si>
    <t>Ремонт ограждения подъезда №3  (15м)</t>
  </si>
  <si>
    <t>Ремонт внутридомовых сетей канализации по стояку  кв. 7</t>
  </si>
  <si>
    <t>101,2 тыс. руб.</t>
  </si>
  <si>
    <t>Смена участков стояков ГВС,ХВС в 1,2 подъездах с выводом в подвал</t>
  </si>
  <si>
    <t>Ремонт швов кв 66,67,53,77,47,4,54</t>
  </si>
  <si>
    <t>Ремонт межпанельных швов</t>
  </si>
  <si>
    <t>170 тыс. руб.</t>
  </si>
  <si>
    <t>67 тыс. руб.</t>
  </si>
  <si>
    <t>162 тыс. руб.</t>
  </si>
  <si>
    <t>188 тыс.руб.</t>
  </si>
  <si>
    <t>Смена  светильников подъездного освещения (с улицы)</t>
  </si>
  <si>
    <t>Поверка  узла учета тепловой энергии</t>
  </si>
  <si>
    <t>Ремонт лифтов 1,2 подъезды</t>
  </si>
  <si>
    <t>13,7 тыс.руб.</t>
  </si>
  <si>
    <t xml:space="preserve">Переподключение отопительных приборов от подъездного отопления по кв. 37 </t>
  </si>
  <si>
    <t>Ремонт кровли тамбура 2,3 подъездов</t>
  </si>
  <si>
    <t>Установка дверных блоков во 2 и 3-м подъездах</t>
  </si>
  <si>
    <t>Смена патронов в подъездах</t>
  </si>
  <si>
    <t>Смена  кранов шаровых  на сбросниках во 2м под-де , смена участка отопления в подвале 2-го под-да</t>
  </si>
  <si>
    <t>100 тыс.руб.</t>
  </si>
  <si>
    <t>Установка оптоакустических светильников (1 п-д)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</si>
</sst>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#.00"/>
    <numFmt numFmtId="166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31" fillId="0" borderId="10" xfId="0" applyFont="1" applyBorder="1" applyAlignment="1" quotePrefix="1">
      <alignment horizontal="right" vertical="center" wrapText="1"/>
    </xf>
    <xf numFmtId="0" fontId="31" fillId="0" borderId="0" xfId="0" applyFont="1" applyAlignment="1" quotePrefix="1">
      <alignment horizontal="left"/>
    </xf>
    <xf numFmtId="0" fontId="31" fillId="0" borderId="0" xfId="0" applyFont="1" applyAlignment="1" quotePrefix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 quotePrefix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0" borderId="0" xfId="0" applyFont="1" applyAlignment="1" quotePrefix="1">
      <alignment horizontal="right"/>
    </xf>
    <xf numFmtId="0" fontId="42" fillId="0" borderId="0" xfId="0" applyFont="1" applyAlignment="1">
      <alignment vertical="center" wrapText="1"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 horizontal="center" vertical="center" wrapText="1"/>
    </xf>
    <xf numFmtId="2" fontId="31" fillId="0" borderId="11" xfId="0" applyNumberFormat="1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 applyBorder="1" applyAlignment="1">
      <alignment/>
    </xf>
    <xf numFmtId="0" fontId="0" fillId="0" borderId="12" xfId="0" applyBorder="1" applyAlignment="1" quotePrefix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2" fontId="43" fillId="0" borderId="0" xfId="0" applyNumberFormat="1" applyFont="1" applyAlignment="1">
      <alignment vertical="center" wrapText="1"/>
    </xf>
    <xf numFmtId="0" fontId="31" fillId="0" borderId="10" xfId="0" applyFont="1" applyBorder="1" applyAlignment="1" quotePrefix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left" vertical="center" wrapText="1"/>
    </xf>
    <xf numFmtId="2" fontId="38" fillId="0" borderId="0" xfId="0" applyNumberFormat="1" applyFont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1" fillId="0" borderId="13" xfId="0" applyFont="1" applyBorder="1" applyAlignment="1" quotePrefix="1">
      <alignment horizontal="left" vertical="center" wrapText="1"/>
    </xf>
    <xf numFmtId="0" fontId="31" fillId="0" borderId="11" xfId="0" applyFont="1" applyBorder="1" applyAlignment="1" quotePrefix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4" xfId="0" applyFont="1" applyBorder="1" applyAlignment="1" quotePrefix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 quotePrefix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2" fontId="31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 quotePrefix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13" xfId="0" applyFont="1" applyBorder="1" applyAlignment="1" quotePrefix="1">
      <alignment horizontal="left" vertical="center" wrapText="1"/>
    </xf>
    <xf numFmtId="0" fontId="23" fillId="0" borderId="11" xfId="0" applyFont="1" applyBorder="1" applyAlignment="1" quotePrefix="1">
      <alignment horizontal="left" vertical="center" wrapText="1"/>
    </xf>
    <xf numFmtId="0" fontId="23" fillId="0" borderId="14" xfId="0" applyFont="1" applyBorder="1" applyAlignment="1" quotePrefix="1">
      <alignment horizontal="left" vertical="center" wrapText="1"/>
    </xf>
    <xf numFmtId="0" fontId="23" fillId="0" borderId="12" xfId="0" applyFont="1" applyBorder="1" applyAlignment="1" quotePrefix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1" fillId="0" borderId="0" xfId="0" applyFont="1" applyAlignment="1" quotePrefix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37">
      <selection activeCell="C52" sqref="C52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17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-77289.84000000001</v>
      </c>
    </row>
    <row r="8" spans="2:5" ht="15">
      <c r="B8" s="13" t="s">
        <v>7</v>
      </c>
      <c r="C8" s="31">
        <f>2301.2*4.13*6+2301.2*5.41*6</f>
        <v>131720.688</v>
      </c>
      <c r="E8" s="23"/>
    </row>
    <row r="9" spans="2:5" ht="15">
      <c r="B9" s="13" t="s">
        <v>12</v>
      </c>
      <c r="C9" s="31">
        <f>C8*1.0554</f>
        <v>139018.01411519997</v>
      </c>
      <c r="E9" s="23"/>
    </row>
    <row r="10" spans="2:5" ht="15">
      <c r="B10" s="13" t="s">
        <v>18</v>
      </c>
      <c r="C10" s="31">
        <v>3882.96</v>
      </c>
      <c r="E10" s="23"/>
    </row>
    <row r="11" spans="2:3" ht="15">
      <c r="B11" s="29" t="s">
        <v>19</v>
      </c>
      <c r="C11" s="38">
        <v>2225.71</v>
      </c>
    </row>
    <row r="12" spans="2:3" ht="15">
      <c r="B12" s="29" t="s">
        <v>221</v>
      </c>
      <c r="C12" s="33">
        <f>(28.3+33.1)*4.13*12</f>
        <v>3042.9840000000004</v>
      </c>
    </row>
    <row r="13" spans="1:3" ht="50.25" customHeight="1">
      <c r="A13" s="2" t="s">
        <v>0</v>
      </c>
      <c r="B13" s="2" t="s">
        <v>8</v>
      </c>
      <c r="C13" s="39" t="s">
        <v>9</v>
      </c>
    </row>
    <row r="14" spans="1:3" s="1" customFormat="1" ht="15">
      <c r="A14" s="2">
        <v>1</v>
      </c>
      <c r="B14" s="5" t="s">
        <v>20</v>
      </c>
      <c r="C14" s="2">
        <f>2979.56+13696.38</f>
        <v>16675.94</v>
      </c>
    </row>
    <row r="15" spans="1:3" s="1" customFormat="1" ht="15">
      <c r="A15" s="2">
        <v>2</v>
      </c>
      <c r="B15" s="5" t="s">
        <v>21</v>
      </c>
      <c r="C15" s="2">
        <f>15.34+348.1+1257.88</f>
        <v>1621.3200000000002</v>
      </c>
    </row>
    <row r="16" spans="1:3" s="1" customFormat="1" ht="15">
      <c r="A16" s="2">
        <v>3</v>
      </c>
      <c r="B16" s="5" t="s">
        <v>22</v>
      </c>
      <c r="C16" s="2">
        <v>1381.26</v>
      </c>
    </row>
    <row r="17" spans="1:3" s="1" customFormat="1" ht="15">
      <c r="A17" s="2">
        <v>4</v>
      </c>
      <c r="B17" s="5" t="s">
        <v>23</v>
      </c>
      <c r="C17" s="2">
        <v>1803.96</v>
      </c>
    </row>
    <row r="18" spans="1:3" s="1" customFormat="1" ht="15">
      <c r="A18" s="2">
        <v>5</v>
      </c>
      <c r="B18" s="5" t="s">
        <v>24</v>
      </c>
      <c r="C18" s="2">
        <v>240.67</v>
      </c>
    </row>
    <row r="19" spans="1:3" s="1" customFormat="1" ht="15">
      <c r="A19" s="2">
        <v>6</v>
      </c>
      <c r="B19" s="5" t="s">
        <v>25</v>
      </c>
      <c r="C19" s="2">
        <v>1285.41</v>
      </c>
    </row>
    <row r="20" spans="1:3" s="1" customFormat="1" ht="15">
      <c r="A20" s="2">
        <v>7</v>
      </c>
      <c r="B20" s="5" t="s">
        <v>26</v>
      </c>
      <c r="C20" s="2">
        <v>7064.4</v>
      </c>
    </row>
    <row r="21" spans="1:3" s="1" customFormat="1" ht="15">
      <c r="A21" s="2">
        <v>8</v>
      </c>
      <c r="B21" s="5" t="s">
        <v>27</v>
      </c>
      <c r="C21" s="2">
        <v>29051.8</v>
      </c>
    </row>
    <row r="22" spans="1:3" s="1" customFormat="1" ht="15">
      <c r="A22" s="2">
        <v>9</v>
      </c>
      <c r="B22" s="5" t="s">
        <v>28</v>
      </c>
      <c r="C22" s="2">
        <v>2724.05</v>
      </c>
    </row>
    <row r="23" spans="1:3" s="1" customFormat="1" ht="51" customHeight="1">
      <c r="A23" s="2">
        <v>10</v>
      </c>
      <c r="B23" s="5" t="s">
        <v>29</v>
      </c>
      <c r="C23" s="2">
        <v>8802.86</v>
      </c>
    </row>
    <row r="24" spans="1:3" s="1" customFormat="1" ht="15">
      <c r="A24" s="2">
        <v>11</v>
      </c>
      <c r="B24" s="5" t="s">
        <v>16</v>
      </c>
      <c r="C24" s="2">
        <f>6354.5+39417</f>
        <v>45771.5</v>
      </c>
    </row>
    <row r="25" spans="1:3" s="1" customFormat="1" ht="15">
      <c r="A25" s="2">
        <v>12</v>
      </c>
      <c r="B25" s="5" t="s">
        <v>30</v>
      </c>
      <c r="C25" s="2">
        <v>2318.06</v>
      </c>
    </row>
    <row r="26" spans="1:3" s="1" customFormat="1" ht="15">
      <c r="A26" s="2">
        <v>13</v>
      </c>
      <c r="B26" s="5" t="s">
        <v>31</v>
      </c>
      <c r="C26" s="2">
        <v>312.9</v>
      </c>
    </row>
    <row r="27" spans="1:3" s="1" customFormat="1" ht="15">
      <c r="A27" s="2"/>
      <c r="B27" s="7" t="s">
        <v>1</v>
      </c>
      <c r="C27" s="6">
        <f>SUM(C14:C26)</f>
        <v>119054.12999999999</v>
      </c>
    </row>
    <row r="28" spans="1:3" s="9" customFormat="1" ht="15">
      <c r="A28" s="6"/>
      <c r="B28" s="14" t="s">
        <v>10</v>
      </c>
      <c r="C28" s="27">
        <f>C7+C8+C10+C11+C12-C27</f>
        <v>-55471.62800000001</v>
      </c>
    </row>
    <row r="29" spans="1:3" s="9" customFormat="1" ht="30">
      <c r="A29" s="6"/>
      <c r="B29" s="43" t="s">
        <v>225</v>
      </c>
      <c r="C29" s="27">
        <f>C28+C40</f>
        <v>-47395.29446800002</v>
      </c>
    </row>
    <row r="30" s="1" customFormat="1" ht="15">
      <c r="A30" s="4"/>
    </row>
    <row r="31" spans="1:2" s="1" customFormat="1" ht="18.75">
      <c r="A31" s="4"/>
      <c r="B31" s="16" t="s">
        <v>5</v>
      </c>
    </row>
    <row r="32" spans="1:2" s="9" customFormat="1" ht="15">
      <c r="A32" s="10"/>
      <c r="B32" s="1"/>
    </row>
    <row r="33" spans="1:3" s="1" customFormat="1" ht="15">
      <c r="A33" s="4"/>
      <c r="B33" s="13" t="s">
        <v>11</v>
      </c>
      <c r="C33" s="9">
        <v>-11064.130000000005</v>
      </c>
    </row>
    <row r="34" spans="1:3" s="1" customFormat="1" ht="15">
      <c r="A34" s="4"/>
      <c r="B34" s="13" t="s">
        <v>7</v>
      </c>
      <c r="C34" s="9">
        <v>49991.58</v>
      </c>
    </row>
    <row r="35" spans="1:3" s="1" customFormat="1" ht="15">
      <c r="A35" s="4"/>
      <c r="B35" s="41" t="s">
        <v>12</v>
      </c>
      <c r="C35" s="42">
        <f>C34*1.0554</f>
        <v>52761.113531999996</v>
      </c>
    </row>
    <row r="36" spans="1:3" s="1" customFormat="1" ht="30">
      <c r="A36" s="2" t="s">
        <v>0</v>
      </c>
      <c r="B36" s="2" t="s">
        <v>8</v>
      </c>
      <c r="C36" s="8" t="s">
        <v>9</v>
      </c>
    </row>
    <row r="37" spans="1:3" s="1" customFormat="1" ht="18.75" customHeight="1">
      <c r="A37" s="2">
        <v>1</v>
      </c>
      <c r="B37" s="5" t="s">
        <v>27</v>
      </c>
      <c r="C37" s="6">
        <v>33620.65</v>
      </c>
    </row>
    <row r="38" spans="1:3" s="1" customFormat="1" ht="15">
      <c r="A38" s="2"/>
      <c r="B38" s="28"/>
      <c r="C38" s="2"/>
    </row>
    <row r="39" spans="1:3" s="1" customFormat="1" ht="15">
      <c r="A39" s="2"/>
      <c r="B39" s="7" t="s">
        <v>1</v>
      </c>
      <c r="C39" s="6">
        <f>SUM(C37:C38)</f>
        <v>33620.65</v>
      </c>
    </row>
    <row r="40" spans="1:3" s="1" customFormat="1" ht="15">
      <c r="A40" s="2"/>
      <c r="B40" s="7" t="s">
        <v>10</v>
      </c>
      <c r="C40" s="27">
        <f>C33+C35-C39</f>
        <v>8076.33353199999</v>
      </c>
    </row>
    <row r="41" s="1" customFormat="1" ht="15">
      <c r="A41" s="4"/>
    </row>
    <row r="42" spans="1:3" s="1" customFormat="1" ht="15">
      <c r="A42" s="4"/>
      <c r="B42" s="9" t="s">
        <v>13</v>
      </c>
      <c r="C42" s="9">
        <v>690151.69</v>
      </c>
    </row>
    <row r="43" spans="1:3" s="1" customFormat="1" ht="15">
      <c r="A43" s="4"/>
      <c r="B43" s="16" t="s">
        <v>227</v>
      </c>
      <c r="C43" s="9">
        <v>501440.13</v>
      </c>
    </row>
    <row r="44" spans="1:3" s="1" customFormat="1" ht="15">
      <c r="A44" s="4"/>
      <c r="B44" s="16" t="s">
        <v>232</v>
      </c>
      <c r="C44" s="9">
        <v>188711.56</v>
      </c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4"/>
      <c r="B47" s="16"/>
      <c r="C47" s="9"/>
    </row>
    <row r="48" spans="1:3" s="1" customFormat="1" ht="15">
      <c r="A48" s="79" t="s">
        <v>14</v>
      </c>
      <c r="B48" s="80"/>
      <c r="C48" s="80"/>
    </row>
    <row r="49" spans="1:3" s="1" customFormat="1" ht="15">
      <c r="A49" s="51"/>
      <c r="B49" s="52"/>
      <c r="C49" s="52"/>
    </row>
    <row r="50" spans="1:3" s="1" customFormat="1" ht="15">
      <c r="A50" s="4"/>
      <c r="B50" s="30" t="s">
        <v>15</v>
      </c>
      <c r="C50" s="9"/>
    </row>
    <row r="51" spans="1:3" s="1" customFormat="1" ht="15">
      <c r="A51" s="4"/>
      <c r="B51" s="30"/>
      <c r="C51" s="9"/>
    </row>
    <row r="52" spans="1:3" s="1" customFormat="1" ht="15">
      <c r="A52" s="4"/>
      <c r="B52" s="30" t="s">
        <v>236</v>
      </c>
      <c r="C52" s="50">
        <f>2301.2*5.41*12+C29</f>
        <v>101998.60953199999</v>
      </c>
    </row>
    <row r="53" spans="1:3" s="1" customFormat="1" ht="15">
      <c r="A53" s="4"/>
      <c r="B53" s="30"/>
      <c r="C53" s="9"/>
    </row>
    <row r="54" spans="1:3" s="1" customFormat="1" ht="15">
      <c r="A54" s="6">
        <v>1</v>
      </c>
      <c r="B54" s="8" t="s">
        <v>32</v>
      </c>
      <c r="C54" s="43" t="s">
        <v>219</v>
      </c>
    </row>
    <row r="55" spans="1:3" s="1" customFormat="1" ht="15">
      <c r="A55" s="6">
        <v>2</v>
      </c>
      <c r="B55" s="8" t="s">
        <v>34</v>
      </c>
      <c r="C55" s="8" t="s">
        <v>219</v>
      </c>
    </row>
    <row r="56" spans="1:3" s="1" customFormat="1" ht="15">
      <c r="A56" s="6">
        <v>3</v>
      </c>
      <c r="B56" s="8" t="s">
        <v>35</v>
      </c>
      <c r="C56" s="43" t="s">
        <v>237</v>
      </c>
    </row>
    <row r="57" spans="1:3" s="1" customFormat="1" ht="15">
      <c r="A57" s="4"/>
      <c r="B57" s="30"/>
      <c r="C57" s="9"/>
    </row>
    <row r="58" spans="1:3" s="1" customFormat="1" ht="15">
      <c r="A58" s="40"/>
      <c r="B58" s="16"/>
      <c r="C58" s="9"/>
    </row>
    <row r="59" spans="1:3" s="1" customFormat="1" ht="15">
      <c r="A59" s="40"/>
      <c r="B59" s="16"/>
      <c r="C59" s="16"/>
    </row>
    <row r="60" spans="1:3" s="1" customFormat="1" ht="15">
      <c r="A60" s="40"/>
      <c r="B60" s="16"/>
      <c r="C60" s="16"/>
    </row>
    <row r="61" spans="1:3" s="1" customFormat="1" ht="15">
      <c r="A61" s="4"/>
      <c r="B61" s="9"/>
      <c r="C61" s="9"/>
    </row>
    <row r="62" spans="1:3" s="1" customFormat="1" ht="15">
      <c r="A62" s="4"/>
      <c r="B62" s="9"/>
      <c r="C62" s="9"/>
    </row>
    <row r="63" s="1" customFormat="1" ht="15">
      <c r="A63" s="4"/>
    </row>
    <row r="64" spans="1:3" s="1" customFormat="1" ht="15">
      <c r="A64" s="77" t="s">
        <v>14</v>
      </c>
      <c r="B64" s="78"/>
      <c r="C64" s="78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pans="1:2" s="1" customFormat="1" ht="15">
      <c r="A90" s="4"/>
      <c r="B90"/>
    </row>
  </sheetData>
  <sheetProtection/>
  <mergeCells count="3">
    <mergeCell ref="A1:B1"/>
    <mergeCell ref="A64:C64"/>
    <mergeCell ref="A48:C4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58">
      <selection activeCell="B77" sqref="B77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37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44675.18000000002</v>
      </c>
    </row>
    <row r="8" spans="2:5" ht="15">
      <c r="B8" s="13" t="s">
        <v>7</v>
      </c>
      <c r="C8" s="31">
        <f>8163.2*3.31*6+8163.2*4.07*6</f>
        <v>361466.49600000004</v>
      </c>
      <c r="E8" s="23"/>
    </row>
    <row r="9" spans="2:5" ht="15">
      <c r="B9" s="13" t="s">
        <v>12</v>
      </c>
      <c r="C9" s="31">
        <f>C8*0.9883</f>
        <v>357237.3379968</v>
      </c>
      <c r="E9" s="23"/>
    </row>
    <row r="10" spans="2:5" ht="15">
      <c r="B10" s="13" t="s">
        <v>18</v>
      </c>
      <c r="C10" s="31">
        <v>7453.92</v>
      </c>
      <c r="E10" s="23"/>
    </row>
    <row r="11" spans="2:3" ht="15">
      <c r="B11" s="29" t="s">
        <v>19</v>
      </c>
      <c r="C11" s="33">
        <v>8902.86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157</v>
      </c>
      <c r="C13" s="2">
        <v>758.74</v>
      </c>
    </row>
    <row r="14" spans="1:3" s="1" customFormat="1" ht="30">
      <c r="A14" s="2">
        <v>2</v>
      </c>
      <c r="B14" s="5" t="s">
        <v>158</v>
      </c>
      <c r="C14" s="2">
        <v>3892.88</v>
      </c>
    </row>
    <row r="15" spans="1:3" s="1" customFormat="1" ht="30">
      <c r="A15" s="2">
        <v>3</v>
      </c>
      <c r="B15" s="5" t="s">
        <v>159</v>
      </c>
      <c r="C15" s="2">
        <v>5738.34</v>
      </c>
    </row>
    <row r="16" spans="1:3" s="1" customFormat="1" ht="30">
      <c r="A16" s="2">
        <v>4</v>
      </c>
      <c r="B16" s="5" t="s">
        <v>160</v>
      </c>
      <c r="C16" s="2">
        <v>5911.26</v>
      </c>
    </row>
    <row r="17" spans="1:3" s="1" customFormat="1" ht="15">
      <c r="A17" s="2">
        <v>5</v>
      </c>
      <c r="B17" s="5" t="s">
        <v>161</v>
      </c>
      <c r="C17" s="2">
        <v>281.01</v>
      </c>
    </row>
    <row r="18" spans="1:3" s="1" customFormat="1" ht="30">
      <c r="A18" s="2">
        <v>6</v>
      </c>
      <c r="B18" s="5" t="s">
        <v>162</v>
      </c>
      <c r="C18" s="2">
        <v>6432.55</v>
      </c>
    </row>
    <row r="19" spans="1:3" s="1" customFormat="1" ht="30">
      <c r="A19" s="2">
        <v>7</v>
      </c>
      <c r="B19" s="5" t="s">
        <v>163</v>
      </c>
      <c r="C19" s="2">
        <v>3671.3</v>
      </c>
    </row>
    <row r="20" spans="1:3" s="1" customFormat="1" ht="15">
      <c r="A20" s="2">
        <v>8</v>
      </c>
      <c r="B20" s="5" t="s">
        <v>164</v>
      </c>
      <c r="C20" s="2">
        <v>23274.62</v>
      </c>
    </row>
    <row r="21" spans="1:3" s="1" customFormat="1" ht="15">
      <c r="A21" s="2">
        <v>9</v>
      </c>
      <c r="B21" s="5" t="s">
        <v>165</v>
      </c>
      <c r="C21" s="2">
        <v>1060.82</v>
      </c>
    </row>
    <row r="22" spans="1:3" s="1" customFormat="1" ht="16.5" customHeight="1">
      <c r="A22" s="2">
        <v>10</v>
      </c>
      <c r="B22" s="5" t="s">
        <v>166</v>
      </c>
      <c r="C22" s="2">
        <v>87.32</v>
      </c>
    </row>
    <row r="23" spans="1:3" s="1" customFormat="1" ht="16.5" customHeight="1">
      <c r="A23" s="2">
        <v>11</v>
      </c>
      <c r="B23" s="5" t="s">
        <v>28</v>
      </c>
      <c r="C23" s="2">
        <v>2929.14</v>
      </c>
    </row>
    <row r="24" spans="1:3" s="1" customFormat="1" ht="16.5" customHeight="1">
      <c r="A24" s="2">
        <v>12</v>
      </c>
      <c r="B24" s="5" t="s">
        <v>208</v>
      </c>
      <c r="C24" s="2">
        <v>24521.84</v>
      </c>
    </row>
    <row r="25" spans="1:3" s="1" customFormat="1" ht="38.25" customHeight="1">
      <c r="A25" s="2">
        <v>13</v>
      </c>
      <c r="B25" s="5" t="s">
        <v>167</v>
      </c>
      <c r="C25" s="2">
        <v>4917.39</v>
      </c>
    </row>
    <row r="26" spans="1:3" s="1" customFormat="1" ht="22.5" customHeight="1">
      <c r="A26" s="2">
        <v>14</v>
      </c>
      <c r="B26" s="5" t="s">
        <v>16</v>
      </c>
      <c r="C26" s="2">
        <v>142491.5</v>
      </c>
    </row>
    <row r="27" spans="1:3" s="1" customFormat="1" ht="22.5" customHeight="1">
      <c r="A27" s="2">
        <v>15</v>
      </c>
      <c r="B27" s="5" t="s">
        <v>168</v>
      </c>
      <c r="C27" s="2">
        <v>47901.96</v>
      </c>
    </row>
    <row r="28" spans="1:3" s="1" customFormat="1" ht="31.5" customHeight="1">
      <c r="A28" s="2">
        <v>16</v>
      </c>
      <c r="B28" s="5" t="s">
        <v>169</v>
      </c>
      <c r="C28" s="2">
        <v>12547</v>
      </c>
    </row>
    <row r="29" spans="1:3" s="1" customFormat="1" ht="15">
      <c r="A29" s="2">
        <v>17</v>
      </c>
      <c r="B29" s="5" t="s">
        <v>170</v>
      </c>
      <c r="C29" s="2">
        <v>877.92</v>
      </c>
    </row>
    <row r="30" spans="1:3" s="1" customFormat="1" ht="15">
      <c r="A30" s="2">
        <v>18</v>
      </c>
      <c r="B30" s="5" t="s">
        <v>171</v>
      </c>
      <c r="C30" s="2">
        <v>143721</v>
      </c>
    </row>
    <row r="31" spans="1:3" s="1" customFormat="1" ht="15">
      <c r="A31" s="2">
        <v>19</v>
      </c>
      <c r="B31" s="5" t="s">
        <v>172</v>
      </c>
      <c r="C31" s="2">
        <v>177</v>
      </c>
    </row>
    <row r="32" spans="1:3" s="1" customFormat="1" ht="15">
      <c r="A32" s="2">
        <v>20</v>
      </c>
      <c r="B32" s="5" t="s">
        <v>173</v>
      </c>
      <c r="C32" s="2">
        <v>5868.91</v>
      </c>
    </row>
    <row r="33" spans="1:3" s="1" customFormat="1" ht="15">
      <c r="A33" s="2">
        <v>21</v>
      </c>
      <c r="B33" s="5" t="s">
        <v>224</v>
      </c>
      <c r="C33" s="2">
        <v>11346.37</v>
      </c>
    </row>
    <row r="34" spans="1:3" s="1" customFormat="1" ht="15">
      <c r="A34" s="2">
        <v>22</v>
      </c>
      <c r="B34" s="5" t="s">
        <v>234</v>
      </c>
      <c r="C34" s="2">
        <v>5998.54</v>
      </c>
    </row>
    <row r="35" spans="1:3" s="1" customFormat="1" ht="15">
      <c r="A35" s="2"/>
      <c r="B35" s="7" t="s">
        <v>1</v>
      </c>
      <c r="C35" s="6">
        <f>SUM(C13:C34)</f>
        <v>454407.4099999999</v>
      </c>
    </row>
    <row r="36" spans="1:3" s="9" customFormat="1" ht="15">
      <c r="A36" s="6"/>
      <c r="B36" s="14" t="s">
        <v>10</v>
      </c>
      <c r="C36" s="27">
        <f>C7+C8+C10+C11-C35</f>
        <v>-31908.953999999852</v>
      </c>
    </row>
    <row r="37" spans="1:3" s="9" customFormat="1" ht="30">
      <c r="A37" s="6"/>
      <c r="B37" s="14" t="s">
        <v>233</v>
      </c>
      <c r="C37" s="27">
        <f>C36+C51</f>
        <v>-36624.68399999989</v>
      </c>
    </row>
    <row r="38" spans="1:3" s="9" customFormat="1" ht="15">
      <c r="A38" s="25"/>
      <c r="B38" s="26"/>
      <c r="C38" s="66"/>
    </row>
    <row r="39" spans="1:3" s="9" customFormat="1" ht="15">
      <c r="A39" s="25"/>
      <c r="B39" s="26"/>
      <c r="C39" s="66"/>
    </row>
    <row r="40" spans="1:3" s="9" customFormat="1" ht="15">
      <c r="A40" s="25"/>
      <c r="B40" s="26"/>
      <c r="C40" s="66"/>
    </row>
    <row r="41" s="1" customFormat="1" ht="15">
      <c r="A41" s="4"/>
    </row>
    <row r="42" spans="1:2" s="1" customFormat="1" ht="18.75">
      <c r="A42" s="4"/>
      <c r="B42" s="16" t="s">
        <v>5</v>
      </c>
    </row>
    <row r="43" spans="1:2" s="9" customFormat="1" ht="15">
      <c r="A43" s="32"/>
      <c r="B43" s="1"/>
    </row>
    <row r="44" spans="1:3" s="1" customFormat="1" ht="15">
      <c r="A44" s="4"/>
      <c r="B44" s="13" t="s">
        <v>11</v>
      </c>
      <c r="C44" s="9">
        <v>49440.78</v>
      </c>
    </row>
    <row r="45" spans="1:3" s="1" customFormat="1" ht="15">
      <c r="A45" s="4"/>
      <c r="B45" s="13" t="s">
        <v>7</v>
      </c>
      <c r="C45" s="9">
        <v>278372.43</v>
      </c>
    </row>
    <row r="46" spans="1:3" s="1" customFormat="1" ht="15">
      <c r="A46" s="44"/>
      <c r="B46" s="41" t="s">
        <v>12</v>
      </c>
      <c r="C46" s="42">
        <f>C45*0.9883</f>
        <v>275115.472569</v>
      </c>
    </row>
    <row r="47" spans="1:3" s="1" customFormat="1" ht="30">
      <c r="A47" s="2" t="s">
        <v>0</v>
      </c>
      <c r="B47" s="2" t="s">
        <v>8</v>
      </c>
      <c r="C47" s="8" t="s">
        <v>9</v>
      </c>
    </row>
    <row r="48" spans="1:3" s="1" customFormat="1" ht="18.75" customHeight="1">
      <c r="A48" s="2">
        <v>1</v>
      </c>
      <c r="B48" s="5" t="s">
        <v>174</v>
      </c>
      <c r="C48" s="6">
        <v>149754</v>
      </c>
    </row>
    <row r="49" spans="1:3" s="1" customFormat="1" ht="15">
      <c r="A49" s="2">
        <v>2</v>
      </c>
      <c r="B49" s="28" t="s">
        <v>175</v>
      </c>
      <c r="C49" s="6">
        <v>182774.94</v>
      </c>
    </row>
    <row r="50" spans="1:3" s="1" customFormat="1" ht="15">
      <c r="A50" s="2"/>
      <c r="B50" s="7" t="s">
        <v>1</v>
      </c>
      <c r="C50" s="6">
        <f>SUM(C48:C49)</f>
        <v>332528.94</v>
      </c>
    </row>
    <row r="51" spans="1:3" s="1" customFormat="1" ht="15">
      <c r="A51" s="2"/>
      <c r="B51" s="7" t="s">
        <v>10</v>
      </c>
      <c r="C51" s="27">
        <f>C44+C45-C50</f>
        <v>-4715.73000000004</v>
      </c>
    </row>
    <row r="52" s="1" customFormat="1" ht="15">
      <c r="A52" s="4"/>
    </row>
    <row r="53" spans="1:3" s="1" customFormat="1" ht="15">
      <c r="A53" s="4"/>
      <c r="B53" s="9" t="s">
        <v>13</v>
      </c>
      <c r="C53" s="9">
        <v>1060471.1</v>
      </c>
    </row>
    <row r="54" spans="1:3" s="1" customFormat="1" ht="15">
      <c r="A54" s="4"/>
      <c r="B54" s="16" t="s">
        <v>230</v>
      </c>
      <c r="C54" s="9">
        <v>680661.21</v>
      </c>
    </row>
    <row r="55" spans="1:3" s="1" customFormat="1" ht="15">
      <c r="A55" s="4"/>
      <c r="B55" s="16" t="s">
        <v>232</v>
      </c>
      <c r="C55" s="9">
        <v>379809.89</v>
      </c>
    </row>
    <row r="56" spans="1:3" s="1" customFormat="1" ht="15">
      <c r="A56" s="4"/>
      <c r="B56" s="16"/>
      <c r="C56" s="9"/>
    </row>
    <row r="57" spans="1:3" s="1" customFormat="1" ht="15">
      <c r="A57" s="4"/>
      <c r="B57" s="16"/>
      <c r="C57" s="9"/>
    </row>
    <row r="58" spans="1:3" s="1" customFormat="1" ht="15">
      <c r="A58" s="4"/>
      <c r="B58" s="16"/>
      <c r="C58" s="9"/>
    </row>
    <row r="59" spans="1:3" s="1" customFormat="1" ht="15">
      <c r="A59" s="4"/>
      <c r="B59" s="16"/>
      <c r="C59" s="9"/>
    </row>
    <row r="60" spans="1:3" s="1" customFormat="1" ht="15">
      <c r="A60" s="4"/>
      <c r="B60" s="16"/>
      <c r="C60" s="9"/>
    </row>
    <row r="61" spans="1:3" s="1" customFormat="1" ht="15">
      <c r="A61" s="4"/>
      <c r="B61" s="16"/>
      <c r="C61" s="9"/>
    </row>
    <row r="62" spans="1:3" s="1" customFormat="1" ht="15">
      <c r="A62" s="4"/>
      <c r="B62" s="9"/>
      <c r="C62" s="9"/>
    </row>
    <row r="63" spans="1:3" s="1" customFormat="1" ht="15">
      <c r="A63" s="4"/>
      <c r="B63" s="30" t="s">
        <v>15</v>
      </c>
      <c r="C63" s="9"/>
    </row>
    <row r="64" spans="1:3" s="1" customFormat="1" ht="15">
      <c r="A64" s="4"/>
      <c r="B64" s="30"/>
      <c r="C64" s="9"/>
    </row>
    <row r="65" spans="1:3" s="1" customFormat="1" ht="15">
      <c r="A65" s="4"/>
      <c r="B65" s="30" t="s">
        <v>236</v>
      </c>
      <c r="C65" s="50">
        <f>8163.2*4.07*12+C37</f>
        <v>362066.00400000013</v>
      </c>
    </row>
    <row r="66" spans="1:3" s="1" customFormat="1" ht="15">
      <c r="A66" s="4"/>
      <c r="B66" s="30"/>
      <c r="C66" s="9"/>
    </row>
    <row r="67" spans="1:3" s="1" customFormat="1" ht="15">
      <c r="A67" s="4"/>
      <c r="B67" s="30"/>
      <c r="C67" s="9"/>
    </row>
    <row r="68" spans="1:3" s="1" customFormat="1" ht="15">
      <c r="A68" s="6">
        <v>1</v>
      </c>
      <c r="B68" s="43" t="s">
        <v>177</v>
      </c>
      <c r="C68" s="43" t="s">
        <v>269</v>
      </c>
    </row>
    <row r="69" spans="1:3" s="1" customFormat="1" ht="15">
      <c r="A69" s="6">
        <v>2</v>
      </c>
      <c r="B69" s="43" t="s">
        <v>178</v>
      </c>
      <c r="C69" s="43" t="s">
        <v>79</v>
      </c>
    </row>
    <row r="70" spans="1:3" s="1" customFormat="1" ht="15">
      <c r="A70" s="6">
        <v>3</v>
      </c>
      <c r="B70" s="43" t="s">
        <v>34</v>
      </c>
      <c r="C70" s="8" t="s">
        <v>59</v>
      </c>
    </row>
    <row r="71" spans="1:3" s="1" customFormat="1" ht="15">
      <c r="A71" s="6">
        <v>4</v>
      </c>
      <c r="B71" s="43" t="s">
        <v>102</v>
      </c>
      <c r="C71" s="43" t="s">
        <v>77</v>
      </c>
    </row>
    <row r="72" spans="1:3" s="1" customFormat="1" ht="15">
      <c r="A72" s="6">
        <v>5</v>
      </c>
      <c r="B72" s="43" t="s">
        <v>253</v>
      </c>
      <c r="C72" s="8" t="s">
        <v>254</v>
      </c>
    </row>
    <row r="73" spans="1:3" s="1" customFormat="1" ht="15">
      <c r="A73" s="6">
        <v>5</v>
      </c>
      <c r="B73" s="8" t="s">
        <v>176</v>
      </c>
      <c r="C73" s="43" t="s">
        <v>270</v>
      </c>
    </row>
    <row r="74" spans="1:3" s="1" customFormat="1" ht="15">
      <c r="A74" s="4"/>
      <c r="B74" s="9"/>
      <c r="C74" s="9"/>
    </row>
    <row r="75" spans="1:3" s="1" customFormat="1" ht="15">
      <c r="A75" s="4"/>
      <c r="B75" s="9"/>
      <c r="C75" s="9"/>
    </row>
    <row r="76" spans="1:3" s="1" customFormat="1" ht="15">
      <c r="A76" s="4"/>
      <c r="B76" s="9"/>
      <c r="C76" s="9"/>
    </row>
    <row r="77" spans="1:3" s="1" customFormat="1" ht="15">
      <c r="A77" s="4"/>
      <c r="B77" s="9"/>
      <c r="C77" s="9"/>
    </row>
    <row r="78" spans="1:3" s="1" customFormat="1" ht="15">
      <c r="A78" s="4"/>
      <c r="B78" s="9"/>
      <c r="C78" s="9"/>
    </row>
    <row r="79" s="1" customFormat="1" ht="15">
      <c r="A79" s="4"/>
    </row>
    <row r="80" spans="1:3" s="1" customFormat="1" ht="15">
      <c r="A80" s="77" t="s">
        <v>14</v>
      </c>
      <c r="B80" s="78"/>
      <c r="C80" s="78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pans="1:2" s="1" customFormat="1" ht="15">
      <c r="A106" s="4"/>
      <c r="B106"/>
    </row>
  </sheetData>
  <sheetProtection/>
  <mergeCells count="2">
    <mergeCell ref="A1:B1"/>
    <mergeCell ref="A80:C80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44">
      <selection activeCell="C27" sqref="C27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179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-147154.6</v>
      </c>
    </row>
    <row r="8" spans="2:5" ht="15">
      <c r="B8" s="13" t="s">
        <v>7</v>
      </c>
      <c r="C8" s="31">
        <f>4849.5*3.31*6+4849.5*4.03*6</f>
        <v>213571.98</v>
      </c>
      <c r="E8" s="23"/>
    </row>
    <row r="9" spans="2:5" ht="15">
      <c r="B9" s="13" t="s">
        <v>12</v>
      </c>
      <c r="C9" s="31">
        <f>C8*0.9773</f>
        <v>208723.896054</v>
      </c>
      <c r="E9" s="23"/>
    </row>
    <row r="10" spans="2:5" ht="15">
      <c r="B10" s="13" t="s">
        <v>18</v>
      </c>
      <c r="C10" s="31">
        <v>4146.96</v>
      </c>
      <c r="E10" s="23"/>
    </row>
    <row r="11" spans="2:3" ht="15">
      <c r="B11" s="29" t="s">
        <v>19</v>
      </c>
      <c r="C11" s="33">
        <v>4451.43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180</v>
      </c>
      <c r="C13" s="2">
        <v>745.76</v>
      </c>
    </row>
    <row r="14" spans="1:3" s="1" customFormat="1" ht="15">
      <c r="A14" s="2">
        <v>2</v>
      </c>
      <c r="B14" s="5" t="s">
        <v>181</v>
      </c>
      <c r="C14" s="2">
        <v>24.44</v>
      </c>
    </row>
    <row r="15" spans="1:3" s="1" customFormat="1" ht="15">
      <c r="A15" s="2">
        <v>3</v>
      </c>
      <c r="B15" s="5" t="s">
        <v>182</v>
      </c>
      <c r="C15" s="2">
        <v>2564.83</v>
      </c>
    </row>
    <row r="16" spans="1:3" s="1" customFormat="1" ht="45">
      <c r="A16" s="2">
        <v>4</v>
      </c>
      <c r="B16" s="5" t="s">
        <v>183</v>
      </c>
      <c r="C16" s="2">
        <v>4066.6</v>
      </c>
    </row>
    <row r="17" spans="1:3" s="1" customFormat="1" ht="15">
      <c r="A17" s="2">
        <v>5</v>
      </c>
      <c r="B17" s="5" t="s">
        <v>184</v>
      </c>
      <c r="C17" s="2">
        <v>2500</v>
      </c>
    </row>
    <row r="18" spans="1:3" s="1" customFormat="1" ht="15">
      <c r="A18" s="2">
        <v>6</v>
      </c>
      <c r="B18" s="5" t="s">
        <v>185</v>
      </c>
      <c r="C18" s="2">
        <v>582.25</v>
      </c>
    </row>
    <row r="19" spans="1:3" s="1" customFormat="1" ht="30">
      <c r="A19" s="2">
        <v>7</v>
      </c>
      <c r="B19" s="5" t="s">
        <v>186</v>
      </c>
      <c r="C19" s="2">
        <v>5062.08</v>
      </c>
    </row>
    <row r="20" spans="1:3" s="1" customFormat="1" ht="15">
      <c r="A20" s="2">
        <v>8</v>
      </c>
      <c r="B20" s="5" t="s">
        <v>28</v>
      </c>
      <c r="C20" s="2">
        <v>2929.14</v>
      </c>
    </row>
    <row r="21" spans="1:3" s="1" customFormat="1" ht="15">
      <c r="A21" s="2">
        <v>9</v>
      </c>
      <c r="B21" s="5" t="s">
        <v>187</v>
      </c>
      <c r="C21" s="2">
        <v>82.6</v>
      </c>
    </row>
    <row r="22" spans="1:3" s="1" customFormat="1" ht="36" customHeight="1">
      <c r="A22" s="2">
        <v>10</v>
      </c>
      <c r="B22" s="5" t="s">
        <v>188</v>
      </c>
      <c r="C22" s="2">
        <v>6012.84</v>
      </c>
    </row>
    <row r="23" spans="1:3" s="1" customFormat="1" ht="16.5" customHeight="1">
      <c r="A23" s="2">
        <v>11</v>
      </c>
      <c r="B23" s="5" t="s">
        <v>189</v>
      </c>
      <c r="C23" s="2">
        <v>4904.55</v>
      </c>
    </row>
    <row r="24" spans="1:3" s="1" customFormat="1" ht="16.5" customHeight="1">
      <c r="A24" s="2">
        <v>12</v>
      </c>
      <c r="B24" s="5" t="s">
        <v>273</v>
      </c>
      <c r="C24" s="2">
        <v>784.7</v>
      </c>
    </row>
    <row r="25" spans="1:3" s="1" customFormat="1" ht="18.75" customHeight="1">
      <c r="A25" s="2">
        <v>13</v>
      </c>
      <c r="B25" s="5" t="s">
        <v>190</v>
      </c>
      <c r="C25" s="2">
        <v>292.2</v>
      </c>
    </row>
    <row r="26" spans="1:3" s="1" customFormat="1" ht="15">
      <c r="A26" s="2"/>
      <c r="B26" s="7" t="s">
        <v>1</v>
      </c>
      <c r="C26" s="6">
        <f>SUM(C13:C25)</f>
        <v>30551.989999999998</v>
      </c>
    </row>
    <row r="27" spans="1:3" s="9" customFormat="1" ht="15">
      <c r="A27" s="6"/>
      <c r="B27" s="14" t="s">
        <v>10</v>
      </c>
      <c r="C27" s="27">
        <f>C7+C8+C10+C11-C26</f>
        <v>44463.78000000002</v>
      </c>
    </row>
    <row r="28" spans="1:3" s="9" customFormat="1" ht="30">
      <c r="A28" s="45"/>
      <c r="B28" s="43" t="s">
        <v>225</v>
      </c>
      <c r="C28" s="27">
        <f>C27+C39</f>
        <v>52646.65754800001</v>
      </c>
    </row>
    <row r="29" s="1" customFormat="1" ht="15">
      <c r="A29" s="4"/>
    </row>
    <row r="30" spans="1:2" s="1" customFormat="1" ht="18.75">
      <c r="A30" s="4"/>
      <c r="B30" s="16" t="s">
        <v>5</v>
      </c>
    </row>
    <row r="31" spans="1:2" s="9" customFormat="1" ht="15">
      <c r="A31" s="37"/>
      <c r="B31" s="1"/>
    </row>
    <row r="32" spans="1:3" s="1" customFormat="1" ht="15">
      <c r="A32" s="4"/>
      <c r="B32" s="13" t="s">
        <v>11</v>
      </c>
      <c r="C32" s="9">
        <v>-53538.78</v>
      </c>
    </row>
    <row r="33" spans="1:3" s="1" customFormat="1" ht="15">
      <c r="A33" s="4"/>
      <c r="B33" s="13" t="s">
        <v>7</v>
      </c>
      <c r="C33" s="9">
        <v>136076.76</v>
      </c>
    </row>
    <row r="34" spans="1:3" s="1" customFormat="1" ht="15">
      <c r="A34" s="4"/>
      <c r="B34" s="41" t="s">
        <v>12</v>
      </c>
      <c r="C34" s="42">
        <f>C33*0.9773</f>
        <v>132987.817548</v>
      </c>
    </row>
    <row r="35" spans="1:3" s="1" customFormat="1" ht="30">
      <c r="A35" s="2" t="s">
        <v>0</v>
      </c>
      <c r="B35" s="2" t="s">
        <v>8</v>
      </c>
      <c r="C35" s="8" t="s">
        <v>9</v>
      </c>
    </row>
    <row r="36" spans="1:3" s="1" customFormat="1" ht="18.75" customHeight="1">
      <c r="A36" s="2">
        <v>1</v>
      </c>
      <c r="B36" s="5" t="s">
        <v>191</v>
      </c>
      <c r="C36" s="6">
        <v>12551.16</v>
      </c>
    </row>
    <row r="37" spans="1:3" s="1" customFormat="1" ht="15">
      <c r="A37" s="2">
        <v>2</v>
      </c>
      <c r="B37" s="28" t="s">
        <v>171</v>
      </c>
      <c r="C37" s="6">
        <v>58715</v>
      </c>
    </row>
    <row r="38" spans="1:3" s="1" customFormat="1" ht="15">
      <c r="A38" s="2"/>
      <c r="B38" s="7" t="s">
        <v>1</v>
      </c>
      <c r="C38" s="6">
        <f>SUM(C36:C37)</f>
        <v>71266.16</v>
      </c>
    </row>
    <row r="39" spans="1:3" s="1" customFormat="1" ht="15">
      <c r="A39" s="2"/>
      <c r="B39" s="7" t="s">
        <v>10</v>
      </c>
      <c r="C39" s="27">
        <f>C32+C34-C38</f>
        <v>8182.8775479999895</v>
      </c>
    </row>
    <row r="40" s="1" customFormat="1" ht="15">
      <c r="A40" s="4"/>
    </row>
    <row r="41" spans="1:3" s="1" customFormat="1" ht="15">
      <c r="A41" s="4"/>
      <c r="B41" s="9" t="s">
        <v>13</v>
      </c>
      <c r="C41" s="9">
        <v>234940.44</v>
      </c>
    </row>
    <row r="42" spans="1:3" s="1" customFormat="1" ht="15">
      <c r="A42" s="4"/>
      <c r="B42" s="16" t="s">
        <v>231</v>
      </c>
      <c r="C42" s="9">
        <v>144472.7</v>
      </c>
    </row>
    <row r="43" spans="1:3" s="1" customFormat="1" ht="15">
      <c r="A43" s="4"/>
      <c r="B43" s="16" t="s">
        <v>232</v>
      </c>
      <c r="C43" s="9">
        <v>90467.74</v>
      </c>
    </row>
    <row r="44" spans="1:3" s="1" customFormat="1" ht="15">
      <c r="A44" s="4"/>
      <c r="B44" s="16"/>
      <c r="C44" s="9"/>
    </row>
    <row r="45" spans="1:3" s="1" customFormat="1" ht="15">
      <c r="A45" s="79" t="s">
        <v>14</v>
      </c>
      <c r="B45" s="80"/>
      <c r="C45" s="80"/>
    </row>
    <row r="46" spans="1:3" s="1" customFormat="1" ht="15">
      <c r="A46" s="4"/>
      <c r="B46" s="9"/>
      <c r="C46" s="9"/>
    </row>
    <row r="47" spans="1:3" s="1" customFormat="1" ht="15">
      <c r="A47" s="4"/>
      <c r="B47" s="30" t="s">
        <v>15</v>
      </c>
      <c r="C47" s="9"/>
    </row>
    <row r="48" spans="1:3" s="1" customFormat="1" ht="15">
      <c r="A48" s="4"/>
      <c r="B48" s="30"/>
      <c r="C48" s="9"/>
    </row>
    <row r="49" spans="1:3" s="1" customFormat="1" ht="15">
      <c r="A49" s="4"/>
      <c r="B49" s="30" t="s">
        <v>236</v>
      </c>
      <c r="C49" s="50">
        <f>4849.5*4.03*12+C28</f>
        <v>287168.477548</v>
      </c>
    </row>
    <row r="50" spans="1:3" s="1" customFormat="1" ht="15">
      <c r="A50" s="4"/>
      <c r="B50" s="30"/>
      <c r="C50" s="9"/>
    </row>
    <row r="51" spans="1:3" s="1" customFormat="1" ht="15">
      <c r="A51" s="4"/>
      <c r="B51" s="30"/>
      <c r="C51" s="9"/>
    </row>
    <row r="52" spans="1:3" s="1" customFormat="1" ht="15">
      <c r="A52" s="6">
        <v>1</v>
      </c>
      <c r="B52" s="43" t="s">
        <v>192</v>
      </c>
      <c r="C52" s="43" t="s">
        <v>59</v>
      </c>
    </row>
    <row r="53" spans="1:3" s="1" customFormat="1" ht="15">
      <c r="A53" s="6">
        <v>2</v>
      </c>
      <c r="B53" s="43" t="s">
        <v>56</v>
      </c>
      <c r="C53" s="43" t="s">
        <v>77</v>
      </c>
    </row>
    <row r="54" spans="1:3" s="1" customFormat="1" ht="15">
      <c r="A54" s="6">
        <v>3</v>
      </c>
      <c r="B54" s="43" t="s">
        <v>193</v>
      </c>
      <c r="C54" s="43" t="s">
        <v>100</v>
      </c>
    </row>
    <row r="55" spans="1:3" s="1" customFormat="1" ht="15">
      <c r="A55" s="56">
        <v>4</v>
      </c>
      <c r="B55" s="54" t="s">
        <v>238</v>
      </c>
      <c r="C55" s="60" t="s">
        <v>251</v>
      </c>
    </row>
    <row r="56" spans="1:3" s="1" customFormat="1" ht="15">
      <c r="A56" s="64"/>
      <c r="B56" s="62" t="s">
        <v>239</v>
      </c>
      <c r="C56" s="59"/>
    </row>
    <row r="57" spans="1:3" s="1" customFormat="1" ht="15">
      <c r="A57" s="4"/>
      <c r="B57" s="9"/>
      <c r="C57" s="9"/>
    </row>
    <row r="58" spans="1:3" s="1" customFormat="1" ht="15">
      <c r="A58" s="4"/>
      <c r="B58" s="9"/>
      <c r="C58" s="9"/>
    </row>
    <row r="59" spans="1:3" s="1" customFormat="1" ht="15">
      <c r="A59" s="4"/>
      <c r="B59" s="9"/>
      <c r="C59" s="9"/>
    </row>
    <row r="60" spans="1:3" s="1" customFormat="1" ht="15">
      <c r="A60" s="4"/>
      <c r="B60" s="9"/>
      <c r="C60" s="9"/>
    </row>
    <row r="61" spans="1:3" s="1" customFormat="1" ht="15">
      <c r="A61" s="4"/>
      <c r="B61" s="9"/>
      <c r="C61" s="9"/>
    </row>
    <row r="62" s="1" customFormat="1" ht="15">
      <c r="A62" s="4"/>
    </row>
    <row r="63" spans="1:3" s="1" customFormat="1" ht="15">
      <c r="A63" s="77" t="s">
        <v>14</v>
      </c>
      <c r="B63" s="78"/>
      <c r="C63" s="78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pans="1:2" s="1" customFormat="1" ht="15">
      <c r="A89" s="4"/>
      <c r="B89"/>
    </row>
  </sheetData>
  <sheetProtection/>
  <mergeCells count="3">
    <mergeCell ref="A1:B1"/>
    <mergeCell ref="A63:C63"/>
    <mergeCell ref="A45:C4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4">
      <selection activeCell="C20" sqref="C20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194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-97480.77</v>
      </c>
    </row>
    <row r="8" spans="2:5" ht="15">
      <c r="B8" s="13" t="s">
        <v>7</v>
      </c>
      <c r="C8" s="31">
        <f>7518.1*0.26*6+7518.1*0.58*6</f>
        <v>37891.224</v>
      </c>
      <c r="E8" s="23"/>
    </row>
    <row r="9" spans="2:5" ht="15">
      <c r="B9" s="13" t="s">
        <v>12</v>
      </c>
      <c r="C9" s="31">
        <v>40888.4198184</v>
      </c>
      <c r="E9" s="23"/>
    </row>
    <row r="10" spans="2:5" ht="15">
      <c r="B10" s="13" t="s">
        <v>195</v>
      </c>
      <c r="C10" s="31">
        <v>42110.3</v>
      </c>
      <c r="E10" s="23"/>
    </row>
    <row r="11" spans="2:5" ht="15">
      <c r="B11" s="13" t="s">
        <v>12</v>
      </c>
      <c r="C11" s="31">
        <v>45441.22</v>
      </c>
      <c r="E11" s="23"/>
    </row>
    <row r="12" spans="2:5" ht="15">
      <c r="B12" s="13" t="s">
        <v>18</v>
      </c>
      <c r="C12" s="31">
        <v>7453.92</v>
      </c>
      <c r="E12" s="23"/>
    </row>
    <row r="13" spans="2:3" ht="15">
      <c r="B13" s="29" t="s">
        <v>19</v>
      </c>
      <c r="C13" s="33">
        <v>8902.86</v>
      </c>
    </row>
    <row r="14" spans="1:3" ht="50.25" customHeight="1">
      <c r="A14" s="2" t="s">
        <v>0</v>
      </c>
      <c r="B14" s="2" t="s">
        <v>8</v>
      </c>
      <c r="C14" s="24" t="s">
        <v>9</v>
      </c>
    </row>
    <row r="15" spans="1:3" s="1" customFormat="1" ht="15">
      <c r="A15" s="2">
        <v>1</v>
      </c>
      <c r="B15" s="5" t="s">
        <v>196</v>
      </c>
      <c r="C15" s="2">
        <v>614.04</v>
      </c>
    </row>
    <row r="16" spans="1:3" s="1" customFormat="1" ht="30">
      <c r="A16" s="2">
        <v>2</v>
      </c>
      <c r="B16" s="5" t="s">
        <v>281</v>
      </c>
      <c r="C16" s="2">
        <v>1101.8</v>
      </c>
    </row>
    <row r="17" spans="1:3" s="1" customFormat="1" ht="15">
      <c r="A17" s="2">
        <v>3</v>
      </c>
      <c r="B17" s="5" t="s">
        <v>197</v>
      </c>
      <c r="C17" s="2">
        <v>373.67</v>
      </c>
    </row>
    <row r="18" spans="1:3" s="1" customFormat="1" ht="15">
      <c r="A18" s="2">
        <v>4</v>
      </c>
      <c r="B18" s="5" t="s">
        <v>198</v>
      </c>
      <c r="C18" s="2">
        <v>421.06</v>
      </c>
    </row>
    <row r="19" spans="1:3" s="1" customFormat="1" ht="15">
      <c r="A19" s="2">
        <v>6</v>
      </c>
      <c r="B19" s="5" t="s">
        <v>199</v>
      </c>
      <c r="C19" s="2">
        <v>2065.87</v>
      </c>
    </row>
    <row r="20" spans="1:3" s="1" customFormat="1" ht="15">
      <c r="A20" s="2">
        <v>7</v>
      </c>
      <c r="B20" s="5" t="s">
        <v>275</v>
      </c>
      <c r="C20" s="2">
        <f>3189.54+2936.64</f>
        <v>6126.18</v>
      </c>
    </row>
    <row r="21" spans="1:3" s="1" customFormat="1" ht="15">
      <c r="A21" s="2">
        <v>8</v>
      </c>
      <c r="B21" s="5" t="s">
        <v>200</v>
      </c>
      <c r="C21" s="2">
        <v>312.9</v>
      </c>
    </row>
    <row r="22" spans="1:3" s="1" customFormat="1" ht="26.25" customHeight="1">
      <c r="A22" s="2">
        <v>9</v>
      </c>
      <c r="B22" s="5" t="s">
        <v>201</v>
      </c>
      <c r="C22" s="2">
        <v>6721</v>
      </c>
    </row>
    <row r="23" spans="1:3" s="1" customFormat="1" ht="16.5" customHeight="1">
      <c r="A23" s="2">
        <v>10</v>
      </c>
      <c r="B23" s="5" t="s">
        <v>202</v>
      </c>
      <c r="C23" s="2">
        <v>584.41</v>
      </c>
    </row>
    <row r="24" spans="1:3" s="1" customFormat="1" ht="16.5" customHeight="1">
      <c r="A24" s="2">
        <v>11</v>
      </c>
      <c r="B24" s="5" t="s">
        <v>280</v>
      </c>
      <c r="C24" s="2">
        <v>177</v>
      </c>
    </row>
    <row r="25" spans="1:3" s="1" customFormat="1" ht="16.5" customHeight="1">
      <c r="A25" s="2">
        <v>12</v>
      </c>
      <c r="B25" s="5" t="s">
        <v>279</v>
      </c>
      <c r="C25" s="2">
        <v>9866.25</v>
      </c>
    </row>
    <row r="26" spans="1:3" s="1" customFormat="1" ht="18.75" customHeight="1">
      <c r="A26" s="2">
        <v>13</v>
      </c>
      <c r="B26" s="5" t="s">
        <v>16</v>
      </c>
      <c r="C26" s="2">
        <v>85466</v>
      </c>
    </row>
    <row r="27" spans="1:3" s="1" customFormat="1" ht="18.75" customHeight="1">
      <c r="A27" s="2">
        <v>14</v>
      </c>
      <c r="B27" s="5" t="s">
        <v>274</v>
      </c>
      <c r="C27" s="2">
        <v>20350</v>
      </c>
    </row>
    <row r="28" spans="1:3" s="1" customFormat="1" ht="15">
      <c r="A28" s="2"/>
      <c r="B28" s="7" t="s">
        <v>1</v>
      </c>
      <c r="C28" s="6">
        <f>SUM(C15:C27)</f>
        <v>134180.18</v>
      </c>
    </row>
    <row r="29" spans="1:3" s="9" customFormat="1" ht="15">
      <c r="A29" s="6"/>
      <c r="B29" s="14" t="s">
        <v>10</v>
      </c>
      <c r="C29" s="27">
        <f>C7+C8+C10+C12+C13-C28</f>
        <v>-135302.64599999998</v>
      </c>
    </row>
    <row r="30" spans="1:3" s="9" customFormat="1" ht="15">
      <c r="A30" s="25"/>
      <c r="B30" s="26"/>
      <c r="C30" s="25"/>
    </row>
    <row r="31" s="1" customFormat="1" ht="15">
      <c r="A31" s="4"/>
    </row>
    <row r="32" spans="1:3" s="1" customFormat="1" ht="15">
      <c r="A32" s="4"/>
      <c r="B32" s="9" t="s">
        <v>13</v>
      </c>
      <c r="C32" s="9">
        <v>507297.71</v>
      </c>
    </row>
    <row r="33" spans="1:3" s="1" customFormat="1" ht="15">
      <c r="A33" s="4"/>
      <c r="B33" s="16" t="s">
        <v>231</v>
      </c>
      <c r="C33" s="9">
        <v>334267.52</v>
      </c>
    </row>
    <row r="34" spans="1:3" s="1" customFormat="1" ht="15">
      <c r="A34" s="4"/>
      <c r="B34" s="16" t="s">
        <v>232</v>
      </c>
      <c r="C34" s="9">
        <v>173030.19</v>
      </c>
    </row>
    <row r="35" spans="1:3" s="1" customFormat="1" ht="15">
      <c r="A35" s="4"/>
      <c r="B35" s="9"/>
      <c r="C35" s="9"/>
    </row>
    <row r="36" spans="1:3" s="1" customFormat="1" ht="15">
      <c r="A36" s="4"/>
      <c r="B36" s="67" t="s">
        <v>15</v>
      </c>
      <c r="C36" s="9"/>
    </row>
    <row r="37" spans="1:3" s="1" customFormat="1" ht="15">
      <c r="A37" s="4"/>
      <c r="B37" s="30" t="s">
        <v>236</v>
      </c>
      <c r="C37" s="9">
        <f>7518.1*0.58*12+C29</f>
        <v>-82976.66999999998</v>
      </c>
    </row>
    <row r="38" spans="1:3" s="1" customFormat="1" ht="15">
      <c r="A38" s="4"/>
      <c r="B38" s="30"/>
      <c r="C38" s="9"/>
    </row>
    <row r="39" spans="1:3" s="1" customFormat="1" ht="15">
      <c r="A39" s="6">
        <v>1</v>
      </c>
      <c r="B39" s="43" t="s">
        <v>207</v>
      </c>
      <c r="C39" s="43" t="s">
        <v>276</v>
      </c>
    </row>
    <row r="40" spans="1:3" s="1" customFormat="1" ht="15">
      <c r="A40" s="6">
        <v>2</v>
      </c>
      <c r="B40" s="43" t="s">
        <v>205</v>
      </c>
      <c r="C40" s="43" t="s">
        <v>203</v>
      </c>
    </row>
    <row r="41" spans="1:3" s="1" customFormat="1" ht="15">
      <c r="A41" s="6">
        <v>3</v>
      </c>
      <c r="B41" s="43" t="s">
        <v>206</v>
      </c>
      <c r="C41" s="43" t="s">
        <v>204</v>
      </c>
    </row>
    <row r="42" spans="1:3" s="1" customFormat="1" ht="15">
      <c r="A42" s="4"/>
      <c r="B42" s="16"/>
      <c r="C42" s="9"/>
    </row>
    <row r="43" spans="1:3" s="1" customFormat="1" ht="15">
      <c r="A43" s="4"/>
      <c r="B43" s="9"/>
      <c r="C43" s="9"/>
    </row>
    <row r="44" spans="1:3" s="1" customFormat="1" ht="15">
      <c r="A44" s="4"/>
      <c r="B44" s="9"/>
      <c r="C44" s="9"/>
    </row>
    <row r="45" spans="1:3" s="1" customFormat="1" ht="15">
      <c r="A45" s="79" t="s">
        <v>14</v>
      </c>
      <c r="B45" s="80"/>
      <c r="C45" s="80"/>
    </row>
    <row r="46" spans="1:3" s="1" customFormat="1" ht="15">
      <c r="A46" s="77"/>
      <c r="B46" s="78"/>
      <c r="C46" s="78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pans="1:2" s="1" customFormat="1" ht="15">
      <c r="A72" s="4"/>
      <c r="B72"/>
    </row>
  </sheetData>
  <sheetProtection/>
  <mergeCells count="3">
    <mergeCell ref="A1:B1"/>
    <mergeCell ref="A46:C46"/>
    <mergeCell ref="A45:C45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31">
      <selection activeCell="C43" sqref="C43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38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259144.78999999998</v>
      </c>
    </row>
    <row r="8" spans="2:5" ht="15">
      <c r="B8" s="13" t="s">
        <v>7</v>
      </c>
      <c r="C8" s="31">
        <f>6083.7*3.06*6+6083.7*4.18*6</f>
        <v>264275.92799999996</v>
      </c>
      <c r="E8" s="23"/>
    </row>
    <row r="9" spans="2:5" ht="15">
      <c r="B9" s="13" t="s">
        <v>12</v>
      </c>
      <c r="C9" s="31">
        <f>C8*1.019</f>
        <v>269297.1706319999</v>
      </c>
      <c r="E9" s="23"/>
    </row>
    <row r="10" spans="2:5" ht="15">
      <c r="B10" s="13" t="s">
        <v>18</v>
      </c>
      <c r="C10" s="31">
        <v>5250.96</v>
      </c>
      <c r="E10" s="23"/>
    </row>
    <row r="11" spans="2:3" ht="15">
      <c r="B11" s="29" t="s">
        <v>19</v>
      </c>
      <c r="C11" s="38">
        <v>6677.14</v>
      </c>
    </row>
    <row r="12" spans="2:3" ht="15">
      <c r="B12" s="29" t="s">
        <v>221</v>
      </c>
      <c r="C12" s="33">
        <f>27.8*3.06*12</f>
        <v>1020.816</v>
      </c>
    </row>
    <row r="13" spans="1:3" ht="50.25" customHeight="1">
      <c r="A13" s="2" t="s">
        <v>0</v>
      </c>
      <c r="B13" s="2" t="s">
        <v>8</v>
      </c>
      <c r="C13" s="39" t="s">
        <v>9</v>
      </c>
    </row>
    <row r="14" spans="1:3" s="1" customFormat="1" ht="15">
      <c r="A14" s="2">
        <v>1</v>
      </c>
      <c r="B14" s="5" t="s">
        <v>39</v>
      </c>
      <c r="C14" s="2">
        <v>1669.31</v>
      </c>
    </row>
    <row r="15" spans="1:3" s="1" customFormat="1" ht="15">
      <c r="A15" s="2">
        <v>2</v>
      </c>
      <c r="B15" s="5" t="s">
        <v>40</v>
      </c>
      <c r="C15" s="2">
        <v>4681.46</v>
      </c>
    </row>
    <row r="16" spans="1:3" s="1" customFormat="1" ht="15">
      <c r="A16" s="2">
        <v>3</v>
      </c>
      <c r="B16" s="5" t="s">
        <v>41</v>
      </c>
      <c r="C16" s="2">
        <v>1117.46</v>
      </c>
    </row>
    <row r="17" spans="1:3" s="1" customFormat="1" ht="30">
      <c r="A17" s="2">
        <v>4</v>
      </c>
      <c r="B17" s="5" t="s">
        <v>42</v>
      </c>
      <c r="C17" s="2">
        <v>5099.63</v>
      </c>
    </row>
    <row r="18" spans="1:3" s="1" customFormat="1" ht="15">
      <c r="A18" s="2">
        <v>5</v>
      </c>
      <c r="B18" s="5" t="s">
        <v>43</v>
      </c>
      <c r="C18" s="2">
        <v>350</v>
      </c>
    </row>
    <row r="19" spans="1:3" s="1" customFormat="1" ht="15">
      <c r="A19" s="2">
        <v>6</v>
      </c>
      <c r="B19" s="5" t="s">
        <v>44</v>
      </c>
      <c r="C19" s="2">
        <v>1651.88</v>
      </c>
    </row>
    <row r="20" spans="1:3" s="1" customFormat="1" ht="15">
      <c r="A20" s="2">
        <v>7</v>
      </c>
      <c r="B20" s="5" t="s">
        <v>48</v>
      </c>
      <c r="C20" s="2">
        <f>1920.81+10745.95+9577.48+23905.48</f>
        <v>46149.72</v>
      </c>
    </row>
    <row r="21" spans="1:3" s="1" customFormat="1" ht="15">
      <c r="A21" s="2">
        <v>8</v>
      </c>
      <c r="B21" s="5" t="s">
        <v>45</v>
      </c>
      <c r="C21" s="2">
        <v>2662.08</v>
      </c>
    </row>
    <row r="22" spans="1:3" s="1" customFormat="1" ht="15">
      <c r="A22" s="2">
        <v>9</v>
      </c>
      <c r="B22" s="5" t="s">
        <v>46</v>
      </c>
      <c r="C22" s="2">
        <v>1962.34</v>
      </c>
    </row>
    <row r="23" spans="1:3" s="1" customFormat="1" ht="21" customHeight="1">
      <c r="A23" s="2">
        <v>10</v>
      </c>
      <c r="B23" s="5" t="s">
        <v>47</v>
      </c>
      <c r="C23" s="2">
        <v>2352.54</v>
      </c>
    </row>
    <row r="24" spans="1:3" s="1" customFormat="1" ht="15">
      <c r="A24" s="2">
        <v>11</v>
      </c>
      <c r="B24" s="5" t="s">
        <v>49</v>
      </c>
      <c r="C24" s="2">
        <v>647.67</v>
      </c>
    </row>
    <row r="25" spans="1:3" s="1" customFormat="1" ht="30">
      <c r="A25" s="2">
        <v>12</v>
      </c>
      <c r="B25" s="5" t="s">
        <v>50</v>
      </c>
      <c r="C25" s="2">
        <v>6236.11</v>
      </c>
    </row>
    <row r="26" spans="1:3" s="1" customFormat="1" ht="15">
      <c r="A26" s="2">
        <v>13</v>
      </c>
      <c r="B26" s="5" t="s">
        <v>51</v>
      </c>
      <c r="C26" s="2">
        <v>299.72</v>
      </c>
    </row>
    <row r="27" spans="1:3" s="1" customFormat="1" ht="15">
      <c r="A27" s="2">
        <v>14</v>
      </c>
      <c r="B27" s="5" t="s">
        <v>52</v>
      </c>
      <c r="C27" s="2">
        <v>292.2</v>
      </c>
    </row>
    <row r="28" spans="1:3" s="1" customFormat="1" ht="15">
      <c r="A28" s="2"/>
      <c r="B28" s="5"/>
      <c r="C28" s="2"/>
    </row>
    <row r="29" spans="1:3" s="1" customFormat="1" ht="15">
      <c r="A29" s="2"/>
      <c r="B29" s="7" t="s">
        <v>1</v>
      </c>
      <c r="C29" s="6">
        <f>SUM(C14:C28)</f>
        <v>75172.12</v>
      </c>
    </row>
    <row r="30" spans="1:3" s="9" customFormat="1" ht="15">
      <c r="A30" s="6"/>
      <c r="B30" s="14" t="s">
        <v>10</v>
      </c>
      <c r="C30" s="27">
        <f>C7+C8+C10+C11+C12-C29</f>
        <v>461197.51399999997</v>
      </c>
    </row>
    <row r="31" spans="1:3" s="9" customFormat="1" ht="15">
      <c r="A31" s="25"/>
      <c r="B31" s="26"/>
      <c r="C31" s="25"/>
    </row>
    <row r="32" s="1" customFormat="1" ht="15">
      <c r="A32" s="4"/>
    </row>
    <row r="33" spans="1:2" s="1" customFormat="1" ht="18.75">
      <c r="A33" s="4"/>
      <c r="B33" s="16" t="s">
        <v>5</v>
      </c>
    </row>
    <row r="34" spans="1:2" s="9" customFormat="1" ht="15">
      <c r="A34" s="34"/>
      <c r="B34" s="1"/>
    </row>
    <row r="35" spans="1:3" s="1" customFormat="1" ht="15">
      <c r="A35" s="4"/>
      <c r="B35" s="13" t="s">
        <v>11</v>
      </c>
      <c r="C35" s="9">
        <v>45243.94</v>
      </c>
    </row>
    <row r="36" spans="1:3" s="1" customFormat="1" ht="15">
      <c r="A36" s="4"/>
      <c r="B36" s="13" t="s">
        <v>7</v>
      </c>
      <c r="C36" s="9">
        <v>172929.96</v>
      </c>
    </row>
    <row r="37" spans="1:3" s="1" customFormat="1" ht="15">
      <c r="A37" s="4"/>
      <c r="B37" s="41" t="s">
        <v>12</v>
      </c>
      <c r="C37" s="42">
        <f>C36*1.019</f>
        <v>176215.62923999998</v>
      </c>
    </row>
    <row r="38" spans="1:3" s="1" customFormat="1" ht="30">
      <c r="A38" s="2" t="s">
        <v>0</v>
      </c>
      <c r="B38" s="2" t="s">
        <v>8</v>
      </c>
      <c r="C38" s="8" t="s">
        <v>9</v>
      </c>
    </row>
    <row r="39" spans="1:3" s="1" customFormat="1" ht="18.75" customHeight="1">
      <c r="A39" s="2">
        <v>1</v>
      </c>
      <c r="B39" s="5" t="s">
        <v>53</v>
      </c>
      <c r="C39" s="6">
        <v>51646.24</v>
      </c>
    </row>
    <row r="40" spans="1:3" s="1" customFormat="1" ht="18.75" customHeight="1">
      <c r="A40" s="2">
        <v>2</v>
      </c>
      <c r="B40" s="5" t="s">
        <v>54</v>
      </c>
      <c r="C40" s="6">
        <v>24686</v>
      </c>
    </row>
    <row r="41" spans="1:3" s="1" customFormat="1" ht="15">
      <c r="A41" s="2">
        <v>3</v>
      </c>
      <c r="B41" s="28" t="s">
        <v>278</v>
      </c>
      <c r="C41" s="6">
        <v>68368.02</v>
      </c>
    </row>
    <row r="42" spans="1:3" s="1" customFormat="1" ht="15">
      <c r="A42" s="2"/>
      <c r="B42" s="7" t="s">
        <v>1</v>
      </c>
      <c r="C42" s="6">
        <f>SUM(C39:C41)</f>
        <v>144700.26</v>
      </c>
    </row>
    <row r="43" spans="1:3" s="1" customFormat="1" ht="15">
      <c r="A43" s="2"/>
      <c r="B43" s="7" t="s">
        <v>10</v>
      </c>
      <c r="C43" s="6">
        <f>C35+C36-C42</f>
        <v>73473.63999999998</v>
      </c>
    </row>
    <row r="44" s="1" customFormat="1" ht="15">
      <c r="A44" s="4"/>
    </row>
    <row r="45" spans="1:3" s="1" customFormat="1" ht="15">
      <c r="A45" s="4"/>
      <c r="B45" s="9" t="s">
        <v>13</v>
      </c>
      <c r="C45" s="9">
        <v>270596.57</v>
      </c>
    </row>
    <row r="46" spans="1:3" s="1" customFormat="1" ht="15">
      <c r="A46" s="4"/>
      <c r="B46" s="16" t="s">
        <v>227</v>
      </c>
      <c r="C46" s="9">
        <v>146814.03</v>
      </c>
    </row>
    <row r="47" spans="1:3" s="1" customFormat="1" ht="15">
      <c r="A47" s="4"/>
      <c r="B47" s="16" t="s">
        <v>232</v>
      </c>
      <c r="C47" s="9">
        <v>123782.54</v>
      </c>
    </row>
    <row r="48" spans="1:3" s="1" customFormat="1" ht="15">
      <c r="A48" s="4"/>
      <c r="B48" s="16"/>
      <c r="C48" s="9"/>
    </row>
    <row r="49" spans="1:3" s="1" customFormat="1" ht="15">
      <c r="A49" s="79" t="s">
        <v>14</v>
      </c>
      <c r="B49" s="80"/>
      <c r="C49" s="80"/>
    </row>
    <row r="50" spans="1:3" s="1" customFormat="1" ht="15">
      <c r="A50" s="51"/>
      <c r="B50" s="52"/>
      <c r="C50" s="52"/>
    </row>
    <row r="51" spans="1:3" s="1" customFormat="1" ht="15">
      <c r="A51" s="4"/>
      <c r="B51" s="30" t="s">
        <v>15</v>
      </c>
      <c r="C51" s="9"/>
    </row>
    <row r="52" spans="1:3" s="1" customFormat="1" ht="15">
      <c r="A52" s="4"/>
      <c r="B52" s="30"/>
      <c r="C52" s="9"/>
    </row>
    <row r="53" spans="1:3" s="1" customFormat="1" ht="15">
      <c r="A53" s="4"/>
      <c r="B53" s="30" t="s">
        <v>236</v>
      </c>
      <c r="C53" s="50">
        <f>6083.7*4.18*12+C30</f>
        <v>766355.906</v>
      </c>
    </row>
    <row r="54" spans="1:3" s="1" customFormat="1" ht="15">
      <c r="A54" s="4"/>
      <c r="B54" s="30" t="s">
        <v>240</v>
      </c>
      <c r="C54" s="9">
        <f>C43</f>
        <v>73473.63999999998</v>
      </c>
    </row>
    <row r="55" spans="1:3" s="1" customFormat="1" ht="15">
      <c r="A55" s="4"/>
      <c r="B55" s="30"/>
      <c r="C55" s="9"/>
    </row>
    <row r="56" spans="1:3" s="1" customFormat="1" ht="15">
      <c r="A56" s="6">
        <v>1</v>
      </c>
      <c r="B56" s="43" t="s">
        <v>56</v>
      </c>
      <c r="C56" s="43" t="s">
        <v>242</v>
      </c>
    </row>
    <row r="57" spans="1:3" s="1" customFormat="1" ht="15">
      <c r="A57" s="6">
        <v>2</v>
      </c>
      <c r="B57" s="43" t="s">
        <v>58</v>
      </c>
      <c r="C57" s="43" t="s">
        <v>33</v>
      </c>
    </row>
    <row r="58" spans="1:3" s="1" customFormat="1" ht="15">
      <c r="A58" s="6">
        <v>3</v>
      </c>
      <c r="B58" s="43" t="s">
        <v>34</v>
      </c>
      <c r="C58" s="43" t="s">
        <v>59</v>
      </c>
    </row>
    <row r="59" spans="1:3" s="1" customFormat="1" ht="15">
      <c r="A59" s="6">
        <v>4</v>
      </c>
      <c r="B59" s="8" t="s">
        <v>220</v>
      </c>
      <c r="C59" s="43" t="s">
        <v>241</v>
      </c>
    </row>
    <row r="60" spans="1:3" s="1" customFormat="1" ht="15">
      <c r="A60" s="6">
        <v>5</v>
      </c>
      <c r="B60" s="8" t="s">
        <v>238</v>
      </c>
      <c r="C60" s="43" t="s">
        <v>243</v>
      </c>
    </row>
    <row r="61" spans="1:3" s="1" customFormat="1" ht="15">
      <c r="A61" s="2"/>
      <c r="B61" s="8" t="s">
        <v>239</v>
      </c>
      <c r="C61" s="53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pans="1:3" s="1" customFormat="1" ht="15">
      <c r="A66" s="77" t="s">
        <v>14</v>
      </c>
      <c r="B66" s="78"/>
      <c r="C66" s="78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pans="1:2" s="1" customFormat="1" ht="15">
      <c r="A92" s="4"/>
      <c r="B92"/>
    </row>
  </sheetData>
  <sheetProtection/>
  <mergeCells count="3">
    <mergeCell ref="A1:B1"/>
    <mergeCell ref="A66:C66"/>
    <mergeCell ref="A49:C4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1">
      <selection activeCell="C43" sqref="C43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60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34442.529999999984</v>
      </c>
    </row>
    <row r="8" spans="2:5" ht="15">
      <c r="B8" s="13" t="s">
        <v>7</v>
      </c>
      <c r="C8" s="31">
        <f>6132.2*3.32*6+6132.2*4.44*6</f>
        <v>285515.232</v>
      </c>
      <c r="E8" s="23"/>
    </row>
    <row r="9" spans="2:5" ht="15">
      <c r="B9" s="13" t="s">
        <v>12</v>
      </c>
      <c r="C9" s="31">
        <v>284059.1</v>
      </c>
      <c r="E9" s="23"/>
    </row>
    <row r="10" spans="2:5" ht="15">
      <c r="B10" s="13" t="s">
        <v>18</v>
      </c>
      <c r="C10" s="31">
        <v>5250.96</v>
      </c>
      <c r="E10" s="23"/>
    </row>
    <row r="11" spans="2:3" ht="15">
      <c r="B11" s="29" t="s">
        <v>19</v>
      </c>
      <c r="C11" s="33">
        <v>6677.14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61</v>
      </c>
      <c r="C13" s="2">
        <v>983.48</v>
      </c>
    </row>
    <row r="14" spans="1:3" s="1" customFormat="1" ht="15">
      <c r="A14" s="2">
        <v>2</v>
      </c>
      <c r="B14" s="5" t="s">
        <v>62</v>
      </c>
      <c r="C14" s="2">
        <v>3491.79</v>
      </c>
    </row>
    <row r="15" spans="1:3" s="1" customFormat="1" ht="15">
      <c r="A15" s="2">
        <v>3</v>
      </c>
      <c r="B15" s="5" t="s">
        <v>63</v>
      </c>
      <c r="C15" s="2">
        <v>2636.65</v>
      </c>
    </row>
    <row r="16" spans="1:3" s="1" customFormat="1" ht="15">
      <c r="A16" s="2">
        <v>4</v>
      </c>
      <c r="B16" s="5" t="s">
        <v>64</v>
      </c>
      <c r="C16" s="2">
        <v>4501.7</v>
      </c>
    </row>
    <row r="17" spans="1:3" s="1" customFormat="1" ht="15">
      <c r="A17" s="2">
        <v>5</v>
      </c>
      <c r="B17" s="5" t="s">
        <v>48</v>
      </c>
      <c r="C17" s="2">
        <v>3595.87</v>
      </c>
    </row>
    <row r="18" spans="1:3" s="1" customFormat="1" ht="15">
      <c r="A18" s="2">
        <v>6</v>
      </c>
      <c r="B18" s="5" t="s">
        <v>65</v>
      </c>
      <c r="C18" s="2">
        <v>3487.64</v>
      </c>
    </row>
    <row r="19" spans="1:3" s="1" customFormat="1" ht="15">
      <c r="A19" s="2">
        <v>7</v>
      </c>
      <c r="B19" s="5" t="s">
        <v>66</v>
      </c>
      <c r="C19" s="2">
        <f>87.32+87.32</f>
        <v>174.64</v>
      </c>
    </row>
    <row r="20" spans="1:3" s="1" customFormat="1" ht="15">
      <c r="A20" s="2">
        <v>8</v>
      </c>
      <c r="B20" s="5" t="s">
        <v>67</v>
      </c>
      <c r="C20" s="2">
        <v>1674.22</v>
      </c>
    </row>
    <row r="21" spans="1:3" s="1" customFormat="1" ht="15">
      <c r="A21" s="2">
        <v>9</v>
      </c>
      <c r="B21" s="5" t="s">
        <v>68</v>
      </c>
      <c r="C21" s="2">
        <v>102324.22</v>
      </c>
    </row>
    <row r="22" spans="1:3" s="1" customFormat="1" ht="15" customHeight="1">
      <c r="A22" s="2">
        <v>10</v>
      </c>
      <c r="B22" s="5" t="s">
        <v>69</v>
      </c>
      <c r="C22" s="2">
        <v>12034</v>
      </c>
    </row>
    <row r="23" spans="1:3" s="1" customFormat="1" ht="15">
      <c r="A23" s="2">
        <v>11</v>
      </c>
      <c r="B23" s="5" t="s">
        <v>70</v>
      </c>
      <c r="C23" s="2">
        <v>5139.9</v>
      </c>
    </row>
    <row r="24" spans="1:3" s="1" customFormat="1" ht="15">
      <c r="A24" s="2">
        <v>12</v>
      </c>
      <c r="B24" s="5" t="s">
        <v>222</v>
      </c>
      <c r="C24" s="2">
        <v>6053</v>
      </c>
    </row>
    <row r="25" spans="1:3" s="1" customFormat="1" ht="45">
      <c r="A25" s="2">
        <v>13</v>
      </c>
      <c r="B25" s="5" t="s">
        <v>71</v>
      </c>
      <c r="C25" s="2">
        <v>12724.53</v>
      </c>
    </row>
    <row r="26" spans="1:3" s="1" customFormat="1" ht="15">
      <c r="A26" s="2">
        <v>14</v>
      </c>
      <c r="B26" s="5" t="s">
        <v>72</v>
      </c>
      <c r="C26" s="2">
        <v>13875.62</v>
      </c>
    </row>
    <row r="27" spans="1:3" s="1" customFormat="1" ht="15">
      <c r="A27" s="2">
        <v>15</v>
      </c>
      <c r="B27" s="5" t="s">
        <v>73</v>
      </c>
      <c r="C27" s="2">
        <v>1168.78</v>
      </c>
    </row>
    <row r="28" spans="1:3" s="1" customFormat="1" ht="15">
      <c r="A28" s="2">
        <v>16</v>
      </c>
      <c r="B28" s="5" t="s">
        <v>223</v>
      </c>
      <c r="C28" s="2">
        <v>6322.5</v>
      </c>
    </row>
    <row r="29" spans="1:3" s="1" customFormat="1" ht="15">
      <c r="A29" s="2"/>
      <c r="B29" s="7" t="s">
        <v>1</v>
      </c>
      <c r="C29" s="6">
        <f>SUM(C13:C28)</f>
        <v>180188.53999999998</v>
      </c>
    </row>
    <row r="30" spans="1:3" s="9" customFormat="1" ht="15">
      <c r="A30" s="6"/>
      <c r="B30" s="14" t="s">
        <v>10</v>
      </c>
      <c r="C30" s="27">
        <f>C7+C8+C10+C11-C29</f>
        <v>151697.32200000004</v>
      </c>
    </row>
    <row r="31" spans="1:3" s="9" customFormat="1" ht="30">
      <c r="A31" s="45"/>
      <c r="B31" s="43" t="s">
        <v>225</v>
      </c>
      <c r="C31" s="46">
        <f>C30+C43</f>
        <v>156565.00269800003</v>
      </c>
    </row>
    <row r="32" s="1" customFormat="1" ht="15">
      <c r="A32" s="4"/>
    </row>
    <row r="33" spans="1:2" s="1" customFormat="1" ht="18.75">
      <c r="A33" s="4"/>
      <c r="B33" s="16" t="s">
        <v>5</v>
      </c>
    </row>
    <row r="34" spans="1:2" s="9" customFormat="1" ht="15">
      <c r="A34" s="34"/>
      <c r="B34" s="1"/>
    </row>
    <row r="35" spans="1:3" s="1" customFormat="1" ht="15">
      <c r="A35" s="4"/>
      <c r="B35" s="13" t="s">
        <v>11</v>
      </c>
      <c r="C35" s="9">
        <v>26273.089999999997</v>
      </c>
    </row>
    <row r="36" spans="1:3" s="1" customFormat="1" ht="15">
      <c r="A36" s="4"/>
      <c r="B36" s="13" t="s">
        <v>7</v>
      </c>
      <c r="C36" s="9">
        <v>170092.02</v>
      </c>
    </row>
    <row r="37" spans="1:3" s="1" customFormat="1" ht="15">
      <c r="A37" s="44"/>
      <c r="B37" s="41" t="s">
        <v>12</v>
      </c>
      <c r="C37" s="42">
        <f>C36*0.9949</f>
        <v>169224.55069799998</v>
      </c>
    </row>
    <row r="38" spans="1:3" s="1" customFormat="1" ht="30">
      <c r="A38" s="2" t="s">
        <v>0</v>
      </c>
      <c r="B38" s="2" t="s">
        <v>8</v>
      </c>
      <c r="C38" s="8" t="s">
        <v>9</v>
      </c>
    </row>
    <row r="39" spans="1:3" s="1" customFormat="1" ht="18.75" customHeight="1">
      <c r="A39" s="2">
        <v>1</v>
      </c>
      <c r="B39" s="5" t="s">
        <v>74</v>
      </c>
      <c r="C39" s="6">
        <v>13536.68</v>
      </c>
    </row>
    <row r="40" spans="1:3" s="1" customFormat="1" ht="18.75" customHeight="1">
      <c r="A40" s="2">
        <v>2</v>
      </c>
      <c r="B40" s="5" t="s">
        <v>75</v>
      </c>
      <c r="C40" s="6">
        <v>47947</v>
      </c>
    </row>
    <row r="41" spans="1:3" s="1" customFormat="1" ht="18.75" customHeight="1">
      <c r="A41" s="2">
        <v>3</v>
      </c>
      <c r="B41" s="5" t="s">
        <v>76</v>
      </c>
      <c r="C41" s="6">
        <f>118182.9+10963.38</f>
        <v>129146.28</v>
      </c>
    </row>
    <row r="42" spans="1:3" s="1" customFormat="1" ht="15">
      <c r="A42" s="2"/>
      <c r="B42" s="7" t="s">
        <v>1</v>
      </c>
      <c r="C42" s="6">
        <f>SUM(C39:C41)</f>
        <v>190629.96</v>
      </c>
    </row>
    <row r="43" spans="1:3" s="1" customFormat="1" ht="15">
      <c r="A43" s="2"/>
      <c r="B43" s="7" t="s">
        <v>10</v>
      </c>
      <c r="C43" s="27">
        <f>C35+C37-C42</f>
        <v>4867.680697999982</v>
      </c>
    </row>
    <row r="44" s="1" customFormat="1" ht="15">
      <c r="A44" s="4"/>
    </row>
    <row r="45" spans="1:3" s="1" customFormat="1" ht="15">
      <c r="A45" s="4"/>
      <c r="B45" s="9" t="s">
        <v>13</v>
      </c>
      <c r="C45" s="9">
        <v>286738.79</v>
      </c>
    </row>
    <row r="46" spans="1:3" s="1" customFormat="1" ht="15">
      <c r="A46" s="4"/>
      <c r="B46" s="16" t="s">
        <v>227</v>
      </c>
      <c r="C46" s="9">
        <v>181197.46</v>
      </c>
    </row>
    <row r="47" spans="1:3" s="1" customFormat="1" ht="15">
      <c r="A47" s="4"/>
      <c r="B47" s="9" t="s">
        <v>232</v>
      </c>
      <c r="C47" s="9">
        <v>105541.33</v>
      </c>
    </row>
    <row r="48" spans="1:3" s="1" customFormat="1" ht="15">
      <c r="A48" s="79" t="s">
        <v>14</v>
      </c>
      <c r="B48" s="80"/>
      <c r="C48" s="80"/>
    </row>
    <row r="49" spans="1:3" s="1" customFormat="1" ht="15">
      <c r="A49" s="51"/>
      <c r="B49" s="52"/>
      <c r="C49" s="52"/>
    </row>
    <row r="50" spans="1:3" s="1" customFormat="1" ht="15">
      <c r="A50" s="4"/>
      <c r="B50" s="30" t="s">
        <v>15</v>
      </c>
      <c r="C50" s="9"/>
    </row>
    <row r="51" spans="1:3" s="1" customFormat="1" ht="15">
      <c r="A51" s="4"/>
      <c r="B51" s="30"/>
      <c r="C51" s="9"/>
    </row>
    <row r="52" spans="1:3" s="1" customFormat="1" ht="15">
      <c r="A52" s="4"/>
      <c r="B52" s="30" t="s">
        <v>236</v>
      </c>
      <c r="C52" s="50">
        <f>6132.2*4.44*12+C31</f>
        <v>483288.6186980001</v>
      </c>
    </row>
    <row r="53" spans="1:3" s="1" customFormat="1" ht="15">
      <c r="A53" s="4"/>
      <c r="B53" s="30"/>
      <c r="C53" s="9"/>
    </row>
    <row r="54" spans="1:3" s="1" customFormat="1" ht="15">
      <c r="A54" s="6">
        <v>1</v>
      </c>
      <c r="B54" s="43" t="s">
        <v>82</v>
      </c>
      <c r="C54" s="43" t="s">
        <v>235</v>
      </c>
    </row>
    <row r="55" spans="1:3" s="1" customFormat="1" ht="15">
      <c r="A55" s="6">
        <v>2</v>
      </c>
      <c r="B55" s="43" t="s">
        <v>83</v>
      </c>
      <c r="C55" s="43" t="s">
        <v>244</v>
      </c>
    </row>
    <row r="56" spans="1:3" s="1" customFormat="1" ht="15">
      <c r="A56" s="6">
        <v>3</v>
      </c>
      <c r="B56" s="43" t="s">
        <v>84</v>
      </c>
      <c r="C56" s="43" t="s">
        <v>79</v>
      </c>
    </row>
    <row r="57" spans="1:3" s="1" customFormat="1" ht="15">
      <c r="A57" s="6">
        <v>4</v>
      </c>
      <c r="B57" s="8" t="s">
        <v>85</v>
      </c>
      <c r="C57" s="43" t="s">
        <v>100</v>
      </c>
    </row>
    <row r="58" spans="1:3" s="1" customFormat="1" ht="15">
      <c r="A58" s="6">
        <v>5</v>
      </c>
      <c r="B58" s="43" t="s">
        <v>34</v>
      </c>
      <c r="C58" s="8" t="s">
        <v>59</v>
      </c>
    </row>
    <row r="59" spans="1:3" s="1" customFormat="1" ht="15">
      <c r="A59" s="56">
        <v>6</v>
      </c>
      <c r="B59" s="54" t="s">
        <v>238</v>
      </c>
      <c r="C59" s="58" t="s">
        <v>245</v>
      </c>
    </row>
    <row r="60" spans="1:3" s="1" customFormat="1" ht="15">
      <c r="A60" s="57"/>
      <c r="B60" s="55" t="s">
        <v>239</v>
      </c>
      <c r="C60" s="59"/>
    </row>
    <row r="61" spans="1:3" s="1" customFormat="1" ht="15">
      <c r="A61" s="49"/>
      <c r="B61" s="16"/>
      <c r="C61" s="9"/>
    </row>
    <row r="62" spans="1:3" s="1" customFormat="1" ht="15">
      <c r="A62" s="49"/>
      <c r="B62" s="16"/>
      <c r="C62" s="9"/>
    </row>
    <row r="63" spans="1:3" s="1" customFormat="1" ht="15">
      <c r="A63" s="49"/>
      <c r="B63" s="16"/>
      <c r="C63" s="9"/>
    </row>
    <row r="64" spans="1:3" s="1" customFormat="1" ht="15">
      <c r="A64" s="49"/>
      <c r="B64" s="16"/>
      <c r="C64" s="9"/>
    </row>
    <row r="65" spans="1:3" s="1" customFormat="1" ht="15">
      <c r="A65" s="49"/>
      <c r="B65" s="16"/>
      <c r="C65" s="9"/>
    </row>
    <row r="66" s="1" customFormat="1" ht="15">
      <c r="A66" s="4"/>
    </row>
    <row r="67" spans="1:3" s="1" customFormat="1" ht="15">
      <c r="A67" s="77" t="s">
        <v>14</v>
      </c>
      <c r="B67" s="78"/>
      <c r="C67" s="78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pans="1:2" s="1" customFormat="1" ht="15">
      <c r="A93" s="4"/>
      <c r="B93"/>
    </row>
  </sheetData>
  <sheetProtection/>
  <mergeCells count="3">
    <mergeCell ref="A1:B1"/>
    <mergeCell ref="A67:C67"/>
    <mergeCell ref="A48:C4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40">
      <selection activeCell="B57" sqref="B57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86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45590.22</v>
      </c>
    </row>
    <row r="8" spans="2:5" ht="15">
      <c r="B8" s="13" t="s">
        <v>7</v>
      </c>
      <c r="C8" s="31">
        <f>4109.6*3.45*6+4109.6*4.2*6</f>
        <v>188630.64</v>
      </c>
      <c r="E8" s="23"/>
    </row>
    <row r="9" spans="2:5" ht="15">
      <c r="B9" s="13" t="s">
        <v>12</v>
      </c>
      <c r="C9" s="31">
        <f>C8*1.0062</f>
        <v>189800.149968</v>
      </c>
      <c r="E9" s="23"/>
    </row>
    <row r="10" spans="2:5" ht="15">
      <c r="B10" s="13" t="s">
        <v>18</v>
      </c>
      <c r="C10" s="31">
        <v>4146.96</v>
      </c>
      <c r="E10" s="23"/>
    </row>
    <row r="11" spans="2:3" ht="15">
      <c r="B11" s="29" t="s">
        <v>19</v>
      </c>
      <c r="C11" s="33">
        <v>4451.43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30">
      <c r="A13" s="2">
        <v>1</v>
      </c>
      <c r="B13" s="5" t="s">
        <v>87</v>
      </c>
      <c r="C13" s="2">
        <v>2594.62</v>
      </c>
    </row>
    <row r="14" spans="1:3" s="1" customFormat="1" ht="30">
      <c r="A14" s="2">
        <v>2</v>
      </c>
      <c r="B14" s="5" t="s">
        <v>277</v>
      </c>
      <c r="C14" s="2">
        <v>14841.95</v>
      </c>
    </row>
    <row r="15" spans="1:3" s="1" customFormat="1" ht="15">
      <c r="A15" s="2">
        <v>3</v>
      </c>
      <c r="B15" s="5" t="s">
        <v>88</v>
      </c>
      <c r="C15" s="2">
        <v>652.37</v>
      </c>
    </row>
    <row r="16" spans="1:3" s="1" customFormat="1" ht="15">
      <c r="A16" s="2">
        <v>4</v>
      </c>
      <c r="B16" s="5" t="s">
        <v>89</v>
      </c>
      <c r="C16" s="2">
        <v>4898.18</v>
      </c>
    </row>
    <row r="17" spans="1:3" s="1" customFormat="1" ht="15">
      <c r="A17" s="2">
        <v>5</v>
      </c>
      <c r="B17" s="5" t="s">
        <v>90</v>
      </c>
      <c r="C17" s="2">
        <v>1213.64</v>
      </c>
    </row>
    <row r="18" spans="1:3" s="1" customFormat="1" ht="15">
      <c r="A18" s="2">
        <v>6</v>
      </c>
      <c r="B18" s="5" t="s">
        <v>91</v>
      </c>
      <c r="C18" s="2">
        <f>1981.22+1135.16</f>
        <v>3116.38</v>
      </c>
    </row>
    <row r="19" spans="1:3" s="1" customFormat="1" ht="15">
      <c r="A19" s="2">
        <v>7</v>
      </c>
      <c r="B19" s="5" t="s">
        <v>92</v>
      </c>
      <c r="C19" s="2">
        <v>6652</v>
      </c>
    </row>
    <row r="20" spans="1:3" s="1" customFormat="1" ht="30">
      <c r="A20" s="2">
        <v>8</v>
      </c>
      <c r="B20" s="5" t="s">
        <v>93</v>
      </c>
      <c r="C20" s="2">
        <v>3983.13</v>
      </c>
    </row>
    <row r="21" spans="1:3" s="1" customFormat="1" ht="15">
      <c r="A21" s="2">
        <v>9</v>
      </c>
      <c r="B21" s="5" t="s">
        <v>48</v>
      </c>
      <c r="C21" s="2">
        <v>13696.38</v>
      </c>
    </row>
    <row r="22" spans="1:3" s="1" customFormat="1" ht="33.75" customHeight="1">
      <c r="A22" s="2">
        <v>10</v>
      </c>
      <c r="B22" s="5" t="s">
        <v>255</v>
      </c>
      <c r="C22" s="2">
        <v>13598.66</v>
      </c>
    </row>
    <row r="23" spans="1:3" s="1" customFormat="1" ht="15">
      <c r="A23" s="2">
        <v>11</v>
      </c>
      <c r="B23" s="5" t="s">
        <v>94</v>
      </c>
      <c r="C23" s="2">
        <v>175.82</v>
      </c>
    </row>
    <row r="24" spans="1:3" s="1" customFormat="1" ht="15">
      <c r="A24" s="2">
        <v>12</v>
      </c>
      <c r="B24" s="5" t="s">
        <v>95</v>
      </c>
      <c r="C24" s="2">
        <v>584.41</v>
      </c>
    </row>
    <row r="25" spans="1:3" s="1" customFormat="1" ht="15">
      <c r="A25" s="2"/>
      <c r="B25" s="7" t="s">
        <v>1</v>
      </c>
      <c r="C25" s="6">
        <f>SUM(C13:C24)</f>
        <v>66007.54</v>
      </c>
    </row>
    <row r="26" spans="1:3" s="9" customFormat="1" ht="15">
      <c r="A26" s="6"/>
      <c r="B26" s="14" t="s">
        <v>10</v>
      </c>
      <c r="C26" s="27">
        <f>C7+C8+C10+C11-C25</f>
        <v>176811.71000000002</v>
      </c>
    </row>
    <row r="27" spans="1:3" s="9" customFormat="1" ht="30">
      <c r="A27" s="45"/>
      <c r="B27" s="43" t="s">
        <v>225</v>
      </c>
      <c r="C27" s="27">
        <f>C26+C38</f>
        <v>178071.25730400003</v>
      </c>
    </row>
    <row r="28" s="1" customFormat="1" ht="15">
      <c r="A28" s="4"/>
    </row>
    <row r="29" spans="1:2" s="1" customFormat="1" ht="18.75">
      <c r="A29" s="4"/>
      <c r="B29" s="16" t="s">
        <v>5</v>
      </c>
    </row>
    <row r="30" spans="1:2" s="9" customFormat="1" ht="15">
      <c r="A30" s="34"/>
      <c r="B30" s="1"/>
    </row>
    <row r="31" spans="1:3" s="1" customFormat="1" ht="15">
      <c r="A31" s="4"/>
      <c r="B31" s="13" t="s">
        <v>11</v>
      </c>
      <c r="C31" s="9">
        <v>-15982.570000000007</v>
      </c>
    </row>
    <row r="32" spans="1:3" s="1" customFormat="1" ht="15">
      <c r="A32" s="4"/>
      <c r="B32" s="13" t="s">
        <v>7</v>
      </c>
      <c r="C32" s="9">
        <v>117718.92</v>
      </c>
    </row>
    <row r="33" spans="1:3" s="1" customFormat="1" ht="15">
      <c r="A33" s="44"/>
      <c r="B33" s="41" t="s">
        <v>12</v>
      </c>
      <c r="C33" s="42">
        <f>C32*1.0062</f>
        <v>118448.777304</v>
      </c>
    </row>
    <row r="34" spans="1:3" s="1" customFormat="1" ht="30">
      <c r="A34" s="2" t="s">
        <v>0</v>
      </c>
      <c r="B34" s="2" t="s">
        <v>8</v>
      </c>
      <c r="C34" s="8" t="s">
        <v>9</v>
      </c>
    </row>
    <row r="35" spans="1:3" s="1" customFormat="1" ht="18.75" customHeight="1">
      <c r="A35" s="2">
        <v>1</v>
      </c>
      <c r="B35" s="5" t="s">
        <v>96</v>
      </c>
      <c r="C35" s="6">
        <v>80438.66</v>
      </c>
    </row>
    <row r="36" spans="1:3" s="1" customFormat="1" ht="18.75" customHeight="1">
      <c r="A36" s="2">
        <v>2</v>
      </c>
      <c r="B36" s="5" t="s">
        <v>97</v>
      </c>
      <c r="C36" s="6">
        <v>20768</v>
      </c>
    </row>
    <row r="37" spans="1:3" s="1" customFormat="1" ht="15">
      <c r="A37" s="2"/>
      <c r="B37" s="7" t="s">
        <v>1</v>
      </c>
      <c r="C37" s="6">
        <f>SUM(C35:C36)</f>
        <v>101206.66</v>
      </c>
    </row>
    <row r="38" spans="1:3" s="1" customFormat="1" ht="15">
      <c r="A38" s="2"/>
      <c r="B38" s="7" t="s">
        <v>10</v>
      </c>
      <c r="C38" s="27">
        <f>C31+C33-C37</f>
        <v>1259.5473039999924</v>
      </c>
    </row>
    <row r="39" s="1" customFormat="1" ht="15">
      <c r="A39" s="4"/>
    </row>
    <row r="40" spans="1:3" s="1" customFormat="1" ht="15">
      <c r="A40" s="4"/>
      <c r="B40" s="9" t="s">
        <v>13</v>
      </c>
      <c r="C40" s="9">
        <v>293945.42</v>
      </c>
    </row>
    <row r="41" spans="1:3" s="1" customFormat="1" ht="15">
      <c r="A41" s="4"/>
      <c r="B41" s="16" t="s">
        <v>228</v>
      </c>
      <c r="C41" s="9">
        <v>184216.99</v>
      </c>
    </row>
    <row r="42" spans="1:3" s="1" customFormat="1" ht="15">
      <c r="A42" s="4"/>
      <c r="B42" s="16" t="s">
        <v>232</v>
      </c>
      <c r="C42" s="9">
        <v>109728.43</v>
      </c>
    </row>
    <row r="43" spans="1:3" s="1" customFormat="1" ht="15">
      <c r="A43" s="4"/>
      <c r="B43" s="16"/>
      <c r="C43" s="9"/>
    </row>
    <row r="44" spans="1:3" s="1" customFormat="1" ht="15">
      <c r="A44" s="4"/>
      <c r="B44" s="16"/>
      <c r="C44" s="9"/>
    </row>
    <row r="45" spans="1:3" s="1" customFormat="1" ht="15">
      <c r="A45" s="4"/>
      <c r="B45" s="16"/>
      <c r="C45" s="9"/>
    </row>
    <row r="46" spans="1:3" s="1" customFormat="1" ht="15">
      <c r="A46" s="79" t="s">
        <v>14</v>
      </c>
      <c r="B46" s="80"/>
      <c r="C46" s="80"/>
    </row>
    <row r="47" spans="1:3" s="1" customFormat="1" ht="15">
      <c r="A47" s="4"/>
      <c r="B47" s="9"/>
      <c r="C47" s="9"/>
    </row>
    <row r="48" spans="1:3" s="1" customFormat="1" ht="15">
      <c r="A48" s="4"/>
      <c r="B48" s="30" t="s">
        <v>15</v>
      </c>
      <c r="C48" s="9"/>
    </row>
    <row r="49" spans="1:3" s="1" customFormat="1" ht="15">
      <c r="A49" s="4"/>
      <c r="B49" s="30"/>
      <c r="C49" s="9"/>
    </row>
    <row r="50" spans="1:3" s="1" customFormat="1" ht="15">
      <c r="A50" s="4"/>
      <c r="B50" s="30" t="s">
        <v>236</v>
      </c>
      <c r="C50" s="50">
        <f>4109.6*4.2*12+C27</f>
        <v>385195.09730400005</v>
      </c>
    </row>
    <row r="51" spans="1:3" s="1" customFormat="1" ht="15">
      <c r="A51" s="4"/>
      <c r="B51" s="30"/>
      <c r="C51" s="9"/>
    </row>
    <row r="52" spans="1:3" s="1" customFormat="1" ht="15">
      <c r="A52" s="4"/>
      <c r="B52" s="30"/>
      <c r="C52" s="9"/>
    </row>
    <row r="53" spans="1:3" s="1" customFormat="1" ht="15">
      <c r="A53" s="6">
        <v>1</v>
      </c>
      <c r="B53" s="43" t="s">
        <v>78</v>
      </c>
      <c r="C53" s="43" t="s">
        <v>79</v>
      </c>
    </row>
    <row r="54" spans="1:3" s="1" customFormat="1" ht="15">
      <c r="A54" s="6">
        <v>2</v>
      </c>
      <c r="B54" s="43" t="s">
        <v>256</v>
      </c>
      <c r="C54" s="43" t="s">
        <v>79</v>
      </c>
    </row>
    <row r="55" spans="1:3" s="1" customFormat="1" ht="15">
      <c r="A55" s="6">
        <v>3</v>
      </c>
      <c r="B55" s="43" t="s">
        <v>55</v>
      </c>
      <c r="C55" s="43" t="s">
        <v>98</v>
      </c>
    </row>
    <row r="56" spans="1:3" s="1" customFormat="1" ht="15">
      <c r="A56" s="6">
        <v>4</v>
      </c>
      <c r="B56" s="8" t="s">
        <v>80</v>
      </c>
      <c r="C56" s="8" t="s">
        <v>81</v>
      </c>
    </row>
    <row r="57" spans="1:3" s="1" customFormat="1" ht="15">
      <c r="A57" s="6">
        <v>5</v>
      </c>
      <c r="B57" s="43" t="s">
        <v>283</v>
      </c>
      <c r="C57" s="8" t="s">
        <v>252</v>
      </c>
    </row>
    <row r="58" spans="1:3" s="1" customFormat="1" ht="15">
      <c r="A58" s="6">
        <v>5</v>
      </c>
      <c r="B58" s="43" t="s">
        <v>258</v>
      </c>
      <c r="C58" s="43" t="s">
        <v>257</v>
      </c>
    </row>
    <row r="59" spans="1:3" s="1" customFormat="1" ht="15">
      <c r="A59" s="49"/>
      <c r="B59" s="16"/>
      <c r="C59" s="9"/>
    </row>
    <row r="60" spans="1:3" s="1" customFormat="1" ht="15">
      <c r="A60" s="49"/>
      <c r="B60" s="16"/>
      <c r="C60" s="9"/>
    </row>
    <row r="61" spans="1:3" s="1" customFormat="1" ht="15">
      <c r="A61" s="49"/>
      <c r="B61" s="16"/>
      <c r="C61" s="9"/>
    </row>
    <row r="62" spans="1:3" s="1" customFormat="1" ht="15">
      <c r="A62" s="49"/>
      <c r="B62" s="16"/>
      <c r="C62" s="9"/>
    </row>
    <row r="63" spans="1:3" s="1" customFormat="1" ht="15">
      <c r="A63" s="49"/>
      <c r="B63" s="16"/>
      <c r="C63" s="9"/>
    </row>
    <row r="64" s="1" customFormat="1" ht="15">
      <c r="A64" s="4"/>
    </row>
    <row r="65" spans="1:3" s="1" customFormat="1" ht="15">
      <c r="A65" s="77" t="s">
        <v>14</v>
      </c>
      <c r="B65" s="78"/>
      <c r="C65" s="78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pans="1:2" s="1" customFormat="1" ht="15">
      <c r="A91" s="4"/>
      <c r="B91"/>
    </row>
  </sheetData>
  <sheetProtection/>
  <mergeCells count="3">
    <mergeCell ref="A1:B1"/>
    <mergeCell ref="A65:C65"/>
    <mergeCell ref="A46:C4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3">
      <selection activeCell="C37" sqref="C37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99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22212.26999999999</v>
      </c>
    </row>
    <row r="8" spans="2:5" ht="15">
      <c r="B8" s="13" t="s">
        <v>7</v>
      </c>
      <c r="C8" s="31">
        <f>4933.7*2.33*6+4933.7*3.11*6</f>
        <v>161035.968</v>
      </c>
      <c r="E8" s="23"/>
    </row>
    <row r="9" spans="2:5" ht="15">
      <c r="B9" s="13" t="s">
        <v>12</v>
      </c>
      <c r="C9" s="31">
        <f>C8*1.013</f>
        <v>163129.435584</v>
      </c>
      <c r="E9" s="23"/>
    </row>
    <row r="10" spans="2:5" ht="15">
      <c r="B10" s="13" t="s">
        <v>18</v>
      </c>
      <c r="C10" s="31">
        <v>6354.96</v>
      </c>
      <c r="E10" s="23"/>
    </row>
    <row r="11" spans="2:3" ht="15">
      <c r="B11" s="29" t="s">
        <v>19</v>
      </c>
      <c r="C11" s="33">
        <v>1440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209</v>
      </c>
      <c r="C13" s="2">
        <v>707.5</v>
      </c>
    </row>
    <row r="14" spans="1:3" s="1" customFormat="1" ht="30">
      <c r="A14" s="2">
        <v>2</v>
      </c>
      <c r="B14" s="5" t="s">
        <v>210</v>
      </c>
      <c r="C14" s="2">
        <v>2080.86</v>
      </c>
    </row>
    <row r="15" spans="1:3" s="1" customFormat="1" ht="15">
      <c r="A15" s="2">
        <v>3</v>
      </c>
      <c r="B15" s="5" t="s">
        <v>211</v>
      </c>
      <c r="C15" s="2">
        <v>2846.79</v>
      </c>
    </row>
    <row r="16" spans="1:3" s="1" customFormat="1" ht="15">
      <c r="A16" s="2">
        <v>4</v>
      </c>
      <c r="B16" s="5" t="s">
        <v>212</v>
      </c>
      <c r="C16" s="2">
        <v>300.9</v>
      </c>
    </row>
    <row r="17" spans="1:3" s="1" customFormat="1" ht="15">
      <c r="A17" s="2">
        <v>5</v>
      </c>
      <c r="B17" s="5" t="s">
        <v>213</v>
      </c>
      <c r="C17" s="2">
        <v>1543.44</v>
      </c>
    </row>
    <row r="18" spans="1:3" s="1" customFormat="1" ht="15">
      <c r="A18" s="2">
        <v>6</v>
      </c>
      <c r="B18" s="5" t="s">
        <v>28</v>
      </c>
      <c r="C18" s="2">
        <v>1464.56</v>
      </c>
    </row>
    <row r="19" spans="1:3" s="1" customFormat="1" ht="30">
      <c r="A19" s="2">
        <v>7</v>
      </c>
      <c r="B19" s="5" t="s">
        <v>214</v>
      </c>
      <c r="C19" s="2">
        <v>12944.56</v>
      </c>
    </row>
    <row r="20" spans="1:3" s="1" customFormat="1" ht="15">
      <c r="A20" s="2">
        <v>8</v>
      </c>
      <c r="B20" s="5" t="s">
        <v>215</v>
      </c>
      <c r="C20" s="2">
        <v>561</v>
      </c>
    </row>
    <row r="21" spans="1:3" s="1" customFormat="1" ht="15">
      <c r="A21" s="2">
        <v>9</v>
      </c>
      <c r="B21" s="5" t="s">
        <v>259</v>
      </c>
      <c r="C21" s="2">
        <v>12106</v>
      </c>
    </row>
    <row r="22" spans="1:3" s="1" customFormat="1" ht="30">
      <c r="A22" s="2">
        <v>10</v>
      </c>
      <c r="B22" s="5" t="s">
        <v>260</v>
      </c>
      <c r="C22" s="2">
        <v>3615.41</v>
      </c>
    </row>
    <row r="23" spans="1:3" s="1" customFormat="1" ht="27" customHeight="1">
      <c r="A23" s="2">
        <v>11</v>
      </c>
      <c r="B23" s="5" t="s">
        <v>216</v>
      </c>
      <c r="C23" s="2">
        <v>20076.52</v>
      </c>
    </row>
    <row r="24" spans="1:3" s="1" customFormat="1" ht="15">
      <c r="A24" s="2"/>
      <c r="B24" s="7" t="s">
        <v>1</v>
      </c>
      <c r="C24" s="6">
        <f>SUM(C13:C23)</f>
        <v>58247.54000000001</v>
      </c>
    </row>
    <row r="25" spans="1:3" s="9" customFormat="1" ht="15">
      <c r="A25" s="6"/>
      <c r="B25" s="14" t="s">
        <v>10</v>
      </c>
      <c r="C25" s="27">
        <f>C7+C8+C10+C11-C24</f>
        <v>132795.65799999997</v>
      </c>
    </row>
    <row r="26" spans="1:3" s="9" customFormat="1" ht="15">
      <c r="A26" s="25"/>
      <c r="B26" s="26"/>
      <c r="C26" s="25"/>
    </row>
    <row r="27" s="1" customFormat="1" ht="15">
      <c r="A27" s="4"/>
    </row>
    <row r="28" spans="1:2" s="1" customFormat="1" ht="18.75">
      <c r="A28" s="4"/>
      <c r="B28" s="16" t="s">
        <v>5</v>
      </c>
    </row>
    <row r="29" spans="1:2" s="9" customFormat="1" ht="15">
      <c r="A29" s="34"/>
      <c r="B29" s="1"/>
    </row>
    <row r="30" spans="1:3" s="1" customFormat="1" ht="15">
      <c r="A30" s="4"/>
      <c r="B30" s="13" t="s">
        <v>11</v>
      </c>
      <c r="C30" s="9">
        <v>147831.75999999998</v>
      </c>
    </row>
    <row r="31" spans="1:3" s="1" customFormat="1" ht="15">
      <c r="A31" s="4"/>
      <c r="B31" s="13" t="s">
        <v>7</v>
      </c>
      <c r="C31" s="9">
        <v>154694.88</v>
      </c>
    </row>
    <row r="32" spans="1:3" s="1" customFormat="1" ht="15">
      <c r="A32" s="4"/>
      <c r="B32" s="41" t="s">
        <v>12</v>
      </c>
      <c r="C32" s="42">
        <f>C31*1.013</f>
        <v>156705.91343999997</v>
      </c>
    </row>
    <row r="33" spans="1:3" s="1" customFormat="1" ht="30">
      <c r="A33" s="2" t="s">
        <v>0</v>
      </c>
      <c r="B33" s="2" t="s">
        <v>8</v>
      </c>
      <c r="C33" s="8" t="s">
        <v>9</v>
      </c>
    </row>
    <row r="34" spans="1:3" s="1" customFormat="1" ht="18.75" customHeight="1">
      <c r="A34" s="2">
        <v>1</v>
      </c>
      <c r="B34" s="5" t="s">
        <v>217</v>
      </c>
      <c r="C34" s="6">
        <v>80412</v>
      </c>
    </row>
    <row r="35" spans="1:3" s="1" customFormat="1" ht="18.75" customHeight="1">
      <c r="A35" s="2">
        <v>2</v>
      </c>
      <c r="B35" s="5" t="s">
        <v>218</v>
      </c>
      <c r="C35" s="6">
        <v>14466.8</v>
      </c>
    </row>
    <row r="36" spans="1:3" s="1" customFormat="1" ht="15">
      <c r="A36" s="2"/>
      <c r="B36" s="7" t="s">
        <v>1</v>
      </c>
      <c r="C36" s="6">
        <f>SUM(C34:C35)</f>
        <v>94878.8</v>
      </c>
    </row>
    <row r="37" spans="1:3" s="1" customFormat="1" ht="15">
      <c r="A37" s="2"/>
      <c r="B37" s="7" t="s">
        <v>10</v>
      </c>
      <c r="C37" s="6">
        <f>C30+C31-C36</f>
        <v>207647.84000000003</v>
      </c>
    </row>
    <row r="38" s="1" customFormat="1" ht="15">
      <c r="A38" s="4"/>
    </row>
    <row r="39" spans="1:3" s="1" customFormat="1" ht="15">
      <c r="A39" s="4"/>
      <c r="B39" s="9" t="s">
        <v>13</v>
      </c>
      <c r="C39" s="9">
        <v>646661.67</v>
      </c>
    </row>
    <row r="40" spans="1:3" s="1" customFormat="1" ht="15">
      <c r="A40" s="4"/>
      <c r="B40" s="16" t="s">
        <v>227</v>
      </c>
      <c r="C40" s="9">
        <v>470579.35</v>
      </c>
    </row>
    <row r="41" spans="1:3" s="1" customFormat="1" ht="15">
      <c r="A41" s="4"/>
      <c r="B41" s="16" t="s">
        <v>232</v>
      </c>
      <c r="C41" s="9">
        <v>176082.32</v>
      </c>
    </row>
    <row r="42" spans="1:3" s="1" customFormat="1" ht="15">
      <c r="A42" s="4"/>
      <c r="B42" s="16"/>
      <c r="C42" s="9"/>
    </row>
    <row r="43" spans="1:3" s="1" customFormat="1" ht="15">
      <c r="A43" s="4"/>
      <c r="B43" s="16"/>
      <c r="C43" s="9"/>
    </row>
    <row r="44" spans="1:3" s="1" customFormat="1" ht="15">
      <c r="A44" s="4"/>
      <c r="B44" s="16"/>
      <c r="C44" s="9"/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79" t="s">
        <v>14</v>
      </c>
      <c r="B47" s="80"/>
      <c r="C47" s="80"/>
    </row>
    <row r="48" spans="1:3" s="1" customFormat="1" ht="15">
      <c r="A48" s="4"/>
      <c r="B48" s="16"/>
      <c r="C48" s="9"/>
    </row>
    <row r="49" spans="1:3" s="1" customFormat="1" ht="15">
      <c r="A49" s="4"/>
      <c r="B49" s="9"/>
      <c r="C49" s="9"/>
    </row>
    <row r="50" spans="1:3" s="1" customFormat="1" ht="15">
      <c r="A50" s="4"/>
      <c r="B50" s="30" t="s">
        <v>15</v>
      </c>
      <c r="C50" s="9"/>
    </row>
    <row r="51" spans="1:3" s="1" customFormat="1" ht="15">
      <c r="A51" s="4"/>
      <c r="B51" s="30"/>
      <c r="C51" s="9"/>
    </row>
    <row r="52" spans="1:3" s="1" customFormat="1" ht="15">
      <c r="A52" s="4"/>
      <c r="B52" s="30" t="s">
        <v>236</v>
      </c>
      <c r="C52" s="9">
        <f>4933.7*3.11*12+C25</f>
        <v>316921.34199999995</v>
      </c>
    </row>
    <row r="53" spans="1:3" s="1" customFormat="1" ht="15">
      <c r="A53" s="4"/>
      <c r="B53" s="30" t="s">
        <v>240</v>
      </c>
      <c r="C53" s="9">
        <f>C37</f>
        <v>207647.84000000003</v>
      </c>
    </row>
    <row r="54" spans="1:3" s="1" customFormat="1" ht="15">
      <c r="A54" s="4"/>
      <c r="B54" s="30"/>
      <c r="C54" s="9"/>
    </row>
    <row r="55" spans="1:3" s="1" customFormat="1" ht="15">
      <c r="A55" s="4"/>
      <c r="B55" s="30"/>
      <c r="C55" s="9"/>
    </row>
    <row r="56" spans="1:3" s="1" customFormat="1" ht="30">
      <c r="A56" s="6">
        <v>1</v>
      </c>
      <c r="B56" s="61" t="s">
        <v>226</v>
      </c>
      <c r="C56" s="8" t="s">
        <v>246</v>
      </c>
    </row>
    <row r="57" spans="1:3" s="1" customFormat="1" ht="15">
      <c r="A57" s="6">
        <v>2</v>
      </c>
      <c r="B57" s="43" t="s">
        <v>101</v>
      </c>
      <c r="C57" s="43" t="s">
        <v>247</v>
      </c>
    </row>
    <row r="58" spans="1:3" s="1" customFormat="1" ht="15">
      <c r="A58" s="6">
        <v>3</v>
      </c>
      <c r="B58" s="43" t="s">
        <v>34</v>
      </c>
      <c r="C58" s="43" t="s">
        <v>59</v>
      </c>
    </row>
    <row r="59" spans="1:3" s="1" customFormat="1" ht="15">
      <c r="A59" s="6">
        <v>4</v>
      </c>
      <c r="B59" s="43" t="s">
        <v>102</v>
      </c>
      <c r="C59" s="43" t="s">
        <v>248</v>
      </c>
    </row>
    <row r="60" spans="1:3" s="1" customFormat="1" ht="15">
      <c r="A60" s="6">
        <v>6</v>
      </c>
      <c r="B60" s="43" t="s">
        <v>238</v>
      </c>
      <c r="C60" s="43" t="s">
        <v>249</v>
      </c>
    </row>
    <row r="61" spans="1:3" s="1" customFormat="1" ht="15">
      <c r="A61" s="6"/>
      <c r="B61" s="43" t="s">
        <v>239</v>
      </c>
      <c r="C61" s="43"/>
    </row>
    <row r="62" spans="1:3" s="1" customFormat="1" ht="15">
      <c r="A62" s="49"/>
      <c r="B62" s="16"/>
      <c r="C62" s="16"/>
    </row>
    <row r="63" spans="1:3" s="1" customFormat="1" ht="15">
      <c r="A63" s="49"/>
      <c r="B63" s="16"/>
      <c r="C63" s="16"/>
    </row>
    <row r="64" spans="1:3" s="1" customFormat="1" ht="15">
      <c r="A64" s="49"/>
      <c r="B64" s="16"/>
      <c r="C64" s="16"/>
    </row>
    <row r="65" spans="1:3" s="1" customFormat="1" ht="15">
      <c r="A65" s="49"/>
      <c r="B65" s="16"/>
      <c r="C65" s="16"/>
    </row>
    <row r="66" spans="1:3" s="1" customFormat="1" ht="15">
      <c r="A66" s="49"/>
      <c r="B66" s="16"/>
      <c r="C66" s="16"/>
    </row>
    <row r="67" spans="1:3" s="1" customFormat="1" ht="15">
      <c r="A67" s="49"/>
      <c r="B67" s="16"/>
      <c r="C67" s="16"/>
    </row>
    <row r="68" s="1" customFormat="1" ht="15">
      <c r="A68" s="4"/>
    </row>
    <row r="69" spans="1:3" s="1" customFormat="1" ht="15">
      <c r="A69" s="77" t="s">
        <v>14</v>
      </c>
      <c r="B69" s="78"/>
      <c r="C69" s="78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pans="1:2" s="1" customFormat="1" ht="15">
      <c r="A95" s="4"/>
      <c r="B95"/>
    </row>
  </sheetData>
  <sheetProtection/>
  <mergeCells count="3">
    <mergeCell ref="A1:B1"/>
    <mergeCell ref="A69:C69"/>
    <mergeCell ref="A47:C4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31">
      <selection activeCell="C40" sqref="C40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103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96220.90000000002</v>
      </c>
    </row>
    <row r="8" spans="2:5" ht="15">
      <c r="B8" s="13" t="s">
        <v>7</v>
      </c>
      <c r="C8" s="31">
        <f>5842.9*2.51*6+5842.9*3.02*6</f>
        <v>193867.42199999996</v>
      </c>
      <c r="E8" s="23"/>
    </row>
    <row r="9" spans="2:5" ht="15">
      <c r="B9" s="13" t="s">
        <v>12</v>
      </c>
      <c r="C9" s="31">
        <f>C8*1.0271</f>
        <v>199121.22913619995</v>
      </c>
      <c r="E9" s="23"/>
    </row>
    <row r="10" spans="2:5" ht="15">
      <c r="B10" s="13" t="s">
        <v>18</v>
      </c>
      <c r="C10" s="31">
        <v>11605.92</v>
      </c>
      <c r="E10" s="23"/>
    </row>
    <row r="11" spans="2:3" ht="15">
      <c r="B11" s="29" t="s">
        <v>19</v>
      </c>
      <c r="C11" s="33">
        <v>2520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30">
      <c r="A13" s="2">
        <v>1</v>
      </c>
      <c r="B13" s="5" t="s">
        <v>104</v>
      </c>
      <c r="C13" s="2">
        <v>10420.39</v>
      </c>
    </row>
    <row r="14" spans="1:3" s="1" customFormat="1" ht="30">
      <c r="A14" s="2">
        <v>2</v>
      </c>
      <c r="B14" s="5" t="s">
        <v>105</v>
      </c>
      <c r="C14" s="2">
        <v>1708.07</v>
      </c>
    </row>
    <row r="15" spans="1:3" s="1" customFormat="1" ht="30">
      <c r="A15" s="2">
        <v>3</v>
      </c>
      <c r="B15" s="5" t="s">
        <v>106</v>
      </c>
      <c r="C15" s="2">
        <v>2057.92</v>
      </c>
    </row>
    <row r="16" spans="1:3" s="1" customFormat="1" ht="15">
      <c r="A16" s="2">
        <v>4</v>
      </c>
      <c r="B16" s="5" t="s">
        <v>107</v>
      </c>
      <c r="C16" s="2">
        <v>231.22</v>
      </c>
    </row>
    <row r="17" spans="1:3" s="1" customFormat="1" ht="15">
      <c r="A17" s="2">
        <v>5</v>
      </c>
      <c r="B17" s="5" t="s">
        <v>108</v>
      </c>
      <c r="C17" s="2">
        <v>4019.94</v>
      </c>
    </row>
    <row r="18" spans="1:3" s="1" customFormat="1" ht="15">
      <c r="A18" s="2">
        <v>6</v>
      </c>
      <c r="B18" s="5" t="s">
        <v>28</v>
      </c>
      <c r="C18" s="2">
        <v>2929.14</v>
      </c>
    </row>
    <row r="19" spans="1:3" s="1" customFormat="1" ht="15">
      <c r="A19" s="2">
        <v>7</v>
      </c>
      <c r="B19" s="5" t="s">
        <v>109</v>
      </c>
      <c r="C19" s="2">
        <v>3112.9</v>
      </c>
    </row>
    <row r="20" spans="1:3" s="1" customFormat="1" ht="15">
      <c r="A20" s="2">
        <v>8</v>
      </c>
      <c r="B20" s="5" t="s">
        <v>110</v>
      </c>
      <c r="C20" s="2">
        <v>146672</v>
      </c>
    </row>
    <row r="21" spans="1:3" s="1" customFormat="1" ht="15">
      <c r="A21" s="2">
        <v>9</v>
      </c>
      <c r="B21" s="5" t="s">
        <v>111</v>
      </c>
      <c r="C21" s="2">
        <v>216.27</v>
      </c>
    </row>
    <row r="22" spans="1:3" s="1" customFormat="1" ht="15">
      <c r="A22" s="2">
        <v>10</v>
      </c>
      <c r="B22" s="5" t="s">
        <v>261</v>
      </c>
      <c r="C22" s="2">
        <v>6053</v>
      </c>
    </row>
    <row r="23" spans="1:3" s="1" customFormat="1" ht="33.75" customHeight="1">
      <c r="A23" s="2">
        <v>11</v>
      </c>
      <c r="B23" s="5" t="s">
        <v>262</v>
      </c>
      <c r="C23" s="2">
        <v>3962.33</v>
      </c>
    </row>
    <row r="24" spans="1:3" s="1" customFormat="1" ht="15">
      <c r="A24" s="2">
        <v>12</v>
      </c>
      <c r="B24" s="5" t="s">
        <v>112</v>
      </c>
      <c r="C24" s="2">
        <f>11533.32+33359.78</f>
        <v>44893.1</v>
      </c>
    </row>
    <row r="25" spans="1:3" s="1" customFormat="1" ht="15">
      <c r="A25" s="2">
        <v>13</v>
      </c>
      <c r="B25" s="5" t="s">
        <v>113</v>
      </c>
      <c r="C25" s="2">
        <v>1875.41</v>
      </c>
    </row>
    <row r="26" spans="1:3" s="1" customFormat="1" ht="15">
      <c r="A26" s="2"/>
      <c r="B26" s="7" t="s">
        <v>1</v>
      </c>
      <c r="C26" s="6">
        <f>SUM(C13:C25)</f>
        <v>228151.68999999997</v>
      </c>
    </row>
    <row r="27" spans="1:3" s="9" customFormat="1" ht="15">
      <c r="A27" s="6"/>
      <c r="B27" s="14" t="s">
        <v>10</v>
      </c>
      <c r="C27" s="27">
        <f>C7+C8+C10+C11-C26</f>
        <v>76062.552</v>
      </c>
    </row>
    <row r="28" spans="1:3" s="9" customFormat="1" ht="15">
      <c r="A28" s="25"/>
      <c r="B28" s="26"/>
      <c r="C28" s="25"/>
    </row>
    <row r="29" s="1" customFormat="1" ht="15">
      <c r="A29" s="4"/>
    </row>
    <row r="30" spans="1:2" s="1" customFormat="1" ht="18.75">
      <c r="A30" s="4"/>
      <c r="B30" s="16" t="s">
        <v>5</v>
      </c>
    </row>
    <row r="31" spans="1:2" s="9" customFormat="1" ht="15">
      <c r="A31" s="34"/>
      <c r="B31" s="1"/>
    </row>
    <row r="32" spans="1:3" s="1" customFormat="1" ht="15">
      <c r="A32" s="4"/>
      <c r="B32" s="13" t="s">
        <v>11</v>
      </c>
      <c r="C32" s="9">
        <v>-3299.420000000013</v>
      </c>
    </row>
    <row r="33" spans="1:3" s="1" customFormat="1" ht="15">
      <c r="A33" s="4"/>
      <c r="B33" s="13" t="s">
        <v>7</v>
      </c>
      <c r="C33" s="9">
        <v>172878.3</v>
      </c>
    </row>
    <row r="34" spans="1:3" s="1" customFormat="1" ht="15">
      <c r="A34" s="44"/>
      <c r="B34" s="41" t="s">
        <v>12</v>
      </c>
      <c r="C34" s="42">
        <f>C33*1.0271</f>
        <v>177563.30192999996</v>
      </c>
    </row>
    <row r="35" spans="1:3" s="1" customFormat="1" ht="15">
      <c r="A35" s="4"/>
      <c r="B35" s="36" t="s">
        <v>114</v>
      </c>
      <c r="C35" s="9">
        <v>26160.81</v>
      </c>
    </row>
    <row r="36" spans="1:3" s="1" customFormat="1" ht="30">
      <c r="A36" s="2" t="s">
        <v>0</v>
      </c>
      <c r="B36" s="2" t="s">
        <v>8</v>
      </c>
      <c r="C36" s="8" t="s">
        <v>9</v>
      </c>
    </row>
    <row r="37" spans="1:3" s="1" customFormat="1" ht="18.75" customHeight="1">
      <c r="A37" s="2">
        <v>1</v>
      </c>
      <c r="B37" s="5"/>
      <c r="C37" s="6"/>
    </row>
    <row r="38" spans="1:3" s="1" customFormat="1" ht="18.75" customHeight="1">
      <c r="A38" s="2">
        <v>2</v>
      </c>
      <c r="B38" s="5"/>
      <c r="C38" s="6"/>
    </row>
    <row r="39" spans="1:3" s="1" customFormat="1" ht="15">
      <c r="A39" s="2"/>
      <c r="B39" s="7" t="s">
        <v>1</v>
      </c>
      <c r="C39" s="6">
        <f>SUM(C37:C38)</f>
        <v>0</v>
      </c>
    </row>
    <row r="40" spans="1:3" s="1" customFormat="1" ht="15">
      <c r="A40" s="2"/>
      <c r="B40" s="7" t="s">
        <v>10</v>
      </c>
      <c r="C40" s="48">
        <f>C32+C34-C35</f>
        <v>148103.07192999995</v>
      </c>
    </row>
    <row r="41" s="1" customFormat="1" ht="15">
      <c r="A41" s="4"/>
    </row>
    <row r="42" spans="1:3" s="1" customFormat="1" ht="15">
      <c r="A42" s="4"/>
      <c r="B42" s="9" t="s">
        <v>13</v>
      </c>
      <c r="C42" s="9">
        <v>334506.01</v>
      </c>
    </row>
    <row r="43" spans="1:3" s="1" customFormat="1" ht="15">
      <c r="A43" s="4"/>
      <c r="B43" s="16" t="s">
        <v>227</v>
      </c>
      <c r="C43" s="9">
        <v>219482.33</v>
      </c>
    </row>
    <row r="44" spans="1:3" s="1" customFormat="1" ht="15">
      <c r="A44" s="4"/>
      <c r="B44" s="16" t="s">
        <v>232</v>
      </c>
      <c r="C44" s="9">
        <v>115023.68</v>
      </c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79" t="s">
        <v>14</v>
      </c>
      <c r="B47" s="80"/>
      <c r="C47" s="80"/>
    </row>
    <row r="48" spans="1:3" s="1" customFormat="1" ht="15">
      <c r="A48" s="4"/>
      <c r="B48" s="9"/>
      <c r="C48" s="9"/>
    </row>
    <row r="49" spans="1:3" s="1" customFormat="1" ht="15">
      <c r="A49" s="4"/>
      <c r="B49" s="30" t="s">
        <v>15</v>
      </c>
      <c r="C49" s="9"/>
    </row>
    <row r="50" spans="1:3" s="1" customFormat="1" ht="15">
      <c r="A50" s="4"/>
      <c r="B50" s="30"/>
      <c r="C50" s="9"/>
    </row>
    <row r="51" spans="1:3" s="1" customFormat="1" ht="15">
      <c r="A51" s="4"/>
      <c r="B51" s="30" t="s">
        <v>236</v>
      </c>
      <c r="C51" s="9">
        <f>5842.9*3.02*12+C27</f>
        <v>287809.24799999996</v>
      </c>
    </row>
    <row r="52" spans="1:3" s="1" customFormat="1" ht="15">
      <c r="A52" s="4"/>
      <c r="B52" s="30" t="s">
        <v>240</v>
      </c>
      <c r="C52" s="50">
        <f>C40</f>
        <v>148103.07192999995</v>
      </c>
    </row>
    <row r="53" spans="1:3" s="1" customFormat="1" ht="15">
      <c r="A53" s="4"/>
      <c r="B53" s="30"/>
      <c r="C53" s="9"/>
    </row>
    <row r="54" spans="1:3" s="1" customFormat="1" ht="15">
      <c r="A54" s="4"/>
      <c r="B54" s="30"/>
      <c r="C54" s="9"/>
    </row>
    <row r="55" spans="1:3" s="1" customFormat="1" ht="15">
      <c r="A55" s="6">
        <v>1</v>
      </c>
      <c r="B55" s="43" t="s">
        <v>263</v>
      </c>
      <c r="C55" s="43" t="s">
        <v>116</v>
      </c>
    </row>
    <row r="56" spans="1:3" s="1" customFormat="1" ht="15">
      <c r="A56" s="6">
        <v>2</v>
      </c>
      <c r="B56" s="43" t="s">
        <v>115</v>
      </c>
      <c r="C56" s="43" t="s">
        <v>118</v>
      </c>
    </row>
    <row r="57" spans="1:3" s="1" customFormat="1" ht="15">
      <c r="A57" s="6">
        <v>3</v>
      </c>
      <c r="B57" s="43" t="s">
        <v>117</v>
      </c>
      <c r="C57" s="43" t="s">
        <v>119</v>
      </c>
    </row>
    <row r="58" spans="1:3" s="1" customFormat="1" ht="15">
      <c r="A58" s="6">
        <v>4</v>
      </c>
      <c r="B58" s="43" t="s">
        <v>55</v>
      </c>
      <c r="C58" s="43" t="s">
        <v>59</v>
      </c>
    </row>
    <row r="59" spans="1:3" s="1" customFormat="1" ht="15">
      <c r="A59" s="6">
        <v>5</v>
      </c>
      <c r="B59" s="43" t="s">
        <v>120</v>
      </c>
      <c r="C59" s="43" t="s">
        <v>121</v>
      </c>
    </row>
    <row r="60" spans="1:3" s="1" customFormat="1" ht="15">
      <c r="A60" s="6">
        <v>6</v>
      </c>
      <c r="B60" s="43" t="s">
        <v>238</v>
      </c>
      <c r="C60" s="43" t="s">
        <v>250</v>
      </c>
    </row>
    <row r="61" spans="1:3" s="1" customFormat="1" ht="15">
      <c r="A61" s="6"/>
      <c r="B61" s="43" t="s">
        <v>239</v>
      </c>
      <c r="C61" s="43"/>
    </row>
    <row r="62" spans="1:3" s="1" customFormat="1" ht="15">
      <c r="A62" s="49"/>
      <c r="B62" s="16"/>
      <c r="C62" s="16"/>
    </row>
    <row r="63" spans="1:3" s="1" customFormat="1" ht="15">
      <c r="A63" s="49"/>
      <c r="B63" s="16"/>
      <c r="C63" s="16"/>
    </row>
    <row r="64" spans="1:3" s="1" customFormat="1" ht="15">
      <c r="A64" s="49"/>
      <c r="B64" s="16"/>
      <c r="C64" s="16"/>
    </row>
    <row r="65" spans="1:3" s="1" customFormat="1" ht="15">
      <c r="A65" s="49"/>
      <c r="B65" s="16"/>
      <c r="C65" s="16"/>
    </row>
    <row r="66" spans="1:3" s="1" customFormat="1" ht="15">
      <c r="A66" s="35"/>
      <c r="B66" s="16"/>
      <c r="C66" s="16"/>
    </row>
    <row r="67" s="1" customFormat="1" ht="15">
      <c r="A67" s="4"/>
    </row>
    <row r="68" spans="1:3" s="1" customFormat="1" ht="15">
      <c r="A68" s="77" t="s">
        <v>14</v>
      </c>
      <c r="B68" s="78"/>
      <c r="C68" s="78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pans="1:2" s="1" customFormat="1" ht="15">
      <c r="A94" s="4"/>
      <c r="B94"/>
    </row>
  </sheetData>
  <sheetProtection/>
  <mergeCells count="3">
    <mergeCell ref="A1:B1"/>
    <mergeCell ref="A68:C68"/>
    <mergeCell ref="A47:C47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21">
      <selection activeCell="C26" sqref="C26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122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134506.87</v>
      </c>
    </row>
    <row r="8" spans="2:5" ht="15">
      <c r="B8" s="13" t="s">
        <v>7</v>
      </c>
      <c r="C8" s="31">
        <f>2169.8*2.73*6+2169.8*3.15*6</f>
        <v>76550.544</v>
      </c>
      <c r="E8" s="23"/>
    </row>
    <row r="9" spans="2:5" ht="15">
      <c r="B9" s="13" t="s">
        <v>12</v>
      </c>
      <c r="C9" s="31">
        <f>C8*0.9915</f>
        <v>75899.864376</v>
      </c>
      <c r="E9" s="23"/>
    </row>
    <row r="10" spans="2:5" ht="15">
      <c r="B10" s="13" t="s">
        <v>18</v>
      </c>
      <c r="C10" s="31">
        <v>4146.96</v>
      </c>
      <c r="E10" s="23"/>
    </row>
    <row r="11" spans="2:3" ht="15">
      <c r="B11" s="29" t="s">
        <v>19</v>
      </c>
      <c r="C11" s="33">
        <v>720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123</v>
      </c>
      <c r="C13" s="2">
        <v>3858.69</v>
      </c>
    </row>
    <row r="14" spans="1:3" s="1" customFormat="1" ht="15">
      <c r="A14" s="2">
        <v>2</v>
      </c>
      <c r="B14" s="5" t="s">
        <v>124</v>
      </c>
      <c r="C14" s="2">
        <v>283.2</v>
      </c>
    </row>
    <row r="15" spans="1:3" s="1" customFormat="1" ht="15">
      <c r="A15" s="2">
        <v>3</v>
      </c>
      <c r="B15" s="5" t="s">
        <v>125</v>
      </c>
      <c r="C15" s="2">
        <v>325.89</v>
      </c>
    </row>
    <row r="16" spans="1:3" s="1" customFormat="1" ht="15">
      <c r="A16" s="2">
        <v>4</v>
      </c>
      <c r="B16" s="5" t="s">
        <v>126</v>
      </c>
      <c r="C16" s="2">
        <v>1325.69</v>
      </c>
    </row>
    <row r="17" spans="1:3" s="1" customFormat="1" ht="15">
      <c r="A17" s="2">
        <v>5</v>
      </c>
      <c r="B17" s="5" t="s">
        <v>127</v>
      </c>
      <c r="C17" s="2">
        <v>3056.2</v>
      </c>
    </row>
    <row r="18" spans="1:3" s="1" customFormat="1" ht="15">
      <c r="A18" s="2">
        <v>6</v>
      </c>
      <c r="B18" s="5" t="s">
        <v>28</v>
      </c>
      <c r="C18" s="2">
        <v>2929.14</v>
      </c>
    </row>
    <row r="19" spans="1:3" s="1" customFormat="1" ht="15">
      <c r="A19" s="2">
        <v>7</v>
      </c>
      <c r="B19" s="5" t="s">
        <v>128</v>
      </c>
      <c r="C19" s="2">
        <v>11980</v>
      </c>
    </row>
    <row r="20" spans="1:3" s="1" customFormat="1" ht="15">
      <c r="A20" s="2">
        <v>8</v>
      </c>
      <c r="B20" s="5" t="s">
        <v>129</v>
      </c>
      <c r="C20" s="2">
        <v>1461.08</v>
      </c>
    </row>
    <row r="21" spans="1:3" s="1" customFormat="1" ht="15">
      <c r="A21" s="2">
        <v>9</v>
      </c>
      <c r="B21" s="5" t="s">
        <v>130</v>
      </c>
      <c r="C21" s="2">
        <v>23024.07</v>
      </c>
    </row>
    <row r="22" spans="1:3" s="1" customFormat="1" ht="15">
      <c r="A22" s="2">
        <v>10</v>
      </c>
      <c r="B22" s="5" t="s">
        <v>264</v>
      </c>
      <c r="C22" s="2">
        <v>6053</v>
      </c>
    </row>
    <row r="23" spans="1:3" s="1" customFormat="1" ht="23.25" customHeight="1">
      <c r="A23" s="2">
        <v>11</v>
      </c>
      <c r="B23" s="5" t="s">
        <v>131</v>
      </c>
      <c r="C23" s="2">
        <v>441.32</v>
      </c>
    </row>
    <row r="24" spans="1:3" s="1" customFormat="1" ht="15">
      <c r="A24" s="2">
        <v>12</v>
      </c>
      <c r="B24" s="5" t="s">
        <v>132</v>
      </c>
      <c r="C24" s="2">
        <v>535.8</v>
      </c>
    </row>
    <row r="25" spans="1:3" s="1" customFormat="1" ht="15">
      <c r="A25" s="2"/>
      <c r="B25" s="7" t="s">
        <v>1</v>
      </c>
      <c r="C25" s="6">
        <f>SUM(C13:C24)</f>
        <v>55274.08</v>
      </c>
    </row>
    <row r="26" spans="1:3" s="9" customFormat="1" ht="15">
      <c r="A26" s="6"/>
      <c r="B26" s="14" t="s">
        <v>10</v>
      </c>
      <c r="C26" s="27">
        <f>C7+C8+C10+C11-C25</f>
        <v>160650.294</v>
      </c>
    </row>
    <row r="27" spans="1:3" s="9" customFormat="1" ht="30">
      <c r="A27" s="6"/>
      <c r="B27" s="43" t="s">
        <v>225</v>
      </c>
      <c r="C27" s="27">
        <f>C26+C39</f>
        <v>167683.37234</v>
      </c>
    </row>
    <row r="28" s="1" customFormat="1" ht="15">
      <c r="A28" s="4"/>
    </row>
    <row r="29" spans="1:2" s="1" customFormat="1" ht="18.75">
      <c r="A29" s="4"/>
      <c r="B29" s="16" t="s">
        <v>5</v>
      </c>
    </row>
    <row r="30" spans="1:2" s="9" customFormat="1" ht="15">
      <c r="A30" s="37"/>
      <c r="B30" s="1"/>
    </row>
    <row r="31" spans="1:3" s="1" customFormat="1" ht="15">
      <c r="A31" s="4"/>
      <c r="B31" s="13" t="s">
        <v>11</v>
      </c>
      <c r="C31" s="9">
        <v>46524.719999999994</v>
      </c>
    </row>
    <row r="32" spans="1:3" s="1" customFormat="1" ht="15">
      <c r="A32" s="4"/>
      <c r="B32" s="13" t="s">
        <v>7</v>
      </c>
      <c r="C32" s="1">
        <v>59871.96</v>
      </c>
    </row>
    <row r="33" spans="1:3" s="1" customFormat="1" ht="15">
      <c r="A33" s="44"/>
      <c r="B33" s="41" t="s">
        <v>12</v>
      </c>
      <c r="C33" s="47">
        <f>C32*0.9915</f>
        <v>59363.04834</v>
      </c>
    </row>
    <row r="34" spans="1:3" s="1" customFormat="1" ht="30">
      <c r="A34" s="2" t="s">
        <v>0</v>
      </c>
      <c r="B34" s="2" t="s">
        <v>8</v>
      </c>
      <c r="C34" s="8" t="s">
        <v>9</v>
      </c>
    </row>
    <row r="35" spans="1:3" s="1" customFormat="1" ht="18.75" customHeight="1">
      <c r="A35" s="2">
        <v>1</v>
      </c>
      <c r="B35" s="5" t="s">
        <v>133</v>
      </c>
      <c r="C35" s="6">
        <v>23444.24</v>
      </c>
    </row>
    <row r="36" spans="1:3" s="1" customFormat="1" ht="18.75" customHeight="1">
      <c r="A36" s="2">
        <v>2</v>
      </c>
      <c r="B36" s="5" t="s">
        <v>134</v>
      </c>
      <c r="C36" s="6">
        <v>42057.45</v>
      </c>
    </row>
    <row r="37" spans="1:3" s="1" customFormat="1" ht="18.75" customHeight="1">
      <c r="A37" s="2">
        <v>3</v>
      </c>
      <c r="B37" s="5" t="s">
        <v>135</v>
      </c>
      <c r="C37" s="6">
        <v>33353</v>
      </c>
    </row>
    <row r="38" spans="1:3" s="1" customFormat="1" ht="15">
      <c r="A38" s="2"/>
      <c r="B38" s="7" t="s">
        <v>1</v>
      </c>
      <c r="C38" s="6">
        <f>SUM(C35:C37)</f>
        <v>98854.69</v>
      </c>
    </row>
    <row r="39" spans="1:3" s="1" customFormat="1" ht="15">
      <c r="A39" s="2"/>
      <c r="B39" s="7" t="s">
        <v>10</v>
      </c>
      <c r="C39" s="27">
        <f>C31+C33-C38</f>
        <v>7033.078339999993</v>
      </c>
    </row>
    <row r="40" s="1" customFormat="1" ht="15">
      <c r="A40" s="4"/>
    </row>
    <row r="41" spans="1:3" s="1" customFormat="1" ht="15">
      <c r="A41" s="4"/>
      <c r="B41" s="9" t="s">
        <v>13</v>
      </c>
      <c r="C41" s="9">
        <v>95953.28</v>
      </c>
    </row>
    <row r="42" spans="1:3" s="1" customFormat="1" ht="15">
      <c r="A42" s="4"/>
      <c r="B42" s="16" t="s">
        <v>227</v>
      </c>
      <c r="C42" s="9">
        <v>70217.83</v>
      </c>
    </row>
    <row r="43" spans="1:3" s="1" customFormat="1" ht="15">
      <c r="A43" s="4"/>
      <c r="B43" s="16" t="s">
        <v>232</v>
      </c>
      <c r="C43" s="9">
        <v>25735.45</v>
      </c>
    </row>
    <row r="44" spans="1:3" s="1" customFormat="1" ht="15">
      <c r="A44" s="4"/>
      <c r="B44" s="16"/>
      <c r="C44" s="9"/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4"/>
      <c r="B47" s="16"/>
      <c r="C47" s="9"/>
    </row>
    <row r="48" spans="1:3" s="1" customFormat="1" ht="15">
      <c r="A48" s="4"/>
      <c r="B48" s="16"/>
      <c r="C48" s="9"/>
    </row>
    <row r="49" spans="1:3" s="1" customFormat="1" ht="15">
      <c r="A49" s="79" t="s">
        <v>14</v>
      </c>
      <c r="B49" s="80"/>
      <c r="C49" s="80"/>
    </row>
    <row r="50" spans="1:3" s="1" customFormat="1" ht="15">
      <c r="A50" s="4"/>
      <c r="B50" s="16"/>
      <c r="C50" s="9"/>
    </row>
    <row r="51" spans="1:3" s="1" customFormat="1" ht="15">
      <c r="A51" s="4"/>
      <c r="B51" s="9"/>
      <c r="C51" s="9"/>
    </row>
    <row r="52" spans="1:3" s="1" customFormat="1" ht="15">
      <c r="A52" s="4"/>
      <c r="B52" s="30" t="s">
        <v>15</v>
      </c>
      <c r="C52" s="9"/>
    </row>
    <row r="53" spans="1:3" s="1" customFormat="1" ht="15">
      <c r="A53" s="4"/>
      <c r="B53" s="30"/>
      <c r="C53" s="9"/>
    </row>
    <row r="54" spans="1:3" s="1" customFormat="1" ht="15">
      <c r="A54" s="4"/>
      <c r="B54" s="30" t="s">
        <v>236</v>
      </c>
      <c r="C54" s="50">
        <f>2169.8*3.15*12+C27</f>
        <v>249701.81234</v>
      </c>
    </row>
    <row r="55" spans="1:3" s="1" customFormat="1" ht="15">
      <c r="A55" s="4"/>
      <c r="B55" s="30"/>
      <c r="C55" s="9"/>
    </row>
    <row r="56" spans="1:3" s="1" customFormat="1" ht="15">
      <c r="A56" s="6">
        <v>1</v>
      </c>
      <c r="B56" s="43" t="s">
        <v>137</v>
      </c>
      <c r="C56" s="43" t="s">
        <v>136</v>
      </c>
    </row>
    <row r="57" spans="1:3" s="1" customFormat="1" ht="15">
      <c r="A57" s="6">
        <v>2</v>
      </c>
      <c r="B57" s="43" t="s">
        <v>34</v>
      </c>
      <c r="C57" s="43" t="s">
        <v>98</v>
      </c>
    </row>
    <row r="58" spans="1:3" s="1" customFormat="1" ht="15">
      <c r="A58" s="6">
        <v>3</v>
      </c>
      <c r="B58" s="43" t="s">
        <v>138</v>
      </c>
      <c r="C58" s="43" t="s">
        <v>100</v>
      </c>
    </row>
    <row r="59" spans="1:3" s="1" customFormat="1" ht="30">
      <c r="A59" s="6">
        <v>4</v>
      </c>
      <c r="B59" s="43" t="s">
        <v>139</v>
      </c>
      <c r="C59" s="43" t="s">
        <v>265</v>
      </c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pans="1:3" s="1" customFormat="1" ht="15">
      <c r="A70" s="77" t="s">
        <v>14</v>
      </c>
      <c r="B70" s="78"/>
      <c r="C70" s="78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pans="1:2" s="1" customFormat="1" ht="15">
      <c r="A96" s="4"/>
      <c r="B96"/>
    </row>
  </sheetData>
  <sheetProtection/>
  <mergeCells count="3">
    <mergeCell ref="A1:B1"/>
    <mergeCell ref="A70:C70"/>
    <mergeCell ref="A49:C49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0">
      <selection activeCell="E37" sqref="E37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140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49340.63000000003</v>
      </c>
    </row>
    <row r="8" spans="2:5" ht="15">
      <c r="B8" s="13" t="s">
        <v>7</v>
      </c>
      <c r="C8" s="31">
        <f>4260.1*3.07*6+4260.1*4.17*6</f>
        <v>185058.744</v>
      </c>
      <c r="E8" s="23"/>
    </row>
    <row r="9" spans="2:5" ht="15">
      <c r="B9" s="13" t="s">
        <v>12</v>
      </c>
      <c r="C9" s="31">
        <f>C8*1.034</f>
        <v>191350.74129600002</v>
      </c>
      <c r="E9" s="23"/>
    </row>
    <row r="10" spans="2:5" ht="15">
      <c r="B10" s="13" t="s">
        <v>18</v>
      </c>
      <c r="C10" s="31">
        <v>4146.96</v>
      </c>
      <c r="E10" s="23"/>
    </row>
    <row r="11" spans="2:3" ht="15">
      <c r="B11" s="29" t="s">
        <v>19</v>
      </c>
      <c r="C11" s="33">
        <v>4451.43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141</v>
      </c>
      <c r="C13" s="2">
        <v>3939.52</v>
      </c>
    </row>
    <row r="14" spans="1:3" s="1" customFormat="1" ht="15">
      <c r="A14" s="2">
        <v>2</v>
      </c>
      <c r="B14" s="5" t="s">
        <v>266</v>
      </c>
      <c r="C14" s="2">
        <v>4831.71</v>
      </c>
    </row>
    <row r="15" spans="1:3" s="1" customFormat="1" ht="15">
      <c r="A15" s="2">
        <v>3</v>
      </c>
      <c r="B15" s="5" t="s">
        <v>142</v>
      </c>
      <c r="C15" s="2">
        <v>568.76</v>
      </c>
    </row>
    <row r="16" spans="1:3" s="1" customFormat="1" ht="15">
      <c r="A16" s="2">
        <v>4</v>
      </c>
      <c r="B16" s="5" t="s">
        <v>143</v>
      </c>
      <c r="C16" s="2">
        <v>87.32</v>
      </c>
    </row>
    <row r="17" spans="1:3" s="1" customFormat="1" ht="15">
      <c r="A17" s="2">
        <v>5</v>
      </c>
      <c r="B17" s="5" t="s">
        <v>144</v>
      </c>
      <c r="C17" s="2">
        <v>292.2</v>
      </c>
    </row>
    <row r="18" spans="1:3" s="1" customFormat="1" ht="15">
      <c r="A18" s="2">
        <v>6</v>
      </c>
      <c r="B18" s="5" t="s">
        <v>145</v>
      </c>
      <c r="C18" s="2">
        <v>716.79</v>
      </c>
    </row>
    <row r="19" spans="1:3" s="1" customFormat="1" ht="15">
      <c r="A19" s="2">
        <v>7</v>
      </c>
      <c r="B19" s="5" t="s">
        <v>48</v>
      </c>
      <c r="C19" s="2">
        <f>618.91+476.14</f>
        <v>1095.05</v>
      </c>
    </row>
    <row r="20" spans="1:3" s="1" customFormat="1" ht="15">
      <c r="A20" s="2">
        <v>8</v>
      </c>
      <c r="B20" s="5" t="s">
        <v>267</v>
      </c>
      <c r="C20" s="2">
        <v>43903</v>
      </c>
    </row>
    <row r="21" spans="1:3" s="1" customFormat="1" ht="15">
      <c r="A21" s="2">
        <v>9</v>
      </c>
      <c r="B21" s="5" t="s">
        <v>146</v>
      </c>
      <c r="C21" s="2">
        <v>876.67</v>
      </c>
    </row>
    <row r="22" spans="1:3" s="1" customFormat="1" ht="23.25" customHeight="1">
      <c r="A22" s="2">
        <v>10</v>
      </c>
      <c r="B22" s="5" t="s">
        <v>147</v>
      </c>
      <c r="C22" s="2">
        <v>305.62</v>
      </c>
    </row>
    <row r="23" spans="1:3" s="1" customFormat="1" ht="15">
      <c r="A23" s="2">
        <v>11</v>
      </c>
      <c r="B23" s="5" t="s">
        <v>148</v>
      </c>
      <c r="C23" s="2">
        <v>2337.66</v>
      </c>
    </row>
    <row r="24" spans="1:3" s="1" customFormat="1" ht="15">
      <c r="A24" s="2"/>
      <c r="B24" s="7" t="s">
        <v>1</v>
      </c>
      <c r="C24" s="6">
        <f>SUM(C13:C23)</f>
        <v>58954.3</v>
      </c>
    </row>
    <row r="25" spans="1:3" s="9" customFormat="1" ht="15">
      <c r="A25" s="6"/>
      <c r="B25" s="14" t="s">
        <v>10</v>
      </c>
      <c r="C25" s="27">
        <f>C7+C8+C10+C11-C24</f>
        <v>184043.46400000004</v>
      </c>
    </row>
    <row r="26" spans="1:3" s="9" customFormat="1" ht="30">
      <c r="A26" s="6"/>
      <c r="B26" s="43" t="s">
        <v>225</v>
      </c>
      <c r="C26" s="27">
        <f>C25+C36</f>
        <v>196546.42664000005</v>
      </c>
    </row>
    <row r="27" s="1" customFormat="1" ht="15">
      <c r="A27" s="4"/>
    </row>
    <row r="28" spans="1:2" s="1" customFormat="1" ht="18.75">
      <c r="A28" s="4"/>
      <c r="B28" s="16" t="s">
        <v>5</v>
      </c>
    </row>
    <row r="29" spans="1:2" s="9" customFormat="1" ht="15">
      <c r="A29" s="37"/>
      <c r="B29" s="1"/>
    </row>
    <row r="30" spans="1:3" s="1" customFormat="1" ht="15">
      <c r="A30" s="4"/>
      <c r="B30" s="13" t="s">
        <v>11</v>
      </c>
      <c r="C30" s="9">
        <v>-99992.06</v>
      </c>
    </row>
    <row r="31" spans="1:3" s="1" customFormat="1" ht="15">
      <c r="A31" s="4"/>
      <c r="B31" s="13" t="s">
        <v>7</v>
      </c>
      <c r="C31" s="9">
        <v>108795.96</v>
      </c>
    </row>
    <row r="32" spans="1:3" s="1" customFormat="1" ht="15">
      <c r="A32" s="4"/>
      <c r="B32" s="41" t="s">
        <v>12</v>
      </c>
      <c r="C32" s="42">
        <f>C31*1.034</f>
        <v>112495.02264000001</v>
      </c>
    </row>
    <row r="33" spans="1:3" s="1" customFormat="1" ht="30">
      <c r="A33" s="2" t="s">
        <v>0</v>
      </c>
      <c r="B33" s="2" t="s">
        <v>8</v>
      </c>
      <c r="C33" s="8" t="s">
        <v>9</v>
      </c>
    </row>
    <row r="34" spans="1:3" s="1" customFormat="1" ht="18.75" customHeight="1">
      <c r="A34" s="2">
        <v>1</v>
      </c>
      <c r="B34" s="5"/>
      <c r="C34" s="6">
        <v>0</v>
      </c>
    </row>
    <row r="35" spans="1:3" s="1" customFormat="1" ht="15">
      <c r="A35" s="2"/>
      <c r="B35" s="7" t="s">
        <v>1</v>
      </c>
      <c r="C35" s="6">
        <f>SUM(C34:C34)</f>
        <v>0</v>
      </c>
    </row>
    <row r="36" spans="1:3" s="1" customFormat="1" ht="15">
      <c r="A36" s="2"/>
      <c r="B36" s="7" t="s">
        <v>10</v>
      </c>
      <c r="C36" s="27">
        <f>C30+C32</f>
        <v>12502.962640000012</v>
      </c>
    </row>
    <row r="37" s="1" customFormat="1" ht="15">
      <c r="A37" s="4"/>
    </row>
    <row r="38" spans="1:3" s="1" customFormat="1" ht="15">
      <c r="A38" s="4"/>
      <c r="B38" s="9" t="s">
        <v>13</v>
      </c>
      <c r="C38" s="9">
        <v>177204.56</v>
      </c>
    </row>
    <row r="39" spans="1:3" s="1" customFormat="1" ht="15">
      <c r="A39" s="4"/>
      <c r="B39" s="16" t="s">
        <v>229</v>
      </c>
      <c r="C39" s="9">
        <v>112028.45</v>
      </c>
    </row>
    <row r="40" spans="1:3" s="1" customFormat="1" ht="15">
      <c r="A40" s="4"/>
      <c r="B40" s="16" t="s">
        <v>232</v>
      </c>
      <c r="C40" s="9">
        <v>65176.11</v>
      </c>
    </row>
    <row r="41" spans="1:3" s="1" customFormat="1" ht="15">
      <c r="A41" s="4"/>
      <c r="B41" s="16"/>
      <c r="C41" s="9"/>
    </row>
    <row r="42" spans="1:3" s="1" customFormat="1" ht="15">
      <c r="A42" s="4"/>
      <c r="B42" s="16"/>
      <c r="C42" s="9"/>
    </row>
    <row r="43" spans="1:3" s="1" customFormat="1" ht="15">
      <c r="A43" s="4"/>
      <c r="B43" s="16"/>
      <c r="C43" s="9"/>
    </row>
    <row r="44" spans="1:3" s="1" customFormat="1" ht="15">
      <c r="A44" s="4"/>
      <c r="B44" s="16"/>
      <c r="C44" s="9"/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4"/>
      <c r="B47" s="16"/>
      <c r="C47" s="9"/>
    </row>
    <row r="48" spans="1:3" s="1" customFormat="1" ht="15">
      <c r="A48" s="79" t="s">
        <v>14</v>
      </c>
      <c r="B48" s="80"/>
      <c r="C48" s="80"/>
    </row>
    <row r="49" spans="1:3" s="1" customFormat="1" ht="15">
      <c r="A49" s="68"/>
      <c r="B49" s="69"/>
      <c r="C49" s="69"/>
    </row>
    <row r="50" spans="1:3" s="1" customFormat="1" ht="15">
      <c r="A50" s="68"/>
      <c r="B50" s="69"/>
      <c r="C50" s="69"/>
    </row>
    <row r="51" spans="1:3" s="1" customFormat="1" ht="15">
      <c r="A51" s="4"/>
      <c r="B51" s="9"/>
      <c r="C51" s="9"/>
    </row>
    <row r="52" spans="1:3" s="1" customFormat="1" ht="15">
      <c r="A52" s="4"/>
      <c r="B52" s="30" t="s">
        <v>15</v>
      </c>
      <c r="C52" s="9"/>
    </row>
    <row r="53" spans="1:3" s="1" customFormat="1" ht="15">
      <c r="A53" s="4"/>
      <c r="B53" s="30"/>
      <c r="C53" s="9"/>
    </row>
    <row r="54" spans="1:3" s="1" customFormat="1" ht="15">
      <c r="A54" s="4"/>
      <c r="B54" s="30" t="s">
        <v>236</v>
      </c>
      <c r="C54" s="50">
        <f>4260.1*4.17*12+C26</f>
        <v>409721.83064000006</v>
      </c>
    </row>
    <row r="55" spans="1:3" s="1" customFormat="1" ht="15">
      <c r="A55" s="4"/>
      <c r="B55" s="30"/>
      <c r="C55" s="9"/>
    </row>
    <row r="56" spans="1:3" s="1" customFormat="1" ht="15">
      <c r="A56" s="4"/>
      <c r="B56" s="30"/>
      <c r="C56" s="9"/>
    </row>
    <row r="57" spans="1:3" s="1" customFormat="1" ht="15">
      <c r="A57" s="6">
        <v>1</v>
      </c>
      <c r="B57" s="43" t="s">
        <v>34</v>
      </c>
      <c r="C57" s="43" t="s">
        <v>98</v>
      </c>
    </row>
    <row r="58" spans="1:3" s="1" customFormat="1" ht="15">
      <c r="A58" s="6">
        <v>2</v>
      </c>
      <c r="B58" s="43" t="s">
        <v>149</v>
      </c>
      <c r="C58" s="43" t="s">
        <v>59</v>
      </c>
    </row>
    <row r="59" spans="1:3" s="1" customFormat="1" ht="15">
      <c r="A59" s="6">
        <v>3</v>
      </c>
      <c r="B59" s="43" t="s">
        <v>268</v>
      </c>
      <c r="C59" s="43" t="s">
        <v>36</v>
      </c>
    </row>
    <row r="60" spans="1:3" s="1" customFormat="1" ht="15">
      <c r="A60" s="6">
        <v>4</v>
      </c>
      <c r="B60" s="43" t="s">
        <v>150</v>
      </c>
      <c r="C60" s="43" t="s">
        <v>151</v>
      </c>
    </row>
    <row r="61" spans="1:4" s="1" customFormat="1" ht="15">
      <c r="A61" s="74">
        <v>5</v>
      </c>
      <c r="B61" s="70" t="s">
        <v>238</v>
      </c>
      <c r="C61" s="72" t="s">
        <v>282</v>
      </c>
      <c r="D61" s="65"/>
    </row>
    <row r="62" spans="1:4" s="1" customFormat="1" ht="15">
      <c r="A62" s="75"/>
      <c r="B62" s="71" t="s">
        <v>239</v>
      </c>
      <c r="C62" s="73"/>
      <c r="D62" s="65"/>
    </row>
    <row r="63" spans="1:3" s="1" customFormat="1" ht="15">
      <c r="A63" s="49"/>
      <c r="B63" s="16"/>
      <c r="C63" s="16"/>
    </row>
    <row r="64" spans="1:3" s="1" customFormat="1" ht="15">
      <c r="A64" s="49"/>
      <c r="B64" s="16"/>
      <c r="C64" s="16"/>
    </row>
    <row r="65" spans="1:3" s="1" customFormat="1" ht="15">
      <c r="A65" s="49"/>
      <c r="B65" s="16"/>
      <c r="C65" s="16"/>
    </row>
    <row r="66" spans="1:3" s="1" customFormat="1" ht="15">
      <c r="A66" s="49"/>
      <c r="B66" s="16"/>
      <c r="C66" s="16"/>
    </row>
    <row r="67" spans="1:3" s="1" customFormat="1" ht="15">
      <c r="A67" s="37"/>
      <c r="B67" s="16"/>
      <c r="C67" s="16"/>
    </row>
    <row r="68" s="1" customFormat="1" ht="15">
      <c r="A68" s="4"/>
    </row>
    <row r="69" spans="1:3" s="1" customFormat="1" ht="15">
      <c r="A69" s="77" t="s">
        <v>14</v>
      </c>
      <c r="B69" s="78"/>
      <c r="C69" s="78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pans="1:2" s="1" customFormat="1" ht="15">
      <c r="A95" s="4"/>
      <c r="B95"/>
    </row>
  </sheetData>
  <sheetProtection/>
  <mergeCells count="3">
    <mergeCell ref="A1:B1"/>
    <mergeCell ref="A69:C69"/>
    <mergeCell ref="A48:C48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0">
      <selection activeCell="C54" sqref="C54"/>
    </sheetView>
  </sheetViews>
  <sheetFormatPr defaultColWidth="9.140625" defaultRowHeight="15"/>
  <cols>
    <col min="1" max="1" width="6.140625" style="3" customWidth="1"/>
    <col min="2" max="2" width="71.140625" style="0" customWidth="1"/>
    <col min="3" max="3" width="14.140625" style="0" customWidth="1"/>
  </cols>
  <sheetData>
    <row r="1" spans="1:2" s="17" customFormat="1" ht="15.75">
      <c r="A1" s="76" t="s">
        <v>2</v>
      </c>
      <c r="B1" s="76"/>
    </row>
    <row r="2" spans="1:2" s="17" customFormat="1" ht="15.75">
      <c r="A2" s="18" t="s">
        <v>3</v>
      </c>
      <c r="B2" s="19"/>
    </row>
    <row r="3" spans="1:2" s="17" customFormat="1" ht="15.75">
      <c r="A3" s="18" t="s">
        <v>152</v>
      </c>
      <c r="B3" s="19"/>
    </row>
    <row r="4" spans="1:2" s="17" customFormat="1" ht="15.75">
      <c r="A4" s="20"/>
      <c r="B4" s="21" t="s">
        <v>6</v>
      </c>
    </row>
    <row r="6" spans="1:2" s="12" customFormat="1" ht="18.75">
      <c r="A6" s="11"/>
      <c r="B6" s="15" t="s">
        <v>4</v>
      </c>
    </row>
    <row r="7" spans="2:3" ht="15">
      <c r="B7" s="22" t="s">
        <v>11</v>
      </c>
      <c r="C7" s="12">
        <v>34448.54000000001</v>
      </c>
    </row>
    <row r="8" spans="2:5" ht="15">
      <c r="B8" s="13" t="s">
        <v>7</v>
      </c>
      <c r="C8" s="31">
        <f>4188.2*2.8*6+4188.2*3.62*6</f>
        <v>161329.46399999998</v>
      </c>
      <c r="E8" s="23"/>
    </row>
    <row r="9" spans="2:5" ht="15">
      <c r="B9" s="13" t="s">
        <v>12</v>
      </c>
      <c r="C9" s="31">
        <f>C8*0.9834</f>
        <v>158651.3948976</v>
      </c>
      <c r="E9" s="23"/>
    </row>
    <row r="10" spans="2:5" ht="15">
      <c r="B10" s="13" t="s">
        <v>18</v>
      </c>
      <c r="C10" s="31">
        <v>6354.96</v>
      </c>
      <c r="E10" s="23"/>
    </row>
    <row r="11" spans="2:3" ht="15">
      <c r="B11" s="29" t="s">
        <v>19</v>
      </c>
      <c r="C11" s="33">
        <v>1440</v>
      </c>
    </row>
    <row r="12" spans="1:3" ht="50.25" customHeight="1">
      <c r="A12" s="2" t="s">
        <v>0</v>
      </c>
      <c r="B12" s="2" t="s">
        <v>8</v>
      </c>
      <c r="C12" s="24" t="s">
        <v>9</v>
      </c>
    </row>
    <row r="13" spans="1:3" s="1" customFormat="1" ht="15">
      <c r="A13" s="2">
        <v>1</v>
      </c>
      <c r="B13" s="5" t="s">
        <v>153</v>
      </c>
      <c r="C13" s="2">
        <v>2514.39</v>
      </c>
    </row>
    <row r="14" spans="1:3" s="1" customFormat="1" ht="15">
      <c r="A14" s="2">
        <v>2</v>
      </c>
      <c r="B14" s="5" t="s">
        <v>16</v>
      </c>
      <c r="C14" s="2">
        <v>5440.44</v>
      </c>
    </row>
    <row r="15" spans="1:3" s="1" customFormat="1" ht="15">
      <c r="A15" s="2">
        <v>3</v>
      </c>
      <c r="B15" s="5" t="s">
        <v>154</v>
      </c>
      <c r="C15" s="2">
        <v>4709.99</v>
      </c>
    </row>
    <row r="16" spans="1:3" s="1" customFormat="1" ht="15">
      <c r="A16" s="2">
        <v>4</v>
      </c>
      <c r="B16" s="5" t="s">
        <v>155</v>
      </c>
      <c r="C16" s="2">
        <v>818.92</v>
      </c>
    </row>
    <row r="17" spans="1:3" s="1" customFormat="1" ht="15">
      <c r="A17" s="2"/>
      <c r="B17" s="7" t="s">
        <v>1</v>
      </c>
      <c r="C17" s="6">
        <f>SUM(C13:C16)</f>
        <v>13483.74</v>
      </c>
    </row>
    <row r="18" spans="1:3" s="9" customFormat="1" ht="15">
      <c r="A18" s="6"/>
      <c r="B18" s="14" t="s">
        <v>10</v>
      </c>
      <c r="C18" s="27">
        <f>C7+C8+C10+C11-C17</f>
        <v>190089.224</v>
      </c>
    </row>
    <row r="19" spans="1:3" s="9" customFormat="1" ht="15">
      <c r="A19" s="25"/>
      <c r="B19" s="26"/>
      <c r="C19" s="25"/>
    </row>
    <row r="20" s="1" customFormat="1" ht="15">
      <c r="A20" s="4"/>
    </row>
    <row r="21" spans="1:2" s="1" customFormat="1" ht="18.75">
      <c r="A21" s="4"/>
      <c r="B21" s="16" t="s">
        <v>5</v>
      </c>
    </row>
    <row r="22" spans="1:2" s="9" customFormat="1" ht="15">
      <c r="A22" s="37"/>
      <c r="B22" s="1"/>
    </row>
    <row r="23" spans="1:3" s="1" customFormat="1" ht="15">
      <c r="A23" s="4"/>
      <c r="B23" s="13" t="s">
        <v>11</v>
      </c>
      <c r="C23" s="9">
        <v>2819.699999999997</v>
      </c>
    </row>
    <row r="24" spans="1:3" s="1" customFormat="1" ht="15">
      <c r="A24" s="4"/>
      <c r="B24" s="13" t="s">
        <v>7</v>
      </c>
      <c r="C24" s="9">
        <v>107405.46</v>
      </c>
    </row>
    <row r="25" spans="1:3" s="1" customFormat="1" ht="15">
      <c r="A25" s="4"/>
      <c r="B25" s="41" t="s">
        <v>12</v>
      </c>
      <c r="C25" s="42">
        <f>C24*0.9834</f>
        <v>105622.52936400002</v>
      </c>
    </row>
    <row r="26" spans="1:3" s="1" customFormat="1" ht="30">
      <c r="A26" s="2" t="s">
        <v>0</v>
      </c>
      <c r="B26" s="2" t="s">
        <v>8</v>
      </c>
      <c r="C26" s="8" t="s">
        <v>9</v>
      </c>
    </row>
    <row r="27" spans="1:3" s="1" customFormat="1" ht="18.75" customHeight="1">
      <c r="A27" s="2">
        <v>1</v>
      </c>
      <c r="B27" s="5"/>
      <c r="C27" s="6"/>
    </row>
    <row r="28" spans="1:3" s="1" customFormat="1" ht="18.75" customHeight="1">
      <c r="A28" s="2">
        <v>2</v>
      </c>
      <c r="B28" s="5"/>
      <c r="C28" s="6"/>
    </row>
    <row r="29" spans="1:3" s="1" customFormat="1" ht="18.75" customHeight="1">
      <c r="A29" s="2">
        <v>3</v>
      </c>
      <c r="B29" s="5"/>
      <c r="C29" s="6"/>
    </row>
    <row r="30" spans="1:3" s="1" customFormat="1" ht="15">
      <c r="A30" s="2"/>
      <c r="B30" s="7" t="s">
        <v>1</v>
      </c>
      <c r="C30" s="6">
        <f>SUM(C27:C29)</f>
        <v>0</v>
      </c>
    </row>
    <row r="31" spans="1:3" s="1" customFormat="1" ht="15">
      <c r="A31" s="2"/>
      <c r="B31" s="7" t="s">
        <v>10</v>
      </c>
      <c r="C31" s="27">
        <f>C23+C25</f>
        <v>108442.22936400001</v>
      </c>
    </row>
    <row r="32" s="1" customFormat="1" ht="15">
      <c r="A32" s="4"/>
    </row>
    <row r="33" spans="1:3" s="1" customFormat="1" ht="15">
      <c r="A33" s="4"/>
      <c r="B33" s="9" t="s">
        <v>13</v>
      </c>
      <c r="C33" s="9">
        <v>250309.95</v>
      </c>
    </row>
    <row r="34" spans="1:3" s="1" customFormat="1" ht="15">
      <c r="A34" s="4"/>
      <c r="B34" s="16" t="s">
        <v>227</v>
      </c>
      <c r="C34" s="9">
        <v>169289.77</v>
      </c>
    </row>
    <row r="35" spans="1:3" s="1" customFormat="1" ht="15">
      <c r="A35" s="4"/>
      <c r="B35" s="16" t="s">
        <v>232</v>
      </c>
      <c r="C35" s="9">
        <v>81020.18</v>
      </c>
    </row>
    <row r="36" spans="1:3" s="1" customFormat="1" ht="15">
      <c r="A36" s="4"/>
      <c r="B36" s="16"/>
      <c r="C36" s="9"/>
    </row>
    <row r="37" spans="1:3" s="1" customFormat="1" ht="15">
      <c r="A37" s="4"/>
      <c r="B37" s="16"/>
      <c r="C37" s="9"/>
    </row>
    <row r="38" spans="1:3" s="1" customFormat="1" ht="15">
      <c r="A38" s="4"/>
      <c r="B38" s="16"/>
      <c r="C38" s="9"/>
    </row>
    <row r="39" spans="1:3" s="1" customFormat="1" ht="15">
      <c r="A39" s="4"/>
      <c r="B39" s="16"/>
      <c r="C39" s="9"/>
    </row>
    <row r="40" spans="1:3" s="1" customFormat="1" ht="15">
      <c r="A40" s="4"/>
      <c r="B40" s="16"/>
      <c r="C40" s="9"/>
    </row>
    <row r="41" spans="1:3" s="1" customFormat="1" ht="15">
      <c r="A41" s="4"/>
      <c r="B41" s="16"/>
      <c r="C41" s="9"/>
    </row>
    <row r="42" spans="1:3" s="1" customFormat="1" ht="15">
      <c r="A42" s="4"/>
      <c r="B42" s="16"/>
      <c r="C42" s="9"/>
    </row>
    <row r="43" spans="1:3" s="1" customFormat="1" ht="15">
      <c r="A43" s="4"/>
      <c r="B43" s="16"/>
      <c r="C43" s="9"/>
    </row>
    <row r="44" spans="1:3" s="1" customFormat="1" ht="15">
      <c r="A44" s="4"/>
      <c r="B44" s="16"/>
      <c r="C44" s="9"/>
    </row>
    <row r="45" spans="1:3" s="1" customFormat="1" ht="15">
      <c r="A45" s="4"/>
      <c r="B45" s="16"/>
      <c r="C45" s="9"/>
    </row>
    <row r="46" spans="1:3" s="1" customFormat="1" ht="15">
      <c r="A46" s="4"/>
      <c r="B46" s="16"/>
      <c r="C46" s="9"/>
    </row>
    <row r="47" spans="1:3" s="1" customFormat="1" ht="15">
      <c r="A47" s="79" t="s">
        <v>14</v>
      </c>
      <c r="B47" s="80"/>
      <c r="C47" s="80"/>
    </row>
    <row r="48" spans="1:3" s="1" customFormat="1" ht="15">
      <c r="A48" s="4"/>
      <c r="B48" s="16"/>
      <c r="C48" s="9"/>
    </row>
    <row r="49" spans="1:3" s="1" customFormat="1" ht="15">
      <c r="A49" s="4"/>
      <c r="B49" s="16"/>
      <c r="C49" s="9"/>
    </row>
    <row r="50" spans="1:3" s="1" customFormat="1" ht="15">
      <c r="A50" s="4"/>
      <c r="B50" s="16"/>
      <c r="C50" s="9"/>
    </row>
    <row r="51" spans="1:3" s="1" customFormat="1" ht="15">
      <c r="A51" s="4"/>
      <c r="B51" s="9"/>
      <c r="C51" s="9"/>
    </row>
    <row r="52" spans="1:3" s="1" customFormat="1" ht="15">
      <c r="A52" s="4"/>
      <c r="B52" s="30" t="s">
        <v>15</v>
      </c>
      <c r="C52" s="9"/>
    </row>
    <row r="53" spans="1:3" s="1" customFormat="1" ht="15">
      <c r="A53" s="4"/>
      <c r="B53" s="30"/>
      <c r="C53" s="9"/>
    </row>
    <row r="54" spans="1:3" s="1" customFormat="1" ht="15">
      <c r="A54" s="4"/>
      <c r="B54" s="30" t="s">
        <v>236</v>
      </c>
      <c r="C54" s="9">
        <f>4188.2*3.62*12+C18</f>
        <v>372024.632</v>
      </c>
    </row>
    <row r="55" spans="1:3" s="1" customFormat="1" ht="15">
      <c r="A55" s="4"/>
      <c r="B55" s="30" t="s">
        <v>240</v>
      </c>
      <c r="C55" s="50">
        <f>C31</f>
        <v>108442.22936400001</v>
      </c>
    </row>
    <row r="56" spans="1:3" s="1" customFormat="1" ht="15">
      <c r="A56" s="4"/>
      <c r="B56" s="30"/>
      <c r="C56" s="9"/>
    </row>
    <row r="57" spans="1:3" s="1" customFormat="1" ht="15">
      <c r="A57" s="4"/>
      <c r="B57" s="30"/>
      <c r="C57" s="9"/>
    </row>
    <row r="58" spans="1:3" s="1" customFormat="1" ht="15">
      <c r="A58" s="4"/>
      <c r="B58" s="30"/>
      <c r="C58" s="9"/>
    </row>
    <row r="59" spans="1:3" s="1" customFormat="1" ht="15">
      <c r="A59" s="6">
        <v>1</v>
      </c>
      <c r="B59" s="43" t="s">
        <v>34</v>
      </c>
      <c r="C59" s="43" t="s">
        <v>59</v>
      </c>
    </row>
    <row r="60" spans="1:3" s="1" customFormat="1" ht="15">
      <c r="A60" s="6">
        <v>2</v>
      </c>
      <c r="B60" s="43" t="s">
        <v>102</v>
      </c>
      <c r="C60" s="43" t="s">
        <v>57</v>
      </c>
    </row>
    <row r="61" spans="1:3" s="1" customFormat="1" ht="15">
      <c r="A61" s="6">
        <v>3</v>
      </c>
      <c r="B61" s="43" t="s">
        <v>156</v>
      </c>
      <c r="C61" s="43" t="s">
        <v>271</v>
      </c>
    </row>
    <row r="62" spans="1:3" s="1" customFormat="1" ht="15">
      <c r="A62" s="56">
        <v>4</v>
      </c>
      <c r="B62" s="54" t="s">
        <v>238</v>
      </c>
      <c r="C62" s="60" t="s">
        <v>272</v>
      </c>
    </row>
    <row r="63" spans="1:3" s="1" customFormat="1" ht="15">
      <c r="A63" s="57"/>
      <c r="B63" s="55" t="s">
        <v>239</v>
      </c>
      <c r="C63" s="63"/>
    </row>
    <row r="64" spans="1:3" s="1" customFormat="1" ht="15">
      <c r="A64" s="49"/>
      <c r="B64" s="16"/>
      <c r="C64" s="16"/>
    </row>
    <row r="65" spans="1:3" s="1" customFormat="1" ht="15">
      <c r="A65" s="49"/>
      <c r="B65" s="16"/>
      <c r="C65" s="16"/>
    </row>
    <row r="66" spans="1:3" s="1" customFormat="1" ht="15">
      <c r="A66" s="49"/>
      <c r="B66" s="16"/>
      <c r="C66" s="16"/>
    </row>
    <row r="67" spans="1:3" s="1" customFormat="1" ht="15">
      <c r="A67" s="37"/>
      <c r="B67" s="16"/>
      <c r="C67" s="16"/>
    </row>
    <row r="68" spans="1:3" s="1" customFormat="1" ht="15">
      <c r="A68" s="37"/>
      <c r="B68" s="16"/>
      <c r="C68" s="16"/>
    </row>
    <row r="69" s="1" customFormat="1" ht="15">
      <c r="A69" s="4"/>
    </row>
    <row r="70" spans="1:3" s="1" customFormat="1" ht="15">
      <c r="A70" s="77" t="s">
        <v>14</v>
      </c>
      <c r="B70" s="78"/>
      <c r="C70" s="78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pans="1:2" s="1" customFormat="1" ht="15">
      <c r="A96" s="4"/>
      <c r="B96"/>
    </row>
  </sheetData>
  <sheetProtection/>
  <mergeCells count="3">
    <mergeCell ref="A1:B1"/>
    <mergeCell ref="A70:C70"/>
    <mergeCell ref="A47:C47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Сметчик</cp:lastModifiedBy>
  <cp:lastPrinted>2015-03-31T07:23:42Z</cp:lastPrinted>
  <dcterms:created xsi:type="dcterms:W3CDTF">2015-01-15T12:07:46Z</dcterms:created>
  <dcterms:modified xsi:type="dcterms:W3CDTF">2015-04-01T06:53:43Z</dcterms:modified>
  <cp:category/>
  <cp:version/>
  <cp:contentType/>
  <cp:contentStatus/>
</cp:coreProperties>
</file>