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784" firstSheet="25" activeTab="31"/>
  </bookViews>
  <sheets>
    <sheet name="Пл. 1 Мая 1" sheetId="1" r:id="rId1"/>
    <sheet name="Пл. 1 Мая 2" sheetId="2" r:id="rId2"/>
    <sheet name="Волжская 10" sheetId="3" r:id="rId3"/>
    <sheet name="Гидростроительная 10а " sheetId="4" r:id="rId4"/>
    <sheet name="Гидростроительная 12" sheetId="5" r:id="rId5"/>
    <sheet name="Гидростроительная 14" sheetId="6" r:id="rId6"/>
    <sheet name="Гидростроительная 16" sheetId="7" r:id="rId7"/>
    <sheet name="Гидростроительная 18" sheetId="8" r:id="rId8"/>
    <sheet name="Гидростроительная 20" sheetId="9" r:id="rId9"/>
    <sheet name="Гидростроительная 24" sheetId="10" r:id="rId10"/>
    <sheet name="Гидростроительная 26" sheetId="11" r:id="rId11"/>
    <sheet name="Школьная 1" sheetId="12" r:id="rId12"/>
    <sheet name="Гостиная 2" sheetId="13" r:id="rId13"/>
    <sheet name="Гостиная 9" sheetId="14" r:id="rId14"/>
    <sheet name="Гостиная 11" sheetId="15" r:id="rId15"/>
    <sheet name="Гостиная 13" sheetId="16" r:id="rId16"/>
    <sheet name="Гостиная 15" sheetId="17" r:id="rId17"/>
    <sheet name="Гостиная 18" sheetId="18" r:id="rId18"/>
    <sheet name="Лист1" sheetId="19" r:id="rId19"/>
    <sheet name="Дамбовая 4" sheetId="20" r:id="rId20"/>
    <sheet name="Клубная 1а" sheetId="21" r:id="rId21"/>
    <sheet name="Кржижановского 2" sheetId="22" r:id="rId22"/>
    <sheet name="Кржижановского 3" sheetId="23" r:id="rId23"/>
    <sheet name="Кржижановского 4" sheetId="24" r:id="rId24"/>
    <sheet name="Овражная 2" sheetId="25" r:id="rId25"/>
    <sheet name="Овражная 4" sheetId="26" r:id="rId26"/>
    <sheet name="Овражная 5" sheetId="27" r:id="rId27"/>
    <sheet name="Овражная 9" sheetId="28" r:id="rId28"/>
    <sheet name="пер. Энергетиков 1" sheetId="29" r:id="rId29"/>
    <sheet name="пер. Энергетиков 2" sheetId="30" r:id="rId30"/>
    <sheet name="пер. Энергетиков 3" sheetId="31" r:id="rId31"/>
    <sheet name="пер. Энергетиков 5" sheetId="32" r:id="rId32"/>
    <sheet name="Первомайская 4" sheetId="33" r:id="rId33"/>
    <sheet name="Первомайская 6" sheetId="34" r:id="rId34"/>
    <sheet name="Первомайская 7" sheetId="35" r:id="rId35"/>
    <sheet name="Первомайская 10" sheetId="36" r:id="rId36"/>
    <sheet name="Первомайская 11" sheetId="37" r:id="rId37"/>
    <sheet name="Первомайская 14" sheetId="38" r:id="rId38"/>
    <sheet name="Первомайская 16" sheetId="39" r:id="rId39"/>
    <sheet name="Первомайская 18" sheetId="40" r:id="rId40"/>
    <sheet name="Плотничная 3" sheetId="41" r:id="rId41"/>
    <sheet name="Плотничная 4" sheetId="42" r:id="rId42"/>
    <sheet name="Рабочая 2" sheetId="43" r:id="rId43"/>
    <sheet name="Рабочая 12" sheetId="44" r:id="rId44"/>
    <sheet name="Рабочая 14" sheetId="45" r:id="rId45"/>
    <sheet name="Рабочая 16" sheetId="46" r:id="rId46"/>
    <sheet name="Рабочая 20" sheetId="47" r:id="rId47"/>
    <sheet name="С.Ковалевской 3" sheetId="48" r:id="rId48"/>
    <sheet name="С.Ковалевской 6" sheetId="49" r:id="rId49"/>
    <sheet name="Северная 2" sheetId="50" r:id="rId50"/>
    <sheet name="Северная 3" sheetId="51" r:id="rId51"/>
    <sheet name="Северная 5" sheetId="52" r:id="rId52"/>
    <sheet name="Северная 9" sheetId="53" r:id="rId53"/>
    <sheet name="Семашко 5" sheetId="54" r:id="rId54"/>
    <sheet name="Семашко 9" sheetId="55" r:id="rId55"/>
    <sheet name="Семашко 12" sheetId="56" r:id="rId56"/>
    <sheet name="Семашко 18" sheetId="57" r:id="rId57"/>
    <sheet name="Семашко 20" sheetId="58" r:id="rId58"/>
    <sheet name="Семашко 23" sheetId="59" r:id="rId59"/>
    <sheet name="Семашко 24" sheetId="60" r:id="rId60"/>
    <sheet name="Сеченова 3" sheetId="61" r:id="rId61"/>
    <sheet name="Учительская 25 " sheetId="62" r:id="rId62"/>
    <sheet name="Учительская 28" sheetId="63" r:id="rId63"/>
    <sheet name="Лист14" sheetId="64" r:id="rId64"/>
    <sheet name="Лист16" sheetId="65" r:id="rId65"/>
    <sheet name="Лист17" sheetId="66" r:id="rId66"/>
  </sheets>
  <definedNames>
    <definedName name="Excel_BuiltIn_Print_Area_1_1">#REF!</definedName>
    <definedName name="Excel_BuiltIn_Print_Area_1_1_1">#REF!</definedName>
  </definedNames>
  <calcPr fullCalcOnLoad="1"/>
</workbook>
</file>

<file path=xl/sharedStrings.xml><?xml version="1.0" encoding="utf-8"?>
<sst xmlns="http://schemas.openxmlformats.org/spreadsheetml/2006/main" count="9495" uniqueCount="304">
  <si>
    <t xml:space="preserve"> ОТЧЕТ    </t>
  </si>
  <si>
    <t>УПРАВЛЯЮЩЕЙ ОРГАНИЗАЦИИ ООО «Домоуправляющая компания» О ВЫПОЛНЕНИИ</t>
  </si>
  <si>
    <t>ДОГОВОРА УПРАВЛЕНИЯ МНОГОКВАРТИРНЫМ ДОМОМ</t>
  </si>
  <si>
    <t>ЗА 2015 ГОД</t>
  </si>
  <si>
    <t>Ф2.8 согласно приказа №882/пр. от 22.12.2014г. Министерства строительства и жилищно-коммунального хозяйства РФ</t>
  </si>
  <si>
    <t>Наименование параметра</t>
  </si>
  <si>
    <t>ед. изм.</t>
  </si>
  <si>
    <t>значение</t>
  </si>
  <si>
    <t xml:space="preserve"> Дата заполнения/внесения изменений</t>
  </si>
  <si>
    <t>1 квартал 2016г.</t>
  </si>
  <si>
    <t xml:space="preserve"> Начало отчетного периода</t>
  </si>
  <si>
    <t>01.01.2015г.</t>
  </si>
  <si>
    <t>Дата конца отчетного периода.</t>
  </si>
  <si>
    <t>31.12.2015г.</t>
  </si>
  <si>
    <t>1.'Общая информация о выполняемых работах (оказываемых услугах) по содержанию и текущему ремонту общего имущества</t>
  </si>
  <si>
    <t xml:space="preserve">Переходящие остатки денежных средств (на начало периода) по содержанию и  текущему ремонту </t>
  </si>
  <si>
    <t>руб.</t>
  </si>
  <si>
    <t>переплата потребителями</t>
  </si>
  <si>
    <t>задолженность потребителей</t>
  </si>
  <si>
    <t xml:space="preserve">.'Начислено за работы (услуги) по содержанию и текущему ремонту,в том числе:      </t>
  </si>
  <si>
    <t>за содержание дома</t>
  </si>
  <si>
    <t>за текущий ремонт</t>
  </si>
  <si>
    <t>за услуги управления</t>
  </si>
  <si>
    <t xml:space="preserve"> Получено денежных средств, в т.ч.:    </t>
  </si>
  <si>
    <t>х</t>
  </si>
  <si>
    <t xml:space="preserve"> денежных средств от потребителей</t>
  </si>
  <si>
    <t>целевых взносов от потребителей</t>
  </si>
  <si>
    <t>.</t>
  </si>
  <si>
    <t>субсидий</t>
  </si>
  <si>
    <t>денежных средств от использования общего имущества</t>
  </si>
  <si>
    <t>прочие поступления</t>
  </si>
  <si>
    <t>Всего денежных средств средств с учетом остатков</t>
  </si>
  <si>
    <t xml:space="preserve"> </t>
  </si>
  <si>
    <t>2.'Выполненные работы (оказанные услуги) по содержанию общего имущества и текущему ремонту в отчетном периоде</t>
  </si>
  <si>
    <t xml:space="preserve">Наименование работ и    услуг     (указывается в       соответствии с договором  управления) </t>
  </si>
  <si>
    <t xml:space="preserve">Периодичность (срок     выполнения)  по факту   </t>
  </si>
  <si>
    <t>Исполнитель услуги</t>
  </si>
  <si>
    <t>Расходы по содержанию жилья за год (руб)</t>
  </si>
  <si>
    <t xml:space="preserve">Обслуживание общестроит.конструкций </t>
  </si>
  <si>
    <t>2 раза в год</t>
  </si>
  <si>
    <t>ООО "ВДС-Сервис"</t>
  </si>
  <si>
    <t>Вывоз и утилизация ТБО и КГО</t>
  </si>
  <si>
    <t>ежедневно</t>
  </si>
  <si>
    <t>ООО "ЧистоГрад плюс"</t>
  </si>
  <si>
    <t xml:space="preserve">Проверка дымоходов и вентканалов </t>
  </si>
  <si>
    <t>ООО "Патриот"</t>
  </si>
  <si>
    <t xml:space="preserve">Управление многоквартирным домом </t>
  </si>
  <si>
    <t>ООО "ДУК"</t>
  </si>
  <si>
    <t>Текущий ремонт</t>
  </si>
  <si>
    <t>Согласно плана и по мере необходимости</t>
  </si>
  <si>
    <t>ИТОГО:</t>
  </si>
  <si>
    <t>Переходящие остатки денежных средств (на конец периода) :</t>
  </si>
  <si>
    <t>3. 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</si>
  <si>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</si>
  <si>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</si>
  <si>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</si>
  <si>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</si>
  <si>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</si>
  <si>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4.Общая информация по предоставленным коммунальным услугам</t>
  </si>
  <si>
    <t>Пеоеходящие остатки денежных средств (на начало периода), втом числе:</t>
  </si>
  <si>
    <t>Переходящие остатки денежных средств (на конец,периода)в том числе:</t>
  </si>
  <si>
    <t>5,Информация о предоставленных коммунальных услугах</t>
  </si>
  <si>
    <t>Вид коммунальной услуги, ед.изм., общий объем потребления</t>
  </si>
  <si>
    <t>Начислено потребителям (руб.)</t>
  </si>
  <si>
    <t>Оплачено потребителями (руб.)</t>
  </si>
  <si>
    <t>Задолженность потребителей            (руб.)</t>
  </si>
  <si>
    <t xml:space="preserve">водоснабжение                  </t>
  </si>
  <si>
    <t xml:space="preserve">водоотведение                  </t>
  </si>
  <si>
    <t xml:space="preserve">теплоснабжение                 </t>
  </si>
  <si>
    <t xml:space="preserve">электроснабжение               </t>
  </si>
  <si>
    <t>Вид коммунальной услуги</t>
  </si>
  <si>
    <t>Начислено поставщиком коммунального ресурса (руб.)</t>
  </si>
  <si>
    <t>Оплачено поставщику коммунального ресурса (руб.)</t>
  </si>
  <si>
    <t>Задолженность перед поставщиком коммунального ресурса (руб.)</t>
  </si>
  <si>
    <t xml:space="preserve">горячее водоснабжение          </t>
  </si>
  <si>
    <t>Сумма пени и штрафов, уплаченные поставщику коммунального ресурса</t>
  </si>
  <si>
    <t>6. Информация о наличии претензий по качеству предоставленных коммунальных услуг</t>
  </si>
  <si>
    <t>7. Информация о ведении претензионно-исковой работы в отношении потребителей 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</si>
  <si>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</si>
  <si>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</si>
  <si>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</si>
  <si>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Руководитель управляющей организации /____________________________________/_____________________________________________</t>
  </si>
  <si>
    <t>М.П.</t>
  </si>
  <si>
    <t>ПО АДРЕСУ г. Заволжье, ул. Гидростроительная д.10а</t>
  </si>
  <si>
    <t xml:space="preserve">Содержание придомовой территории </t>
  </si>
  <si>
    <t>5 раз в неделю</t>
  </si>
  <si>
    <t>ООО "Жилищные услуги"</t>
  </si>
  <si>
    <t>4 раза в год</t>
  </si>
  <si>
    <t>Обслуживание систем электроснабжения</t>
  </si>
  <si>
    <t>Обслуживание внутридомовых систем  (ХВС, ВО, отопления)</t>
  </si>
  <si>
    <t xml:space="preserve">Аварийно-диспетчерское обслуживание  </t>
  </si>
  <si>
    <t>круглосуточно</t>
  </si>
  <si>
    <t>ООО"ВДС-Сервис"; ООО "Жилищные услуги"</t>
  </si>
  <si>
    <t>ё</t>
  </si>
  <si>
    <t>ПО АДРЕСУ г. Заволжье, ул. Гидростроительная д.12</t>
  </si>
  <si>
    <t xml:space="preserve">Обслуживание газового оборудования </t>
  </si>
  <si>
    <t>1 раз в 3 года</t>
  </si>
  <si>
    <t>ПАО "Газпромгазораспределение НН"</t>
  </si>
  <si>
    <t>ПО АДРЕСУ г. Заволжье, ул. Гидростроительная д.14</t>
  </si>
  <si>
    <t>ПО АДРЕСУ г. Заволжье, ул. Гидростроительная д.16</t>
  </si>
  <si>
    <t>ООО"ВДС-Сервис"</t>
  </si>
  <si>
    <t>ПО АДРЕСУ г. Заволжье, ул. Гидростроительная д.18</t>
  </si>
  <si>
    <t>ООО "ВДС-Сервис"; ООО "ЦентрСервис"</t>
  </si>
  <si>
    <t>ПО АДРЕСУ г. Заволжье, ул. Гидростроительная д.20</t>
  </si>
  <si>
    <t>Обслуживание внутридомовых систем  (ХВС, ВО, )</t>
  </si>
  <si>
    <t xml:space="preserve">ООО"ВДС-Сервис"; </t>
  </si>
  <si>
    <t>ПО АДРЕСУ г. Заволжье, ул. Гидростроительная д.24</t>
  </si>
  <si>
    <t>Обслуживание внутридомовых систем  (ХВС, ВО,)</t>
  </si>
  <si>
    <t>ПО АДРЕСУ г. Заволжье, ул. Гидростроительная д.26</t>
  </si>
  <si>
    <t>ООО"Противопожарный центр"; ООО "Жилищные услуги"</t>
  </si>
  <si>
    <t>ПО АДРЕСУ г. Заволжье, ул. Школьная 1</t>
  </si>
  <si>
    <t>ПО АДРЕСУ г. Заволжье, ул. Гостиная 2</t>
  </si>
  <si>
    <t xml:space="preserve">прочие поступления </t>
  </si>
  <si>
    <t>Обслуживание внутридомовых систем  (ХВС, отопления)</t>
  </si>
  <si>
    <t>ПО АДРЕСУ г. Заволжье, ул. Гостиная 9</t>
  </si>
  <si>
    <t>Обслуживание внутридомовых систем  (ХВС)</t>
  </si>
  <si>
    <t>ПО АДРЕСУ г. Заволжье, ул. Гостиная 11</t>
  </si>
  <si>
    <t>ПО АДРЕСУ г. Заволжье, ул. Гостиная 13</t>
  </si>
  <si>
    <t>ПО АДРЕСУ г. Заволжье, ул. Гостиная 15</t>
  </si>
  <si>
    <t>ПО АДРЕСУ г. Заволжье, ул. Гостиная 18</t>
  </si>
  <si>
    <t>ПО АДРЕСУ г. Заволжье, ул. Дамбовая 4</t>
  </si>
  <si>
    <t>ООО "ВДС-Сервис" ; ООО "Жилищные услуги"</t>
  </si>
  <si>
    <t>ПО АДРЕСУ г. Заволжье, ул. Клубная 1а</t>
  </si>
  <si>
    <t>Обслуживание внутридомовых систем  (ХВС,  отопления)</t>
  </si>
  <si>
    <t>ПО АДРЕСУ г. Заволжье, ул. Кржижановского 2</t>
  </si>
  <si>
    <t>ПО АДРЕСУ г. Заволжье, ул. Кржижановского 3</t>
  </si>
  <si>
    <t>ПО АДРЕСУ г. Заволжье, ул. Кржижановского 4</t>
  </si>
  <si>
    <t>ПО АДРЕСУ г. Заволжье, ул. Овражная 2</t>
  </si>
  <si>
    <t>ПО АДРЕСУ г. Заволжье, ул. Овражная 4</t>
  </si>
  <si>
    <t>ПО АДРЕСУ г. Заволжье, ул. Овражная 5</t>
  </si>
  <si>
    <t>ПО АДРЕСУ г. Заволжье, ул. Овражная 9</t>
  </si>
  <si>
    <t>ПО АДРЕСУ г. Заволжье, пер. Энергетиков, 1</t>
  </si>
  <si>
    <t>ПО АДРЕСУ г. Заволжье, пер. Энергетиков, 2</t>
  </si>
  <si>
    <t>ПО АДРЕСУ г. Заволжье, пер. Энергетиков, 3</t>
  </si>
  <si>
    <t>ПО АДРЕСУ г. Заволжье, пер. Энергетиков, 5</t>
  </si>
  <si>
    <t>ПО АДРЕСУ г. Заволжье, пер. Первомайская 4</t>
  </si>
  <si>
    <t>ПО АДРЕСУ г. Заволжье, пер. Первомайская 6</t>
  </si>
  <si>
    <t>ПО АДРЕСУ г. Заволжье, пер. Первомайская 7</t>
  </si>
  <si>
    <t>ПО АДРЕСУ г. Заволжье, пер. Первомайская 10</t>
  </si>
  <si>
    <t>ПО АДРЕСУ г. Заволжье, пер. Первомайская 11</t>
  </si>
  <si>
    <t>ПО АДРЕСУ г. Заволжье, пер. Первомайская 14</t>
  </si>
  <si>
    <t>ПО АДРЕСУ г. Заволжье, пер. Первомайская 16</t>
  </si>
  <si>
    <t>ПО АДРЕСУ г. Заволжье, пер. Первомайская 18</t>
  </si>
  <si>
    <t>ПО АДРЕСУ г. Заволжье, Пл. 1 Мая 1</t>
  </si>
  <si>
    <t>ПО АДРЕСУ г. Заволжье, Пл. 1 Мая 2</t>
  </si>
  <si>
    <t xml:space="preserve">ПО АДРЕСУ г. Заволжье, Плотничная 3 </t>
  </si>
  <si>
    <t>ПО АДРЕСУ г. Заволжье, Плотничная 4</t>
  </si>
  <si>
    <t>ПО АДРЕСУ г. Заволжье, Рабочая 2</t>
  </si>
  <si>
    <t>ПО АДРЕСУ г. Заволжье, Рабочая 12</t>
  </si>
  <si>
    <t>ПО АДРЕСУ г. Заволжье, Рабочая 14</t>
  </si>
  <si>
    <t>ПО АДРЕСУ г. Заволжье, Рабочая 16</t>
  </si>
  <si>
    <t>ПО АДРЕСУ г. Заволжье, Рабочая 20</t>
  </si>
  <si>
    <t>ПО АДРЕСУ г. Заволжье, С.Ковалевской 3</t>
  </si>
  <si>
    <t>ПО АДРЕСУ г. Заволжье, С.Ковалевской 6</t>
  </si>
  <si>
    <t>ПО АДРЕСУ г. Заволжье, Северная 2</t>
  </si>
  <si>
    <t>ПО АДРЕСУ г. Заволжье, Северная 3</t>
  </si>
  <si>
    <t>ПО АДРЕСУ г. Заволжье, Северная 5</t>
  </si>
  <si>
    <t>ПО АДРЕСУ г. Заволжье, Северная 9</t>
  </si>
  <si>
    <t>ПО АДРЕСУ г. Заволжье, Семашко 5</t>
  </si>
  <si>
    <t>ПО АДРЕСУ г. Заволжье, Семашко 9</t>
  </si>
  <si>
    <t>ПО АДРЕСУ г. Заволжье, Семашко 12</t>
  </si>
  <si>
    <t>ПО АДРЕСУ г. Заволжье, Семашко 18</t>
  </si>
  <si>
    <t>ПО АДРЕСУ г. Заволжье, Семашко 20</t>
  </si>
  <si>
    <t>ООО "ВДС-Сервис" ООО "Электроник"</t>
  </si>
  <si>
    <t>ПО АДРЕСУ г. Заволжье, Семашко 23</t>
  </si>
  <si>
    <t>ПО АДРЕСУ г. Заволжье, Семашко 24</t>
  </si>
  <si>
    <t>ПО АДРЕСУ г. Заволжье, Сеченова 3</t>
  </si>
  <si>
    <t>ПО АДРЕСУ г. Заволжье, Учительская 25</t>
  </si>
  <si>
    <t>ПО АДРЕСУ г. Заволжье, Учительская 28</t>
  </si>
  <si>
    <t>ПО АДРЕСУ г. Заволжье, ул. Волжская,10</t>
  </si>
  <si>
    <t>Кузьмичев Е.М./</t>
  </si>
  <si>
    <t>ЗА 2016 ГОД</t>
  </si>
  <si>
    <t>1 квартал 2017г.</t>
  </si>
  <si>
    <t>01.01.2016г.</t>
  </si>
  <si>
    <t>31.12.2016г.</t>
  </si>
  <si>
    <t>Sдома (279,7м2)</t>
  </si>
  <si>
    <t>Sдома=466,9м2</t>
  </si>
  <si>
    <t>спил и вывоз сосны</t>
  </si>
  <si>
    <t>май</t>
  </si>
  <si>
    <t>декабрь</t>
  </si>
  <si>
    <t>смена участка розлива кв.1</t>
  </si>
  <si>
    <t>август</t>
  </si>
  <si>
    <t>ремонт кровли</t>
  </si>
  <si>
    <t>ООО"Промэнергостройсервис"</t>
  </si>
  <si>
    <t>сентябрь</t>
  </si>
  <si>
    <t>изоляция трубы отопления</t>
  </si>
  <si>
    <t>ноябрь</t>
  </si>
  <si>
    <t>Sдома=382,9</t>
  </si>
  <si>
    <t>S=611,10м2</t>
  </si>
  <si>
    <t>0,5/0,225/0,065</t>
  </si>
  <si>
    <t>Обслуживание газового оборудования</t>
  </si>
  <si>
    <t>подсыпка дороги щебнем</t>
  </si>
  <si>
    <t>июнь</t>
  </si>
  <si>
    <t>смена участка канализации и ХВС в кв.11</t>
  </si>
  <si>
    <t>июль</t>
  </si>
  <si>
    <t>смена кранов отопления в подвале</t>
  </si>
  <si>
    <t>установка поручней 2 п-д</t>
  </si>
  <si>
    <t>S=442,12м2</t>
  </si>
  <si>
    <t>смена участка ХВС в кв.1</t>
  </si>
  <si>
    <t>январь</t>
  </si>
  <si>
    <t>устранение течи на кровле над. Кв 4</t>
  </si>
  <si>
    <t>февраль</t>
  </si>
  <si>
    <t>переустановка лестницы на кровлю</t>
  </si>
  <si>
    <t>ремонт отмостки</t>
  </si>
  <si>
    <t>Sдома =387,05м2</t>
  </si>
  <si>
    <t>ремонт ступеней 1го под-да</t>
  </si>
  <si>
    <t>апрель</t>
  </si>
  <si>
    <t>Sдома=383,89м2</t>
  </si>
  <si>
    <t>Sдома=1335,3м2</t>
  </si>
  <si>
    <t>Sдома=102,25м2</t>
  </si>
  <si>
    <t>Sдома=1663,70м2</t>
  </si>
  <si>
    <t>S=1670,70м2</t>
  </si>
  <si>
    <t>смена замков на чердаке</t>
  </si>
  <si>
    <t>март</t>
  </si>
  <si>
    <t>смена  выключателя в 1м под-де 1го эт.</t>
  </si>
  <si>
    <t>Sдома=1934,30м2</t>
  </si>
  <si>
    <t>смена стеклопакета во 2м подъезде</t>
  </si>
  <si>
    <t>смена замков в подвале и на чердаке</t>
  </si>
  <si>
    <t>ремонт штукатурки фасада, установка сайдинга на козырьке, ремонт дверного блока 1го под-да</t>
  </si>
  <si>
    <t>октябрь</t>
  </si>
  <si>
    <t>Sдома=1119,76м2</t>
  </si>
  <si>
    <t>Смена шаровых кранов ХВС в кв.11,20</t>
  </si>
  <si>
    <t>смена участка ХВС в подвале</t>
  </si>
  <si>
    <t>Sдома=142,9м2</t>
  </si>
  <si>
    <t>Sдома=123,2м2</t>
  </si>
  <si>
    <t>Sдома=103,1м2</t>
  </si>
  <si>
    <t>Sдома=150,2м2</t>
  </si>
  <si>
    <t>Sдома=107,3м2</t>
  </si>
  <si>
    <t>Sдома=377м2</t>
  </si>
  <si>
    <t>Sдома=81,5м2</t>
  </si>
  <si>
    <t>Обслуживание внутридомовых систем  (  отопления)</t>
  </si>
  <si>
    <t>Sдома=134,5м2</t>
  </si>
  <si>
    <t>Sдома=146,1м2</t>
  </si>
  <si>
    <t>Sдома=110,3м2</t>
  </si>
  <si>
    <t>Sдома=1265,10м2</t>
  </si>
  <si>
    <t>Обслуживание внутридомовых систем  (ХВС,  отопления,водоотведения)</t>
  </si>
  <si>
    <t>Ремонт 2го под-да</t>
  </si>
  <si>
    <t>ООО "Иваныч"</t>
  </si>
  <si>
    <t>Ремонт кровли</t>
  </si>
  <si>
    <t>Sдома=968,70м2</t>
  </si>
  <si>
    <t>Sдома=99,70м2</t>
  </si>
  <si>
    <t>Sдома=111,10м2</t>
  </si>
  <si>
    <t>Sдома=111м2</t>
  </si>
  <si>
    <t>Текущий ремонт(ремонт заваленки)</t>
  </si>
  <si>
    <t>ООО "КС-Монтаж"</t>
  </si>
  <si>
    <t>Sдома=47,1м2</t>
  </si>
  <si>
    <t>Обслуживание внутридомовых систем  (ХВС,)</t>
  </si>
  <si>
    <t>Sдома=162,6м2</t>
  </si>
  <si>
    <t>Текущий ремонт (ремонт оголовка венттрубы)</t>
  </si>
  <si>
    <t xml:space="preserve">Обслуживание внутридомовых систем  </t>
  </si>
  <si>
    <t>Sдома=163,50м2</t>
  </si>
  <si>
    <t>Текущий ремонт (ремонт козырька)</t>
  </si>
  <si>
    <t>Sдома=87,6м2</t>
  </si>
  <si>
    <t>Обслуживание внутридомовых систем  (ХВС, )</t>
  </si>
  <si>
    <t>Sдома=105м2</t>
  </si>
  <si>
    <t>Обслуживание внутридомовых систем  (ХВС,  )</t>
  </si>
  <si>
    <t>Sдома=57,7м2</t>
  </si>
  <si>
    <t>Sдома=96м2</t>
  </si>
  <si>
    <t>Sдома=105,4м2</t>
  </si>
  <si>
    <t>S=127,1м2</t>
  </si>
  <si>
    <t>Sдома=54,9м2</t>
  </si>
  <si>
    <t>Sдома=100,5м2</t>
  </si>
  <si>
    <t>Sдома=84,8м2</t>
  </si>
  <si>
    <t>Sдома=137,6м2</t>
  </si>
  <si>
    <t>Sдома=114,10м2</t>
  </si>
  <si>
    <t>Sдома=78,8м2</t>
  </si>
  <si>
    <t>Sдома=93,2м2</t>
  </si>
  <si>
    <t>Sдома=120,8м2</t>
  </si>
  <si>
    <t>Sдома=129,7м2</t>
  </si>
  <si>
    <t>Sдома=102,3м2</t>
  </si>
  <si>
    <t>Sдома=94,7м2</t>
  </si>
  <si>
    <t>Sдома=195,9м2</t>
  </si>
  <si>
    <t>Sдома=167,2м2</t>
  </si>
  <si>
    <t>Sдома=171,2м2</t>
  </si>
  <si>
    <t>Sдома=53,40м2</t>
  </si>
  <si>
    <t>Sдома=79,8м2</t>
  </si>
  <si>
    <t>Sдома=91,87м2</t>
  </si>
  <si>
    <t>Sдома=93,4м2</t>
  </si>
  <si>
    <t>Sдома=101,7м2</t>
  </si>
  <si>
    <t>Sдома=90,7м2</t>
  </si>
  <si>
    <t>Sдома=44,9м2</t>
  </si>
  <si>
    <t>Sдома=96,8м2</t>
  </si>
  <si>
    <t>Sдома=130,3м2</t>
  </si>
  <si>
    <t>Sдома=135,3м2</t>
  </si>
  <si>
    <t>Кузьмичев Е.М.</t>
  </si>
  <si>
    <t>Руководитель управляющей организации /____________________________________/_Кузьмичев Е.М.________________</t>
  </si>
  <si>
    <t>Руководитель управляющей организации /____________________________________/Кузьмичев Е.М.________________</t>
  </si>
  <si>
    <t>Руководитель управляющей организации /____________________________________/Кузьмичев Е.М.__________________</t>
  </si>
  <si>
    <t>переплата потребителей</t>
  </si>
  <si>
    <t>Руководитель управляющей организации /____________________________________/     Кузьмичев Е.М./</t>
  </si>
  <si>
    <t>Текущий ремонт и подготовка к сезонной эксплуатации, в том числе</t>
  </si>
  <si>
    <t>электромонтажные работы</t>
  </si>
  <si>
    <t>август, декабрь</t>
  </si>
  <si>
    <t>Текущий ремонт и подготовка к сезонной эксплуатации , в том числе</t>
  </si>
  <si>
    <t xml:space="preserve">Текущий ремонт и подготовка к сезонной эксплуатации, в том числе </t>
  </si>
  <si>
    <t>Текущий ремонт и подготовка к сезонной эксплуатации ,в том числе</t>
  </si>
  <si>
    <t>Текущий ремонт и подготовка к сезонной эксплуатации</t>
  </si>
  <si>
    <t>Текущий ремонт и подготовка к сезонной эксплуатации в том числе:</t>
  </si>
  <si>
    <t>смена трансформаторов в электрощитовой</t>
  </si>
  <si>
    <t>Текущий ремонт и подготовка к сезонной эксплуатации, в том числе:</t>
  </si>
  <si>
    <t>Текущий ремонт и подготовка к сезонной эксплуатации,в том числе</t>
  </si>
  <si>
    <t>Текущий ремонти подготовка к  сезонной эксплуатации,  в том числе:</t>
  </si>
  <si>
    <t>Текущий ремонти подготовка к сезонной эксплуатации, в том числе:</t>
  </si>
  <si>
    <t>Текущий ремонт и подготовка к сезонной эксплуатации :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</si>
</sst>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 ;\-#,##0.00\ "/>
    <numFmt numFmtId="165" formatCode="#,##0.00;\-#,##0.00"/>
    <numFmt numFmtId="166" formatCode="#,###.00"/>
    <numFmt numFmtId="167" formatCode="0.000"/>
    <numFmt numFmtId="168" formatCode="0.0000"/>
  </numFmts>
  <fonts count="49">
    <font>
      <sz val="10"/>
      <name val="Arial"/>
      <family val="2"/>
    </font>
    <font>
      <sz val="10"/>
      <color indexed="9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60"/>
      <name val="Arial"/>
      <family val="2"/>
    </font>
    <font>
      <sz val="12"/>
      <name val="Arial"/>
      <family val="2"/>
    </font>
    <font>
      <sz val="12"/>
      <color indexed="9"/>
      <name val="Arial"/>
      <family val="2"/>
    </font>
    <font>
      <sz val="12"/>
      <color indexed="16"/>
      <name val="Arial"/>
      <family val="2"/>
    </font>
    <font>
      <sz val="12"/>
      <color indexed="6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medium"/>
      <right style="hair">
        <color indexed="8"/>
      </right>
      <top style="medium"/>
      <bottom style="hair">
        <color indexed="8"/>
      </bottom>
    </border>
    <border>
      <left style="hair">
        <color indexed="8"/>
      </left>
      <right>
        <color indexed="63"/>
      </right>
      <top style="medium"/>
      <bottom style="hair">
        <color indexed="8"/>
      </bottom>
    </border>
    <border>
      <left style="hair">
        <color indexed="8"/>
      </left>
      <right style="medium"/>
      <top style="medium"/>
      <bottom style="hair">
        <color indexed="8"/>
      </bottom>
    </border>
    <border>
      <left style="medium"/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/>
      <top style="hair">
        <color indexed="8"/>
      </top>
      <bottom style="hair">
        <color indexed="8"/>
      </bottom>
    </border>
    <border>
      <left style="medium"/>
      <right style="hair">
        <color indexed="8"/>
      </right>
      <top style="hair">
        <color indexed="8"/>
      </top>
      <bottom style="medium"/>
    </border>
    <border>
      <left style="hair">
        <color indexed="8"/>
      </left>
      <right>
        <color indexed="63"/>
      </right>
      <top>
        <color indexed="63"/>
      </top>
      <bottom style="medium"/>
    </border>
    <border>
      <left style="hair">
        <color indexed="8"/>
      </left>
      <right style="hair">
        <color indexed="8"/>
      </right>
      <top style="hair">
        <color indexed="8"/>
      </top>
      <bottom style="medium"/>
    </border>
    <border>
      <left style="hair">
        <color indexed="8"/>
      </left>
      <right style="medium"/>
      <top style="hair">
        <color indexed="8"/>
      </top>
      <bottom style="medium"/>
    </border>
    <border>
      <left style="hair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hair">
        <color indexed="8"/>
      </right>
      <top style="thin"/>
      <bottom style="hair">
        <color indexed="8"/>
      </bottom>
    </border>
    <border>
      <left style="hair">
        <color indexed="8"/>
      </left>
      <right>
        <color indexed="63"/>
      </right>
      <top style="thin"/>
      <bottom style="hair">
        <color indexed="8"/>
      </bottom>
    </border>
    <border>
      <left style="hair">
        <color indexed="8"/>
      </left>
      <right style="thin"/>
      <top style="thin"/>
      <bottom style="hair">
        <color indexed="8"/>
      </bottom>
    </border>
    <border>
      <left style="thin"/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/>
      <top style="hair">
        <color indexed="8"/>
      </top>
      <bottom style="hair">
        <color indexed="8"/>
      </bottom>
    </border>
    <border>
      <left style="thin"/>
      <right style="hair">
        <color indexed="8"/>
      </right>
      <top style="hair">
        <color indexed="8"/>
      </top>
      <bottom style="thin"/>
    </border>
    <border>
      <left style="hair">
        <color indexed="8"/>
      </left>
      <right>
        <color indexed="63"/>
      </right>
      <top>
        <color indexed="63"/>
      </top>
      <bottom style="thin"/>
    </border>
    <border>
      <left style="hair">
        <color indexed="8"/>
      </left>
      <right>
        <color indexed="63"/>
      </right>
      <top style="hair">
        <color indexed="8"/>
      </top>
      <bottom style="thin"/>
    </border>
    <border>
      <left style="hair">
        <color indexed="8"/>
      </left>
      <right style="thin"/>
      <top style="hair">
        <color indexed="8"/>
      </top>
      <bottom style="thin"/>
    </border>
    <border>
      <left style="thin">
        <color indexed="8"/>
      </left>
      <right style="hair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5" fillId="32" borderId="0" applyNumberFormat="0" applyBorder="0" applyAlignment="0" applyProtection="0"/>
  </cellStyleXfs>
  <cellXfs count="27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horizontal="justify"/>
    </xf>
    <xf numFmtId="0" fontId="5" fillId="0" borderId="0" xfId="0" applyFont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0" xfId="0" applyFont="1" applyBorder="1" applyAlignment="1">
      <alignment horizontal="left" wrapText="1"/>
    </xf>
    <xf numFmtId="4" fontId="0" fillId="33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/>
    </xf>
    <xf numFmtId="0" fontId="6" fillId="0" borderId="11" xfId="0" applyFont="1" applyBorder="1" applyAlignment="1">
      <alignment/>
    </xf>
    <xf numFmtId="2" fontId="6" fillId="33" borderId="10" xfId="0" applyNumberFormat="1" applyFont="1" applyFill="1" applyBorder="1" applyAlignment="1">
      <alignment horizontal="center"/>
    </xf>
    <xf numFmtId="2" fontId="6" fillId="0" borderId="11" xfId="0" applyNumberFormat="1" applyFont="1" applyBorder="1" applyAlignment="1">
      <alignment/>
    </xf>
    <xf numFmtId="0" fontId="4" fillId="0" borderId="10" xfId="0" applyFont="1" applyBorder="1" applyAlignment="1">
      <alignment horizontal="left" wrapText="1"/>
    </xf>
    <xf numFmtId="4" fontId="0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2" fontId="6" fillId="0" borderId="11" xfId="0" applyNumberFormat="1" applyFont="1" applyBorder="1" applyAlignment="1">
      <alignment horizontal="center"/>
    </xf>
    <xf numFmtId="0" fontId="4" fillId="0" borderId="10" xfId="0" applyFont="1" applyBorder="1" applyAlignment="1">
      <alignment horizontal="left"/>
    </xf>
    <xf numFmtId="2" fontId="7" fillId="0" borderId="11" xfId="0" applyNumberFormat="1" applyFont="1" applyBorder="1" applyAlignment="1">
      <alignment/>
    </xf>
    <xf numFmtId="0" fontId="0" fillId="0" borderId="12" xfId="0" applyFont="1" applyFill="1" applyBorder="1" applyAlignment="1">
      <alignment wrapText="1"/>
    </xf>
    <xf numFmtId="4" fontId="6" fillId="0" borderId="13" xfId="0" applyNumberFormat="1" applyFont="1" applyFill="1" applyBorder="1" applyAlignment="1">
      <alignment wrapText="1"/>
    </xf>
    <xf numFmtId="0" fontId="6" fillId="0" borderId="13" xfId="0" applyFont="1" applyFill="1" applyBorder="1" applyAlignment="1">
      <alignment horizontal="center" vertical="center"/>
    </xf>
    <xf numFmtId="0" fontId="6" fillId="0" borderId="14" xfId="0" applyFont="1" applyBorder="1" applyAlignment="1">
      <alignment horizontal="left" wrapText="1"/>
    </xf>
    <xf numFmtId="0" fontId="0" fillId="0" borderId="15" xfId="0" applyFont="1" applyFill="1" applyBorder="1" applyAlignment="1">
      <alignment horizontal="left"/>
    </xf>
    <xf numFmtId="4" fontId="6" fillId="0" borderId="16" xfId="0" applyNumberFormat="1" applyFont="1" applyFill="1" applyBorder="1" applyAlignment="1">
      <alignment/>
    </xf>
    <xf numFmtId="0" fontId="6" fillId="0" borderId="16" xfId="0" applyFont="1" applyFill="1" applyBorder="1" applyAlignment="1">
      <alignment wrapText="1"/>
    </xf>
    <xf numFmtId="0" fontId="6" fillId="0" borderId="17" xfId="0" applyFont="1" applyBorder="1" applyAlignment="1">
      <alignment/>
    </xf>
    <xf numFmtId="0" fontId="0" fillId="0" borderId="18" xfId="0" applyFont="1" applyFill="1" applyBorder="1" applyAlignment="1">
      <alignment horizontal="left"/>
    </xf>
    <xf numFmtId="4" fontId="6" fillId="0" borderId="10" xfId="0" applyNumberFormat="1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19" xfId="0" applyFont="1" applyBorder="1" applyAlignment="1">
      <alignment/>
    </xf>
    <xf numFmtId="0" fontId="6" fillId="0" borderId="10" xfId="0" applyFont="1" applyFill="1" applyBorder="1" applyAlignment="1">
      <alignment horizontal="left"/>
    </xf>
    <xf numFmtId="0" fontId="0" fillId="0" borderId="18" xfId="0" applyFont="1" applyFill="1" applyBorder="1" applyAlignment="1">
      <alignment horizontal="left" vertical="top"/>
    </xf>
    <xf numFmtId="4" fontId="6" fillId="0" borderId="10" xfId="0" applyNumberFormat="1" applyFont="1" applyFill="1" applyBorder="1" applyAlignment="1">
      <alignment vertical="top" wrapText="1"/>
    </xf>
    <xf numFmtId="0" fontId="6" fillId="0" borderId="10" xfId="0" applyFont="1" applyFill="1" applyBorder="1" applyAlignment="1">
      <alignment wrapText="1"/>
    </xf>
    <xf numFmtId="0" fontId="6" fillId="0" borderId="19" xfId="0" applyFont="1" applyBorder="1" applyAlignment="1">
      <alignment vertical="top"/>
    </xf>
    <xf numFmtId="0" fontId="4" fillId="0" borderId="20" xfId="0" applyFont="1" applyFill="1" applyBorder="1" applyAlignment="1">
      <alignment/>
    </xf>
    <xf numFmtId="4" fontId="6" fillId="0" borderId="21" xfId="0" applyNumberFormat="1" applyFont="1" applyFill="1" applyBorder="1" applyAlignment="1">
      <alignment/>
    </xf>
    <xf numFmtId="0" fontId="6" fillId="0" borderId="21" xfId="0" applyFont="1" applyFill="1" applyBorder="1" applyAlignment="1">
      <alignment/>
    </xf>
    <xf numFmtId="0" fontId="4" fillId="0" borderId="22" xfId="0" applyFont="1" applyFill="1" applyBorder="1" applyAlignment="1">
      <alignment horizontal="left"/>
    </xf>
    <xf numFmtId="4" fontId="0" fillId="0" borderId="22" xfId="0" applyNumberFormat="1" applyFont="1" applyFill="1" applyBorder="1" applyAlignment="1">
      <alignment/>
    </xf>
    <xf numFmtId="0" fontId="6" fillId="0" borderId="22" xfId="0" applyFont="1" applyFill="1" applyBorder="1" applyAlignment="1">
      <alignment/>
    </xf>
    <xf numFmtId="2" fontId="6" fillId="0" borderId="23" xfId="0" applyNumberFormat="1" applyFont="1" applyBorder="1" applyAlignment="1">
      <alignment/>
    </xf>
    <xf numFmtId="2" fontId="0" fillId="0" borderId="0" xfId="0" applyNumberFormat="1" applyFont="1" applyAlignment="1">
      <alignment/>
    </xf>
    <xf numFmtId="0" fontId="0" fillId="0" borderId="10" xfId="0" applyFont="1" applyFill="1" applyBorder="1" applyAlignment="1">
      <alignment/>
    </xf>
    <xf numFmtId="4" fontId="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 wrapText="1"/>
    </xf>
    <xf numFmtId="164" fontId="6" fillId="0" borderId="11" xfId="0" applyNumberFormat="1" applyFont="1" applyBorder="1" applyAlignment="1">
      <alignment/>
    </xf>
    <xf numFmtId="0" fontId="1" fillId="0" borderId="0" xfId="0" applyFont="1" applyAlignment="1">
      <alignment horizontal="center"/>
    </xf>
    <xf numFmtId="0" fontId="0" fillId="0" borderId="24" xfId="0" applyFont="1" applyFill="1" applyBorder="1" applyAlignment="1">
      <alignment horizontal="left" wrapText="1"/>
    </xf>
    <xf numFmtId="0" fontId="6" fillId="0" borderId="24" xfId="0" applyFont="1" applyFill="1" applyBorder="1" applyAlignment="1">
      <alignment/>
    </xf>
    <xf numFmtId="0" fontId="6" fillId="0" borderId="25" xfId="0" applyFont="1" applyBorder="1" applyAlignment="1">
      <alignment/>
    </xf>
    <xf numFmtId="0" fontId="0" fillId="0" borderId="26" xfId="0" applyFont="1" applyBorder="1" applyAlignment="1">
      <alignment horizontal="left"/>
    </xf>
    <xf numFmtId="0" fontId="5" fillId="0" borderId="26" xfId="0" applyFont="1" applyBorder="1" applyAlignment="1">
      <alignment horizontal="center" vertical="center"/>
    </xf>
    <xf numFmtId="0" fontId="4" fillId="0" borderId="26" xfId="0" applyFont="1" applyBorder="1" applyAlignment="1">
      <alignment horizontal="right"/>
    </xf>
    <xf numFmtId="0" fontId="0" fillId="0" borderId="23" xfId="0" applyFont="1" applyBorder="1" applyAlignment="1">
      <alignment horizontal="left" vertical="center" wrapText="1"/>
    </xf>
    <xf numFmtId="0" fontId="0" fillId="0" borderId="23" xfId="0" applyFont="1" applyBorder="1" applyAlignment="1">
      <alignment horizontal="center" vertical="center" wrapText="1"/>
    </xf>
    <xf numFmtId="164" fontId="6" fillId="0" borderId="23" xfId="0" applyNumberFormat="1" applyFont="1" applyBorder="1" applyAlignment="1">
      <alignment horizontal="right" vertical="center" wrapText="1"/>
    </xf>
    <xf numFmtId="0" fontId="0" fillId="0" borderId="0" xfId="0" applyFont="1" applyAlignment="1">
      <alignment/>
    </xf>
    <xf numFmtId="0" fontId="1" fillId="0" borderId="0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1" fillId="0" borderId="0" xfId="0" applyFont="1" applyFill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4" fillId="33" borderId="27" xfId="0" applyFont="1" applyFill="1" applyBorder="1" applyAlignment="1">
      <alignment wrapText="1"/>
    </xf>
    <xf numFmtId="0" fontId="4" fillId="33" borderId="28" xfId="0" applyFont="1" applyFill="1" applyBorder="1" applyAlignment="1">
      <alignment horizontal="center" vertical="center" wrapText="1"/>
    </xf>
    <xf numFmtId="165" fontId="3" fillId="33" borderId="28" xfId="0" applyNumberFormat="1" applyFont="1" applyFill="1" applyBorder="1" applyAlignment="1">
      <alignment horizontal="center" vertical="center" wrapText="1"/>
    </xf>
    <xf numFmtId="165" fontId="3" fillId="33" borderId="29" xfId="0" applyNumberFormat="1" applyFont="1" applyFill="1" applyBorder="1" applyAlignment="1">
      <alignment horizontal="center" vertical="center" wrapText="1"/>
    </xf>
    <xf numFmtId="164" fontId="0" fillId="0" borderId="0" xfId="0" applyNumberFormat="1" applyFont="1" applyBorder="1" applyAlignment="1">
      <alignment/>
    </xf>
    <xf numFmtId="0" fontId="0" fillId="33" borderId="30" xfId="0" applyFont="1" applyFill="1" applyBorder="1" applyAlignment="1">
      <alignment/>
    </xf>
    <xf numFmtId="0" fontId="6" fillId="33" borderId="10" xfId="0" applyFont="1" applyFill="1" applyBorder="1" applyAlignment="1">
      <alignment horizontal="right"/>
    </xf>
    <xf numFmtId="165" fontId="8" fillId="33" borderId="10" xfId="0" applyNumberFormat="1" applyFont="1" applyFill="1" applyBorder="1" applyAlignment="1">
      <alignment horizontal="center"/>
    </xf>
    <xf numFmtId="165" fontId="8" fillId="33" borderId="31" xfId="0" applyNumberFormat="1" applyFont="1" applyFill="1" applyBorder="1" applyAlignment="1">
      <alignment horizontal="right"/>
    </xf>
    <xf numFmtId="165" fontId="0" fillId="0" borderId="0" xfId="0" applyNumberFormat="1" applyFont="1" applyFill="1" applyAlignment="1">
      <alignment/>
    </xf>
    <xf numFmtId="0" fontId="6" fillId="33" borderId="22" xfId="0" applyFont="1" applyFill="1" applyBorder="1" applyAlignment="1">
      <alignment horizontal="right"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/>
    </xf>
    <xf numFmtId="0" fontId="0" fillId="33" borderId="32" xfId="0" applyFont="1" applyFill="1" applyBorder="1" applyAlignment="1">
      <alignment/>
    </xf>
    <xf numFmtId="0" fontId="6" fillId="33" borderId="33" xfId="0" applyFont="1" applyFill="1" applyBorder="1" applyAlignment="1">
      <alignment/>
    </xf>
    <xf numFmtId="165" fontId="8" fillId="33" borderId="34" xfId="0" applyNumberFormat="1" applyFont="1" applyFill="1" applyBorder="1" applyAlignment="1">
      <alignment horizontal="right"/>
    </xf>
    <xf numFmtId="0" fontId="4" fillId="33" borderId="27" xfId="0" applyFont="1" applyFill="1" applyBorder="1" applyAlignment="1">
      <alignment horizontal="center" vertical="center"/>
    </xf>
    <xf numFmtId="0" fontId="0" fillId="33" borderId="22" xfId="0" applyFont="1" applyFill="1" applyBorder="1" applyAlignment="1">
      <alignment/>
    </xf>
    <xf numFmtId="2" fontId="9" fillId="33" borderId="11" xfId="0" applyNumberFormat="1" applyFont="1" applyFill="1" applyBorder="1" applyAlignment="1">
      <alignment horizontal="center"/>
    </xf>
    <xf numFmtId="0" fontId="0" fillId="33" borderId="32" xfId="0" applyFont="1" applyFill="1" applyBorder="1" applyAlignment="1">
      <alignment horizontal="left"/>
    </xf>
    <xf numFmtId="0" fontId="0" fillId="33" borderId="33" xfId="0" applyFont="1" applyFill="1" applyBorder="1" applyAlignment="1">
      <alignment/>
    </xf>
    <xf numFmtId="0" fontId="0" fillId="33" borderId="23" xfId="0" applyFont="1" applyFill="1" applyBorder="1" applyAlignment="1">
      <alignment horizontal="left"/>
    </xf>
    <xf numFmtId="2" fontId="8" fillId="33" borderId="23" xfId="0" applyNumberFormat="1" applyFont="1" applyFill="1" applyBorder="1" applyAlignment="1">
      <alignment horizontal="center"/>
    </xf>
    <xf numFmtId="165" fontId="8" fillId="33" borderId="23" xfId="0" applyNumberFormat="1" applyFont="1" applyFill="1" applyBorder="1" applyAlignment="1">
      <alignment horizontal="right"/>
    </xf>
    <xf numFmtId="0" fontId="0" fillId="33" borderId="11" xfId="0" applyFont="1" applyFill="1" applyBorder="1" applyAlignment="1">
      <alignment wrapText="1"/>
    </xf>
    <xf numFmtId="0" fontId="9" fillId="33" borderId="11" xfId="0" applyFont="1" applyFill="1" applyBorder="1" applyAlignment="1">
      <alignment horizontal="center"/>
    </xf>
    <xf numFmtId="165" fontId="8" fillId="33" borderId="11" xfId="0" applyNumberFormat="1" applyFont="1" applyFill="1" applyBorder="1" applyAlignment="1">
      <alignment horizontal="right"/>
    </xf>
    <xf numFmtId="164" fontId="1" fillId="0" borderId="0" xfId="0" applyNumberFormat="1" applyFont="1" applyFill="1" applyAlignment="1">
      <alignment/>
    </xf>
    <xf numFmtId="2" fontId="1" fillId="0" borderId="0" xfId="0" applyNumberFormat="1" applyFont="1" applyBorder="1" applyAlignment="1">
      <alignment/>
    </xf>
    <xf numFmtId="0" fontId="0" fillId="33" borderId="26" xfId="0" applyFont="1" applyFill="1" applyBorder="1" applyAlignment="1">
      <alignment horizontal="left"/>
    </xf>
    <xf numFmtId="0" fontId="4" fillId="33" borderId="26" xfId="0" applyFont="1" applyFill="1" applyBorder="1" applyAlignment="1">
      <alignment horizontal="left"/>
    </xf>
    <xf numFmtId="166" fontId="3" fillId="33" borderId="35" xfId="0" applyNumberFormat="1" applyFont="1" applyFill="1" applyBorder="1" applyAlignment="1">
      <alignment horizontal="right"/>
    </xf>
    <xf numFmtId="166" fontId="1" fillId="0" borderId="0" xfId="0" applyNumberFormat="1" applyFont="1" applyBorder="1" applyAlignment="1">
      <alignment/>
    </xf>
    <xf numFmtId="0" fontId="0" fillId="33" borderId="26" xfId="0" applyFont="1" applyFill="1" applyBorder="1" applyAlignment="1">
      <alignment horizontal="left" wrapText="1"/>
    </xf>
    <xf numFmtId="4" fontId="6" fillId="0" borderId="0" xfId="0" applyNumberFormat="1" applyFont="1" applyBorder="1" applyAlignment="1">
      <alignment horizontal="right"/>
    </xf>
    <xf numFmtId="4" fontId="6" fillId="0" borderId="10" xfId="0" applyNumberFormat="1" applyFont="1" applyFill="1" applyBorder="1" applyAlignment="1">
      <alignment horizontal="left"/>
    </xf>
    <xf numFmtId="4" fontId="6" fillId="0" borderId="10" xfId="0" applyNumberFormat="1" applyFont="1" applyFill="1" applyBorder="1" applyAlignment="1">
      <alignment wrapText="1"/>
    </xf>
    <xf numFmtId="2" fontId="6" fillId="0" borderId="17" xfId="0" applyNumberFormat="1" applyFont="1" applyBorder="1" applyAlignment="1">
      <alignment/>
    </xf>
    <xf numFmtId="2" fontId="6" fillId="0" borderId="19" xfId="0" applyNumberFormat="1" applyFont="1" applyBorder="1" applyAlignment="1">
      <alignment/>
    </xf>
    <xf numFmtId="0" fontId="0" fillId="0" borderId="36" xfId="0" applyFont="1" applyFill="1" applyBorder="1" applyAlignment="1">
      <alignment horizontal="left" vertical="top"/>
    </xf>
    <xf numFmtId="4" fontId="6" fillId="0" borderId="24" xfId="0" applyNumberFormat="1" applyFont="1" applyFill="1" applyBorder="1" applyAlignment="1">
      <alignment vertical="top" wrapText="1"/>
    </xf>
    <xf numFmtId="0" fontId="6" fillId="0" borderId="24" xfId="0" applyFont="1" applyFill="1" applyBorder="1" applyAlignment="1">
      <alignment wrapText="1"/>
    </xf>
    <xf numFmtId="2" fontId="6" fillId="0" borderId="37" xfId="0" applyNumberFormat="1" applyFont="1" applyBorder="1" applyAlignment="1">
      <alignment vertical="top"/>
    </xf>
    <xf numFmtId="2" fontId="3" fillId="0" borderId="38" xfId="0" applyNumberFormat="1" applyFont="1" applyBorder="1" applyAlignment="1">
      <alignment/>
    </xf>
    <xf numFmtId="2" fontId="8" fillId="33" borderId="39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vertical="center" wrapText="1"/>
    </xf>
    <xf numFmtId="0" fontId="0" fillId="0" borderId="10" xfId="0" applyFont="1" applyBorder="1" applyAlignment="1">
      <alignment wrapText="1"/>
    </xf>
    <xf numFmtId="4" fontId="6" fillId="33" borderId="10" xfId="0" applyNumberFormat="1" applyFont="1" applyFill="1" applyBorder="1" applyAlignment="1">
      <alignment horizontal="right"/>
    </xf>
    <xf numFmtId="4" fontId="8" fillId="33" borderId="10" xfId="0" applyNumberFormat="1" applyFont="1" applyFill="1" applyBorder="1" applyAlignment="1">
      <alignment horizontal="center"/>
    </xf>
    <xf numFmtId="4" fontId="8" fillId="33" borderId="31" xfId="0" applyNumberFormat="1" applyFont="1" applyFill="1" applyBorder="1" applyAlignment="1">
      <alignment horizontal="right"/>
    </xf>
    <xf numFmtId="4" fontId="6" fillId="33" borderId="22" xfId="0" applyNumberFormat="1" applyFont="1" applyFill="1" applyBorder="1" applyAlignment="1">
      <alignment horizontal="right"/>
    </xf>
    <xf numFmtId="4" fontId="6" fillId="33" borderId="33" xfId="0" applyNumberFormat="1" applyFont="1" applyFill="1" applyBorder="1" applyAlignment="1">
      <alignment/>
    </xf>
    <xf numFmtId="4" fontId="8" fillId="33" borderId="34" xfId="0" applyNumberFormat="1" applyFont="1" applyFill="1" applyBorder="1" applyAlignment="1">
      <alignment horizontal="right"/>
    </xf>
    <xf numFmtId="4" fontId="4" fillId="33" borderId="28" xfId="0" applyNumberFormat="1" applyFont="1" applyFill="1" applyBorder="1" applyAlignment="1">
      <alignment horizontal="center" vertical="center" wrapText="1"/>
    </xf>
    <xf numFmtId="4" fontId="0" fillId="33" borderId="22" xfId="0" applyNumberFormat="1" applyFont="1" applyFill="1" applyBorder="1" applyAlignment="1">
      <alignment/>
    </xf>
    <xf numFmtId="4" fontId="9" fillId="33" borderId="11" xfId="0" applyNumberFormat="1" applyFont="1" applyFill="1" applyBorder="1" applyAlignment="1">
      <alignment horizontal="center"/>
    </xf>
    <xf numFmtId="4" fontId="0" fillId="33" borderId="33" xfId="0" applyNumberFormat="1" applyFont="1" applyFill="1" applyBorder="1" applyAlignment="1">
      <alignment/>
    </xf>
    <xf numFmtId="4" fontId="8" fillId="33" borderId="23" xfId="0" applyNumberFormat="1" applyFont="1" applyFill="1" applyBorder="1" applyAlignment="1">
      <alignment horizontal="center"/>
    </xf>
    <xf numFmtId="4" fontId="8" fillId="33" borderId="23" xfId="0" applyNumberFormat="1" applyFont="1" applyFill="1" applyBorder="1" applyAlignment="1">
      <alignment horizontal="right"/>
    </xf>
    <xf numFmtId="4" fontId="8" fillId="33" borderId="39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vertical="center"/>
    </xf>
    <xf numFmtId="0" fontId="6" fillId="0" borderId="16" xfId="0" applyFont="1" applyFill="1" applyBorder="1" applyAlignment="1">
      <alignment vertical="top" wrapText="1"/>
    </xf>
    <xf numFmtId="0" fontId="46" fillId="0" borderId="0" xfId="0" applyFont="1" applyAlignment="1">
      <alignment/>
    </xf>
    <xf numFmtId="4" fontId="46" fillId="0" borderId="0" xfId="0" applyNumberFormat="1" applyFont="1" applyAlignment="1">
      <alignment/>
    </xf>
    <xf numFmtId="0" fontId="46" fillId="0" borderId="0" xfId="0" applyNumberFormat="1" applyFont="1" applyAlignment="1">
      <alignment/>
    </xf>
    <xf numFmtId="2" fontId="46" fillId="0" borderId="0" xfId="0" applyNumberFormat="1" applyFont="1" applyAlignment="1">
      <alignment/>
    </xf>
    <xf numFmtId="0" fontId="46" fillId="0" borderId="0" xfId="0" applyFont="1" applyAlignment="1">
      <alignment horizontal="center"/>
    </xf>
    <xf numFmtId="0" fontId="46" fillId="0" borderId="0" xfId="0" applyFont="1" applyFill="1" applyAlignment="1">
      <alignment/>
    </xf>
    <xf numFmtId="0" fontId="46" fillId="0" borderId="10" xfId="0" applyFont="1" applyBorder="1" applyAlignment="1">
      <alignment/>
    </xf>
    <xf numFmtId="0" fontId="46" fillId="0" borderId="11" xfId="0" applyFont="1" applyBorder="1" applyAlignment="1">
      <alignment/>
    </xf>
    <xf numFmtId="165" fontId="46" fillId="0" borderId="0" xfId="0" applyNumberFormat="1" applyFont="1" applyFill="1" applyAlignment="1">
      <alignment/>
    </xf>
    <xf numFmtId="0" fontId="46" fillId="0" borderId="22" xfId="0" applyFont="1" applyBorder="1" applyAlignment="1">
      <alignment/>
    </xf>
    <xf numFmtId="0" fontId="46" fillId="0" borderId="23" xfId="0" applyFont="1" applyBorder="1" applyAlignment="1">
      <alignment/>
    </xf>
    <xf numFmtId="0" fontId="46" fillId="0" borderId="0" xfId="0" applyFont="1" applyBorder="1" applyAlignment="1">
      <alignment/>
    </xf>
    <xf numFmtId="164" fontId="46" fillId="0" borderId="0" xfId="0" applyNumberFormat="1" applyFont="1" applyFill="1" applyAlignment="1">
      <alignment/>
    </xf>
    <xf numFmtId="2" fontId="46" fillId="0" borderId="0" xfId="0" applyNumberFormat="1" applyFont="1" applyBorder="1" applyAlignment="1">
      <alignment/>
    </xf>
    <xf numFmtId="166" fontId="46" fillId="0" borderId="0" xfId="0" applyNumberFormat="1" applyFont="1" applyBorder="1" applyAlignment="1">
      <alignment/>
    </xf>
    <xf numFmtId="0" fontId="46" fillId="0" borderId="0" xfId="0" applyFont="1" applyBorder="1" applyAlignment="1">
      <alignment wrapText="1"/>
    </xf>
    <xf numFmtId="4" fontId="8" fillId="33" borderId="31" xfId="0" applyNumberFormat="1" applyFont="1" applyFill="1" applyBorder="1" applyAlignment="1">
      <alignment horizontal="center"/>
    </xf>
    <xf numFmtId="4" fontId="8" fillId="33" borderId="34" xfId="0" applyNumberFormat="1" applyFont="1" applyFill="1" applyBorder="1" applyAlignment="1">
      <alignment horizontal="center"/>
    </xf>
    <xf numFmtId="0" fontId="0" fillId="33" borderId="40" xfId="0" applyFont="1" applyFill="1" applyBorder="1" applyAlignment="1">
      <alignment/>
    </xf>
    <xf numFmtId="4" fontId="6" fillId="33" borderId="41" xfId="0" applyNumberFormat="1" applyFont="1" applyFill="1" applyBorder="1" applyAlignment="1">
      <alignment/>
    </xf>
    <xf numFmtId="4" fontId="8" fillId="33" borderId="24" xfId="0" applyNumberFormat="1" applyFont="1" applyFill="1" applyBorder="1" applyAlignment="1">
      <alignment horizontal="center"/>
    </xf>
    <xf numFmtId="4" fontId="8" fillId="33" borderId="42" xfId="0" applyNumberFormat="1" applyFont="1" applyFill="1" applyBorder="1" applyAlignment="1">
      <alignment horizontal="right"/>
    </xf>
    <xf numFmtId="0" fontId="4" fillId="33" borderId="43" xfId="0" applyFont="1" applyFill="1" applyBorder="1" applyAlignment="1">
      <alignment horizontal="center" vertical="center"/>
    </xf>
    <xf numFmtId="4" fontId="4" fillId="33" borderId="44" xfId="0" applyNumberFormat="1" applyFont="1" applyFill="1" applyBorder="1" applyAlignment="1">
      <alignment horizontal="center" vertical="center" wrapText="1"/>
    </xf>
    <xf numFmtId="4" fontId="3" fillId="33" borderId="44" xfId="0" applyNumberFormat="1" applyFont="1" applyFill="1" applyBorder="1" applyAlignment="1">
      <alignment horizontal="center" vertical="center" wrapText="1"/>
    </xf>
    <xf numFmtId="4" fontId="3" fillId="33" borderId="45" xfId="0" applyNumberFormat="1" applyFont="1" applyFill="1" applyBorder="1" applyAlignment="1">
      <alignment horizontal="center" vertical="center" wrapText="1"/>
    </xf>
    <xf numFmtId="0" fontId="0" fillId="33" borderId="46" xfId="0" applyFont="1" applyFill="1" applyBorder="1" applyAlignment="1">
      <alignment/>
    </xf>
    <xf numFmtId="4" fontId="8" fillId="33" borderId="47" xfId="0" applyNumberFormat="1" applyFont="1" applyFill="1" applyBorder="1" applyAlignment="1">
      <alignment horizontal="right"/>
    </xf>
    <xf numFmtId="0" fontId="0" fillId="33" borderId="48" xfId="0" applyFont="1" applyFill="1" applyBorder="1" applyAlignment="1">
      <alignment horizontal="left"/>
    </xf>
    <xf numFmtId="4" fontId="0" fillId="33" borderId="49" xfId="0" applyNumberFormat="1" applyFont="1" applyFill="1" applyBorder="1" applyAlignment="1">
      <alignment/>
    </xf>
    <xf numFmtId="4" fontId="8" fillId="33" borderId="50" xfId="0" applyNumberFormat="1" applyFont="1" applyFill="1" applyBorder="1" applyAlignment="1">
      <alignment horizontal="center"/>
    </xf>
    <xf numFmtId="4" fontId="8" fillId="33" borderId="51" xfId="0" applyNumberFormat="1" applyFont="1" applyFill="1" applyBorder="1" applyAlignment="1">
      <alignment horizontal="right"/>
    </xf>
    <xf numFmtId="0" fontId="0" fillId="33" borderId="49" xfId="0" applyFont="1" applyFill="1" applyBorder="1" applyAlignment="1">
      <alignment/>
    </xf>
    <xf numFmtId="2" fontId="8" fillId="33" borderId="50" xfId="0" applyNumberFormat="1" applyFont="1" applyFill="1" applyBorder="1" applyAlignment="1">
      <alignment horizontal="center"/>
    </xf>
    <xf numFmtId="165" fontId="8" fillId="33" borderId="51" xfId="0" applyNumberFormat="1" applyFont="1" applyFill="1" applyBorder="1" applyAlignment="1">
      <alignment horizontal="right"/>
    </xf>
    <xf numFmtId="4" fontId="9" fillId="33" borderId="50" xfId="0" applyNumberFormat="1" applyFont="1" applyFill="1" applyBorder="1" applyAlignment="1">
      <alignment horizontal="center"/>
    </xf>
    <xf numFmtId="4" fontId="8" fillId="33" borderId="52" xfId="0" applyNumberFormat="1" applyFont="1" applyFill="1" applyBorder="1" applyAlignment="1">
      <alignment horizontal="right"/>
    </xf>
    <xf numFmtId="0" fontId="6" fillId="33" borderId="41" xfId="0" applyFont="1" applyFill="1" applyBorder="1" applyAlignment="1">
      <alignment/>
    </xf>
    <xf numFmtId="165" fontId="8" fillId="33" borderId="24" xfId="0" applyNumberFormat="1" applyFont="1" applyFill="1" applyBorder="1" applyAlignment="1">
      <alignment horizontal="center"/>
    </xf>
    <xf numFmtId="165" fontId="8" fillId="33" borderId="42" xfId="0" applyNumberFormat="1" applyFont="1" applyFill="1" applyBorder="1" applyAlignment="1">
      <alignment horizontal="right"/>
    </xf>
    <xf numFmtId="0" fontId="4" fillId="33" borderId="44" xfId="0" applyFont="1" applyFill="1" applyBorder="1" applyAlignment="1">
      <alignment horizontal="center" vertical="center" wrapText="1"/>
    </xf>
    <xf numFmtId="165" fontId="3" fillId="33" borderId="44" xfId="0" applyNumberFormat="1" applyFont="1" applyFill="1" applyBorder="1" applyAlignment="1">
      <alignment horizontal="center" vertical="center" wrapText="1"/>
    </xf>
    <xf numFmtId="165" fontId="3" fillId="33" borderId="45" xfId="0" applyNumberFormat="1" applyFont="1" applyFill="1" applyBorder="1" applyAlignment="1">
      <alignment horizontal="center" vertical="center" wrapText="1"/>
    </xf>
    <xf numFmtId="165" fontId="8" fillId="33" borderId="47" xfId="0" applyNumberFormat="1" applyFont="1" applyFill="1" applyBorder="1" applyAlignment="1">
      <alignment horizontal="right"/>
    </xf>
    <xf numFmtId="0" fontId="9" fillId="33" borderId="50" xfId="0" applyFont="1" applyFill="1" applyBorder="1" applyAlignment="1">
      <alignment horizontal="center"/>
    </xf>
    <xf numFmtId="0" fontId="0" fillId="0" borderId="10" xfId="0" applyFont="1" applyBorder="1" applyAlignment="1" quotePrefix="1">
      <alignment horizontal="left"/>
    </xf>
    <xf numFmtId="0" fontId="0" fillId="0" borderId="0" xfId="0" applyFont="1" applyAlignment="1" quotePrefix="1">
      <alignment horizontal="left"/>
    </xf>
    <xf numFmtId="0" fontId="6" fillId="0" borderId="37" xfId="0" applyFont="1" applyBorder="1" applyAlignment="1">
      <alignment vertical="top"/>
    </xf>
    <xf numFmtId="0" fontId="0" fillId="0" borderId="18" xfId="0" applyFont="1" applyFill="1" applyBorder="1" applyAlignment="1" quotePrefix="1">
      <alignment horizontal="left" vertical="top"/>
    </xf>
    <xf numFmtId="0" fontId="6" fillId="0" borderId="41" xfId="0" applyFont="1" applyFill="1" applyBorder="1" applyAlignment="1">
      <alignment wrapText="1"/>
    </xf>
    <xf numFmtId="0" fontId="0" fillId="0" borderId="36" xfId="0" applyFont="1" applyFill="1" applyBorder="1" applyAlignment="1" quotePrefix="1">
      <alignment horizontal="left" vertical="top"/>
    </xf>
    <xf numFmtId="0" fontId="6" fillId="0" borderId="10" xfId="0" applyFont="1" applyFill="1" applyBorder="1" applyAlignment="1">
      <alignment horizontal="left" wrapText="1"/>
    </xf>
    <xf numFmtId="167" fontId="6" fillId="0" borderId="19" xfId="0" applyNumberFormat="1" applyFont="1" applyBorder="1" applyAlignment="1">
      <alignment/>
    </xf>
    <xf numFmtId="0" fontId="0" fillId="0" borderId="0" xfId="0" applyNumberFormat="1" applyFont="1" applyAlignment="1">
      <alignment/>
    </xf>
    <xf numFmtId="0" fontId="0" fillId="0" borderId="10" xfId="0" applyFont="1" applyBorder="1" applyAlignment="1" quotePrefix="1">
      <alignment horizontal="left" wrapText="1"/>
    </xf>
    <xf numFmtId="0" fontId="6" fillId="0" borderId="19" xfId="0" applyFont="1" applyBorder="1" applyAlignment="1">
      <alignment horizontal="right" vertical="top"/>
    </xf>
    <xf numFmtId="0" fontId="6" fillId="0" borderId="37" xfId="0" applyFont="1" applyBorder="1" applyAlignment="1">
      <alignment horizontal="right" vertical="top"/>
    </xf>
    <xf numFmtId="0" fontId="0" fillId="34" borderId="26" xfId="0" applyFont="1" applyFill="1" applyBorder="1" applyAlignment="1">
      <alignment horizontal="left"/>
    </xf>
    <xf numFmtId="0" fontId="4" fillId="35" borderId="43" xfId="0" applyFont="1" applyFill="1" applyBorder="1" applyAlignment="1">
      <alignment horizontal="center" vertical="center"/>
    </xf>
    <xf numFmtId="4" fontId="4" fillId="35" borderId="44" xfId="0" applyNumberFormat="1" applyFont="1" applyFill="1" applyBorder="1" applyAlignment="1">
      <alignment horizontal="center" vertical="center" wrapText="1"/>
    </xf>
    <xf numFmtId="0" fontId="0" fillId="35" borderId="46" xfId="0" applyFont="1" applyFill="1" applyBorder="1" applyAlignment="1">
      <alignment/>
    </xf>
    <xf numFmtId="4" fontId="0" fillId="35" borderId="22" xfId="0" applyNumberFormat="1" applyFont="1" applyFill="1" applyBorder="1" applyAlignment="1">
      <alignment/>
    </xf>
    <xf numFmtId="4" fontId="9" fillId="35" borderId="11" xfId="0" applyNumberFormat="1" applyFont="1" applyFill="1" applyBorder="1" applyAlignment="1">
      <alignment horizontal="center"/>
    </xf>
    <xf numFmtId="4" fontId="8" fillId="35" borderId="47" xfId="0" applyNumberFormat="1" applyFont="1" applyFill="1" applyBorder="1" applyAlignment="1">
      <alignment horizontal="right"/>
    </xf>
    <xf numFmtId="0" fontId="0" fillId="35" borderId="48" xfId="0" applyFont="1" applyFill="1" applyBorder="1" applyAlignment="1">
      <alignment horizontal="left"/>
    </xf>
    <xf numFmtId="4" fontId="0" fillId="35" borderId="49" xfId="0" applyNumberFormat="1" applyFont="1" applyFill="1" applyBorder="1" applyAlignment="1">
      <alignment/>
    </xf>
    <xf numFmtId="4" fontId="9" fillId="35" borderId="50" xfId="0" applyNumberFormat="1" applyFont="1" applyFill="1" applyBorder="1" applyAlignment="1">
      <alignment horizontal="center"/>
    </xf>
    <xf numFmtId="4" fontId="8" fillId="35" borderId="51" xfId="0" applyNumberFormat="1" applyFont="1" applyFill="1" applyBorder="1" applyAlignment="1">
      <alignment horizontal="right"/>
    </xf>
    <xf numFmtId="0" fontId="6" fillId="0" borderId="10" xfId="0" applyFont="1" applyFill="1" applyBorder="1" applyAlignment="1" quotePrefix="1">
      <alignment horizontal="left" wrapText="1"/>
    </xf>
    <xf numFmtId="0" fontId="0" fillId="0" borderId="36" xfId="0" applyFont="1" applyFill="1" applyBorder="1" applyAlignment="1">
      <alignment horizontal="left" vertical="top" wrapText="1"/>
    </xf>
    <xf numFmtId="2" fontId="3" fillId="0" borderId="53" xfId="0" applyNumberFormat="1" applyFont="1" applyBorder="1" applyAlignment="1">
      <alignment/>
    </xf>
    <xf numFmtId="0" fontId="0" fillId="0" borderId="54" xfId="0" applyFont="1" applyBorder="1" applyAlignment="1">
      <alignment/>
    </xf>
    <xf numFmtId="0" fontId="0" fillId="0" borderId="18" xfId="0" applyFont="1" applyFill="1" applyBorder="1" applyAlignment="1" quotePrefix="1">
      <alignment horizontal="left"/>
    </xf>
    <xf numFmtId="0" fontId="0" fillId="0" borderId="18" xfId="0" applyFont="1" applyFill="1" applyBorder="1" applyAlignment="1" quotePrefix="1">
      <alignment horizontal="left" wrapText="1"/>
    </xf>
    <xf numFmtId="4" fontId="47" fillId="0" borderId="0" xfId="0" applyNumberFormat="1" applyFont="1" applyAlignment="1">
      <alignment/>
    </xf>
    <xf numFmtId="0" fontId="47" fillId="0" borderId="0" xfId="0" applyNumberFormat="1" applyFont="1" applyAlignment="1">
      <alignment/>
    </xf>
    <xf numFmtId="0" fontId="47" fillId="0" borderId="0" xfId="0" applyFont="1" applyAlignment="1">
      <alignment/>
    </xf>
    <xf numFmtId="2" fontId="47" fillId="0" borderId="0" xfId="0" applyNumberFormat="1" applyFont="1" applyAlignment="1">
      <alignment/>
    </xf>
    <xf numFmtId="2" fontId="6" fillId="0" borderId="19" xfId="0" applyNumberFormat="1" applyFont="1" applyBorder="1" applyAlignment="1">
      <alignment vertical="top"/>
    </xf>
    <xf numFmtId="0" fontId="4" fillId="0" borderId="22" xfId="0" applyFont="1" applyFill="1" applyBorder="1" applyAlignment="1">
      <alignment horizontal="left" wrapText="1"/>
    </xf>
    <xf numFmtId="165" fontId="4" fillId="33" borderId="28" xfId="0" applyNumberFormat="1" applyFont="1" applyFill="1" applyBorder="1" applyAlignment="1">
      <alignment horizontal="center" vertical="center" wrapText="1"/>
    </xf>
    <xf numFmtId="165" fontId="4" fillId="33" borderId="29" xfId="0" applyNumberFormat="1" applyFont="1" applyFill="1" applyBorder="1" applyAlignment="1">
      <alignment horizontal="center" vertical="center" wrapText="1"/>
    </xf>
    <xf numFmtId="4" fontId="4" fillId="35" borderId="45" xfId="0" applyNumberFormat="1" applyFont="1" applyFill="1" applyBorder="1" applyAlignment="1">
      <alignment horizontal="center" vertical="center" wrapText="1"/>
    </xf>
    <xf numFmtId="4" fontId="0" fillId="0" borderId="13" xfId="0" applyNumberFormat="1" applyFont="1" applyFill="1" applyBorder="1" applyAlignment="1">
      <alignment wrapText="1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left" wrapText="1"/>
    </xf>
    <xf numFmtId="0" fontId="0" fillId="0" borderId="12" xfId="0" applyFont="1" applyFill="1" applyBorder="1" applyAlignment="1">
      <alignment vertical="center" wrapText="1"/>
    </xf>
    <xf numFmtId="4" fontId="6" fillId="0" borderId="13" xfId="0" applyNumberFormat="1" applyFont="1" applyFill="1" applyBorder="1" applyAlignment="1">
      <alignment vertical="center" wrapText="1"/>
    </xf>
    <xf numFmtId="0" fontId="6" fillId="0" borderId="14" xfId="0" applyFont="1" applyBorder="1" applyAlignment="1">
      <alignment horizontal="left" vertical="center" wrapText="1"/>
    </xf>
    <xf numFmtId="4" fontId="0" fillId="0" borderId="13" xfId="0" applyNumberFormat="1" applyFont="1" applyFill="1" applyBorder="1" applyAlignment="1">
      <alignment vertical="center" wrapText="1"/>
    </xf>
    <xf numFmtId="0" fontId="0" fillId="0" borderId="14" xfId="0" applyFont="1" applyBorder="1" applyAlignment="1">
      <alignment horizontal="left" vertical="center" wrapText="1"/>
    </xf>
    <xf numFmtId="0" fontId="4" fillId="33" borderId="27" xfId="0" applyFont="1" applyFill="1" applyBorder="1" applyAlignment="1">
      <alignment vertical="center" wrapText="1"/>
    </xf>
    <xf numFmtId="0" fontId="0" fillId="0" borderId="0" xfId="0" applyAlignment="1" quotePrefix="1">
      <alignment horizontal="left"/>
    </xf>
    <xf numFmtId="165" fontId="4" fillId="33" borderId="44" xfId="0" applyNumberFormat="1" applyFont="1" applyFill="1" applyBorder="1" applyAlignment="1">
      <alignment horizontal="center" vertical="center" wrapText="1"/>
    </xf>
    <xf numFmtId="165" fontId="4" fillId="33" borderId="45" xfId="0" applyNumberFormat="1" applyFont="1" applyFill="1" applyBorder="1" applyAlignment="1">
      <alignment horizontal="center" vertical="center" wrapText="1"/>
    </xf>
    <xf numFmtId="0" fontId="4" fillId="33" borderId="54" xfId="0" applyFont="1" applyFill="1" applyBorder="1" applyAlignment="1">
      <alignment horizontal="center" vertical="center"/>
    </xf>
    <xf numFmtId="4" fontId="4" fillId="33" borderId="54" xfId="0" applyNumberFormat="1" applyFont="1" applyFill="1" applyBorder="1" applyAlignment="1">
      <alignment horizontal="center" vertical="center" wrapText="1"/>
    </xf>
    <xf numFmtId="4" fontId="3" fillId="33" borderId="54" xfId="0" applyNumberFormat="1" applyFont="1" applyFill="1" applyBorder="1" applyAlignment="1">
      <alignment horizontal="center" vertical="center" wrapText="1"/>
    </xf>
    <xf numFmtId="0" fontId="0" fillId="33" borderId="54" xfId="0" applyFont="1" applyFill="1" applyBorder="1" applyAlignment="1">
      <alignment/>
    </xf>
    <xf numFmtId="4" fontId="0" fillId="33" borderId="54" xfId="0" applyNumberFormat="1" applyFont="1" applyFill="1" applyBorder="1" applyAlignment="1">
      <alignment/>
    </xf>
    <xf numFmtId="4" fontId="9" fillId="33" borderId="54" xfId="0" applyNumberFormat="1" applyFont="1" applyFill="1" applyBorder="1" applyAlignment="1">
      <alignment horizontal="center"/>
    </xf>
    <xf numFmtId="0" fontId="0" fillId="33" borderId="54" xfId="0" applyFont="1" applyFill="1" applyBorder="1" applyAlignment="1">
      <alignment horizontal="left"/>
    </xf>
    <xf numFmtId="4" fontId="8" fillId="33" borderId="54" xfId="0" applyNumberFormat="1" applyFont="1" applyFill="1" applyBorder="1" applyAlignment="1">
      <alignment horizontal="center"/>
    </xf>
    <xf numFmtId="0" fontId="4" fillId="33" borderId="55" xfId="0" applyFont="1" applyFill="1" applyBorder="1" applyAlignment="1">
      <alignment wrapText="1"/>
    </xf>
    <xf numFmtId="0" fontId="4" fillId="33" borderId="56" xfId="0" applyFont="1" applyFill="1" applyBorder="1" applyAlignment="1">
      <alignment horizontal="center" vertical="center" wrapText="1"/>
    </xf>
    <xf numFmtId="165" fontId="3" fillId="33" borderId="56" xfId="0" applyNumberFormat="1" applyFont="1" applyFill="1" applyBorder="1" applyAlignment="1">
      <alignment horizontal="center" vertical="center" wrapText="1"/>
    </xf>
    <xf numFmtId="165" fontId="3" fillId="33" borderId="57" xfId="0" applyNumberFormat="1" applyFont="1" applyFill="1" applyBorder="1" applyAlignment="1">
      <alignment horizontal="center" vertical="center" wrapText="1"/>
    </xf>
    <xf numFmtId="0" fontId="0" fillId="33" borderId="58" xfId="0" applyFont="1" applyFill="1" applyBorder="1" applyAlignment="1">
      <alignment/>
    </xf>
    <xf numFmtId="4" fontId="8" fillId="33" borderId="59" xfId="0" applyNumberFormat="1" applyFont="1" applyFill="1" applyBorder="1" applyAlignment="1">
      <alignment horizontal="right"/>
    </xf>
    <xf numFmtId="0" fontId="0" fillId="33" borderId="60" xfId="0" applyFont="1" applyFill="1" applyBorder="1" applyAlignment="1">
      <alignment/>
    </xf>
    <xf numFmtId="4" fontId="6" fillId="33" borderId="61" xfId="0" applyNumberFormat="1" applyFont="1" applyFill="1" applyBorder="1" applyAlignment="1">
      <alignment/>
    </xf>
    <xf numFmtId="4" fontId="8" fillId="33" borderId="62" xfId="0" applyNumberFormat="1" applyFont="1" applyFill="1" applyBorder="1" applyAlignment="1">
      <alignment horizontal="center"/>
    </xf>
    <xf numFmtId="4" fontId="8" fillId="33" borderId="63" xfId="0" applyNumberFormat="1" applyFont="1" applyFill="1" applyBorder="1" applyAlignment="1">
      <alignment horizontal="right"/>
    </xf>
    <xf numFmtId="4" fontId="9" fillId="33" borderId="54" xfId="0" applyNumberFormat="1" applyFont="1" applyFill="1" applyBorder="1" applyAlignment="1">
      <alignment horizontal="right"/>
    </xf>
    <xf numFmtId="0" fontId="0" fillId="0" borderId="23" xfId="0" applyFont="1" applyBorder="1" applyAlignment="1" quotePrefix="1">
      <alignment horizontal="left" vertical="center" wrapText="1"/>
    </xf>
    <xf numFmtId="4" fontId="4" fillId="33" borderId="29" xfId="0" applyNumberFormat="1" applyFont="1" applyFill="1" applyBorder="1" applyAlignment="1">
      <alignment horizontal="center" vertical="center" wrapText="1"/>
    </xf>
    <xf numFmtId="0" fontId="0" fillId="0" borderId="18" xfId="0" applyFont="1" applyFill="1" applyBorder="1" applyAlignment="1" quotePrefix="1">
      <alignment horizontal="left" vertical="top" wrapText="1"/>
    </xf>
    <xf numFmtId="4" fontId="6" fillId="0" borderId="24" xfId="0" applyNumberFormat="1" applyFont="1" applyFill="1" applyBorder="1" applyAlignment="1" quotePrefix="1">
      <alignment horizontal="left" vertical="top" wrapText="1"/>
    </xf>
    <xf numFmtId="0" fontId="0" fillId="0" borderId="36" xfId="0" applyFont="1" applyFill="1" applyBorder="1" applyAlignment="1" quotePrefix="1">
      <alignment horizontal="left" vertical="top" wrapText="1"/>
    </xf>
    <xf numFmtId="0" fontId="6" fillId="0" borderId="22" xfId="0" applyFont="1" applyFill="1" applyBorder="1" applyAlignment="1">
      <alignment horizontal="left"/>
    </xf>
    <xf numFmtId="0" fontId="6" fillId="0" borderId="22" xfId="0" applyFont="1" applyFill="1" applyBorder="1" applyAlignment="1">
      <alignment horizontal="left" wrapText="1"/>
    </xf>
    <xf numFmtId="2" fontId="46" fillId="34" borderId="0" xfId="0" applyNumberFormat="1" applyFont="1" applyFill="1" applyAlignment="1">
      <alignment/>
    </xf>
    <xf numFmtId="0" fontId="46" fillId="0" borderId="0" xfId="0" applyFont="1" applyFill="1" applyBorder="1" applyAlignment="1">
      <alignment/>
    </xf>
    <xf numFmtId="164" fontId="46" fillId="0" borderId="0" xfId="0" applyNumberFormat="1" applyFont="1" applyBorder="1" applyAlignment="1">
      <alignment/>
    </xf>
    <xf numFmtId="0" fontId="48" fillId="0" borderId="0" xfId="0" applyFont="1" applyAlignment="1">
      <alignment/>
    </xf>
    <xf numFmtId="2" fontId="48" fillId="0" borderId="0" xfId="0" applyNumberFormat="1" applyFont="1" applyAlignment="1">
      <alignment/>
    </xf>
    <xf numFmtId="0" fontId="4" fillId="33" borderId="64" xfId="0" applyFont="1" applyFill="1" applyBorder="1" applyAlignment="1">
      <alignment horizontal="left" wrapText="1"/>
    </xf>
    <xf numFmtId="0" fontId="3" fillId="33" borderId="11" xfId="0" applyFont="1" applyFill="1" applyBorder="1" applyAlignment="1">
      <alignment horizontal="left" wrapText="1"/>
    </xf>
    <xf numFmtId="0" fontId="3" fillId="0" borderId="25" xfId="0" applyFont="1" applyFill="1" applyBorder="1" applyAlignment="1">
      <alignment wrapText="1"/>
    </xf>
    <xf numFmtId="0" fontId="3" fillId="0" borderId="11" xfId="0" applyFont="1" applyFill="1" applyBorder="1" applyAlignment="1">
      <alignment horizontal="left" wrapText="1"/>
    </xf>
    <xf numFmtId="0" fontId="3" fillId="0" borderId="11" xfId="0" applyFont="1" applyFill="1" applyBorder="1" applyAlignment="1">
      <alignment wrapText="1"/>
    </xf>
    <xf numFmtId="0" fontId="3" fillId="33" borderId="25" xfId="0" applyFont="1" applyFill="1" applyBorder="1" applyAlignment="1">
      <alignment wrapText="1"/>
    </xf>
    <xf numFmtId="0" fontId="3" fillId="33" borderId="25" xfId="0" applyFont="1" applyFill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 quotePrefix="1">
      <alignment horizontal="center"/>
    </xf>
    <xf numFmtId="0" fontId="4" fillId="0" borderId="0" xfId="0" applyFont="1" applyBorder="1" applyAlignment="1">
      <alignment horizontal="left" wrapText="1"/>
    </xf>
    <xf numFmtId="4" fontId="4" fillId="33" borderId="45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styles" Target="styles.xml" /><Relationship Id="rId68" Type="http://schemas.openxmlformats.org/officeDocument/2006/relationships/sharedStrings" Target="sharedStrings.xml" /><Relationship Id="rId6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5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6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7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8.bin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9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6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0.bin" /></Relationships>
</file>

<file path=xl/worksheets/_rels/sheet6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1.bin" /></Relationships>
</file>

<file path=xl/worksheets/_rels/sheet6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2.bin" /></Relationships>
</file>

<file path=xl/worksheets/_rels/sheet6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3.bin" /></Relationships>
</file>

<file path=xl/worksheets/_rels/sheet6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4.bin" /></Relationships>
</file>

<file path=xl/worksheets/_rels/sheet6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5.bin" /></Relationships>
</file>

<file path=xl/worksheets/_rels/sheet6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0"/>
  <sheetViews>
    <sheetView zoomScale="80" zoomScaleNormal="80" zoomScalePageLayoutView="0" workbookViewId="0" topLeftCell="A1">
      <selection activeCell="E14" sqref="E14:E62"/>
    </sheetView>
  </sheetViews>
  <sheetFormatPr defaultColWidth="11.57421875" defaultRowHeight="12.75"/>
  <cols>
    <col min="1" max="1" width="55.7109375" style="0" customWidth="1"/>
    <col min="2" max="2" width="13.8515625" style="0" customWidth="1"/>
    <col min="3" max="3" width="25.140625" style="0" customWidth="1"/>
    <col min="4" max="4" width="18.421875" style="0" customWidth="1"/>
    <col min="5" max="5" width="16.8515625" style="1" customWidth="1"/>
    <col min="6" max="7" width="0" style="1" hidden="1" customWidth="1"/>
    <col min="8" max="8" width="11.57421875" style="1" customWidth="1"/>
    <col min="9" max="9" width="5.28125" style="1" customWidth="1"/>
    <col min="10" max="10" width="30.00390625" style="1" customWidth="1"/>
    <col min="11" max="12" width="23.28125" style="0" customWidth="1"/>
    <col min="13" max="13" width="6.57421875" style="0" customWidth="1"/>
    <col min="14" max="14" width="7.00390625" style="0" customWidth="1"/>
  </cols>
  <sheetData>
    <row r="1" spans="1:4" ht="18">
      <c r="A1" s="265" t="s">
        <v>0</v>
      </c>
      <c r="B1" s="265"/>
      <c r="C1" s="265"/>
      <c r="D1" s="265"/>
    </row>
    <row r="2" spans="1:4" ht="15.75">
      <c r="A2" s="266" t="s">
        <v>1</v>
      </c>
      <c r="B2" s="266"/>
      <c r="C2" s="266"/>
      <c r="D2" s="266"/>
    </row>
    <row r="3" spans="1:4" ht="15.75">
      <c r="A3" s="266" t="s">
        <v>2</v>
      </c>
      <c r="B3" s="266"/>
      <c r="C3" s="266"/>
      <c r="D3" s="266"/>
    </row>
    <row r="4" spans="1:4" ht="12.75">
      <c r="A4" s="267" t="s">
        <v>143</v>
      </c>
      <c r="B4" s="267"/>
      <c r="C4" s="267"/>
      <c r="D4" s="267"/>
    </row>
    <row r="5" spans="1:4" ht="12.75">
      <c r="A5" s="268" t="s">
        <v>171</v>
      </c>
      <c r="B5" s="267"/>
      <c r="C5" s="267"/>
      <c r="D5" s="267"/>
    </row>
    <row r="6" ht="9" customHeight="1">
      <c r="A6" s="2"/>
    </row>
    <row r="7" spans="1:4" ht="33.75" customHeight="1">
      <c r="A7" s="269" t="s">
        <v>4</v>
      </c>
      <c r="B7" s="269"/>
      <c r="C7" s="269"/>
      <c r="D7" s="269"/>
    </row>
    <row r="8" spans="1:3" ht="12.75">
      <c r="A8" s="178" t="s">
        <v>175</v>
      </c>
      <c r="C8" s="3"/>
    </row>
    <row r="9" spans="1:8" ht="12.75">
      <c r="A9" s="4" t="s">
        <v>5</v>
      </c>
      <c r="B9" s="4" t="s">
        <v>6</v>
      </c>
      <c r="C9" s="4" t="s">
        <v>7</v>
      </c>
      <c r="D9" s="5"/>
      <c r="E9" s="132"/>
      <c r="F9" s="132"/>
      <c r="G9" s="132"/>
      <c r="H9" s="132"/>
    </row>
    <row r="10" spans="1:8" ht="12.75">
      <c r="A10" s="6">
        <v>1</v>
      </c>
      <c r="B10" s="6">
        <v>2</v>
      </c>
      <c r="C10" s="6">
        <v>3</v>
      </c>
      <c r="D10" s="7">
        <v>4</v>
      </c>
      <c r="E10" s="132"/>
      <c r="F10" s="132"/>
      <c r="G10" s="132"/>
      <c r="H10" s="132"/>
    </row>
    <row r="11" spans="1:8" ht="12.75">
      <c r="A11" s="8" t="s">
        <v>8</v>
      </c>
      <c r="B11" s="9"/>
      <c r="C11" s="177" t="s">
        <v>172</v>
      </c>
      <c r="D11" s="10"/>
      <c r="E11" s="132"/>
      <c r="F11" s="132"/>
      <c r="G11" s="132"/>
      <c r="H11" s="132"/>
    </row>
    <row r="12" spans="1:8" ht="12.75">
      <c r="A12" s="8" t="s">
        <v>10</v>
      </c>
      <c r="B12" s="9"/>
      <c r="C12" s="177" t="s">
        <v>173</v>
      </c>
      <c r="D12" s="10"/>
      <c r="E12" s="132"/>
      <c r="F12" s="132"/>
      <c r="G12" s="132"/>
      <c r="H12" s="132"/>
    </row>
    <row r="13" spans="1:8" ht="12.75">
      <c r="A13" s="8" t="s">
        <v>12</v>
      </c>
      <c r="B13" s="9"/>
      <c r="C13" s="177" t="s">
        <v>174</v>
      </c>
      <c r="D13" s="10"/>
      <c r="E13" s="132"/>
      <c r="F13" s="132"/>
      <c r="G13" s="132"/>
      <c r="H13" s="132"/>
    </row>
    <row r="14" spans="1:8" ht="31.5" customHeight="1">
      <c r="A14" s="259" t="s">
        <v>14</v>
      </c>
      <c r="B14" s="259"/>
      <c r="C14" s="259"/>
      <c r="D14" s="259"/>
      <c r="E14" s="132"/>
      <c r="F14" s="132"/>
      <c r="G14" s="132"/>
      <c r="H14" s="132"/>
    </row>
    <row r="15" spans="1:8" ht="25.5">
      <c r="A15" s="11" t="s">
        <v>15</v>
      </c>
      <c r="B15" s="12" t="s">
        <v>16</v>
      </c>
      <c r="C15" s="13">
        <v>27493.78</v>
      </c>
      <c r="D15" s="14"/>
      <c r="E15" s="132"/>
      <c r="F15" s="132"/>
      <c r="G15" s="132"/>
      <c r="H15" s="132"/>
    </row>
    <row r="16" spans="1:8" ht="15">
      <c r="A16" s="8" t="s">
        <v>17</v>
      </c>
      <c r="B16" s="12" t="s">
        <v>16</v>
      </c>
      <c r="C16" s="13">
        <v>0</v>
      </c>
      <c r="D16" s="14"/>
      <c r="E16" s="132"/>
      <c r="F16" s="132"/>
      <c r="G16" s="132"/>
      <c r="H16" s="132"/>
    </row>
    <row r="17" spans="1:8" ht="15">
      <c r="A17" s="8" t="s">
        <v>18</v>
      </c>
      <c r="B17" s="12" t="s">
        <v>16</v>
      </c>
      <c r="C17" s="15">
        <v>18033.41</v>
      </c>
      <c r="D17" s="16"/>
      <c r="E17" s="132" t="e">
        <f>B17/12/1022.6</f>
        <v>#VALUE!</v>
      </c>
      <c r="F17" s="132"/>
      <c r="G17" s="132"/>
      <c r="H17" s="132"/>
    </row>
    <row r="18" spans="1:8" ht="31.5" customHeight="1">
      <c r="A18" s="17" t="s">
        <v>19</v>
      </c>
      <c r="B18" s="12" t="s">
        <v>16</v>
      </c>
      <c r="C18" s="15">
        <v>50362.74</v>
      </c>
      <c r="D18" s="16"/>
      <c r="E18" s="133">
        <f>C18-C20</f>
        <v>46351.842</v>
      </c>
      <c r="F18" s="132"/>
      <c r="G18" s="132"/>
      <c r="H18" s="132"/>
    </row>
    <row r="19" spans="1:8" ht="15">
      <c r="A19" s="8" t="s">
        <v>20</v>
      </c>
      <c r="B19" s="12" t="s">
        <v>16</v>
      </c>
      <c r="C19" s="15">
        <f>C18-C20-C21</f>
        <v>29972.609999999997</v>
      </c>
      <c r="D19" s="16"/>
      <c r="E19" s="133">
        <f>E18-E44</f>
        <v>0.006000000001222361</v>
      </c>
      <c r="F19" s="132"/>
      <c r="G19" s="132"/>
      <c r="H19" s="132"/>
    </row>
    <row r="20" spans="1:8" ht="15">
      <c r="A20" s="8" t="s">
        <v>21</v>
      </c>
      <c r="B20" s="12" t="s">
        <v>16</v>
      </c>
      <c r="C20" s="15">
        <f>(1.3+1.09)*6*279.7</f>
        <v>4010.8979999999997</v>
      </c>
      <c r="D20" s="16"/>
      <c r="E20" s="134"/>
      <c r="F20" s="132"/>
      <c r="G20" s="132"/>
      <c r="H20" s="132"/>
    </row>
    <row r="21" spans="1:8" ht="15">
      <c r="A21" s="8" t="s">
        <v>22</v>
      </c>
      <c r="B21" s="12" t="s">
        <v>16</v>
      </c>
      <c r="C21" s="20">
        <f>279.7*4.88*12</f>
        <v>16379.232</v>
      </c>
      <c r="D21" s="16"/>
      <c r="E21" s="132"/>
      <c r="F21" s="132"/>
      <c r="G21" s="132"/>
      <c r="H21" s="132"/>
    </row>
    <row r="22" spans="1:8" ht="15">
      <c r="A22" s="21" t="s">
        <v>23</v>
      </c>
      <c r="B22" s="12" t="s">
        <v>16</v>
      </c>
      <c r="C22" s="15">
        <f>C23+C24+C25+C26+C27</f>
        <v>41560.33444948525</v>
      </c>
      <c r="D22" s="16" t="s">
        <v>24</v>
      </c>
      <c r="E22" s="133" t="e">
        <f>B24+B25+B26+B27+B28</f>
        <v>#VALUE!</v>
      </c>
      <c r="F22" s="132"/>
      <c r="G22" s="132"/>
      <c r="H22" s="132"/>
    </row>
    <row r="23" spans="1:8" ht="15">
      <c r="A23" s="8" t="s">
        <v>25</v>
      </c>
      <c r="B23" s="12" t="s">
        <v>16</v>
      </c>
      <c r="C23" s="15">
        <f>C18*0.80783685418</f>
        <v>40684.87744948525</v>
      </c>
      <c r="D23" s="16"/>
      <c r="E23" s="132"/>
      <c r="F23" s="132"/>
      <c r="G23" s="132"/>
      <c r="H23" s="132"/>
    </row>
    <row r="24" spans="1:8" ht="15">
      <c r="A24" s="8" t="s">
        <v>26</v>
      </c>
      <c r="B24" s="12" t="s">
        <v>16</v>
      </c>
      <c r="C24" s="15">
        <v>0</v>
      </c>
      <c r="D24" s="22">
        <v>65.21</v>
      </c>
      <c r="E24" s="134" t="e">
        <f>B24/#REF!*1</f>
        <v>#VALUE!</v>
      </c>
      <c r="F24" s="132"/>
      <c r="G24" s="132"/>
      <c r="H24" s="132" t="s">
        <v>27</v>
      </c>
    </row>
    <row r="25" spans="1:8" ht="15">
      <c r="A25" s="8" t="s">
        <v>28</v>
      </c>
      <c r="B25" s="12" t="s">
        <v>16</v>
      </c>
      <c r="C25" s="15">
        <v>0</v>
      </c>
      <c r="D25" s="22">
        <v>119.63</v>
      </c>
      <c r="E25" s="134" t="e">
        <f>B25/#REF!*1</f>
        <v>#VALUE!</v>
      </c>
      <c r="F25" s="132"/>
      <c r="G25" s="132"/>
      <c r="H25" s="132"/>
    </row>
    <row r="26" spans="1:8" ht="15">
      <c r="A26" s="9" t="s">
        <v>29</v>
      </c>
      <c r="B26" s="12" t="s">
        <v>16</v>
      </c>
      <c r="C26" s="15">
        <v>0</v>
      </c>
      <c r="D26" s="22"/>
      <c r="E26" s="134" t="e">
        <f>B26/#REF!*1</f>
        <v>#VALUE!</v>
      </c>
      <c r="F26" s="132"/>
      <c r="G26" s="132"/>
      <c r="H26" s="132"/>
    </row>
    <row r="27" spans="1:8" ht="16.5" customHeight="1">
      <c r="A27" s="116" t="s">
        <v>112</v>
      </c>
      <c r="B27" s="12" t="s">
        <v>16</v>
      </c>
      <c r="C27" s="15">
        <f>(1.09+1.3)*6*61.05</f>
        <v>875.457</v>
      </c>
      <c r="D27" s="22">
        <v>139.18</v>
      </c>
      <c r="E27" s="134" t="e">
        <f>B27/#REF!*1</f>
        <v>#VALUE!</v>
      </c>
      <c r="F27" s="132"/>
      <c r="G27" s="132"/>
      <c r="H27" s="132"/>
    </row>
    <row r="28" spans="1:8" ht="15">
      <c r="A28" s="8" t="s">
        <v>31</v>
      </c>
      <c r="B28" s="12" t="s">
        <v>16</v>
      </c>
      <c r="C28" s="15">
        <f>C15+C22</f>
        <v>69054.11444948525</v>
      </c>
      <c r="D28" s="16" t="s">
        <v>32</v>
      </c>
      <c r="E28" s="134" t="e">
        <f>B28/#REF!*1</f>
        <v>#VALUE!</v>
      </c>
      <c r="F28" s="132"/>
      <c r="G28" s="132"/>
      <c r="H28" s="132"/>
    </row>
    <row r="29" spans="1:8" ht="35.25" customHeight="1">
      <c r="A29" s="260" t="s">
        <v>33</v>
      </c>
      <c r="B29" s="260"/>
      <c r="C29" s="260"/>
      <c r="D29" s="260"/>
      <c r="E29" s="132"/>
      <c r="F29" s="132"/>
      <c r="G29" s="132"/>
      <c r="H29" s="132"/>
    </row>
    <row r="30" spans="1:8" ht="51">
      <c r="A30" s="218" t="s">
        <v>34</v>
      </c>
      <c r="B30" s="221" t="s">
        <v>35</v>
      </c>
      <c r="C30" s="216" t="s">
        <v>36</v>
      </c>
      <c r="D30" s="222" t="s">
        <v>37</v>
      </c>
      <c r="E30" s="132"/>
      <c r="F30" s="132"/>
      <c r="G30" s="132"/>
      <c r="H30" s="132"/>
    </row>
    <row r="31" spans="1:8" ht="15">
      <c r="A31" s="27" t="s">
        <v>38</v>
      </c>
      <c r="B31" s="28" t="s">
        <v>39</v>
      </c>
      <c r="C31" s="29" t="s">
        <v>40</v>
      </c>
      <c r="D31" s="107">
        <f>(0.16+0.17)*6*279.7</f>
        <v>553.8059999999999</v>
      </c>
      <c r="E31" s="132"/>
      <c r="F31" s="132"/>
      <c r="G31" s="132"/>
      <c r="H31" s="132"/>
    </row>
    <row r="32" spans="1:8" ht="15">
      <c r="A32" s="31" t="s">
        <v>84</v>
      </c>
      <c r="B32" s="32" t="s">
        <v>85</v>
      </c>
      <c r="C32" s="33" t="s">
        <v>86</v>
      </c>
      <c r="D32" s="108">
        <f>(2.34+2.45)*6*279.7</f>
        <v>8038.578</v>
      </c>
      <c r="E32" s="132"/>
      <c r="F32" s="132"/>
      <c r="G32" s="132"/>
      <c r="H32" s="132"/>
    </row>
    <row r="33" spans="1:8" ht="15">
      <c r="A33" s="31" t="s">
        <v>41</v>
      </c>
      <c r="B33" s="32" t="s">
        <v>42</v>
      </c>
      <c r="C33" s="33" t="s">
        <v>43</v>
      </c>
      <c r="D33" s="34">
        <f>(3+3.03)*6*279.7</f>
        <v>10119.545999999997</v>
      </c>
      <c r="E33" s="132"/>
      <c r="F33" s="132"/>
      <c r="G33" s="132"/>
      <c r="H33" s="132"/>
    </row>
    <row r="34" spans="1:8" ht="15">
      <c r="A34" s="31" t="s">
        <v>44</v>
      </c>
      <c r="B34" s="32" t="s">
        <v>39</v>
      </c>
      <c r="C34" s="33" t="s">
        <v>45</v>
      </c>
      <c r="D34" s="108">
        <f>(0.2+0.21)*6*279.7</f>
        <v>688.062</v>
      </c>
      <c r="E34" s="132"/>
      <c r="F34" s="132"/>
      <c r="G34" s="132"/>
      <c r="H34" s="132"/>
    </row>
    <row r="35" spans="1:8" ht="15">
      <c r="A35" s="31" t="s">
        <v>88</v>
      </c>
      <c r="B35" s="105" t="s">
        <v>87</v>
      </c>
      <c r="C35" s="33" t="s">
        <v>40</v>
      </c>
      <c r="D35" s="108">
        <f>(0.74+0.77)*6*279.7</f>
        <v>2534.082</v>
      </c>
      <c r="E35" s="132"/>
      <c r="F35" s="132"/>
      <c r="G35" s="132"/>
      <c r="H35" s="132"/>
    </row>
    <row r="36" spans="1:8" ht="15">
      <c r="A36" s="31" t="s">
        <v>123</v>
      </c>
      <c r="B36" s="32" t="s">
        <v>39</v>
      </c>
      <c r="C36" s="33" t="s">
        <v>40</v>
      </c>
      <c r="D36" s="108">
        <f>(0.77+0.81)*6*279.7</f>
        <v>2651.556</v>
      </c>
      <c r="E36" s="132"/>
      <c r="F36" s="132"/>
      <c r="G36" s="132"/>
      <c r="H36" s="132"/>
    </row>
    <row r="37" spans="1:8" ht="30">
      <c r="A37" s="31" t="s">
        <v>90</v>
      </c>
      <c r="B37" s="106" t="s">
        <v>91</v>
      </c>
      <c r="C37" s="33" t="s">
        <v>40</v>
      </c>
      <c r="D37" s="108">
        <f>(1.27+1.3)*6*279.7</f>
        <v>4312.974</v>
      </c>
      <c r="E37" s="132"/>
      <c r="F37" s="132"/>
      <c r="G37" s="132"/>
      <c r="H37" s="132"/>
    </row>
    <row r="38" spans="1:8" ht="15">
      <c r="A38" s="31" t="s">
        <v>46</v>
      </c>
      <c r="B38" s="32" t="s">
        <v>42</v>
      </c>
      <c r="C38" s="35" t="s">
        <v>47</v>
      </c>
      <c r="D38" s="108">
        <f>4.88*279.7*12</f>
        <v>16379.232</v>
      </c>
      <c r="E38" s="132"/>
      <c r="F38" s="132"/>
      <c r="G38" s="132"/>
      <c r="H38" s="132"/>
    </row>
    <row r="39" spans="1:14" s="1" customFormat="1" ht="45">
      <c r="A39" s="36" t="s">
        <v>95</v>
      </c>
      <c r="B39" s="37" t="s">
        <v>96</v>
      </c>
      <c r="C39" s="29" t="s">
        <v>97</v>
      </c>
      <c r="D39" s="39">
        <v>1074</v>
      </c>
      <c r="E39" s="132"/>
      <c r="F39" s="132"/>
      <c r="G39" s="132"/>
      <c r="H39" s="132"/>
      <c r="K39"/>
      <c r="L39"/>
      <c r="M39"/>
      <c r="N39"/>
    </row>
    <row r="40" spans="1:14" s="1" customFormat="1" ht="75">
      <c r="A40" s="250" t="s">
        <v>301</v>
      </c>
      <c r="B40" s="110" t="s">
        <v>49</v>
      </c>
      <c r="C40" s="29"/>
      <c r="D40" s="179">
        <v>11129.32</v>
      </c>
      <c r="E40" s="132"/>
      <c r="F40" s="132"/>
      <c r="G40" s="132"/>
      <c r="H40" s="132"/>
      <c r="K40"/>
      <c r="L40"/>
      <c r="M40"/>
      <c r="N40"/>
    </row>
    <row r="41" spans="1:14" s="1" customFormat="1" ht="15">
      <c r="A41" s="182" t="s">
        <v>180</v>
      </c>
      <c r="B41" s="110" t="s">
        <v>181</v>
      </c>
      <c r="C41" s="33" t="s">
        <v>40</v>
      </c>
      <c r="D41" s="112">
        <v>765</v>
      </c>
      <c r="E41" s="132"/>
      <c r="F41" s="132"/>
      <c r="G41" s="132"/>
      <c r="H41" s="132"/>
      <c r="K41"/>
      <c r="L41"/>
      <c r="M41"/>
      <c r="N41"/>
    </row>
    <row r="42" spans="1:14" s="1" customFormat="1" ht="30">
      <c r="A42" s="109" t="s">
        <v>182</v>
      </c>
      <c r="B42" s="110" t="s">
        <v>184</v>
      </c>
      <c r="C42" s="181" t="s">
        <v>183</v>
      </c>
      <c r="D42" s="112">
        <v>9868.32</v>
      </c>
      <c r="E42" s="132"/>
      <c r="F42" s="132"/>
      <c r="G42" s="132"/>
      <c r="H42" s="132"/>
      <c r="K42"/>
      <c r="L42"/>
      <c r="M42"/>
      <c r="N42"/>
    </row>
    <row r="43" spans="1:14" s="1" customFormat="1" ht="15">
      <c r="A43" s="109" t="s">
        <v>185</v>
      </c>
      <c r="B43" s="110" t="s">
        <v>186</v>
      </c>
      <c r="C43" s="33" t="s">
        <v>40</v>
      </c>
      <c r="D43" s="112">
        <v>496</v>
      </c>
      <c r="E43" s="132"/>
      <c r="F43" s="132"/>
      <c r="G43" s="132"/>
      <c r="H43" s="132"/>
      <c r="K43"/>
      <c r="L43"/>
      <c r="M43"/>
      <c r="N43"/>
    </row>
    <row r="44" spans="1:14" s="1" customFormat="1" ht="15.75">
      <c r="A44" s="40" t="s">
        <v>50</v>
      </c>
      <c r="B44" s="41"/>
      <c r="C44" s="42"/>
      <c r="D44" s="113">
        <f>D31+D32+D33+D34+D35+D36+D37+D38+D39+D40</f>
        <v>57481.155999999995</v>
      </c>
      <c r="E44" s="253">
        <f>D44-D40</f>
        <v>46351.835999999996</v>
      </c>
      <c r="F44" s="132"/>
      <c r="G44" s="132"/>
      <c r="H44" s="132"/>
      <c r="K44"/>
      <c r="L44"/>
      <c r="M44"/>
      <c r="N44"/>
    </row>
    <row r="45" spans="1:14" s="1" customFormat="1" ht="25.5">
      <c r="A45" s="211" t="s">
        <v>51</v>
      </c>
      <c r="B45" s="44" t="s">
        <v>16</v>
      </c>
      <c r="C45" s="45"/>
      <c r="D45" s="46">
        <f>C15+C20*0.8078+C26-D39</f>
        <v>29659.783404399997</v>
      </c>
      <c r="E45" s="135"/>
      <c r="F45" s="132"/>
      <c r="G45" s="132"/>
      <c r="H45" s="132"/>
      <c r="K45"/>
      <c r="L45"/>
      <c r="M45"/>
      <c r="N45"/>
    </row>
    <row r="46" spans="1:14" s="1" customFormat="1" ht="15">
      <c r="A46" s="48" t="s">
        <v>17</v>
      </c>
      <c r="B46" s="49" t="s">
        <v>16</v>
      </c>
      <c r="C46" s="33"/>
      <c r="D46" s="14">
        <v>0</v>
      </c>
      <c r="E46" s="132"/>
      <c r="F46" s="132"/>
      <c r="G46" s="132"/>
      <c r="H46" s="132"/>
      <c r="K46"/>
      <c r="L46"/>
      <c r="M46"/>
      <c r="N46"/>
    </row>
    <row r="47" spans="1:14" s="1" customFormat="1" ht="15">
      <c r="A47" s="48" t="s">
        <v>18</v>
      </c>
      <c r="B47" s="49" t="s">
        <v>16</v>
      </c>
      <c r="C47" s="33"/>
      <c r="D47" s="14">
        <v>27711.27</v>
      </c>
      <c r="E47" s="132"/>
      <c r="F47" s="132"/>
      <c r="G47" s="132"/>
      <c r="H47" s="132"/>
      <c r="K47"/>
      <c r="L47"/>
      <c r="M47"/>
      <c r="N47"/>
    </row>
    <row r="48" spans="1:14" s="1" customFormat="1" ht="24" customHeight="1">
      <c r="A48" s="261" t="s">
        <v>52</v>
      </c>
      <c r="B48" s="261"/>
      <c r="C48" s="261"/>
      <c r="D48" s="261"/>
      <c r="E48" s="132"/>
      <c r="F48" s="132"/>
      <c r="G48" s="132"/>
      <c r="H48" s="132"/>
      <c r="K48"/>
      <c r="L48"/>
      <c r="M48"/>
      <c r="N48"/>
    </row>
    <row r="49" spans="1:14" s="1" customFormat="1" ht="15">
      <c r="A49" s="48" t="s">
        <v>53</v>
      </c>
      <c r="B49" s="32" t="s">
        <v>54</v>
      </c>
      <c r="C49" s="33">
        <v>0</v>
      </c>
      <c r="D49" s="14">
        <v>0</v>
      </c>
      <c r="E49" s="132"/>
      <c r="F49" s="132"/>
      <c r="G49" s="132"/>
      <c r="H49" s="132"/>
      <c r="K49"/>
      <c r="L49"/>
      <c r="M49"/>
      <c r="N49"/>
    </row>
    <row r="50" spans="1:14" s="1" customFormat="1" ht="15">
      <c r="A50" s="48" t="s">
        <v>55</v>
      </c>
      <c r="B50" s="32" t="s">
        <v>54</v>
      </c>
      <c r="C50" s="33">
        <v>0</v>
      </c>
      <c r="D50" s="14">
        <v>0</v>
      </c>
      <c r="E50" s="132"/>
      <c r="F50" s="132"/>
      <c r="G50" s="132"/>
      <c r="H50" s="132"/>
      <c r="K50"/>
      <c r="L50"/>
      <c r="M50"/>
      <c r="N50"/>
    </row>
    <row r="51" spans="1:14" s="1" customFormat="1" ht="15">
      <c r="A51" s="50" t="s">
        <v>56</v>
      </c>
      <c r="B51" s="32" t="s">
        <v>54</v>
      </c>
      <c r="C51" s="33">
        <v>0</v>
      </c>
      <c r="D51" s="14">
        <v>0</v>
      </c>
      <c r="E51" s="132"/>
      <c r="F51" s="132"/>
      <c r="G51" s="132"/>
      <c r="H51" s="132"/>
      <c r="K51"/>
      <c r="L51"/>
      <c r="M51"/>
      <c r="N51"/>
    </row>
    <row r="52" spans="1:14" s="1" customFormat="1" ht="15">
      <c r="A52" s="48" t="s">
        <v>57</v>
      </c>
      <c r="B52" s="32" t="s">
        <v>16</v>
      </c>
      <c r="C52" s="33">
        <v>0</v>
      </c>
      <c r="D52" s="14">
        <v>0</v>
      </c>
      <c r="E52" s="132"/>
      <c r="F52" s="132"/>
      <c r="G52" s="132"/>
      <c r="H52" s="132"/>
      <c r="K52"/>
      <c r="L52"/>
      <c r="M52"/>
      <c r="N52"/>
    </row>
    <row r="53" spans="1:8" ht="20.25" customHeight="1">
      <c r="A53" s="262" t="s">
        <v>58</v>
      </c>
      <c r="B53" s="262"/>
      <c r="C53" s="262"/>
      <c r="D53" s="262"/>
      <c r="E53" s="132"/>
      <c r="F53" s="132"/>
      <c r="G53" s="132"/>
      <c r="H53" s="132"/>
    </row>
    <row r="54" spans="1:8" ht="25.5">
      <c r="A54" s="50" t="s">
        <v>59</v>
      </c>
      <c r="B54" s="32" t="s">
        <v>16</v>
      </c>
      <c r="C54" s="33"/>
      <c r="D54" s="14">
        <v>0</v>
      </c>
      <c r="E54" s="132"/>
      <c r="F54" s="132"/>
      <c r="G54" s="132"/>
      <c r="H54" s="132"/>
    </row>
    <row r="55" spans="1:8" ht="15">
      <c r="A55" s="48" t="s">
        <v>17</v>
      </c>
      <c r="B55" s="32" t="s">
        <v>16</v>
      </c>
      <c r="C55" s="33"/>
      <c r="D55" s="14">
        <v>0</v>
      </c>
      <c r="E55" s="132"/>
      <c r="F55" s="132"/>
      <c r="G55" s="132"/>
      <c r="H55" s="132"/>
    </row>
    <row r="56" spans="1:8" ht="15">
      <c r="A56" s="48" t="s">
        <v>18</v>
      </c>
      <c r="B56" s="32" t="s">
        <v>16</v>
      </c>
      <c r="C56" s="33"/>
      <c r="D56" s="51">
        <f>D59-D62-D63-D64</f>
        <v>52438.464797999986</v>
      </c>
      <c r="E56" s="132"/>
      <c r="F56" s="132"/>
      <c r="G56" s="132"/>
      <c r="H56" s="136"/>
    </row>
    <row r="57" spans="1:8" ht="25.5">
      <c r="A57" s="53" t="s">
        <v>60</v>
      </c>
      <c r="B57" s="32" t="s">
        <v>16</v>
      </c>
      <c r="C57" s="54"/>
      <c r="D57" s="55">
        <v>0</v>
      </c>
      <c r="E57" s="132"/>
      <c r="F57" s="132"/>
      <c r="G57" s="132"/>
      <c r="H57" s="132"/>
    </row>
    <row r="58" spans="1:10" ht="17.25" customHeight="1">
      <c r="A58" s="246" t="s">
        <v>288</v>
      </c>
      <c r="B58" s="32" t="s">
        <v>16</v>
      </c>
      <c r="C58" s="54"/>
      <c r="D58" s="55">
        <v>0</v>
      </c>
      <c r="E58" s="132"/>
      <c r="F58" s="132"/>
      <c r="G58" s="132"/>
      <c r="H58" s="132"/>
      <c r="I58" s="52"/>
      <c r="J58" s="52"/>
    </row>
    <row r="59" spans="1:14" ht="15">
      <c r="A59" s="59" t="s">
        <v>18</v>
      </c>
      <c r="B59" s="32" t="s">
        <v>16</v>
      </c>
      <c r="C59" s="60"/>
      <c r="D59" s="61">
        <v>80588.54</v>
      </c>
      <c r="E59" s="132"/>
      <c r="F59" s="132"/>
      <c r="G59" s="132"/>
      <c r="H59" s="132" t="s">
        <v>32</v>
      </c>
      <c r="I59" s="63"/>
      <c r="J59" s="63"/>
      <c r="K59" s="64"/>
      <c r="L59" s="64"/>
      <c r="M59" s="64"/>
      <c r="N59" s="64"/>
    </row>
    <row r="60" spans="1:14" ht="18" customHeight="1">
      <c r="A60" s="263" t="s">
        <v>61</v>
      </c>
      <c r="B60" s="263"/>
      <c r="C60" s="263"/>
      <c r="D60" s="263"/>
      <c r="E60" s="137"/>
      <c r="F60" s="138"/>
      <c r="G60" s="139"/>
      <c r="H60" s="132"/>
      <c r="I60" s="68"/>
      <c r="J60" s="68"/>
      <c r="K60" s="69"/>
      <c r="L60" s="69"/>
      <c r="M60" s="69"/>
      <c r="N60" s="69"/>
    </row>
    <row r="61" spans="1:14" ht="38.25">
      <c r="A61" s="70" t="s">
        <v>62</v>
      </c>
      <c r="B61" s="71" t="s">
        <v>63</v>
      </c>
      <c r="C61" s="212" t="s">
        <v>64</v>
      </c>
      <c r="D61" s="213" t="s">
        <v>65</v>
      </c>
      <c r="E61" s="137"/>
      <c r="F61" s="138"/>
      <c r="G61" s="139"/>
      <c r="H61" s="132"/>
      <c r="I61" s="68"/>
      <c r="J61" s="74"/>
      <c r="K61" s="69"/>
      <c r="L61" s="69"/>
      <c r="M61" s="69"/>
      <c r="N61" s="69"/>
    </row>
    <row r="62" spans="1:14" ht="15">
      <c r="A62" s="75" t="s">
        <v>66</v>
      </c>
      <c r="B62" s="117">
        <v>13942.95</v>
      </c>
      <c r="C62" s="118">
        <f>B62*0.8078</f>
        <v>11263.11501</v>
      </c>
      <c r="D62" s="119">
        <f>B62-C62</f>
        <v>2679.834990000001</v>
      </c>
      <c r="E62" s="140"/>
      <c r="F62" s="138"/>
      <c r="G62" s="139"/>
      <c r="H62" s="132"/>
      <c r="I62" s="68"/>
      <c r="J62" s="68"/>
      <c r="K62" s="69"/>
      <c r="L62" s="69"/>
      <c r="M62" s="69"/>
      <c r="N62" s="69"/>
    </row>
    <row r="63" spans="1:14" ht="15">
      <c r="A63" s="75" t="s">
        <v>67</v>
      </c>
      <c r="B63" s="117">
        <v>15672.04</v>
      </c>
      <c r="C63" s="118">
        <f>B63*0.8078</f>
        <v>12659.873912000001</v>
      </c>
      <c r="D63" s="119">
        <f>B63-C63</f>
        <v>3012.166088</v>
      </c>
      <c r="E63" s="137"/>
      <c r="F63" s="138"/>
      <c r="G63" s="139"/>
      <c r="H63" s="132"/>
      <c r="I63" s="68"/>
      <c r="J63" s="68"/>
      <c r="K63" s="69"/>
      <c r="L63" s="69"/>
      <c r="M63" s="69"/>
      <c r="N63" s="69"/>
    </row>
    <row r="64" spans="1:14" ht="15">
      <c r="A64" s="75" t="s">
        <v>68</v>
      </c>
      <c r="B64" s="120">
        <v>116847.42</v>
      </c>
      <c r="C64" s="118">
        <f>B64*0.8078</f>
        <v>94389.34587599999</v>
      </c>
      <c r="D64" s="119">
        <f>B64-C64</f>
        <v>22458.074124000006</v>
      </c>
      <c r="E64" s="137">
        <f>(2.07+1.8)*6*2301.2-0.37*2301.2*6</f>
        <v>48325.2</v>
      </c>
      <c r="F64" s="141"/>
      <c r="G64" s="142"/>
      <c r="H64" s="137"/>
      <c r="I64" s="68"/>
      <c r="J64" s="68"/>
      <c r="K64" s="69"/>
      <c r="L64" s="69"/>
      <c r="M64" s="69"/>
      <c r="N64" s="69"/>
    </row>
    <row r="65" spans="1:14" ht="15">
      <c r="A65" s="83" t="s">
        <v>69</v>
      </c>
      <c r="B65" s="121">
        <v>0</v>
      </c>
      <c r="C65" s="118">
        <f>B65*0.7844</f>
        <v>0</v>
      </c>
      <c r="D65" s="122">
        <f>B65-C65</f>
        <v>0</v>
      </c>
      <c r="E65" s="137"/>
      <c r="F65" s="141"/>
      <c r="G65" s="142"/>
      <c r="H65" s="132"/>
      <c r="I65" s="68"/>
      <c r="J65" s="68"/>
      <c r="K65" s="69"/>
      <c r="L65" s="69"/>
      <c r="M65" s="69"/>
      <c r="N65" s="69"/>
    </row>
    <row r="66" spans="1:14" ht="82.5" customHeight="1">
      <c r="A66" s="86" t="s">
        <v>70</v>
      </c>
      <c r="B66" s="123" t="s">
        <v>71</v>
      </c>
      <c r="C66" s="123" t="s">
        <v>72</v>
      </c>
      <c r="D66" s="247" t="s">
        <v>73</v>
      </c>
      <c r="E66" s="137"/>
      <c r="F66" s="141"/>
      <c r="G66" s="132"/>
      <c r="H66" s="143"/>
      <c r="I66" s="68"/>
      <c r="J66" s="68"/>
      <c r="K66" s="69"/>
      <c r="L66" s="69"/>
      <c r="M66" s="69"/>
      <c r="N66" s="69"/>
    </row>
    <row r="67" spans="1:14" ht="15">
      <c r="A67" s="75" t="s">
        <v>66</v>
      </c>
      <c r="B67" s="124">
        <f>B62</f>
        <v>13942.95</v>
      </c>
      <c r="C67" s="125">
        <v>11263.12</v>
      </c>
      <c r="D67" s="119">
        <f>B67-C67</f>
        <v>2679.83</v>
      </c>
      <c r="E67" s="137"/>
      <c r="F67" s="141"/>
      <c r="G67" s="132"/>
      <c r="H67" s="143"/>
      <c r="I67" s="68"/>
      <c r="J67" s="68" t="s">
        <v>32</v>
      </c>
      <c r="K67" s="69"/>
      <c r="L67" s="69"/>
      <c r="M67" s="69"/>
      <c r="N67" s="69"/>
    </row>
    <row r="68" spans="1:14" ht="15">
      <c r="A68" s="75" t="s">
        <v>67</v>
      </c>
      <c r="B68" s="124">
        <f>B63</f>
        <v>15672.04</v>
      </c>
      <c r="C68" s="125">
        <v>12659.87</v>
      </c>
      <c r="D68" s="119">
        <f>B68-C68</f>
        <v>3012.17</v>
      </c>
      <c r="E68" s="137"/>
      <c r="F68" s="141"/>
      <c r="G68" s="132"/>
      <c r="H68" s="143"/>
      <c r="I68" s="68"/>
      <c r="J68" s="68"/>
      <c r="K68" s="69"/>
      <c r="L68" s="69"/>
      <c r="M68" s="69"/>
      <c r="N68" s="69"/>
    </row>
    <row r="69" spans="1:14" ht="15">
      <c r="A69" s="75" t="s">
        <v>68</v>
      </c>
      <c r="B69" s="124">
        <f>B64</f>
        <v>116847.42</v>
      </c>
      <c r="C69" s="125">
        <v>94389.35</v>
      </c>
      <c r="D69" s="119">
        <f>B69-C69</f>
        <v>22458.069999999992</v>
      </c>
      <c r="E69" s="137"/>
      <c r="F69" s="141"/>
      <c r="G69" s="132"/>
      <c r="H69" s="143"/>
      <c r="I69" s="68"/>
      <c r="J69" s="68"/>
      <c r="K69" s="69"/>
      <c r="L69" s="69"/>
      <c r="M69" s="69"/>
      <c r="N69" s="69"/>
    </row>
    <row r="70" spans="1:14" ht="15">
      <c r="A70" s="89" t="s">
        <v>69</v>
      </c>
      <c r="B70" s="126">
        <v>0</v>
      </c>
      <c r="C70" s="129">
        <v>0</v>
      </c>
      <c r="D70" s="119">
        <f>B70-C70</f>
        <v>0</v>
      </c>
      <c r="E70" s="137"/>
      <c r="F70" s="141"/>
      <c r="G70" s="132"/>
      <c r="H70" s="143" t="s">
        <v>32</v>
      </c>
      <c r="I70" s="68"/>
      <c r="J70" s="68"/>
      <c r="K70" s="69"/>
      <c r="L70" s="69"/>
      <c r="M70" s="69"/>
      <c r="N70" s="69"/>
    </row>
    <row r="71" spans="1:14" ht="15">
      <c r="A71" s="91"/>
      <c r="B71" s="87"/>
      <c r="C71" s="92"/>
      <c r="D71" s="93"/>
      <c r="E71" s="137"/>
      <c r="F71" s="141"/>
      <c r="G71" s="132"/>
      <c r="H71" s="143"/>
      <c r="I71" s="68"/>
      <c r="J71" s="68"/>
      <c r="K71" s="69"/>
      <c r="L71" s="69"/>
      <c r="M71" s="69"/>
      <c r="N71" s="69"/>
    </row>
    <row r="72" spans="1:14" ht="25.5">
      <c r="A72" s="94" t="s">
        <v>75</v>
      </c>
      <c r="B72" s="87" t="s">
        <v>16</v>
      </c>
      <c r="C72" s="95"/>
      <c r="D72" s="96">
        <v>0</v>
      </c>
      <c r="E72" s="137"/>
      <c r="F72" s="141"/>
      <c r="G72" s="132"/>
      <c r="H72" s="143"/>
      <c r="I72" s="68"/>
      <c r="J72" s="68" t="s">
        <v>32</v>
      </c>
      <c r="K72" s="69"/>
      <c r="L72" s="69"/>
      <c r="M72" s="69"/>
      <c r="N72" s="69"/>
    </row>
    <row r="73" spans="1:14" ht="17.25" customHeight="1">
      <c r="A73" s="264" t="s">
        <v>76</v>
      </c>
      <c r="B73" s="264"/>
      <c r="C73" s="264"/>
      <c r="D73" s="264"/>
      <c r="E73" s="144" t="e">
        <f>D73+B19</f>
        <v>#VALUE!</v>
      </c>
      <c r="F73" s="143"/>
      <c r="G73" s="132"/>
      <c r="H73" s="145" t="e">
        <f>E73-B18</f>
        <v>#VALUE!</v>
      </c>
      <c r="I73" s="68"/>
      <c r="J73" s="68"/>
      <c r="K73" s="69"/>
      <c r="L73" s="69"/>
      <c r="M73" s="69"/>
      <c r="N73" s="69"/>
    </row>
    <row r="74" spans="1:8" ht="21" customHeight="1">
      <c r="A74" s="99" t="s">
        <v>53</v>
      </c>
      <c r="B74" s="99" t="s">
        <v>54</v>
      </c>
      <c r="C74" s="100">
        <v>0</v>
      </c>
      <c r="D74" s="101"/>
      <c r="E74" s="146"/>
      <c r="F74" s="132"/>
      <c r="G74" s="132"/>
      <c r="H74" s="132"/>
    </row>
    <row r="75" spans="1:8" ht="21" customHeight="1">
      <c r="A75" s="99" t="s">
        <v>55</v>
      </c>
      <c r="B75" s="99" t="s">
        <v>54</v>
      </c>
      <c r="C75" s="99">
        <v>0</v>
      </c>
      <c r="D75" s="101"/>
      <c r="E75" s="146"/>
      <c r="F75" s="132"/>
      <c r="G75" s="132"/>
      <c r="H75" s="132"/>
    </row>
    <row r="76" spans="1:8" ht="18" customHeight="1">
      <c r="A76" s="99" t="s">
        <v>56</v>
      </c>
      <c r="B76" s="99" t="s">
        <v>54</v>
      </c>
      <c r="C76" s="99">
        <v>0</v>
      </c>
      <c r="D76" s="101"/>
      <c r="E76" s="146"/>
      <c r="F76" s="132"/>
      <c r="G76" s="132"/>
      <c r="H76" s="132"/>
    </row>
    <row r="77" spans="1:8" ht="16.5" customHeight="1">
      <c r="A77" s="99" t="s">
        <v>57</v>
      </c>
      <c r="B77" s="99" t="s">
        <v>16</v>
      </c>
      <c r="C77" s="99">
        <v>0</v>
      </c>
      <c r="D77" s="101"/>
      <c r="E77" s="146"/>
      <c r="F77" s="132"/>
      <c r="G77" s="132"/>
      <c r="H77" s="132"/>
    </row>
    <row r="78" spans="1:8" ht="15.75" customHeight="1">
      <c r="A78" s="258" t="s">
        <v>77</v>
      </c>
      <c r="B78" s="258"/>
      <c r="C78" s="258"/>
      <c r="D78" s="258"/>
      <c r="E78" s="146"/>
      <c r="F78" s="132"/>
      <c r="G78" s="132"/>
      <c r="H78" s="132"/>
    </row>
    <row r="79" spans="1:8" ht="18.75" customHeight="1">
      <c r="A79" s="99" t="s">
        <v>78</v>
      </c>
      <c r="B79" s="99" t="s">
        <v>54</v>
      </c>
      <c r="C79" s="99">
        <v>0</v>
      </c>
      <c r="D79" s="101"/>
      <c r="E79" s="146"/>
      <c r="F79" s="132"/>
      <c r="G79" s="132"/>
      <c r="H79" s="132"/>
    </row>
    <row r="80" spans="1:8" ht="21.75" customHeight="1">
      <c r="A80" s="99" t="s">
        <v>79</v>
      </c>
      <c r="B80" s="56" t="s">
        <v>54</v>
      </c>
      <c r="C80" s="56">
        <v>1</v>
      </c>
      <c r="D80" s="101"/>
      <c r="E80" s="146"/>
      <c r="F80" s="132"/>
      <c r="G80" s="132"/>
      <c r="H80" s="132"/>
    </row>
    <row r="81" spans="1:8" ht="36" customHeight="1">
      <c r="A81" s="103" t="s">
        <v>80</v>
      </c>
      <c r="B81" s="99" t="s">
        <v>16</v>
      </c>
      <c r="C81" s="99">
        <v>0</v>
      </c>
      <c r="D81" s="101"/>
      <c r="E81" s="146"/>
      <c r="F81" s="132"/>
      <c r="G81" s="132"/>
      <c r="H81" s="132"/>
    </row>
    <row r="82" spans="1:8" ht="15">
      <c r="A82" s="69"/>
      <c r="B82" s="69"/>
      <c r="C82" s="69"/>
      <c r="D82" s="104"/>
      <c r="E82" s="132"/>
      <c r="F82" s="132"/>
      <c r="G82" s="132"/>
      <c r="H82" s="132"/>
    </row>
    <row r="83" spans="1:14" s="1" customFormat="1" ht="12.75">
      <c r="A83"/>
      <c r="B83"/>
      <c r="C83"/>
      <c r="D83"/>
      <c r="E83" s="132"/>
      <c r="F83" s="132"/>
      <c r="G83" s="132"/>
      <c r="H83" s="132" t="s">
        <v>32</v>
      </c>
      <c r="K83"/>
      <c r="L83"/>
      <c r="M83"/>
      <c r="N83"/>
    </row>
    <row r="84" spans="1:14" s="1" customFormat="1" ht="12.75">
      <c r="A84" t="s">
        <v>81</v>
      </c>
      <c r="B84"/>
      <c r="C84" t="s">
        <v>170</v>
      </c>
      <c r="D84"/>
      <c r="E84" s="132"/>
      <c r="F84" s="132"/>
      <c r="G84" s="132"/>
      <c r="H84" s="132"/>
      <c r="K84"/>
      <c r="L84"/>
      <c r="M84"/>
      <c r="N84"/>
    </row>
    <row r="85" spans="1:14" s="1" customFormat="1" ht="12.75">
      <c r="A85"/>
      <c r="B85"/>
      <c r="C85"/>
      <c r="D85"/>
      <c r="E85" s="132"/>
      <c r="F85" s="132"/>
      <c r="G85" s="132"/>
      <c r="H85" s="132" t="s">
        <v>32</v>
      </c>
      <c r="K85"/>
      <c r="L85"/>
      <c r="M85"/>
      <c r="N85"/>
    </row>
    <row r="86" spans="1:14" s="1" customFormat="1" ht="12.75">
      <c r="A86" t="s">
        <v>82</v>
      </c>
      <c r="B86"/>
      <c r="C86"/>
      <c r="D86"/>
      <c r="E86" s="132"/>
      <c r="F86" s="132"/>
      <c r="G86" s="132"/>
      <c r="H86" s="132"/>
      <c r="K86"/>
      <c r="L86"/>
      <c r="M86"/>
      <c r="N86"/>
    </row>
    <row r="87" spans="5:8" ht="12.75">
      <c r="E87" s="132"/>
      <c r="F87" s="132"/>
      <c r="G87" s="132"/>
      <c r="H87" s="132"/>
    </row>
    <row r="88" spans="5:8" ht="12.75">
      <c r="E88" s="132"/>
      <c r="F88" s="132"/>
      <c r="G88" s="132"/>
      <c r="H88" s="132"/>
    </row>
    <row r="90" spans="1:14" s="1" customFormat="1" ht="12.75">
      <c r="A90"/>
      <c r="B90"/>
      <c r="C90"/>
      <c r="D90"/>
      <c r="E90" s="1" t="s">
        <v>32</v>
      </c>
      <c r="K90"/>
      <c r="L90"/>
      <c r="M90"/>
      <c r="N90"/>
    </row>
  </sheetData>
  <sheetProtection selectLockedCells="1" selectUnlockedCells="1"/>
  <mergeCells count="13">
    <mergeCell ref="A1:D1"/>
    <mergeCell ref="A2:D2"/>
    <mergeCell ref="A3:D3"/>
    <mergeCell ref="A4:D4"/>
    <mergeCell ref="A5:D5"/>
    <mergeCell ref="A7:D7"/>
    <mergeCell ref="A78:D78"/>
    <mergeCell ref="A14:D14"/>
    <mergeCell ref="A29:D29"/>
    <mergeCell ref="A48:D48"/>
    <mergeCell ref="A53:D53"/>
    <mergeCell ref="A60:D60"/>
    <mergeCell ref="A73:D73"/>
  </mergeCells>
  <printOptions/>
  <pageMargins left="0.5597222222222222" right="0.7875" top="0.34097222222222223" bottom="0.7875" header="0.5118055555555555" footer="0.5118055555555555"/>
  <pageSetup fitToHeight="3" fitToWidth="2" horizontalDpi="600" verticalDpi="600" orientation="portrait" paperSize="1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1"/>
  <sheetViews>
    <sheetView zoomScale="80" zoomScaleNormal="80" zoomScalePageLayoutView="0" workbookViewId="0" topLeftCell="A10">
      <selection activeCell="C18" sqref="C18"/>
    </sheetView>
  </sheetViews>
  <sheetFormatPr defaultColWidth="11.57421875" defaultRowHeight="12.75"/>
  <cols>
    <col min="1" max="1" width="50.57421875" style="0" customWidth="1"/>
    <col min="2" max="2" width="15.8515625" style="0" customWidth="1"/>
    <col min="3" max="3" width="24.28125" style="0" customWidth="1"/>
    <col min="4" max="4" width="19.57421875" style="0" customWidth="1"/>
    <col min="5" max="5" width="16.8515625" style="1" customWidth="1"/>
    <col min="6" max="7" width="0" style="1" hidden="1" customWidth="1"/>
    <col min="8" max="8" width="11.57421875" style="1" customWidth="1"/>
    <col min="9" max="9" width="5.28125" style="1" customWidth="1"/>
    <col min="10" max="10" width="30.00390625" style="1" customWidth="1"/>
    <col min="11" max="12" width="23.28125" style="0" customWidth="1"/>
    <col min="13" max="13" width="6.57421875" style="0" customWidth="1"/>
    <col min="14" max="14" width="7.00390625" style="0" customWidth="1"/>
  </cols>
  <sheetData>
    <row r="1" spans="1:4" ht="18">
      <c r="A1" s="265" t="s">
        <v>0</v>
      </c>
      <c r="B1" s="265"/>
      <c r="C1" s="265"/>
      <c r="D1" s="265"/>
    </row>
    <row r="2" spans="1:4" ht="15.75">
      <c r="A2" s="266" t="s">
        <v>1</v>
      </c>
      <c r="B2" s="266"/>
      <c r="C2" s="266"/>
      <c r="D2" s="266"/>
    </row>
    <row r="3" spans="1:4" ht="15.75">
      <c r="A3" s="266" t="s">
        <v>2</v>
      </c>
      <c r="B3" s="266"/>
      <c r="C3" s="266"/>
      <c r="D3" s="266"/>
    </row>
    <row r="4" spans="1:4" ht="12.75">
      <c r="A4" s="267" t="s">
        <v>106</v>
      </c>
      <c r="B4" s="267"/>
      <c r="C4" s="267"/>
      <c r="D4" s="267"/>
    </row>
    <row r="5" spans="1:4" ht="12.75">
      <c r="A5" s="268" t="s">
        <v>171</v>
      </c>
      <c r="B5" s="267"/>
      <c r="C5" s="267"/>
      <c r="D5" s="267"/>
    </row>
    <row r="6" ht="9" customHeight="1">
      <c r="A6" s="2"/>
    </row>
    <row r="7" spans="1:4" ht="27.75" customHeight="1">
      <c r="A7" s="269" t="s">
        <v>4</v>
      </c>
      <c r="B7" s="269"/>
      <c r="C7" s="269"/>
      <c r="D7" s="269"/>
    </row>
    <row r="8" spans="1:3" ht="20.25" customHeight="1">
      <c r="A8" s="178" t="s">
        <v>211</v>
      </c>
      <c r="C8" s="3"/>
    </row>
    <row r="9" spans="1:4" ht="12.75">
      <c r="A9" s="4" t="s">
        <v>5</v>
      </c>
      <c r="B9" s="4" t="s">
        <v>6</v>
      </c>
      <c r="C9" s="4" t="s">
        <v>7</v>
      </c>
      <c r="D9" s="5"/>
    </row>
    <row r="10" spans="1:4" ht="12.75">
      <c r="A10" s="6">
        <v>1</v>
      </c>
      <c r="B10" s="6">
        <v>2</v>
      </c>
      <c r="C10" s="6">
        <v>3</v>
      </c>
      <c r="D10" s="7">
        <v>4</v>
      </c>
    </row>
    <row r="11" spans="1:4" ht="12.75">
      <c r="A11" s="8" t="s">
        <v>8</v>
      </c>
      <c r="B11" s="9"/>
      <c r="C11" s="177" t="s">
        <v>172</v>
      </c>
      <c r="D11" s="10"/>
    </row>
    <row r="12" spans="1:4" ht="12.75">
      <c r="A12" s="8" t="s">
        <v>10</v>
      </c>
      <c r="B12" s="9"/>
      <c r="C12" s="177" t="s">
        <v>173</v>
      </c>
      <c r="D12" s="10"/>
    </row>
    <row r="13" spans="1:4" ht="12.75">
      <c r="A13" s="8" t="s">
        <v>12</v>
      </c>
      <c r="B13" s="9"/>
      <c r="C13" s="177" t="s">
        <v>174</v>
      </c>
      <c r="D13" s="10"/>
    </row>
    <row r="14" spans="1:4" ht="31.5" customHeight="1">
      <c r="A14" s="259" t="s">
        <v>14</v>
      </c>
      <c r="B14" s="259"/>
      <c r="C14" s="259"/>
      <c r="D14" s="259"/>
    </row>
    <row r="15" spans="1:5" ht="25.5">
      <c r="A15" s="11" t="s">
        <v>15</v>
      </c>
      <c r="B15" s="12" t="s">
        <v>16</v>
      </c>
      <c r="C15" s="13">
        <v>-36189.24</v>
      </c>
      <c r="D15" s="14"/>
      <c r="E15" s="132"/>
    </row>
    <row r="16" spans="1:5" ht="15">
      <c r="A16" s="8" t="s">
        <v>17</v>
      </c>
      <c r="B16" s="12" t="s">
        <v>16</v>
      </c>
      <c r="C16" s="13">
        <v>0</v>
      </c>
      <c r="D16" s="14"/>
      <c r="E16" s="132"/>
    </row>
    <row r="17" spans="1:5" ht="15">
      <c r="A17" s="8" t="s">
        <v>18</v>
      </c>
      <c r="B17" s="12" t="s">
        <v>16</v>
      </c>
      <c r="C17" s="15">
        <v>88719.84</v>
      </c>
      <c r="D17" s="16"/>
      <c r="E17" s="132" t="e">
        <f>B17/12/1022.6</f>
        <v>#VALUE!</v>
      </c>
    </row>
    <row r="18" spans="1:5" ht="31.5" customHeight="1">
      <c r="A18" s="17" t="s">
        <v>19</v>
      </c>
      <c r="B18" s="12" t="s">
        <v>16</v>
      </c>
      <c r="C18" s="15">
        <f>C19+C20+C21</f>
        <v>250189.64999999997</v>
      </c>
      <c r="D18" s="16"/>
      <c r="E18" s="133">
        <f>C18-C20</f>
        <v>246094.37199999997</v>
      </c>
    </row>
    <row r="19" spans="1:5" ht="15">
      <c r="A19" s="8" t="s">
        <v>20</v>
      </c>
      <c r="B19" s="12" t="s">
        <v>16</v>
      </c>
      <c r="C19" s="15">
        <f>146439.18+1819</f>
        <v>148258.18</v>
      </c>
      <c r="D19" s="16"/>
      <c r="E19" s="133">
        <f>E18-E44</f>
        <v>0.0015999999595806003</v>
      </c>
    </row>
    <row r="20" spans="1:5" ht="15">
      <c r="A20" s="8" t="s">
        <v>21</v>
      </c>
      <c r="B20" s="12" t="s">
        <v>16</v>
      </c>
      <c r="C20" s="15">
        <f>(0.48+0.11)*6*1670.7-1819</f>
        <v>4095.2780000000002</v>
      </c>
      <c r="D20" s="16"/>
      <c r="E20" s="134"/>
    </row>
    <row r="21" spans="1:5" ht="15">
      <c r="A21" s="8" t="s">
        <v>22</v>
      </c>
      <c r="B21" s="12" t="s">
        <v>16</v>
      </c>
      <c r="C21" s="20">
        <f>1670.7*4.88*12</f>
        <v>97836.192</v>
      </c>
      <c r="D21" s="16"/>
      <c r="E21" s="132"/>
    </row>
    <row r="22" spans="1:5" ht="15">
      <c r="A22" s="21" t="s">
        <v>23</v>
      </c>
      <c r="B22" s="12" t="s">
        <v>16</v>
      </c>
      <c r="C22" s="15">
        <f>C23+C24+C25+C26+C27</f>
        <v>280545.79721</v>
      </c>
      <c r="D22" s="16" t="s">
        <v>24</v>
      </c>
      <c r="E22" s="133" t="e">
        <f>B24+B25+B26+B27+B28</f>
        <v>#VALUE!</v>
      </c>
    </row>
    <row r="23" spans="1:5" ht="15">
      <c r="A23" s="8" t="s">
        <v>25</v>
      </c>
      <c r="B23" s="12" t="s">
        <v>16</v>
      </c>
      <c r="C23" s="15">
        <f>C18*0.9394</f>
        <v>235028.15720999998</v>
      </c>
      <c r="D23" s="16"/>
      <c r="E23" s="132"/>
    </row>
    <row r="24" spans="1:8" ht="15">
      <c r="A24" s="8" t="s">
        <v>26</v>
      </c>
      <c r="B24" s="12" t="s">
        <v>16</v>
      </c>
      <c r="C24" s="15">
        <v>0</v>
      </c>
      <c r="D24" s="22">
        <v>65.21</v>
      </c>
      <c r="E24" s="134" t="e">
        <f>B24/#REF!*1</f>
        <v>#VALUE!</v>
      </c>
      <c r="H24" s="1" t="s">
        <v>27</v>
      </c>
    </row>
    <row r="25" spans="1:5" ht="15">
      <c r="A25" s="8" t="s">
        <v>28</v>
      </c>
      <c r="B25" s="12" t="s">
        <v>16</v>
      </c>
      <c r="C25" s="15">
        <v>0</v>
      </c>
      <c r="D25" s="22">
        <v>119.63</v>
      </c>
      <c r="E25" s="134" t="e">
        <f>B25/#REF!*1</f>
        <v>#VALUE!</v>
      </c>
    </row>
    <row r="26" spans="1:5" ht="15">
      <c r="A26" s="9" t="s">
        <v>29</v>
      </c>
      <c r="B26" s="12" t="s">
        <v>16</v>
      </c>
      <c r="C26" s="15">
        <v>0</v>
      </c>
      <c r="D26" s="22"/>
      <c r="E26" s="134" t="e">
        <f>B26/#REF!*1</f>
        <v>#VALUE!</v>
      </c>
    </row>
    <row r="27" spans="1:5" ht="15">
      <c r="A27" s="116" t="s">
        <v>112</v>
      </c>
      <c r="B27" s="12" t="s">
        <v>16</v>
      </c>
      <c r="C27" s="15">
        <v>45517.64</v>
      </c>
      <c r="D27" s="22">
        <v>139.18</v>
      </c>
      <c r="E27" s="134" t="e">
        <f>B27/#REF!*1</f>
        <v>#VALUE!</v>
      </c>
    </row>
    <row r="28" spans="1:5" ht="15">
      <c r="A28" s="8" t="s">
        <v>31</v>
      </c>
      <c r="B28" s="12" t="s">
        <v>16</v>
      </c>
      <c r="C28" s="15">
        <f>C15+C22</f>
        <v>244356.55721</v>
      </c>
      <c r="D28" s="16" t="s">
        <v>32</v>
      </c>
      <c r="E28" s="134" t="e">
        <f>B28/#REF!*1</f>
        <v>#VALUE!</v>
      </c>
    </row>
    <row r="29" spans="1:5" ht="35.25" customHeight="1">
      <c r="A29" s="260" t="s">
        <v>33</v>
      </c>
      <c r="B29" s="260"/>
      <c r="C29" s="260"/>
      <c r="D29" s="260"/>
      <c r="E29" s="132"/>
    </row>
    <row r="30" spans="1:5" ht="51">
      <c r="A30" s="218" t="s">
        <v>34</v>
      </c>
      <c r="B30" s="221" t="s">
        <v>35</v>
      </c>
      <c r="C30" s="216" t="s">
        <v>36</v>
      </c>
      <c r="D30" s="222" t="s">
        <v>37</v>
      </c>
      <c r="E30" s="132"/>
    </row>
    <row r="31" spans="1:5" ht="30">
      <c r="A31" s="27" t="s">
        <v>38</v>
      </c>
      <c r="B31" s="28" t="s">
        <v>39</v>
      </c>
      <c r="C31" s="29" t="s">
        <v>102</v>
      </c>
      <c r="D31" s="107">
        <f>(0.19+0.18)*6*1670.7</f>
        <v>3708.9539999999997</v>
      </c>
      <c r="E31" s="132"/>
    </row>
    <row r="32" spans="1:5" ht="15">
      <c r="A32" s="31" t="s">
        <v>84</v>
      </c>
      <c r="B32" s="32" t="s">
        <v>85</v>
      </c>
      <c r="C32" s="33" t="s">
        <v>86</v>
      </c>
      <c r="D32" s="108">
        <f>(2.45+2.34)*6*1670.7</f>
        <v>48015.918000000005</v>
      </c>
      <c r="E32" s="132"/>
    </row>
    <row r="33" spans="1:5" ht="15">
      <c r="A33" s="31" t="s">
        <v>41</v>
      </c>
      <c r="B33" s="32" t="s">
        <v>42</v>
      </c>
      <c r="C33" s="33" t="s">
        <v>43</v>
      </c>
      <c r="D33" s="108">
        <f>(3.032+3)*6*1670.7</f>
        <v>60465.9744</v>
      </c>
      <c r="E33" s="132"/>
    </row>
    <row r="34" spans="1:5" ht="15">
      <c r="A34" s="31" t="s">
        <v>44</v>
      </c>
      <c r="B34" s="32" t="s">
        <v>87</v>
      </c>
      <c r="C34" s="33" t="s">
        <v>45</v>
      </c>
      <c r="D34" s="108">
        <f>(0.42+0.4)*6*1670.7</f>
        <v>8219.844000000001</v>
      </c>
      <c r="E34" s="132"/>
    </row>
    <row r="35" spans="1:5" ht="15">
      <c r="A35" s="31" t="s">
        <v>88</v>
      </c>
      <c r="B35" s="105" t="s">
        <v>87</v>
      </c>
      <c r="C35" s="33" t="s">
        <v>40</v>
      </c>
      <c r="D35" s="108">
        <f>(0.66+0.69)*6*1670.7</f>
        <v>13532.670000000002</v>
      </c>
      <c r="E35" s="132"/>
    </row>
    <row r="36" spans="1:5" ht="15">
      <c r="A36" s="31" t="s">
        <v>107</v>
      </c>
      <c r="B36" s="32" t="s">
        <v>39</v>
      </c>
      <c r="C36" s="33" t="s">
        <v>40</v>
      </c>
      <c r="D36" s="34">
        <f>(0.28+0.3)*6*1670.7</f>
        <v>5814.036000000001</v>
      </c>
      <c r="E36" s="132"/>
    </row>
    <row r="37" spans="1:5" ht="30">
      <c r="A37" s="31" t="s">
        <v>90</v>
      </c>
      <c r="B37" s="106" t="s">
        <v>91</v>
      </c>
      <c r="C37" s="33" t="s">
        <v>40</v>
      </c>
      <c r="D37" s="108">
        <f>(0)*6*1670.7</f>
        <v>0</v>
      </c>
      <c r="E37" s="132"/>
    </row>
    <row r="38" spans="1:5" ht="15">
      <c r="A38" s="31" t="s">
        <v>46</v>
      </c>
      <c r="B38" s="32" t="s">
        <v>42</v>
      </c>
      <c r="C38" s="35" t="s">
        <v>47</v>
      </c>
      <c r="D38" s="108">
        <f>4.88*1670.7*12</f>
        <v>97836.192</v>
      </c>
      <c r="E38" s="132"/>
    </row>
    <row r="39" spans="1:5" ht="39.75" customHeight="1">
      <c r="A39" s="31" t="s">
        <v>95</v>
      </c>
      <c r="B39" s="32" t="s">
        <v>96</v>
      </c>
      <c r="C39" s="183" t="s">
        <v>97</v>
      </c>
      <c r="D39" s="108">
        <v>8500.782</v>
      </c>
      <c r="E39" s="132"/>
    </row>
    <row r="40" spans="1:14" s="1" customFormat="1" ht="75">
      <c r="A40" s="248" t="s">
        <v>300</v>
      </c>
      <c r="B40" s="37" t="s">
        <v>49</v>
      </c>
      <c r="C40" s="200" t="s">
        <v>105</v>
      </c>
      <c r="D40" s="39">
        <v>1467</v>
      </c>
      <c r="E40" s="132"/>
      <c r="K40"/>
      <c r="L40"/>
      <c r="M40"/>
      <c r="N40"/>
    </row>
    <row r="41" spans="1:14" s="1" customFormat="1" ht="15">
      <c r="A41" s="182" t="s">
        <v>212</v>
      </c>
      <c r="B41" s="110" t="s">
        <v>213</v>
      </c>
      <c r="C41" s="33" t="s">
        <v>40</v>
      </c>
      <c r="D41" s="179">
        <v>1386</v>
      </c>
      <c r="E41" s="132"/>
      <c r="K41"/>
      <c r="L41"/>
      <c r="M41"/>
      <c r="N41"/>
    </row>
    <row r="42" spans="1:14" s="1" customFormat="1" ht="15">
      <c r="A42" s="182" t="s">
        <v>214</v>
      </c>
      <c r="B42" s="110" t="s">
        <v>194</v>
      </c>
      <c r="C42" s="33" t="s">
        <v>40</v>
      </c>
      <c r="D42" s="179">
        <v>81</v>
      </c>
      <c r="E42" s="132"/>
      <c r="K42"/>
      <c r="L42"/>
      <c r="M42"/>
      <c r="N42"/>
    </row>
    <row r="43" spans="1:14" s="1" customFormat="1" ht="15">
      <c r="A43" s="109"/>
      <c r="B43" s="110"/>
      <c r="C43" s="111"/>
      <c r="D43" s="112"/>
      <c r="E43" s="132"/>
      <c r="K43"/>
      <c r="L43"/>
      <c r="M43"/>
      <c r="N43"/>
    </row>
    <row r="44" spans="1:14" s="1" customFormat="1" ht="15.75">
      <c r="A44" s="40" t="s">
        <v>50</v>
      </c>
      <c r="B44" s="41"/>
      <c r="C44" s="42"/>
      <c r="D44" s="113">
        <f>D31+D32+D33+D34+D35+D36+D37+D38+D39+D40</f>
        <v>247561.3704</v>
      </c>
      <c r="E44" s="135">
        <f>D44-D40</f>
        <v>246094.3704</v>
      </c>
      <c r="K44"/>
      <c r="L44"/>
      <c r="M44"/>
      <c r="N44"/>
    </row>
    <row r="45" spans="1:14" s="1" customFormat="1" ht="15">
      <c r="A45" s="43" t="s">
        <v>51</v>
      </c>
      <c r="B45" s="44" t="s">
        <v>16</v>
      </c>
      <c r="C45" s="45"/>
      <c r="D45" s="46">
        <f>C15+C20*0.9394+C27-D40</f>
        <v>11708.504153200003</v>
      </c>
      <c r="E45" s="135"/>
      <c r="K45"/>
      <c r="L45"/>
      <c r="M45"/>
      <c r="N45"/>
    </row>
    <row r="46" spans="1:14" s="1" customFormat="1" ht="15">
      <c r="A46" s="48" t="s">
        <v>17</v>
      </c>
      <c r="B46" s="49" t="s">
        <v>16</v>
      </c>
      <c r="C46" s="33"/>
      <c r="D46" s="14">
        <v>0</v>
      </c>
      <c r="E46" s="132"/>
      <c r="K46"/>
      <c r="L46"/>
      <c r="M46"/>
      <c r="N46"/>
    </row>
    <row r="47" spans="1:14" s="1" customFormat="1" ht="15">
      <c r="A47" s="48" t="s">
        <v>18</v>
      </c>
      <c r="B47" s="49" t="s">
        <v>16</v>
      </c>
      <c r="C47" s="33"/>
      <c r="D47" s="14">
        <v>103881.33</v>
      </c>
      <c r="E47" s="132"/>
      <c r="K47"/>
      <c r="L47"/>
      <c r="M47"/>
      <c r="N47"/>
    </row>
    <row r="48" spans="1:14" s="1" customFormat="1" ht="24" customHeight="1">
      <c r="A48" s="261" t="s">
        <v>52</v>
      </c>
      <c r="B48" s="261"/>
      <c r="C48" s="261"/>
      <c r="D48" s="261"/>
      <c r="E48" s="132"/>
      <c r="K48"/>
      <c r="L48"/>
      <c r="M48"/>
      <c r="N48"/>
    </row>
    <row r="49" spans="1:14" s="1" customFormat="1" ht="15">
      <c r="A49" s="48" t="s">
        <v>53</v>
      </c>
      <c r="B49" s="32" t="s">
        <v>54</v>
      </c>
      <c r="C49" s="33"/>
      <c r="D49" s="14">
        <v>0</v>
      </c>
      <c r="E49" s="132"/>
      <c r="K49"/>
      <c r="L49"/>
      <c r="M49"/>
      <c r="N49"/>
    </row>
    <row r="50" spans="1:14" s="1" customFormat="1" ht="15">
      <c r="A50" s="48" t="s">
        <v>55</v>
      </c>
      <c r="B50" s="32" t="s">
        <v>54</v>
      </c>
      <c r="C50" s="33"/>
      <c r="D50" s="14">
        <v>0</v>
      </c>
      <c r="E50" s="132"/>
      <c r="K50"/>
      <c r="L50"/>
      <c r="M50"/>
      <c r="N50"/>
    </row>
    <row r="51" spans="1:14" s="1" customFormat="1" ht="25.5">
      <c r="A51" s="50" t="s">
        <v>56</v>
      </c>
      <c r="B51" s="32" t="s">
        <v>54</v>
      </c>
      <c r="C51" s="33"/>
      <c r="D51" s="14">
        <v>0</v>
      </c>
      <c r="E51" s="132"/>
      <c r="K51"/>
      <c r="L51"/>
      <c r="M51"/>
      <c r="N51"/>
    </row>
    <row r="52" spans="1:14" s="1" customFormat="1" ht="15">
      <c r="A52" s="48" t="s">
        <v>57</v>
      </c>
      <c r="B52" s="32" t="s">
        <v>16</v>
      </c>
      <c r="C52" s="33"/>
      <c r="D52" s="14">
        <v>0</v>
      </c>
      <c r="E52" s="132"/>
      <c r="K52"/>
      <c r="L52"/>
      <c r="M52"/>
      <c r="N52"/>
    </row>
    <row r="53" spans="1:5" ht="20.25" customHeight="1">
      <c r="A53" s="262" t="s">
        <v>58</v>
      </c>
      <c r="B53" s="262"/>
      <c r="C53" s="262"/>
      <c r="D53" s="262"/>
      <c r="E53" s="132"/>
    </row>
    <row r="54" spans="1:5" ht="25.5">
      <c r="A54" s="50" t="s">
        <v>59</v>
      </c>
      <c r="B54" s="32" t="s">
        <v>16</v>
      </c>
      <c r="C54" s="33"/>
      <c r="D54" s="14">
        <v>0</v>
      </c>
      <c r="E54" s="132"/>
    </row>
    <row r="55" spans="1:5" ht="15">
      <c r="A55" s="48" t="s">
        <v>17</v>
      </c>
      <c r="B55" s="32" t="s">
        <v>16</v>
      </c>
      <c r="C55" s="33"/>
      <c r="D55" s="14">
        <v>0</v>
      </c>
      <c r="E55" s="132"/>
    </row>
    <row r="56" spans="1:8" ht="15">
      <c r="A56" s="48" t="s">
        <v>18</v>
      </c>
      <c r="B56" s="32" t="s">
        <v>16</v>
      </c>
      <c r="C56" s="33"/>
      <c r="D56" s="51">
        <f>D59-D62-D63-D64</f>
        <v>206329.413968</v>
      </c>
      <c r="E56" s="132"/>
      <c r="H56" s="52"/>
    </row>
    <row r="57" spans="1:5" ht="25.5">
      <c r="A57" s="53" t="s">
        <v>60</v>
      </c>
      <c r="B57" s="32" t="s">
        <v>16</v>
      </c>
      <c r="C57" s="54"/>
      <c r="D57" s="55">
        <v>0</v>
      </c>
      <c r="E57" s="132"/>
    </row>
    <row r="58" spans="1:10" ht="17.25" customHeight="1">
      <c r="A58" s="56" t="s">
        <v>17</v>
      </c>
      <c r="B58" s="32" t="s">
        <v>16</v>
      </c>
      <c r="C58" s="33"/>
      <c r="D58" s="14">
        <v>0</v>
      </c>
      <c r="E58" s="132"/>
      <c r="I58" s="52"/>
      <c r="J58" s="52"/>
    </row>
    <row r="59" spans="1:14" ht="15">
      <c r="A59" s="59" t="s">
        <v>18</v>
      </c>
      <c r="B59" s="32" t="s">
        <v>16</v>
      </c>
      <c r="C59" s="60"/>
      <c r="D59" s="61">
        <v>225988.34</v>
      </c>
      <c r="E59" s="132"/>
      <c r="H59" s="1" t="s">
        <v>32</v>
      </c>
      <c r="I59" s="63"/>
      <c r="J59" s="63"/>
      <c r="K59" s="64"/>
      <c r="L59" s="64"/>
      <c r="M59" s="64"/>
      <c r="N59" s="64"/>
    </row>
    <row r="60" spans="1:14" ht="18" customHeight="1" thickBot="1">
      <c r="A60" s="263" t="s">
        <v>61</v>
      </c>
      <c r="B60" s="263"/>
      <c r="C60" s="263"/>
      <c r="D60" s="263"/>
      <c r="E60" s="137"/>
      <c r="F60" s="66"/>
      <c r="G60" s="67"/>
      <c r="I60" s="68"/>
      <c r="J60" s="68"/>
      <c r="K60" s="69"/>
      <c r="L60" s="69"/>
      <c r="M60" s="69"/>
      <c r="N60" s="69"/>
    </row>
    <row r="61" spans="1:14" ht="38.25">
      <c r="A61" s="223" t="s">
        <v>62</v>
      </c>
      <c r="B61" s="71" t="s">
        <v>63</v>
      </c>
      <c r="C61" s="212" t="s">
        <v>64</v>
      </c>
      <c r="D61" s="213" t="s">
        <v>65</v>
      </c>
      <c r="E61" s="137"/>
      <c r="F61" s="66"/>
      <c r="G61" s="67"/>
      <c r="I61" s="68"/>
      <c r="J61" s="74"/>
      <c r="K61" s="69"/>
      <c r="L61" s="69"/>
      <c r="M61" s="69"/>
      <c r="N61" s="69"/>
    </row>
    <row r="62" spans="1:14" ht="15">
      <c r="A62" s="75" t="s">
        <v>66</v>
      </c>
      <c r="B62" s="76">
        <v>149849.58</v>
      </c>
      <c r="C62" s="77">
        <f>B62*0.9394</f>
        <v>140768.69545199999</v>
      </c>
      <c r="D62" s="78">
        <f>B62-C62</f>
        <v>9080.884548000002</v>
      </c>
      <c r="E62" s="140"/>
      <c r="F62" s="66"/>
      <c r="G62" s="67"/>
      <c r="I62" s="68"/>
      <c r="J62" s="68"/>
      <c r="K62" s="69"/>
      <c r="L62" s="69"/>
      <c r="M62" s="69"/>
      <c r="N62" s="69"/>
    </row>
    <row r="63" spans="1:14" ht="15">
      <c r="A63" s="75" t="s">
        <v>67</v>
      </c>
      <c r="B63" s="76">
        <v>174555.14</v>
      </c>
      <c r="C63" s="77">
        <f>B63*0.9394</f>
        <v>163977.09851600003</v>
      </c>
      <c r="D63" s="78">
        <f>B63-C63</f>
        <v>10578.041483999987</v>
      </c>
      <c r="E63" s="137"/>
      <c r="F63" s="66"/>
      <c r="G63" s="67"/>
      <c r="I63" s="68"/>
      <c r="J63" s="68"/>
      <c r="K63" s="69"/>
      <c r="L63" s="69"/>
      <c r="M63" s="69"/>
      <c r="N63" s="69"/>
    </row>
    <row r="64" spans="1:14" ht="15">
      <c r="A64" s="75" t="s">
        <v>68</v>
      </c>
      <c r="B64" s="80">
        <v>0</v>
      </c>
      <c r="C64" s="77">
        <f>B64*0.9293</f>
        <v>0</v>
      </c>
      <c r="D64" s="78">
        <f>B64-C64</f>
        <v>0</v>
      </c>
      <c r="E64" s="137">
        <f>(2.07+1.8)*6*2301.2-0.37*2301.2*6</f>
        <v>48325.2</v>
      </c>
      <c r="F64" s="81"/>
      <c r="G64" s="82"/>
      <c r="H64" s="65"/>
      <c r="I64" s="68"/>
      <c r="J64" s="68"/>
      <c r="K64" s="69"/>
      <c r="L64" s="69"/>
      <c r="M64" s="69"/>
      <c r="N64" s="69"/>
    </row>
    <row r="65" spans="1:14" ht="15.75" thickBot="1">
      <c r="A65" s="150" t="s">
        <v>69</v>
      </c>
      <c r="B65" s="169">
        <v>219869.61</v>
      </c>
      <c r="C65" s="170">
        <f>B65*0.9394</f>
        <v>206545.511634</v>
      </c>
      <c r="D65" s="171">
        <f>B65-C65</f>
        <v>13324.098365999991</v>
      </c>
      <c r="E65" s="137"/>
      <c r="F65" s="81"/>
      <c r="G65" s="82"/>
      <c r="I65" s="68"/>
      <c r="J65" s="68"/>
      <c r="K65" s="69"/>
      <c r="L65" s="69"/>
      <c r="M65" s="69"/>
      <c r="N65" s="69"/>
    </row>
    <row r="66" spans="1:14" ht="67.5" customHeight="1">
      <c r="A66" s="154" t="s">
        <v>70</v>
      </c>
      <c r="B66" s="172" t="s">
        <v>71</v>
      </c>
      <c r="C66" s="225" t="s">
        <v>72</v>
      </c>
      <c r="D66" s="226" t="s">
        <v>73</v>
      </c>
      <c r="E66" s="137"/>
      <c r="F66" s="81"/>
      <c r="H66" s="68"/>
      <c r="I66" s="68"/>
      <c r="J66" s="68"/>
      <c r="K66" s="69"/>
      <c r="L66" s="69"/>
      <c r="M66" s="69"/>
      <c r="N66" s="69"/>
    </row>
    <row r="67" spans="1:14" ht="15">
      <c r="A67" s="158" t="s">
        <v>66</v>
      </c>
      <c r="B67" s="124">
        <v>137681.96</v>
      </c>
      <c r="C67" s="125">
        <v>140768.7</v>
      </c>
      <c r="D67" s="78">
        <f>B67-C67</f>
        <v>-3086.74000000002</v>
      </c>
      <c r="E67" s="137"/>
      <c r="F67" s="81"/>
      <c r="H67" s="68"/>
      <c r="I67" s="68"/>
      <c r="J67" s="68" t="s">
        <v>32</v>
      </c>
      <c r="K67" s="69"/>
      <c r="L67" s="69"/>
      <c r="M67" s="69"/>
      <c r="N67" s="69"/>
    </row>
    <row r="68" spans="1:14" ht="15">
      <c r="A68" s="158" t="s">
        <v>67</v>
      </c>
      <c r="B68" s="124">
        <v>157830.84</v>
      </c>
      <c r="C68" s="125">
        <v>163977</v>
      </c>
      <c r="D68" s="78">
        <f>B68-C68</f>
        <v>-6146.1600000000035</v>
      </c>
      <c r="E68" s="137"/>
      <c r="F68" s="81"/>
      <c r="H68" s="68"/>
      <c r="I68" s="68"/>
      <c r="J68" s="68"/>
      <c r="K68" s="69"/>
      <c r="L68" s="69"/>
      <c r="M68" s="69"/>
      <c r="N68" s="69"/>
    </row>
    <row r="69" spans="1:14" ht="15">
      <c r="A69" s="158" t="s">
        <v>68</v>
      </c>
      <c r="B69" s="124">
        <v>0</v>
      </c>
      <c r="C69" s="125">
        <v>0</v>
      </c>
      <c r="D69" s="78">
        <f>B69-C69</f>
        <v>0</v>
      </c>
      <c r="E69" s="137"/>
      <c r="F69" s="81"/>
      <c r="H69" s="68"/>
      <c r="I69" s="68"/>
      <c r="J69" s="68"/>
      <c r="K69" s="69"/>
      <c r="L69" s="69"/>
      <c r="M69" s="69"/>
      <c r="N69" s="69"/>
    </row>
    <row r="70" spans="1:14" ht="15">
      <c r="A70" s="158" t="s">
        <v>74</v>
      </c>
      <c r="B70" s="124">
        <v>0</v>
      </c>
      <c r="C70" s="125">
        <v>0</v>
      </c>
      <c r="D70" s="171">
        <f>B70-C70</f>
        <v>0</v>
      </c>
      <c r="E70" s="137"/>
      <c r="F70" s="81"/>
      <c r="H70" s="68"/>
      <c r="I70" s="68"/>
      <c r="J70" s="68"/>
      <c r="K70" s="69"/>
      <c r="L70" s="69"/>
      <c r="M70" s="69"/>
      <c r="N70" s="69"/>
    </row>
    <row r="71" spans="1:14" ht="15.75" thickBot="1">
      <c r="A71" s="160" t="s">
        <v>69</v>
      </c>
      <c r="B71" s="161">
        <f>B65</f>
        <v>219869.61</v>
      </c>
      <c r="C71" s="167">
        <f>B71</f>
        <v>219869.61</v>
      </c>
      <c r="D71" s="166">
        <f>B71-C71</f>
        <v>0</v>
      </c>
      <c r="E71" s="137"/>
      <c r="F71" s="81"/>
      <c r="H71" s="68" t="s">
        <v>32</v>
      </c>
      <c r="I71" s="68"/>
      <c r="J71" s="68"/>
      <c r="K71" s="69"/>
      <c r="L71" s="69"/>
      <c r="M71" s="69"/>
      <c r="N71" s="69"/>
    </row>
    <row r="72" spans="1:14" ht="15">
      <c r="A72" s="91"/>
      <c r="B72" s="87"/>
      <c r="C72" s="92"/>
      <c r="D72" s="93"/>
      <c r="E72" s="137"/>
      <c r="F72" s="81"/>
      <c r="H72" s="68"/>
      <c r="I72" s="68"/>
      <c r="J72" s="68"/>
      <c r="K72" s="69"/>
      <c r="L72" s="69"/>
      <c r="M72" s="69"/>
      <c r="N72" s="69"/>
    </row>
    <row r="73" spans="1:14" ht="25.5">
      <c r="A73" s="94" t="s">
        <v>75</v>
      </c>
      <c r="B73" s="87" t="s">
        <v>16</v>
      </c>
      <c r="C73" s="95"/>
      <c r="D73" s="96">
        <v>0</v>
      </c>
      <c r="E73" s="137"/>
      <c r="F73" s="81"/>
      <c r="H73" s="68"/>
      <c r="I73" s="68"/>
      <c r="J73" s="68" t="s">
        <v>32</v>
      </c>
      <c r="K73" s="69"/>
      <c r="L73" s="69"/>
      <c r="M73" s="69"/>
      <c r="N73" s="69"/>
    </row>
    <row r="74" spans="1:14" ht="17.25" customHeight="1">
      <c r="A74" s="264" t="s">
        <v>76</v>
      </c>
      <c r="B74" s="264"/>
      <c r="C74" s="264"/>
      <c r="D74" s="264"/>
      <c r="E74" s="144" t="e">
        <f>D74+B19</f>
        <v>#VALUE!</v>
      </c>
      <c r="F74" s="68"/>
      <c r="H74" s="98" t="e">
        <f>E74-B18</f>
        <v>#VALUE!</v>
      </c>
      <c r="I74" s="68"/>
      <c r="J74" s="68"/>
      <c r="K74" s="69"/>
      <c r="L74" s="69"/>
      <c r="M74" s="69"/>
      <c r="N74" s="69"/>
    </row>
    <row r="75" spans="1:5" ht="21" customHeight="1">
      <c r="A75" s="99" t="s">
        <v>53</v>
      </c>
      <c r="B75" s="99" t="s">
        <v>54</v>
      </c>
      <c r="C75" s="100">
        <v>0</v>
      </c>
      <c r="D75" s="101"/>
      <c r="E75" s="146"/>
    </row>
    <row r="76" spans="1:5" ht="21" customHeight="1">
      <c r="A76" s="99" t="s">
        <v>55</v>
      </c>
      <c r="B76" s="99" t="s">
        <v>54</v>
      </c>
      <c r="C76" s="99">
        <v>0</v>
      </c>
      <c r="D76" s="101"/>
      <c r="E76" s="146"/>
    </row>
    <row r="77" spans="1:5" ht="18" customHeight="1">
      <c r="A77" s="99" t="s">
        <v>56</v>
      </c>
      <c r="B77" s="99" t="s">
        <v>54</v>
      </c>
      <c r="C77" s="99">
        <v>0</v>
      </c>
      <c r="D77" s="101"/>
      <c r="E77" s="146"/>
    </row>
    <row r="78" spans="1:5" ht="16.5" customHeight="1">
      <c r="A78" s="99" t="s">
        <v>57</v>
      </c>
      <c r="B78" s="99" t="s">
        <v>16</v>
      </c>
      <c r="C78" s="99">
        <v>0</v>
      </c>
      <c r="D78" s="101"/>
      <c r="E78" s="146"/>
    </row>
    <row r="79" spans="1:5" ht="15.75" customHeight="1">
      <c r="A79" s="258" t="s">
        <v>77</v>
      </c>
      <c r="B79" s="258"/>
      <c r="C79" s="258"/>
      <c r="D79" s="258"/>
      <c r="E79" s="146"/>
    </row>
    <row r="80" spans="1:5" ht="18.75" customHeight="1">
      <c r="A80" s="99" t="s">
        <v>78</v>
      </c>
      <c r="B80" s="99" t="s">
        <v>54</v>
      </c>
      <c r="C80" s="99">
        <v>1</v>
      </c>
      <c r="D80" s="101"/>
      <c r="E80" s="146"/>
    </row>
    <row r="81" spans="1:5" ht="21.75" customHeight="1">
      <c r="A81" s="99" t="s">
        <v>79</v>
      </c>
      <c r="B81" s="56" t="s">
        <v>54</v>
      </c>
      <c r="C81" s="56">
        <v>2</v>
      </c>
      <c r="D81" s="101"/>
      <c r="E81" s="146"/>
    </row>
    <row r="82" spans="1:5" ht="36" customHeight="1">
      <c r="A82" s="103" t="s">
        <v>80</v>
      </c>
      <c r="B82" s="99" t="s">
        <v>16</v>
      </c>
      <c r="C82" s="99">
        <v>29788</v>
      </c>
      <c r="D82" s="101"/>
      <c r="E82" s="102"/>
    </row>
    <row r="83" spans="1:4" ht="15">
      <c r="A83" s="69"/>
      <c r="B83" s="69"/>
      <c r="C83" s="69"/>
      <c r="D83" s="104"/>
    </row>
    <row r="84" spans="1:14" s="1" customFormat="1" ht="12.75">
      <c r="A84"/>
      <c r="B84"/>
      <c r="C84"/>
      <c r="D84"/>
      <c r="H84" s="1" t="s">
        <v>32</v>
      </c>
      <c r="K84"/>
      <c r="L84"/>
      <c r="M84"/>
      <c r="N84"/>
    </row>
    <row r="85" spans="1:14" s="1" customFormat="1" ht="12.75">
      <c r="A85" s="224" t="s">
        <v>286</v>
      </c>
      <c r="B85"/>
      <c r="C85"/>
      <c r="D85"/>
      <c r="K85"/>
      <c r="L85"/>
      <c r="M85"/>
      <c r="N85"/>
    </row>
    <row r="86" spans="1:14" s="1" customFormat="1" ht="12.75">
      <c r="A86"/>
      <c r="B86"/>
      <c r="C86"/>
      <c r="D86"/>
      <c r="H86" s="1" t="s">
        <v>32</v>
      </c>
      <c r="K86"/>
      <c r="L86"/>
      <c r="M86"/>
      <c r="N86"/>
    </row>
    <row r="87" spans="1:14" s="1" customFormat="1" ht="12.75">
      <c r="A87" t="s">
        <v>82</v>
      </c>
      <c r="B87"/>
      <c r="C87"/>
      <c r="D87"/>
      <c r="K87"/>
      <c r="L87"/>
      <c r="M87"/>
      <c r="N87"/>
    </row>
    <row r="91" spans="1:14" s="1" customFormat="1" ht="12.75">
      <c r="A91"/>
      <c r="B91"/>
      <c r="C91"/>
      <c r="D91"/>
      <c r="E91" s="1" t="s">
        <v>32</v>
      </c>
      <c r="K91"/>
      <c r="L91"/>
      <c r="M91"/>
      <c r="N91"/>
    </row>
  </sheetData>
  <sheetProtection selectLockedCells="1" selectUnlockedCells="1"/>
  <mergeCells count="13">
    <mergeCell ref="A1:D1"/>
    <mergeCell ref="A2:D2"/>
    <mergeCell ref="A3:D3"/>
    <mergeCell ref="A4:D4"/>
    <mergeCell ref="A5:D5"/>
    <mergeCell ref="A7:D7"/>
    <mergeCell ref="A79:D79"/>
    <mergeCell ref="A14:D14"/>
    <mergeCell ref="A29:D29"/>
    <mergeCell ref="A48:D48"/>
    <mergeCell ref="A53:D53"/>
    <mergeCell ref="A60:D60"/>
    <mergeCell ref="A74:D74"/>
  </mergeCells>
  <printOptions/>
  <pageMargins left="0.5597222222222222" right="0.7875" top="0.34097222222222223" bottom="0.7875" header="0.5118055555555555" footer="0.5118055555555555"/>
  <pageSetup fitToHeight="3" fitToWidth="2" horizontalDpi="600" verticalDpi="600" orientation="portrait" paperSize="1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1"/>
  <sheetViews>
    <sheetView zoomScale="80" zoomScaleNormal="80" zoomScalePageLayoutView="0" workbookViewId="0" topLeftCell="A37">
      <selection activeCell="E15" sqref="E15:E24"/>
    </sheetView>
  </sheetViews>
  <sheetFormatPr defaultColWidth="11.57421875" defaultRowHeight="12.75"/>
  <cols>
    <col min="1" max="1" width="54.00390625" style="0" customWidth="1"/>
    <col min="2" max="2" width="15.140625" style="0" customWidth="1"/>
    <col min="3" max="3" width="23.00390625" style="0" customWidth="1"/>
    <col min="4" max="4" width="21.8515625" style="0" customWidth="1"/>
    <col min="5" max="5" width="16.8515625" style="1" customWidth="1"/>
    <col min="6" max="7" width="0" style="1" hidden="1" customWidth="1"/>
    <col min="8" max="8" width="11.57421875" style="1" customWidth="1"/>
    <col min="9" max="9" width="5.28125" style="1" customWidth="1"/>
    <col min="10" max="10" width="30.00390625" style="1" customWidth="1"/>
    <col min="11" max="12" width="23.28125" style="0" customWidth="1"/>
    <col min="13" max="13" width="6.57421875" style="0" customWidth="1"/>
    <col min="14" max="14" width="7.00390625" style="0" customWidth="1"/>
  </cols>
  <sheetData>
    <row r="1" spans="1:4" ht="18">
      <c r="A1" s="265" t="s">
        <v>0</v>
      </c>
      <c r="B1" s="265"/>
      <c r="C1" s="265"/>
      <c r="D1" s="265"/>
    </row>
    <row r="2" spans="1:4" ht="15.75">
      <c r="A2" s="266" t="s">
        <v>1</v>
      </c>
      <c r="B2" s="266"/>
      <c r="C2" s="266"/>
      <c r="D2" s="266"/>
    </row>
    <row r="3" spans="1:4" ht="15.75">
      <c r="A3" s="266" t="s">
        <v>2</v>
      </c>
      <c r="B3" s="266"/>
      <c r="C3" s="266"/>
      <c r="D3" s="266"/>
    </row>
    <row r="4" spans="1:4" ht="12.75">
      <c r="A4" s="267" t="s">
        <v>108</v>
      </c>
      <c r="B4" s="267"/>
      <c r="C4" s="267"/>
      <c r="D4" s="267"/>
    </row>
    <row r="5" spans="1:4" ht="12.75">
      <c r="A5" s="268" t="s">
        <v>171</v>
      </c>
      <c r="B5" s="267"/>
      <c r="C5" s="267"/>
      <c r="D5" s="267"/>
    </row>
    <row r="6" ht="9" customHeight="1">
      <c r="A6" s="2"/>
    </row>
    <row r="7" spans="1:4" ht="36.75" customHeight="1">
      <c r="A7" s="269" t="s">
        <v>4</v>
      </c>
      <c r="B7" s="269"/>
      <c r="C7" s="269"/>
      <c r="D7" s="269"/>
    </row>
    <row r="8" spans="1:3" ht="12.75">
      <c r="A8" s="2" t="s">
        <v>215</v>
      </c>
      <c r="C8" s="3"/>
    </row>
    <row r="9" spans="1:4" ht="12.75">
      <c r="A9" s="4" t="s">
        <v>5</v>
      </c>
      <c r="B9" s="4" t="s">
        <v>6</v>
      </c>
      <c r="C9" s="4" t="s">
        <v>7</v>
      </c>
      <c r="D9" s="5"/>
    </row>
    <row r="10" spans="1:4" ht="12.75">
      <c r="A10" s="6">
        <v>1</v>
      </c>
      <c r="B10" s="6">
        <v>2</v>
      </c>
      <c r="C10" s="6">
        <v>3</v>
      </c>
      <c r="D10" s="7">
        <v>4</v>
      </c>
    </row>
    <row r="11" spans="1:4" ht="12.75">
      <c r="A11" s="8" t="s">
        <v>8</v>
      </c>
      <c r="B11" s="9"/>
      <c r="C11" s="177" t="s">
        <v>172</v>
      </c>
      <c r="D11" s="10"/>
    </row>
    <row r="12" spans="1:4" ht="12.75">
      <c r="A12" s="8" t="s">
        <v>10</v>
      </c>
      <c r="B12" s="9"/>
      <c r="C12" s="177" t="s">
        <v>173</v>
      </c>
      <c r="D12" s="10"/>
    </row>
    <row r="13" spans="1:4" ht="12.75">
      <c r="A13" s="8" t="s">
        <v>12</v>
      </c>
      <c r="B13" s="9"/>
      <c r="C13" s="177" t="s">
        <v>174</v>
      </c>
      <c r="D13" s="10"/>
    </row>
    <row r="14" spans="1:5" ht="31.5" customHeight="1">
      <c r="A14" s="259" t="s">
        <v>14</v>
      </c>
      <c r="B14" s="259"/>
      <c r="C14" s="259"/>
      <c r="D14" s="259"/>
      <c r="E14" s="132"/>
    </row>
    <row r="15" spans="1:5" ht="25.5">
      <c r="A15" s="11" t="s">
        <v>15</v>
      </c>
      <c r="B15" s="12" t="s">
        <v>16</v>
      </c>
      <c r="C15" s="13">
        <v>15217.66</v>
      </c>
      <c r="D15" s="14"/>
      <c r="E15" s="132"/>
    </row>
    <row r="16" spans="1:5" ht="15">
      <c r="A16" s="8" t="s">
        <v>17</v>
      </c>
      <c r="B16" s="12" t="s">
        <v>16</v>
      </c>
      <c r="C16" s="13">
        <v>0</v>
      </c>
      <c r="D16" s="14"/>
      <c r="E16" s="132"/>
    </row>
    <row r="17" spans="1:5" ht="15">
      <c r="A17" s="8" t="s">
        <v>18</v>
      </c>
      <c r="B17" s="12" t="s">
        <v>16</v>
      </c>
      <c r="C17" s="15">
        <v>94841.32</v>
      </c>
      <c r="D17" s="16"/>
      <c r="E17" s="132" t="e">
        <f>B17/12/1022.6</f>
        <v>#VALUE!</v>
      </c>
    </row>
    <row r="18" spans="1:5" ht="31.5" customHeight="1">
      <c r="A18" s="17" t="s">
        <v>19</v>
      </c>
      <c r="B18" s="12" t="s">
        <v>16</v>
      </c>
      <c r="C18" s="15">
        <f>C19+C20+C21</f>
        <v>347826.18200000003</v>
      </c>
      <c r="D18" s="16"/>
      <c r="E18" s="133">
        <f>C18-C20</f>
        <v>323686.118</v>
      </c>
    </row>
    <row r="19" spans="1:5" ht="15">
      <c r="A19" s="8" t="s">
        <v>20</v>
      </c>
      <c r="B19" s="12" t="s">
        <v>16</v>
      </c>
      <c r="C19" s="15">
        <v>210413.51</v>
      </c>
      <c r="D19" s="16"/>
      <c r="E19" s="133">
        <f>E18-E44</f>
        <v>0.356000000028871</v>
      </c>
    </row>
    <row r="20" spans="1:5" ht="15">
      <c r="A20" s="8" t="s">
        <v>21</v>
      </c>
      <c r="B20" s="12" t="s">
        <v>16</v>
      </c>
      <c r="C20" s="15">
        <f>(1.23+0.85)*6*1934.3</f>
        <v>24140.064</v>
      </c>
      <c r="D20" s="16"/>
      <c r="E20" s="134"/>
    </row>
    <row r="21" spans="1:5" ht="15">
      <c r="A21" s="8" t="s">
        <v>22</v>
      </c>
      <c r="B21" s="12" t="s">
        <v>16</v>
      </c>
      <c r="C21" s="20">
        <f>1934.3*4.88*12</f>
        <v>113272.60800000001</v>
      </c>
      <c r="D21" s="16"/>
      <c r="E21" s="132"/>
    </row>
    <row r="22" spans="1:5" ht="15">
      <c r="A22" s="21" t="s">
        <v>23</v>
      </c>
      <c r="B22" s="12" t="s">
        <v>16</v>
      </c>
      <c r="C22" s="15">
        <f>C23+C24+C25+C26+C27</f>
        <v>349455.3039880001</v>
      </c>
      <c r="D22" s="16" t="s">
        <v>24</v>
      </c>
      <c r="E22" s="133" t="e">
        <f>B24+B25+B26+B27+B28</f>
        <v>#VALUE!</v>
      </c>
    </row>
    <row r="23" spans="1:5" ht="15">
      <c r="A23" s="8" t="s">
        <v>25</v>
      </c>
      <c r="B23" s="12" t="s">
        <v>16</v>
      </c>
      <c r="C23" s="15">
        <f>C18*0.934</f>
        <v>324869.65398800006</v>
      </c>
      <c r="D23" s="16"/>
      <c r="E23" s="132"/>
    </row>
    <row r="24" spans="1:8" ht="15">
      <c r="A24" s="8" t="s">
        <v>26</v>
      </c>
      <c r="B24" s="12" t="s">
        <v>16</v>
      </c>
      <c r="C24" s="15">
        <v>0</v>
      </c>
      <c r="D24" s="22">
        <v>65.21</v>
      </c>
      <c r="E24" s="134" t="e">
        <f>B24/#REF!*1</f>
        <v>#VALUE!</v>
      </c>
      <c r="H24" s="1" t="s">
        <v>27</v>
      </c>
    </row>
    <row r="25" spans="1:5" ht="15">
      <c r="A25" s="8" t="s">
        <v>28</v>
      </c>
      <c r="B25" s="12" t="s">
        <v>16</v>
      </c>
      <c r="C25" s="15">
        <v>0</v>
      </c>
      <c r="D25" s="22">
        <v>119.63</v>
      </c>
      <c r="E25" s="134" t="e">
        <f>B25/#REF!*1</f>
        <v>#VALUE!</v>
      </c>
    </row>
    <row r="26" spans="1:5" ht="15">
      <c r="A26" s="9" t="s">
        <v>29</v>
      </c>
      <c r="B26" s="12" t="s">
        <v>16</v>
      </c>
      <c r="C26" s="15">
        <v>0</v>
      </c>
      <c r="D26" s="22"/>
      <c r="E26" s="19" t="e">
        <f>B26/#REF!*1</f>
        <v>#VALUE!</v>
      </c>
    </row>
    <row r="27" spans="1:5" ht="15">
      <c r="A27" s="116" t="s">
        <v>112</v>
      </c>
      <c r="B27" s="12" t="s">
        <v>16</v>
      </c>
      <c r="C27" s="15">
        <v>24585.65</v>
      </c>
      <c r="D27" s="22">
        <v>139.18</v>
      </c>
      <c r="E27" s="19" t="e">
        <f>B27/#REF!*1</f>
        <v>#VALUE!</v>
      </c>
    </row>
    <row r="28" spans="1:5" ht="15">
      <c r="A28" s="8" t="s">
        <v>31</v>
      </c>
      <c r="B28" s="12" t="s">
        <v>16</v>
      </c>
      <c r="C28" s="15">
        <f>C15+C22</f>
        <v>364672.96398800006</v>
      </c>
      <c r="D28" s="16" t="s">
        <v>32</v>
      </c>
      <c r="E28" s="19" t="e">
        <f>B28/#REF!*1</f>
        <v>#VALUE!</v>
      </c>
    </row>
    <row r="29" spans="1:4" ht="35.25" customHeight="1">
      <c r="A29" s="260" t="s">
        <v>33</v>
      </c>
      <c r="B29" s="260"/>
      <c r="C29" s="260"/>
      <c r="D29" s="260"/>
    </row>
    <row r="30" spans="1:4" ht="60">
      <c r="A30" s="23" t="s">
        <v>34</v>
      </c>
      <c r="B30" s="24" t="s">
        <v>35</v>
      </c>
      <c r="C30" s="25" t="s">
        <v>36</v>
      </c>
      <c r="D30" s="26" t="s">
        <v>37</v>
      </c>
    </row>
    <row r="31" spans="1:10" ht="45">
      <c r="A31" s="27" t="s">
        <v>38</v>
      </c>
      <c r="B31" s="28" t="s">
        <v>39</v>
      </c>
      <c r="C31" s="29" t="s">
        <v>102</v>
      </c>
      <c r="D31" s="107">
        <f>(0.46+0.44)*6*1934.3</f>
        <v>10445.220000000001</v>
      </c>
      <c r="E31" s="132"/>
      <c r="F31" s="132"/>
      <c r="G31" s="132"/>
      <c r="H31" s="132"/>
      <c r="I31" s="132"/>
      <c r="J31" s="132"/>
    </row>
    <row r="32" spans="1:10" ht="15">
      <c r="A32" s="31" t="s">
        <v>84</v>
      </c>
      <c r="B32" s="32" t="s">
        <v>85</v>
      </c>
      <c r="C32" s="33" t="s">
        <v>86</v>
      </c>
      <c r="D32" s="108">
        <f>(2.45+2.34)*6*1934.3</f>
        <v>55591.782</v>
      </c>
      <c r="E32" s="132"/>
      <c r="F32" s="132"/>
      <c r="G32" s="132"/>
      <c r="H32" s="132"/>
      <c r="I32" s="132"/>
      <c r="J32" s="132"/>
    </row>
    <row r="33" spans="1:10" ht="15">
      <c r="A33" s="31" t="s">
        <v>41</v>
      </c>
      <c r="B33" s="32" t="s">
        <v>42</v>
      </c>
      <c r="C33" s="33" t="s">
        <v>43</v>
      </c>
      <c r="D33" s="34">
        <f>(3.03+3)*6*1934.3</f>
        <v>69982.97399999999</v>
      </c>
      <c r="E33" s="132"/>
      <c r="F33" s="132"/>
      <c r="G33" s="132"/>
      <c r="H33" s="132"/>
      <c r="I33" s="132"/>
      <c r="J33" s="132"/>
    </row>
    <row r="34" spans="1:10" ht="15">
      <c r="A34" s="31" t="s">
        <v>44</v>
      </c>
      <c r="B34" s="32" t="s">
        <v>87</v>
      </c>
      <c r="C34" s="33" t="s">
        <v>45</v>
      </c>
      <c r="D34" s="108">
        <f>(0.42+0.4)*6*1934.3</f>
        <v>9516.756</v>
      </c>
      <c r="E34" s="132"/>
      <c r="F34" s="132"/>
      <c r="G34" s="132"/>
      <c r="H34" s="132"/>
      <c r="I34" s="132"/>
      <c r="J34" s="132"/>
    </row>
    <row r="35" spans="1:10" ht="15">
      <c r="A35" s="31" t="s">
        <v>88</v>
      </c>
      <c r="B35" s="105" t="s">
        <v>87</v>
      </c>
      <c r="C35" s="33" t="s">
        <v>40</v>
      </c>
      <c r="D35" s="108">
        <f>(1.23+1.18)*6*1934.3</f>
        <v>27969.978000000003</v>
      </c>
      <c r="E35" s="132"/>
      <c r="F35" s="132"/>
      <c r="G35" s="132"/>
      <c r="H35" s="132"/>
      <c r="I35" s="132"/>
      <c r="J35" s="132"/>
    </row>
    <row r="36" spans="1:10" ht="15">
      <c r="A36" s="31" t="s">
        <v>104</v>
      </c>
      <c r="B36" s="32" t="s">
        <v>39</v>
      </c>
      <c r="C36" s="33" t="s">
        <v>40</v>
      </c>
      <c r="D36" s="34">
        <f>(0.28+0.3)*6*1934.3</f>
        <v>6731.3640000000005</v>
      </c>
      <c r="E36" s="132"/>
      <c r="F36" s="132"/>
      <c r="G36" s="132"/>
      <c r="H36" s="132"/>
      <c r="I36" s="132"/>
      <c r="J36" s="132"/>
    </row>
    <row r="37" spans="1:10" ht="30">
      <c r="A37" s="31" t="s">
        <v>90</v>
      </c>
      <c r="B37" s="106" t="s">
        <v>91</v>
      </c>
      <c r="C37" s="33" t="s">
        <v>40</v>
      </c>
      <c r="D37" s="108">
        <f>(1.33+1.27)*6*1934.3</f>
        <v>30175.08</v>
      </c>
      <c r="E37" s="132"/>
      <c r="F37" s="132"/>
      <c r="G37" s="132"/>
      <c r="H37" s="132"/>
      <c r="I37" s="132"/>
      <c r="J37" s="132"/>
    </row>
    <row r="38" spans="1:10" ht="15">
      <c r="A38" s="31" t="s">
        <v>46</v>
      </c>
      <c r="B38" s="32" t="s">
        <v>42</v>
      </c>
      <c r="C38" s="35" t="s">
        <v>47</v>
      </c>
      <c r="D38" s="108">
        <f>4.88*1934.3*12</f>
        <v>113272.60800000001</v>
      </c>
      <c r="E38" s="132"/>
      <c r="F38" s="132"/>
      <c r="G38" s="132"/>
      <c r="H38" s="132"/>
      <c r="I38" s="132"/>
      <c r="J38" s="132"/>
    </row>
    <row r="39" spans="1:14" s="1" customFormat="1" ht="75">
      <c r="A39" s="248" t="s">
        <v>299</v>
      </c>
      <c r="B39" s="37" t="s">
        <v>49</v>
      </c>
      <c r="C39" s="200"/>
      <c r="D39" s="179">
        <v>8066.42</v>
      </c>
      <c r="E39" s="132"/>
      <c r="F39" s="132"/>
      <c r="G39" s="132"/>
      <c r="H39" s="132"/>
      <c r="I39" s="132"/>
      <c r="J39" s="132"/>
      <c r="K39"/>
      <c r="L39"/>
      <c r="M39"/>
      <c r="N39"/>
    </row>
    <row r="40" spans="1:14" s="1" customFormat="1" ht="15">
      <c r="A40" s="109" t="s">
        <v>216</v>
      </c>
      <c r="B40" s="110" t="s">
        <v>206</v>
      </c>
      <c r="C40" s="111" t="s">
        <v>47</v>
      </c>
      <c r="D40" s="203">
        <v>2500</v>
      </c>
      <c r="E40" s="132"/>
      <c r="F40" s="132"/>
      <c r="G40" s="132"/>
      <c r="H40" s="132"/>
      <c r="I40" s="132"/>
      <c r="J40" s="132">
        <v>2500</v>
      </c>
      <c r="K40"/>
      <c r="L40"/>
      <c r="M40"/>
      <c r="N40"/>
    </row>
    <row r="41" spans="1:14" s="1" customFormat="1" ht="15">
      <c r="A41" s="109" t="s">
        <v>217</v>
      </c>
      <c r="B41" s="110" t="s">
        <v>194</v>
      </c>
      <c r="C41" s="33" t="s">
        <v>40</v>
      </c>
      <c r="D41" s="203">
        <v>950</v>
      </c>
      <c r="E41" s="132"/>
      <c r="F41" s="132"/>
      <c r="G41" s="132"/>
      <c r="H41" s="132"/>
      <c r="I41" s="132"/>
      <c r="J41" s="132">
        <v>950</v>
      </c>
      <c r="K41"/>
      <c r="L41"/>
      <c r="M41"/>
      <c r="N41"/>
    </row>
    <row r="42" spans="1:14" s="1" customFormat="1" ht="15">
      <c r="A42" s="182" t="s">
        <v>214</v>
      </c>
      <c r="B42" s="110" t="s">
        <v>181</v>
      </c>
      <c r="C42" s="33" t="s">
        <v>40</v>
      </c>
      <c r="D42" s="203">
        <v>81</v>
      </c>
      <c r="E42" s="132"/>
      <c r="F42" s="132"/>
      <c r="G42" s="132"/>
      <c r="H42" s="132"/>
      <c r="I42" s="132"/>
      <c r="J42" s="132">
        <v>81</v>
      </c>
      <c r="K42"/>
      <c r="L42"/>
      <c r="M42"/>
      <c r="N42"/>
    </row>
    <row r="43" spans="1:14" s="1" customFormat="1" ht="25.5">
      <c r="A43" s="201" t="s">
        <v>218</v>
      </c>
      <c r="B43" s="110" t="s">
        <v>219</v>
      </c>
      <c r="C43" s="33" t="s">
        <v>86</v>
      </c>
      <c r="D43" s="203">
        <v>4535.42</v>
      </c>
      <c r="E43" s="132"/>
      <c r="F43" s="132"/>
      <c r="G43" s="132"/>
      <c r="H43" s="132"/>
      <c r="I43" s="132"/>
      <c r="J43" s="132">
        <v>4535.42</v>
      </c>
      <c r="K43"/>
      <c r="L43"/>
      <c r="M43"/>
      <c r="N43"/>
    </row>
    <row r="44" spans="1:14" s="1" customFormat="1" ht="15.75">
      <c r="A44" s="40" t="s">
        <v>50</v>
      </c>
      <c r="B44" s="41"/>
      <c r="C44" s="42"/>
      <c r="D44" s="202">
        <f>D31+D32+D33+D34+D35+D36+D37+D38+D39</f>
        <v>331752.182</v>
      </c>
      <c r="E44" s="135">
        <f>D44-D39</f>
        <v>323685.762</v>
      </c>
      <c r="F44" s="132"/>
      <c r="G44" s="132"/>
      <c r="H44" s="132"/>
      <c r="I44" s="132"/>
      <c r="J44" s="132"/>
      <c r="K44"/>
      <c r="L44"/>
      <c r="M44"/>
      <c r="N44"/>
    </row>
    <row r="45" spans="1:14" s="1" customFormat="1" ht="15">
      <c r="A45" s="43" t="s">
        <v>51</v>
      </c>
      <c r="B45" s="44" t="s">
        <v>16</v>
      </c>
      <c r="C45" s="45"/>
      <c r="D45" s="46">
        <f>C15+C20*0.934+C27-D39</f>
        <v>54283.709776</v>
      </c>
      <c r="E45" s="135"/>
      <c r="F45" s="132"/>
      <c r="G45" s="132"/>
      <c r="H45" s="132"/>
      <c r="I45" s="132"/>
      <c r="J45" s="132"/>
      <c r="K45"/>
      <c r="L45"/>
      <c r="M45"/>
      <c r="N45"/>
    </row>
    <row r="46" spans="1:14" s="1" customFormat="1" ht="15">
      <c r="A46" s="48" t="s">
        <v>17</v>
      </c>
      <c r="B46" s="49" t="s">
        <v>16</v>
      </c>
      <c r="C46" s="33"/>
      <c r="D46" s="14">
        <v>0</v>
      </c>
      <c r="E46" s="132"/>
      <c r="F46" s="132"/>
      <c r="G46" s="132"/>
      <c r="H46" s="132"/>
      <c r="I46" s="132"/>
      <c r="J46" s="132"/>
      <c r="K46"/>
      <c r="L46"/>
      <c r="M46"/>
      <c r="N46"/>
    </row>
    <row r="47" spans="1:14" s="1" customFormat="1" ht="15">
      <c r="A47" s="48" t="s">
        <v>18</v>
      </c>
      <c r="B47" s="49" t="s">
        <v>16</v>
      </c>
      <c r="C47" s="33"/>
      <c r="D47" s="14">
        <v>117797.85</v>
      </c>
      <c r="E47" s="132"/>
      <c r="F47" s="132"/>
      <c r="G47" s="132"/>
      <c r="H47" s="132"/>
      <c r="I47" s="132"/>
      <c r="J47" s="132"/>
      <c r="K47"/>
      <c r="L47"/>
      <c r="M47"/>
      <c r="N47"/>
    </row>
    <row r="48" spans="1:14" s="1" customFormat="1" ht="24" customHeight="1">
      <c r="A48" s="261" t="s">
        <v>52</v>
      </c>
      <c r="B48" s="261"/>
      <c r="C48" s="261"/>
      <c r="D48" s="261"/>
      <c r="E48" s="132"/>
      <c r="F48" s="132"/>
      <c r="G48" s="132"/>
      <c r="H48" s="132"/>
      <c r="I48" s="132"/>
      <c r="J48" s="132"/>
      <c r="K48"/>
      <c r="L48"/>
      <c r="M48"/>
      <c r="N48"/>
    </row>
    <row r="49" spans="1:14" s="1" customFormat="1" ht="15">
      <c r="A49" s="48" t="s">
        <v>53</v>
      </c>
      <c r="B49" s="32" t="s">
        <v>54</v>
      </c>
      <c r="C49" s="33"/>
      <c r="D49" s="14">
        <v>0</v>
      </c>
      <c r="E49" s="132"/>
      <c r="F49" s="132"/>
      <c r="G49" s="132"/>
      <c r="H49" s="132"/>
      <c r="I49" s="132"/>
      <c r="J49" s="132"/>
      <c r="K49"/>
      <c r="L49"/>
      <c r="M49"/>
      <c r="N49"/>
    </row>
    <row r="50" spans="1:14" s="1" customFormat="1" ht="15">
      <c r="A50" s="48" t="s">
        <v>55</v>
      </c>
      <c r="B50" s="32" t="s">
        <v>54</v>
      </c>
      <c r="C50" s="33"/>
      <c r="D50" s="14">
        <v>0</v>
      </c>
      <c r="E50" s="132"/>
      <c r="F50" s="132"/>
      <c r="G50" s="132"/>
      <c r="H50" s="132"/>
      <c r="I50" s="132"/>
      <c r="J50" s="132"/>
      <c r="K50"/>
      <c r="L50"/>
      <c r="M50"/>
      <c r="N50"/>
    </row>
    <row r="51" spans="1:14" s="1" customFormat="1" ht="15">
      <c r="A51" s="50" t="s">
        <v>56</v>
      </c>
      <c r="B51" s="32" t="s">
        <v>54</v>
      </c>
      <c r="C51" s="33"/>
      <c r="D51" s="14">
        <v>0</v>
      </c>
      <c r="E51" s="132"/>
      <c r="F51" s="132"/>
      <c r="G51" s="132"/>
      <c r="H51" s="132"/>
      <c r="I51" s="132"/>
      <c r="J51" s="132"/>
      <c r="K51"/>
      <c r="L51"/>
      <c r="M51"/>
      <c r="N51"/>
    </row>
    <row r="52" spans="1:14" s="1" customFormat="1" ht="15">
      <c r="A52" s="48" t="s">
        <v>57</v>
      </c>
      <c r="B52" s="32" t="s">
        <v>16</v>
      </c>
      <c r="C52" s="33"/>
      <c r="D52" s="14">
        <v>0</v>
      </c>
      <c r="E52" s="132"/>
      <c r="F52" s="132"/>
      <c r="G52" s="132"/>
      <c r="H52" s="132"/>
      <c r="I52" s="132"/>
      <c r="J52" s="132"/>
      <c r="K52"/>
      <c r="L52"/>
      <c r="M52"/>
      <c r="N52"/>
    </row>
    <row r="53" spans="1:10" ht="20.25" customHeight="1">
      <c r="A53" s="262" t="s">
        <v>58</v>
      </c>
      <c r="B53" s="262"/>
      <c r="C53" s="262"/>
      <c r="D53" s="262"/>
      <c r="E53" s="132"/>
      <c r="F53" s="132"/>
      <c r="G53" s="132"/>
      <c r="H53" s="132"/>
      <c r="I53" s="132"/>
      <c r="J53" s="132"/>
    </row>
    <row r="54" spans="1:10" ht="25.5">
      <c r="A54" s="50" t="s">
        <v>59</v>
      </c>
      <c r="B54" s="32" t="s">
        <v>16</v>
      </c>
      <c r="C54" s="33"/>
      <c r="D54" s="14">
        <v>0</v>
      </c>
      <c r="E54" s="132"/>
      <c r="F54" s="132"/>
      <c r="G54" s="132"/>
      <c r="H54" s="132"/>
      <c r="I54" s="132"/>
      <c r="J54" s="132"/>
    </row>
    <row r="55" spans="1:10" ht="15">
      <c r="A55" s="48" t="s">
        <v>17</v>
      </c>
      <c r="B55" s="32" t="s">
        <v>16</v>
      </c>
      <c r="C55" s="33"/>
      <c r="D55" s="14">
        <v>0</v>
      </c>
      <c r="E55" s="132"/>
      <c r="F55" s="132"/>
      <c r="G55" s="132"/>
      <c r="H55" s="132"/>
      <c r="I55" s="132"/>
      <c r="J55" s="132"/>
    </row>
    <row r="56" spans="1:10" ht="15">
      <c r="A56" s="48" t="s">
        <v>18</v>
      </c>
      <c r="B56" s="32" t="s">
        <v>16</v>
      </c>
      <c r="C56" s="33"/>
      <c r="D56" s="51">
        <f>D59-D62-D63-D64</f>
        <v>191959.53182</v>
      </c>
      <c r="E56" s="132"/>
      <c r="F56" s="132"/>
      <c r="G56" s="132"/>
      <c r="H56" s="136"/>
      <c r="I56" s="132"/>
      <c r="J56" s="132"/>
    </row>
    <row r="57" spans="1:10" ht="25.5">
      <c r="A57" s="53" t="s">
        <v>60</v>
      </c>
      <c r="B57" s="32" t="s">
        <v>16</v>
      </c>
      <c r="C57" s="54"/>
      <c r="D57" s="55">
        <v>0</v>
      </c>
      <c r="E57" s="132"/>
      <c r="F57" s="132"/>
      <c r="G57" s="132"/>
      <c r="H57" s="132"/>
      <c r="I57" s="132"/>
      <c r="J57" s="132"/>
    </row>
    <row r="58" spans="1:10" ht="17.25" customHeight="1">
      <c r="A58" s="56" t="s">
        <v>17</v>
      </c>
      <c r="B58" s="32" t="s">
        <v>16</v>
      </c>
      <c r="C58" s="57"/>
      <c r="D58" s="58">
        <v>0</v>
      </c>
      <c r="E58" s="132"/>
      <c r="F58" s="132"/>
      <c r="G58" s="132"/>
      <c r="H58" s="132"/>
      <c r="I58" s="136"/>
      <c r="J58" s="136"/>
    </row>
    <row r="59" spans="1:14" ht="15">
      <c r="A59" s="59" t="s">
        <v>18</v>
      </c>
      <c r="B59" s="32" t="s">
        <v>16</v>
      </c>
      <c r="C59" s="60"/>
      <c r="D59" s="61">
        <v>218326.91</v>
      </c>
      <c r="E59" s="132"/>
      <c r="F59" s="132"/>
      <c r="G59" s="132"/>
      <c r="H59" s="132" t="s">
        <v>32</v>
      </c>
      <c r="I59" s="147"/>
      <c r="J59" s="147"/>
      <c r="K59" s="64"/>
      <c r="L59" s="64"/>
      <c r="M59" s="64"/>
      <c r="N59" s="64"/>
    </row>
    <row r="60" spans="1:14" ht="18" customHeight="1">
      <c r="A60" s="263" t="s">
        <v>61</v>
      </c>
      <c r="B60" s="263"/>
      <c r="C60" s="263"/>
      <c r="D60" s="263"/>
      <c r="E60" s="137"/>
      <c r="F60" s="138"/>
      <c r="G60" s="139"/>
      <c r="H60" s="132"/>
      <c r="I60" s="143"/>
      <c r="J60" s="143"/>
      <c r="K60" s="69"/>
      <c r="L60" s="69"/>
      <c r="M60" s="69"/>
      <c r="N60" s="69"/>
    </row>
    <row r="61" spans="1:14" ht="47.25">
      <c r="A61" s="235" t="s">
        <v>62</v>
      </c>
      <c r="B61" s="236" t="s">
        <v>63</v>
      </c>
      <c r="C61" s="237" t="s">
        <v>64</v>
      </c>
      <c r="D61" s="238" t="s">
        <v>65</v>
      </c>
      <c r="E61" s="137"/>
      <c r="F61" s="138"/>
      <c r="G61" s="139"/>
      <c r="H61" s="132"/>
      <c r="I61" s="143"/>
      <c r="J61" s="255"/>
      <c r="K61" s="69"/>
      <c r="L61" s="69"/>
      <c r="M61" s="69"/>
      <c r="N61" s="69"/>
    </row>
    <row r="62" spans="1:14" ht="15">
      <c r="A62" s="239" t="s">
        <v>66</v>
      </c>
      <c r="B62" s="117">
        <v>192770.38</v>
      </c>
      <c r="C62" s="118">
        <f>B62*0.934</f>
        <v>180047.53492</v>
      </c>
      <c r="D62" s="240">
        <f>B62-C62</f>
        <v>12722.84508</v>
      </c>
      <c r="E62" s="140"/>
      <c r="F62" s="138"/>
      <c r="G62" s="139"/>
      <c r="H62" s="132"/>
      <c r="I62" s="143"/>
      <c r="J62" s="143"/>
      <c r="K62" s="69"/>
      <c r="L62" s="69"/>
      <c r="M62" s="69"/>
      <c r="N62" s="69"/>
    </row>
    <row r="63" spans="1:14" ht="15">
      <c r="A63" s="239" t="s">
        <v>67</v>
      </c>
      <c r="B63" s="117">
        <v>206735.35</v>
      </c>
      <c r="C63" s="118">
        <f>B63*0.934</f>
        <v>193090.8169</v>
      </c>
      <c r="D63" s="240">
        <f>B63-C63</f>
        <v>13644.5331</v>
      </c>
      <c r="E63" s="137"/>
      <c r="F63" s="138"/>
      <c r="G63" s="139"/>
      <c r="H63" s="132"/>
      <c r="I63" s="143"/>
      <c r="J63" s="143"/>
      <c r="K63" s="69"/>
      <c r="L63" s="69"/>
      <c r="M63" s="69"/>
      <c r="N63" s="69"/>
    </row>
    <row r="64" spans="1:14" ht="15">
      <c r="A64" s="239" t="s">
        <v>68</v>
      </c>
      <c r="B64" s="120">
        <v>0</v>
      </c>
      <c r="C64" s="118">
        <f>B64*1.0497</f>
        <v>0</v>
      </c>
      <c r="D64" s="240">
        <f>B64-C64</f>
        <v>0</v>
      </c>
      <c r="E64" s="137">
        <f>(2.07+1.8)*6*2301.2-0.37*2301.2*6</f>
        <v>48325.2</v>
      </c>
      <c r="F64" s="141"/>
      <c r="G64" s="142"/>
      <c r="H64" s="137"/>
      <c r="I64" s="143"/>
      <c r="J64" s="143"/>
      <c r="K64" s="69"/>
      <c r="L64" s="69"/>
      <c r="M64" s="69"/>
      <c r="N64" s="69"/>
    </row>
    <row r="65" spans="1:14" ht="15">
      <c r="A65" s="241" t="s">
        <v>69</v>
      </c>
      <c r="B65" s="242">
        <v>245156.41</v>
      </c>
      <c r="C65" s="243">
        <f>B65*0.934</f>
        <v>228976.08694</v>
      </c>
      <c r="D65" s="244">
        <f>B65-C65</f>
        <v>16180.323059999995</v>
      </c>
      <c r="E65" s="137"/>
      <c r="F65" s="141"/>
      <c r="G65" s="142"/>
      <c r="H65" s="132"/>
      <c r="I65" s="143"/>
      <c r="J65" s="143"/>
      <c r="K65" s="69"/>
      <c r="L65" s="69"/>
      <c r="M65" s="69"/>
      <c r="N65" s="69"/>
    </row>
    <row r="66" spans="1:14" ht="78.75">
      <c r="A66" s="227" t="s">
        <v>70</v>
      </c>
      <c r="B66" s="228" t="s">
        <v>71</v>
      </c>
      <c r="C66" s="229" t="s">
        <v>72</v>
      </c>
      <c r="D66" s="229" t="s">
        <v>73</v>
      </c>
      <c r="E66" s="137"/>
      <c r="F66" s="141"/>
      <c r="G66" s="132"/>
      <c r="H66" s="143"/>
      <c r="I66" s="143"/>
      <c r="J66" s="143"/>
      <c r="K66" s="69"/>
      <c r="L66" s="69"/>
      <c r="M66" s="69"/>
      <c r="N66" s="69"/>
    </row>
    <row r="67" spans="1:14" ht="15">
      <c r="A67" s="230" t="s">
        <v>66</v>
      </c>
      <c r="B67" s="231">
        <v>178708.87</v>
      </c>
      <c r="C67" s="232">
        <v>180047.53</v>
      </c>
      <c r="D67" s="245">
        <f>B67-C67</f>
        <v>-1338.6600000000035</v>
      </c>
      <c r="E67" s="137"/>
      <c r="F67" s="141"/>
      <c r="G67" s="132"/>
      <c r="H67" s="143"/>
      <c r="I67" s="143"/>
      <c r="J67" s="143" t="s">
        <v>32</v>
      </c>
      <c r="K67" s="69"/>
      <c r="L67" s="69"/>
      <c r="M67" s="69"/>
      <c r="N67" s="69"/>
    </row>
    <row r="68" spans="1:14" ht="15">
      <c r="A68" s="230" t="s">
        <v>67</v>
      </c>
      <c r="B68" s="231">
        <v>204861.67</v>
      </c>
      <c r="C68" s="232">
        <v>193090.82</v>
      </c>
      <c r="D68" s="245">
        <f>B68-C68</f>
        <v>11770.850000000006</v>
      </c>
      <c r="E68" s="137"/>
      <c r="F68" s="141"/>
      <c r="G68" s="132"/>
      <c r="H68" s="143"/>
      <c r="I68" s="143"/>
      <c r="J68" s="143"/>
      <c r="K68" s="69"/>
      <c r="L68" s="69"/>
      <c r="M68" s="69"/>
      <c r="N68" s="69"/>
    </row>
    <row r="69" spans="1:14" ht="15">
      <c r="A69" s="230" t="s">
        <v>68</v>
      </c>
      <c r="B69" s="231">
        <v>0</v>
      </c>
      <c r="C69" s="232">
        <v>0</v>
      </c>
      <c r="D69" s="245">
        <f>B69-C69</f>
        <v>0</v>
      </c>
      <c r="E69" s="137"/>
      <c r="F69" s="141"/>
      <c r="G69" s="132"/>
      <c r="H69" s="143"/>
      <c r="I69" s="143"/>
      <c r="J69" s="143"/>
      <c r="K69" s="69"/>
      <c r="L69" s="69"/>
      <c r="M69" s="69"/>
      <c r="N69" s="69"/>
    </row>
    <row r="70" spans="1:14" ht="15">
      <c r="A70" s="230" t="s">
        <v>74</v>
      </c>
      <c r="B70" s="231">
        <v>0</v>
      </c>
      <c r="C70" s="232">
        <v>0</v>
      </c>
      <c r="D70" s="245">
        <f>B70-C70</f>
        <v>0</v>
      </c>
      <c r="E70" s="137"/>
      <c r="F70" s="141"/>
      <c r="G70" s="132"/>
      <c r="H70" s="143"/>
      <c r="I70" s="68"/>
      <c r="J70" s="68"/>
      <c r="K70" s="69"/>
      <c r="L70" s="69"/>
      <c r="M70" s="69"/>
      <c r="N70" s="69"/>
    </row>
    <row r="71" spans="1:14" ht="15">
      <c r="A71" s="233" t="s">
        <v>69</v>
      </c>
      <c r="B71" s="231">
        <f>B65</f>
        <v>245156.41</v>
      </c>
      <c r="C71" s="234">
        <f>B71</f>
        <v>245156.41</v>
      </c>
      <c r="D71" s="245">
        <f>B71-C71</f>
        <v>0</v>
      </c>
      <c r="E71" s="137"/>
      <c r="F71" s="141"/>
      <c r="G71" s="132"/>
      <c r="H71" s="143" t="s">
        <v>32</v>
      </c>
      <c r="I71" s="68"/>
      <c r="J71" s="68"/>
      <c r="K71" s="69"/>
      <c r="L71" s="69"/>
      <c r="M71" s="69"/>
      <c r="N71" s="69"/>
    </row>
    <row r="72" spans="1:14" ht="15">
      <c r="A72" s="91"/>
      <c r="B72" s="87"/>
      <c r="C72" s="92"/>
      <c r="D72" s="93"/>
      <c r="E72" s="65"/>
      <c r="F72" s="81"/>
      <c r="H72" s="68"/>
      <c r="I72" s="68"/>
      <c r="J72" s="68"/>
      <c r="K72" s="69"/>
      <c r="L72" s="69"/>
      <c r="M72" s="69"/>
      <c r="N72" s="69"/>
    </row>
    <row r="73" spans="1:14" ht="25.5">
      <c r="A73" s="94" t="s">
        <v>75</v>
      </c>
      <c r="B73" s="87" t="s">
        <v>16</v>
      </c>
      <c r="C73" s="95"/>
      <c r="D73" s="96">
        <v>0</v>
      </c>
      <c r="E73" s="65"/>
      <c r="F73" s="81"/>
      <c r="H73" s="68"/>
      <c r="I73" s="68"/>
      <c r="J73" s="68" t="s">
        <v>32</v>
      </c>
      <c r="K73" s="69"/>
      <c r="L73" s="69"/>
      <c r="M73" s="69"/>
      <c r="N73" s="69"/>
    </row>
    <row r="74" spans="1:14" ht="17.25" customHeight="1">
      <c r="A74" s="264" t="s">
        <v>76</v>
      </c>
      <c r="B74" s="264"/>
      <c r="C74" s="264"/>
      <c r="D74" s="264"/>
      <c r="E74" s="97" t="e">
        <f>D74+B19</f>
        <v>#VALUE!</v>
      </c>
      <c r="F74" s="68"/>
      <c r="H74" s="98" t="e">
        <f>E74-B18</f>
        <v>#VALUE!</v>
      </c>
      <c r="I74" s="68"/>
      <c r="J74" s="68"/>
      <c r="K74" s="69"/>
      <c r="L74" s="69"/>
      <c r="M74" s="69"/>
      <c r="N74" s="69"/>
    </row>
    <row r="75" spans="1:5" ht="21" customHeight="1">
      <c r="A75" s="99" t="s">
        <v>53</v>
      </c>
      <c r="B75" s="99" t="s">
        <v>54</v>
      </c>
      <c r="C75" s="100">
        <v>1</v>
      </c>
      <c r="D75" s="101"/>
      <c r="E75" s="102"/>
    </row>
    <row r="76" spans="1:5" ht="21" customHeight="1">
      <c r="A76" s="99" t="s">
        <v>55</v>
      </c>
      <c r="B76" s="99" t="s">
        <v>54</v>
      </c>
      <c r="C76" s="99">
        <v>1</v>
      </c>
      <c r="D76" s="101"/>
      <c r="E76" s="102"/>
    </row>
    <row r="77" spans="1:5" ht="18" customHeight="1">
      <c r="A77" s="99" t="s">
        <v>56</v>
      </c>
      <c r="B77" s="99" t="s">
        <v>54</v>
      </c>
      <c r="C77" s="99">
        <v>0</v>
      </c>
      <c r="D77" s="101"/>
      <c r="E77" s="102"/>
    </row>
    <row r="78" spans="1:5" ht="16.5" customHeight="1">
      <c r="A78" s="99" t="s">
        <v>57</v>
      </c>
      <c r="B78" s="99" t="s">
        <v>16</v>
      </c>
      <c r="C78" s="99">
        <v>1106.4</v>
      </c>
      <c r="D78" s="101"/>
      <c r="E78" s="102"/>
    </row>
    <row r="79" spans="1:5" ht="15.75" customHeight="1">
      <c r="A79" s="258" t="s">
        <v>77</v>
      </c>
      <c r="B79" s="258"/>
      <c r="C79" s="258"/>
      <c r="D79" s="258"/>
      <c r="E79" s="102"/>
    </row>
    <row r="80" spans="1:5" ht="18.75" customHeight="1">
      <c r="A80" s="99" t="s">
        <v>78</v>
      </c>
      <c r="B80" s="99" t="s">
        <v>54</v>
      </c>
      <c r="C80" s="99">
        <v>2</v>
      </c>
      <c r="D80" s="101"/>
      <c r="E80" s="102"/>
    </row>
    <row r="81" spans="1:5" ht="21.75" customHeight="1">
      <c r="A81" s="99" t="s">
        <v>79</v>
      </c>
      <c r="B81" s="56" t="s">
        <v>54</v>
      </c>
      <c r="C81" s="56">
        <v>3</v>
      </c>
      <c r="D81" s="101"/>
      <c r="E81" s="102"/>
    </row>
    <row r="82" spans="1:5" ht="36" customHeight="1">
      <c r="A82" s="103" t="s">
        <v>80</v>
      </c>
      <c r="B82" s="99" t="s">
        <v>16</v>
      </c>
      <c r="C82" s="99">
        <v>87817</v>
      </c>
      <c r="D82" s="101"/>
      <c r="E82" s="102"/>
    </row>
    <row r="83" spans="1:4" ht="15">
      <c r="A83" s="69"/>
      <c r="B83" s="69"/>
      <c r="C83" s="69"/>
      <c r="D83" s="104"/>
    </row>
    <row r="84" spans="1:14" s="1" customFormat="1" ht="12.75">
      <c r="A84"/>
      <c r="B84"/>
      <c r="C84"/>
      <c r="D84"/>
      <c r="H84" s="1" t="s">
        <v>32</v>
      </c>
      <c r="K84"/>
      <c r="L84"/>
      <c r="M84"/>
      <c r="N84"/>
    </row>
    <row r="85" spans="1:14" s="1" customFormat="1" ht="12.75">
      <c r="A85" s="224" t="s">
        <v>287</v>
      </c>
      <c r="B85"/>
      <c r="C85"/>
      <c r="D85"/>
      <c r="K85"/>
      <c r="L85"/>
      <c r="M85"/>
      <c r="N85"/>
    </row>
    <row r="86" spans="1:14" s="1" customFormat="1" ht="12.75">
      <c r="A86"/>
      <c r="B86"/>
      <c r="C86"/>
      <c r="D86"/>
      <c r="H86" s="1" t="s">
        <v>32</v>
      </c>
      <c r="K86"/>
      <c r="L86"/>
      <c r="M86"/>
      <c r="N86"/>
    </row>
    <row r="87" spans="1:14" s="1" customFormat="1" ht="12.75">
      <c r="A87" t="s">
        <v>82</v>
      </c>
      <c r="B87"/>
      <c r="C87"/>
      <c r="D87"/>
      <c r="K87"/>
      <c r="L87"/>
      <c r="M87"/>
      <c r="N87"/>
    </row>
    <row r="91" spans="1:14" s="1" customFormat="1" ht="12.75">
      <c r="A91"/>
      <c r="B91"/>
      <c r="C91"/>
      <c r="D91"/>
      <c r="E91" s="1" t="s">
        <v>32</v>
      </c>
      <c r="K91"/>
      <c r="L91"/>
      <c r="M91"/>
      <c r="N91"/>
    </row>
  </sheetData>
  <sheetProtection selectLockedCells="1" selectUnlockedCells="1"/>
  <mergeCells count="13">
    <mergeCell ref="A1:D1"/>
    <mergeCell ref="A2:D2"/>
    <mergeCell ref="A3:D3"/>
    <mergeCell ref="A4:D4"/>
    <mergeCell ref="A5:D5"/>
    <mergeCell ref="A7:D7"/>
    <mergeCell ref="A79:D79"/>
    <mergeCell ref="A14:D14"/>
    <mergeCell ref="A29:D29"/>
    <mergeCell ref="A48:D48"/>
    <mergeCell ref="A53:D53"/>
    <mergeCell ref="A60:D60"/>
    <mergeCell ref="A74:D74"/>
  </mergeCells>
  <printOptions/>
  <pageMargins left="0.5597222222222222" right="0.7875" top="0.34097222222222223" bottom="0.7875" header="0.5118055555555555" footer="0.5118055555555555"/>
  <pageSetup fitToHeight="3" fitToWidth="2" horizontalDpi="600" verticalDpi="600" orientation="portrait" paperSize="1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0"/>
  <sheetViews>
    <sheetView zoomScale="80" zoomScaleNormal="80" zoomScalePageLayoutView="0" workbookViewId="0" topLeftCell="A1">
      <selection activeCell="E17" sqref="E17:E69"/>
    </sheetView>
  </sheetViews>
  <sheetFormatPr defaultColWidth="11.57421875" defaultRowHeight="12.75"/>
  <cols>
    <col min="1" max="1" width="54.421875" style="0" customWidth="1"/>
    <col min="2" max="2" width="14.57421875" style="0" customWidth="1"/>
    <col min="3" max="3" width="25.7109375" style="0" customWidth="1"/>
    <col min="4" max="4" width="18.57421875" style="0" customWidth="1"/>
    <col min="5" max="5" width="16.8515625" style="1" customWidth="1"/>
    <col min="6" max="7" width="0" style="1" hidden="1" customWidth="1"/>
    <col min="8" max="8" width="11.57421875" style="1" customWidth="1"/>
    <col min="9" max="9" width="5.28125" style="1" customWidth="1"/>
    <col min="10" max="10" width="30.00390625" style="1" customWidth="1"/>
    <col min="11" max="12" width="23.28125" style="0" customWidth="1"/>
    <col min="13" max="13" width="6.57421875" style="0" customWidth="1"/>
    <col min="14" max="14" width="7.00390625" style="0" customWidth="1"/>
  </cols>
  <sheetData>
    <row r="1" spans="1:4" ht="18">
      <c r="A1" s="265"/>
      <c r="B1" s="265"/>
      <c r="C1" s="265"/>
      <c r="D1" s="265"/>
    </row>
    <row r="2" spans="1:4" ht="15.75">
      <c r="A2" s="266" t="s">
        <v>1</v>
      </c>
      <c r="B2" s="266"/>
      <c r="C2" s="266"/>
      <c r="D2" s="266"/>
    </row>
    <row r="3" spans="1:4" ht="15.75">
      <c r="A3" s="266" t="s">
        <v>2</v>
      </c>
      <c r="B3" s="266"/>
      <c r="C3" s="266"/>
      <c r="D3" s="266"/>
    </row>
    <row r="4" spans="1:4" ht="12.75">
      <c r="A4" s="267" t="s">
        <v>110</v>
      </c>
      <c r="B4" s="267"/>
      <c r="C4" s="267"/>
      <c r="D4" s="267"/>
    </row>
    <row r="5" spans="1:4" ht="12.75">
      <c r="A5" s="268" t="s">
        <v>171</v>
      </c>
      <c r="B5" s="267"/>
      <c r="C5" s="267"/>
      <c r="D5" s="267"/>
    </row>
    <row r="6" ht="9" customHeight="1">
      <c r="A6" s="2"/>
    </row>
    <row r="7" spans="1:4" ht="35.25" customHeight="1">
      <c r="A7" s="269" t="s">
        <v>4</v>
      </c>
      <c r="B7" s="269"/>
      <c r="C7" s="269"/>
      <c r="D7" s="269"/>
    </row>
    <row r="8" spans="1:3" ht="12.75">
      <c r="A8" s="2" t="s">
        <v>220</v>
      </c>
      <c r="C8" s="3"/>
    </row>
    <row r="9" spans="1:4" ht="12.75">
      <c r="A9" s="4" t="s">
        <v>5</v>
      </c>
      <c r="B9" s="4" t="s">
        <v>6</v>
      </c>
      <c r="C9" s="4" t="s">
        <v>7</v>
      </c>
      <c r="D9" s="5"/>
    </row>
    <row r="10" spans="1:4" ht="12.75">
      <c r="A10" s="6">
        <v>1</v>
      </c>
      <c r="B10" s="6">
        <v>2</v>
      </c>
      <c r="C10" s="6">
        <v>3</v>
      </c>
      <c r="D10" s="7">
        <v>4</v>
      </c>
    </row>
    <row r="11" spans="1:4" ht="12.75">
      <c r="A11" s="8" t="s">
        <v>8</v>
      </c>
      <c r="B11" s="9"/>
      <c r="C11" s="177" t="s">
        <v>172</v>
      </c>
      <c r="D11" s="10"/>
    </row>
    <row r="12" spans="1:4" ht="12.75">
      <c r="A12" s="8" t="s">
        <v>10</v>
      </c>
      <c r="B12" s="9"/>
      <c r="C12" s="177" t="s">
        <v>173</v>
      </c>
      <c r="D12" s="10"/>
    </row>
    <row r="13" spans="1:4" ht="12.75">
      <c r="A13" s="8" t="s">
        <v>12</v>
      </c>
      <c r="B13" s="9"/>
      <c r="C13" s="177" t="s">
        <v>174</v>
      </c>
      <c r="D13" s="10"/>
    </row>
    <row r="14" spans="1:8" ht="31.5" customHeight="1">
      <c r="A14" s="259" t="s">
        <v>14</v>
      </c>
      <c r="B14" s="259"/>
      <c r="C14" s="259"/>
      <c r="D14" s="259"/>
      <c r="E14" s="132"/>
      <c r="F14" s="132"/>
      <c r="G14" s="132"/>
      <c r="H14" s="132"/>
    </row>
    <row r="15" spans="1:8" ht="25.5">
      <c r="A15" s="11" t="s">
        <v>15</v>
      </c>
      <c r="B15" s="12" t="s">
        <v>16</v>
      </c>
      <c r="C15" s="13">
        <v>-41401.16</v>
      </c>
      <c r="D15" s="14"/>
      <c r="E15" s="132"/>
      <c r="F15" s="132"/>
      <c r="G15" s="132"/>
      <c r="H15" s="132"/>
    </row>
    <row r="16" spans="1:8" ht="15">
      <c r="A16" s="8" t="s">
        <v>17</v>
      </c>
      <c r="B16" s="12" t="s">
        <v>16</v>
      </c>
      <c r="C16" s="13">
        <v>0</v>
      </c>
      <c r="D16" s="14"/>
      <c r="E16" s="132"/>
      <c r="F16" s="132"/>
      <c r="G16" s="132"/>
      <c r="H16" s="132"/>
    </row>
    <row r="17" spans="1:8" ht="15">
      <c r="A17" s="8" t="s">
        <v>18</v>
      </c>
      <c r="B17" s="12" t="s">
        <v>16</v>
      </c>
      <c r="C17" s="15">
        <v>4207.97</v>
      </c>
      <c r="D17" s="16"/>
      <c r="E17" s="132" t="e">
        <f>B17/12/1022.6</f>
        <v>#VALUE!</v>
      </c>
      <c r="F17" s="132"/>
      <c r="G17" s="132"/>
      <c r="H17" s="132"/>
    </row>
    <row r="18" spans="1:8" ht="31.5" customHeight="1">
      <c r="A18" s="17" t="s">
        <v>19</v>
      </c>
      <c r="B18" s="12" t="s">
        <v>16</v>
      </c>
      <c r="C18" s="15">
        <f>C19+C20+C21</f>
        <v>221846.93759999998</v>
      </c>
      <c r="D18" s="16"/>
      <c r="E18" s="133">
        <f>C18-C20</f>
        <v>191949.34559999997</v>
      </c>
      <c r="F18" s="132"/>
      <c r="G18" s="132"/>
      <c r="H18" s="132"/>
    </row>
    <row r="19" spans="1:8" ht="15">
      <c r="A19" s="8" t="s">
        <v>20</v>
      </c>
      <c r="B19" s="12" t="s">
        <v>16</v>
      </c>
      <c r="C19" s="15">
        <v>126376.2</v>
      </c>
      <c r="D19" s="16"/>
      <c r="E19" s="133">
        <f>E18-E43</f>
        <v>0.08639999997103587</v>
      </c>
      <c r="F19" s="132"/>
      <c r="G19" s="132"/>
      <c r="H19" s="132"/>
    </row>
    <row r="20" spans="1:8" ht="15">
      <c r="A20" s="8" t="s">
        <v>21</v>
      </c>
      <c r="B20" s="12" t="s">
        <v>16</v>
      </c>
      <c r="C20" s="15">
        <f>(2.44+2.01)*6*1119.76</f>
        <v>29897.591999999993</v>
      </c>
      <c r="D20" s="16"/>
      <c r="E20" s="134"/>
      <c r="F20" s="132"/>
      <c r="G20" s="132"/>
      <c r="H20" s="132"/>
    </row>
    <row r="21" spans="1:8" ht="15">
      <c r="A21" s="8" t="s">
        <v>22</v>
      </c>
      <c r="B21" s="12" t="s">
        <v>16</v>
      </c>
      <c r="C21" s="20">
        <f>1119.76*4.88*12</f>
        <v>65573.14559999999</v>
      </c>
      <c r="D21" s="16"/>
      <c r="E21" s="132"/>
      <c r="F21" s="132"/>
      <c r="G21" s="132"/>
      <c r="H21" s="132"/>
    </row>
    <row r="22" spans="1:8" ht="15">
      <c r="A22" s="21" t="s">
        <v>23</v>
      </c>
      <c r="B22" s="12" t="s">
        <v>16</v>
      </c>
      <c r="C22" s="15">
        <f>C23+C24+C25+C26+C27</f>
        <v>234624.43557375998</v>
      </c>
      <c r="D22" s="16" t="s">
        <v>24</v>
      </c>
      <c r="E22" s="133" t="e">
        <f>B24+B25+B26+B27+B28</f>
        <v>#VALUE!</v>
      </c>
      <c r="F22" s="132"/>
      <c r="G22" s="132"/>
      <c r="H22" s="132"/>
    </row>
    <row r="23" spans="1:8" ht="15">
      <c r="A23" s="8" t="s">
        <v>25</v>
      </c>
      <c r="B23" s="12" t="s">
        <v>16</v>
      </c>
      <c r="C23" s="15">
        <f>C18*0.9876</f>
        <v>219096.03557376</v>
      </c>
      <c r="D23" s="16"/>
      <c r="E23" s="132"/>
      <c r="F23" s="132"/>
      <c r="G23" s="132"/>
      <c r="H23" s="132"/>
    </row>
    <row r="24" spans="1:8" ht="15">
      <c r="A24" s="8" t="s">
        <v>26</v>
      </c>
      <c r="B24" s="12" t="s">
        <v>16</v>
      </c>
      <c r="C24" s="15">
        <v>0</v>
      </c>
      <c r="D24" s="22">
        <v>65.21</v>
      </c>
      <c r="E24" s="134" t="e">
        <f>B24/#REF!*1</f>
        <v>#VALUE!</v>
      </c>
      <c r="F24" s="132"/>
      <c r="G24" s="132"/>
      <c r="H24" s="132" t="s">
        <v>27</v>
      </c>
    </row>
    <row r="25" spans="1:8" ht="15">
      <c r="A25" s="8" t="s">
        <v>28</v>
      </c>
      <c r="B25" s="12" t="s">
        <v>16</v>
      </c>
      <c r="C25" s="15">
        <v>0</v>
      </c>
      <c r="D25" s="22">
        <v>119.63</v>
      </c>
      <c r="E25" s="134" t="e">
        <f>B25/#REF!*1</f>
        <v>#VALUE!</v>
      </c>
      <c r="F25" s="132"/>
      <c r="G25" s="132"/>
      <c r="H25" s="132"/>
    </row>
    <row r="26" spans="1:8" ht="15">
      <c r="A26" s="9" t="s">
        <v>29</v>
      </c>
      <c r="B26" s="12" t="s">
        <v>16</v>
      </c>
      <c r="C26" s="15">
        <v>0</v>
      </c>
      <c r="D26" s="22"/>
      <c r="E26" s="134" t="e">
        <f>B26/#REF!*1</f>
        <v>#VALUE!</v>
      </c>
      <c r="F26" s="132"/>
      <c r="G26" s="132"/>
      <c r="H26" s="132"/>
    </row>
    <row r="27" spans="1:8" ht="26.25" customHeight="1">
      <c r="A27" s="116" t="s">
        <v>112</v>
      </c>
      <c r="B27" s="12" t="s">
        <v>16</v>
      </c>
      <c r="C27" s="15">
        <v>15528.4</v>
      </c>
      <c r="D27" s="22">
        <v>139.18</v>
      </c>
      <c r="E27" s="134" t="e">
        <f>B27/#REF!*1</f>
        <v>#VALUE!</v>
      </c>
      <c r="F27" s="132"/>
      <c r="G27" s="132"/>
      <c r="H27" s="132"/>
    </row>
    <row r="28" spans="1:8" ht="15">
      <c r="A28" s="8" t="s">
        <v>31</v>
      </c>
      <c r="B28" s="12" t="s">
        <v>16</v>
      </c>
      <c r="C28" s="15">
        <f>C15+C22</f>
        <v>193223.27557375998</v>
      </c>
      <c r="D28" s="16" t="s">
        <v>32</v>
      </c>
      <c r="E28" s="134" t="e">
        <f>B28/#REF!*1</f>
        <v>#VALUE!</v>
      </c>
      <c r="F28" s="132"/>
      <c r="G28" s="132"/>
      <c r="H28" s="132"/>
    </row>
    <row r="29" spans="1:8" ht="35.25" customHeight="1">
      <c r="A29" s="260" t="s">
        <v>33</v>
      </c>
      <c r="B29" s="260"/>
      <c r="C29" s="260"/>
      <c r="D29" s="260"/>
      <c r="E29" s="132"/>
      <c r="F29" s="132"/>
      <c r="G29" s="132"/>
      <c r="H29" s="132"/>
    </row>
    <row r="30" spans="1:8" ht="51">
      <c r="A30" s="218" t="s">
        <v>34</v>
      </c>
      <c r="B30" s="221" t="s">
        <v>35</v>
      </c>
      <c r="C30" s="216" t="s">
        <v>36</v>
      </c>
      <c r="D30" s="222" t="s">
        <v>37</v>
      </c>
      <c r="E30" s="132"/>
      <c r="F30" s="132"/>
      <c r="G30" s="132"/>
      <c r="H30" s="132"/>
    </row>
    <row r="31" spans="1:8" ht="30">
      <c r="A31" s="27" t="s">
        <v>38</v>
      </c>
      <c r="B31" s="28" t="s">
        <v>39</v>
      </c>
      <c r="C31" s="29" t="s">
        <v>102</v>
      </c>
      <c r="D31" s="107">
        <f>(0.32+0.33)*6*1119.76</f>
        <v>4367.064</v>
      </c>
      <c r="E31" s="132"/>
      <c r="F31" s="132"/>
      <c r="G31" s="132"/>
      <c r="H31" s="132"/>
    </row>
    <row r="32" spans="1:8" ht="15">
      <c r="A32" s="31" t="s">
        <v>84</v>
      </c>
      <c r="B32" s="32" t="s">
        <v>85</v>
      </c>
      <c r="C32" s="33" t="s">
        <v>86</v>
      </c>
      <c r="D32" s="108">
        <f>(2.45+2.34)*6*1119.76</f>
        <v>32181.902400000003</v>
      </c>
      <c r="E32" s="132"/>
      <c r="F32" s="132"/>
      <c r="G32" s="132"/>
      <c r="H32" s="132"/>
    </row>
    <row r="33" spans="1:8" ht="15">
      <c r="A33" s="31" t="s">
        <v>41</v>
      </c>
      <c r="B33" s="32" t="s">
        <v>42</v>
      </c>
      <c r="C33" s="33" t="s">
        <v>43</v>
      </c>
      <c r="D33" s="34">
        <f>(3.03+3)*6*1119.76</f>
        <v>40512.91679999999</v>
      </c>
      <c r="E33" s="132"/>
      <c r="F33" s="132"/>
      <c r="G33" s="132"/>
      <c r="H33" s="132"/>
    </row>
    <row r="34" spans="1:8" ht="15">
      <c r="A34" s="31" t="s">
        <v>44</v>
      </c>
      <c r="B34" s="32" t="s">
        <v>87</v>
      </c>
      <c r="C34" s="33" t="s">
        <v>45</v>
      </c>
      <c r="D34" s="108">
        <f>(0.42+0.4)*6*1119.76</f>
        <v>5509.2192</v>
      </c>
      <c r="E34" s="132"/>
      <c r="F34" s="132"/>
      <c r="G34" s="132"/>
      <c r="H34" s="132"/>
    </row>
    <row r="35" spans="1:8" ht="15">
      <c r="A35" s="31" t="s">
        <v>88</v>
      </c>
      <c r="B35" s="105" t="s">
        <v>87</v>
      </c>
      <c r="C35" s="33" t="s">
        <v>40</v>
      </c>
      <c r="D35" s="108">
        <f>(0.6+0.57)*6*1119.76</f>
        <v>7860.7152</v>
      </c>
      <c r="E35" s="132"/>
      <c r="F35" s="132"/>
      <c r="G35" s="132"/>
      <c r="H35" s="132"/>
    </row>
    <row r="36" spans="1:8" ht="15">
      <c r="A36" s="31" t="s">
        <v>89</v>
      </c>
      <c r="B36" s="32" t="s">
        <v>39</v>
      </c>
      <c r="C36" s="33" t="s">
        <v>40</v>
      </c>
      <c r="D36" s="34">
        <f>(1.41+1.34)*6*1119.76</f>
        <v>18476.04</v>
      </c>
      <c r="E36" s="132"/>
      <c r="F36" s="132"/>
      <c r="G36" s="132"/>
      <c r="H36" s="132"/>
    </row>
    <row r="37" spans="1:8" ht="30">
      <c r="A37" s="31" t="s">
        <v>90</v>
      </c>
      <c r="B37" s="106" t="s">
        <v>91</v>
      </c>
      <c r="C37" s="33" t="s">
        <v>40</v>
      </c>
      <c r="D37" s="108">
        <f>(1.33+1.27)*6*1119.76</f>
        <v>17468.256</v>
      </c>
      <c r="E37" s="132"/>
      <c r="F37" s="132"/>
      <c r="G37" s="132"/>
      <c r="H37" s="132"/>
    </row>
    <row r="38" spans="1:8" ht="15">
      <c r="A38" s="31" t="s">
        <v>46</v>
      </c>
      <c r="B38" s="32" t="s">
        <v>42</v>
      </c>
      <c r="C38" s="35" t="s">
        <v>47</v>
      </c>
      <c r="D38" s="108">
        <f>4.88*1119.76*12</f>
        <v>65573.14559999999</v>
      </c>
      <c r="E38" s="132"/>
      <c r="F38" s="132"/>
      <c r="G38" s="132"/>
      <c r="H38" s="132"/>
    </row>
    <row r="39" spans="1:14" s="1" customFormat="1" ht="75">
      <c r="A39" s="248" t="s">
        <v>299</v>
      </c>
      <c r="B39" s="37" t="s">
        <v>49</v>
      </c>
      <c r="C39" s="38"/>
      <c r="D39" s="39">
        <v>13318</v>
      </c>
      <c r="E39" s="132"/>
      <c r="F39" s="132"/>
      <c r="G39" s="132"/>
      <c r="H39" s="132"/>
      <c r="K39"/>
      <c r="L39"/>
      <c r="M39"/>
      <c r="N39"/>
    </row>
    <row r="40" spans="1:14" s="1" customFormat="1" ht="15">
      <c r="A40" s="109" t="s">
        <v>221</v>
      </c>
      <c r="B40" s="110" t="s">
        <v>219</v>
      </c>
      <c r="C40" s="33" t="s">
        <v>40</v>
      </c>
      <c r="D40" s="179">
        <v>871</v>
      </c>
      <c r="E40" s="132"/>
      <c r="F40" s="132"/>
      <c r="G40" s="132"/>
      <c r="H40" s="132"/>
      <c r="K40"/>
      <c r="L40"/>
      <c r="M40"/>
      <c r="N40"/>
    </row>
    <row r="41" spans="1:14" s="1" customFormat="1" ht="15">
      <c r="A41" s="109" t="s">
        <v>222</v>
      </c>
      <c r="B41" s="110" t="s">
        <v>192</v>
      </c>
      <c r="C41" s="33" t="s">
        <v>40</v>
      </c>
      <c r="D41" s="179">
        <v>3815</v>
      </c>
      <c r="E41" s="132"/>
      <c r="F41" s="132"/>
      <c r="G41" s="132"/>
      <c r="H41" s="132"/>
      <c r="K41"/>
      <c r="L41"/>
      <c r="M41"/>
      <c r="N41"/>
    </row>
    <row r="42" spans="1:14" s="1" customFormat="1" ht="15">
      <c r="A42" s="182" t="s">
        <v>291</v>
      </c>
      <c r="B42" s="110" t="s">
        <v>194</v>
      </c>
      <c r="C42" s="33" t="s">
        <v>40</v>
      </c>
      <c r="D42" s="179">
        <v>8632</v>
      </c>
      <c r="E42" s="132"/>
      <c r="F42" s="132"/>
      <c r="G42" s="132"/>
      <c r="H42" s="132"/>
      <c r="K42"/>
      <c r="L42"/>
      <c r="M42"/>
      <c r="N42"/>
    </row>
    <row r="43" spans="1:14" s="1" customFormat="1" ht="15.75">
      <c r="A43" s="40" t="s">
        <v>50</v>
      </c>
      <c r="B43" s="41"/>
      <c r="C43" s="42"/>
      <c r="D43" s="113">
        <f>D31+D32+D33+D34+D35+D36+D37+D38+D39</f>
        <v>205267.2592</v>
      </c>
      <c r="E43" s="135">
        <f>D43-D39</f>
        <v>191949.2592</v>
      </c>
      <c r="F43" s="132"/>
      <c r="G43" s="132"/>
      <c r="H43" s="132"/>
      <c r="K43"/>
      <c r="L43"/>
      <c r="M43"/>
      <c r="N43"/>
    </row>
    <row r="44" spans="1:14" s="1" customFormat="1" ht="15">
      <c r="A44" s="43" t="s">
        <v>51</v>
      </c>
      <c r="B44" s="44" t="s">
        <v>16</v>
      </c>
      <c r="C44" s="45"/>
      <c r="D44" s="46">
        <f>C15+C20*0.9876+C27-D39</f>
        <v>-9663.898140800009</v>
      </c>
      <c r="E44" s="135"/>
      <c r="F44" s="132"/>
      <c r="G44" s="132"/>
      <c r="H44" s="132"/>
      <c r="K44"/>
      <c r="L44"/>
      <c r="M44"/>
      <c r="N44"/>
    </row>
    <row r="45" spans="1:14" s="1" customFormat="1" ht="15">
      <c r="A45" s="48" t="s">
        <v>17</v>
      </c>
      <c r="B45" s="49" t="s">
        <v>16</v>
      </c>
      <c r="C45" s="33"/>
      <c r="D45" s="14">
        <v>0</v>
      </c>
      <c r="E45" s="132"/>
      <c r="F45" s="132"/>
      <c r="G45" s="132"/>
      <c r="H45" s="132"/>
      <c r="K45"/>
      <c r="L45"/>
      <c r="M45"/>
      <c r="N45"/>
    </row>
    <row r="46" spans="1:14" s="1" customFormat="1" ht="15">
      <c r="A46" s="48" t="s">
        <v>18</v>
      </c>
      <c r="B46" s="49" t="s">
        <v>16</v>
      </c>
      <c r="C46" s="33"/>
      <c r="D46" s="14">
        <v>6958.87</v>
      </c>
      <c r="E46" s="132"/>
      <c r="F46" s="132"/>
      <c r="G46" s="132"/>
      <c r="H46" s="132"/>
      <c r="K46"/>
      <c r="L46"/>
      <c r="M46"/>
      <c r="N46"/>
    </row>
    <row r="47" spans="1:14" s="1" customFormat="1" ht="24" customHeight="1">
      <c r="A47" s="261" t="s">
        <v>52</v>
      </c>
      <c r="B47" s="261"/>
      <c r="C47" s="261"/>
      <c r="D47" s="261"/>
      <c r="E47" s="132"/>
      <c r="F47" s="132"/>
      <c r="G47" s="132"/>
      <c r="H47" s="132"/>
      <c r="K47"/>
      <c r="L47"/>
      <c r="M47"/>
      <c r="N47"/>
    </row>
    <row r="48" spans="1:14" s="1" customFormat="1" ht="15">
      <c r="A48" s="48" t="s">
        <v>53</v>
      </c>
      <c r="B48" s="32" t="s">
        <v>54</v>
      </c>
      <c r="C48" s="33"/>
      <c r="D48" s="14">
        <v>0</v>
      </c>
      <c r="E48" s="132"/>
      <c r="F48" s="132"/>
      <c r="G48" s="132"/>
      <c r="H48" s="132"/>
      <c r="K48"/>
      <c r="L48"/>
      <c r="M48"/>
      <c r="N48"/>
    </row>
    <row r="49" spans="1:14" s="1" customFormat="1" ht="15">
      <c r="A49" s="48" t="s">
        <v>55</v>
      </c>
      <c r="B49" s="32" t="s">
        <v>54</v>
      </c>
      <c r="C49" s="33"/>
      <c r="D49" s="14">
        <v>0</v>
      </c>
      <c r="E49" s="132"/>
      <c r="F49" s="132"/>
      <c r="G49" s="132"/>
      <c r="H49" s="132"/>
      <c r="K49"/>
      <c r="L49"/>
      <c r="M49"/>
      <c r="N49"/>
    </row>
    <row r="50" spans="1:14" s="1" customFormat="1" ht="15">
      <c r="A50" s="50" t="s">
        <v>56</v>
      </c>
      <c r="B50" s="32" t="s">
        <v>54</v>
      </c>
      <c r="C50" s="33"/>
      <c r="D50" s="14">
        <v>0</v>
      </c>
      <c r="E50" s="132"/>
      <c r="F50" s="132"/>
      <c r="G50" s="132"/>
      <c r="H50" s="132"/>
      <c r="K50"/>
      <c r="L50"/>
      <c r="M50"/>
      <c r="N50"/>
    </row>
    <row r="51" spans="1:14" s="1" customFormat="1" ht="15">
      <c r="A51" s="48" t="s">
        <v>57</v>
      </c>
      <c r="B51" s="32" t="s">
        <v>16</v>
      </c>
      <c r="C51" s="33"/>
      <c r="D51" s="14">
        <v>0</v>
      </c>
      <c r="E51" s="132"/>
      <c r="F51" s="132"/>
      <c r="G51" s="132"/>
      <c r="H51" s="132"/>
      <c r="K51"/>
      <c r="L51"/>
      <c r="M51"/>
      <c r="N51"/>
    </row>
    <row r="52" spans="1:8" ht="20.25" customHeight="1">
      <c r="A52" s="262" t="s">
        <v>58</v>
      </c>
      <c r="B52" s="262"/>
      <c r="C52" s="262"/>
      <c r="D52" s="262"/>
      <c r="E52" s="132"/>
      <c r="F52" s="132"/>
      <c r="G52" s="132"/>
      <c r="H52" s="132"/>
    </row>
    <row r="53" spans="1:8" ht="25.5">
      <c r="A53" s="50" t="s">
        <v>59</v>
      </c>
      <c r="B53" s="32" t="s">
        <v>16</v>
      </c>
      <c r="C53" s="33"/>
      <c r="D53" s="14">
        <v>0</v>
      </c>
      <c r="E53" s="132"/>
      <c r="F53" s="132"/>
      <c r="G53" s="132"/>
      <c r="H53" s="132"/>
    </row>
    <row r="54" spans="1:8" ht="15">
      <c r="A54" s="48" t="s">
        <v>17</v>
      </c>
      <c r="B54" s="32" t="s">
        <v>16</v>
      </c>
      <c r="C54" s="33"/>
      <c r="D54" s="14">
        <v>0</v>
      </c>
      <c r="E54" s="132"/>
      <c r="F54" s="132"/>
      <c r="G54" s="132"/>
      <c r="H54" s="132"/>
    </row>
    <row r="55" spans="1:8" ht="15">
      <c r="A55" s="48" t="s">
        <v>18</v>
      </c>
      <c r="B55" s="32" t="s">
        <v>16</v>
      </c>
      <c r="C55" s="33"/>
      <c r="D55" s="51">
        <f>D58-D61-D62-D63</f>
        <v>8424.79702800002</v>
      </c>
      <c r="E55" s="132"/>
      <c r="H55" s="52"/>
    </row>
    <row r="56" spans="1:5" ht="25.5">
      <c r="A56" s="53" t="s">
        <v>60</v>
      </c>
      <c r="B56" s="32" t="s">
        <v>16</v>
      </c>
      <c r="C56" s="54"/>
      <c r="D56" s="55">
        <v>0</v>
      </c>
      <c r="E56" s="132"/>
    </row>
    <row r="57" spans="1:10" ht="17.25" customHeight="1">
      <c r="A57" s="56" t="s">
        <v>17</v>
      </c>
      <c r="B57" s="32" t="s">
        <v>16</v>
      </c>
      <c r="C57" s="33"/>
      <c r="D57" s="14">
        <v>0</v>
      </c>
      <c r="E57" s="132"/>
      <c r="I57" s="52"/>
      <c r="J57" s="52"/>
    </row>
    <row r="58" spans="1:14" ht="15">
      <c r="A58" s="59" t="s">
        <v>18</v>
      </c>
      <c r="B58" s="32" t="s">
        <v>16</v>
      </c>
      <c r="C58" s="60"/>
      <c r="D58" s="61">
        <v>13932.4</v>
      </c>
      <c r="E58" s="132"/>
      <c r="H58" s="1" t="s">
        <v>32</v>
      </c>
      <c r="I58" s="63"/>
      <c r="J58" s="63"/>
      <c r="K58" s="64"/>
      <c r="L58" s="64"/>
      <c r="M58" s="64"/>
      <c r="N58" s="64"/>
    </row>
    <row r="59" spans="1:14" ht="18" customHeight="1">
      <c r="A59" s="263" t="s">
        <v>61</v>
      </c>
      <c r="B59" s="263"/>
      <c r="C59" s="263"/>
      <c r="D59" s="263"/>
      <c r="E59" s="137"/>
      <c r="F59" s="66"/>
      <c r="G59" s="67"/>
      <c r="I59" s="68"/>
      <c r="J59" s="68"/>
      <c r="K59" s="69"/>
      <c r="L59" s="69"/>
      <c r="M59" s="69"/>
      <c r="N59" s="69"/>
    </row>
    <row r="60" spans="1:14" ht="38.25">
      <c r="A60" s="70" t="s">
        <v>62</v>
      </c>
      <c r="B60" s="71" t="s">
        <v>63</v>
      </c>
      <c r="C60" s="212" t="s">
        <v>64</v>
      </c>
      <c r="D60" s="213" t="s">
        <v>65</v>
      </c>
      <c r="E60" s="137"/>
      <c r="F60" s="66"/>
      <c r="G60" s="67"/>
      <c r="I60" s="68"/>
      <c r="J60" s="74"/>
      <c r="K60" s="69"/>
      <c r="L60" s="69"/>
      <c r="M60" s="69"/>
      <c r="N60" s="69"/>
    </row>
    <row r="61" spans="1:14" ht="15">
      <c r="A61" s="75" t="s">
        <v>66</v>
      </c>
      <c r="B61" s="117">
        <v>89625.73</v>
      </c>
      <c r="C61" s="118">
        <f>B61*0.9876</f>
        <v>88514.370948</v>
      </c>
      <c r="D61" s="119">
        <f>B61-C61</f>
        <v>1111.3590519999998</v>
      </c>
      <c r="E61" s="140"/>
      <c r="F61" s="66"/>
      <c r="G61" s="67"/>
      <c r="I61" s="68"/>
      <c r="J61" s="68"/>
      <c r="K61" s="69"/>
      <c r="L61" s="69"/>
      <c r="M61" s="69"/>
      <c r="N61" s="69"/>
    </row>
    <row r="62" spans="1:14" ht="15">
      <c r="A62" s="75" t="s">
        <v>67</v>
      </c>
      <c r="B62" s="117">
        <v>99637.18</v>
      </c>
      <c r="C62" s="118">
        <f>B62*0.9876</f>
        <v>98401.678968</v>
      </c>
      <c r="D62" s="119">
        <f>B62-C62</f>
        <v>1235.5010320000001</v>
      </c>
      <c r="E62" s="137"/>
      <c r="F62" s="66"/>
      <c r="G62" s="67"/>
      <c r="I62" s="68"/>
      <c r="J62" s="68"/>
      <c r="K62" s="69"/>
      <c r="L62" s="69"/>
      <c r="M62" s="69"/>
      <c r="N62" s="69"/>
    </row>
    <row r="63" spans="1:14" ht="15">
      <c r="A63" s="75" t="s">
        <v>68</v>
      </c>
      <c r="B63" s="120">
        <v>254898.62</v>
      </c>
      <c r="C63" s="118">
        <f>B63*0.9876</f>
        <v>251737.87711200002</v>
      </c>
      <c r="D63" s="119">
        <f>B63-C63</f>
        <v>3160.742887999979</v>
      </c>
      <c r="E63" s="137">
        <f>(2.07+1.8)*6*2301.2-0.37*2301.2*6</f>
        <v>48325.2</v>
      </c>
      <c r="F63" s="81"/>
      <c r="G63" s="82"/>
      <c r="H63" s="65"/>
      <c r="I63" s="68"/>
      <c r="J63" s="68"/>
      <c r="K63" s="69"/>
      <c r="L63" s="69"/>
      <c r="M63" s="69"/>
      <c r="N63" s="69"/>
    </row>
    <row r="64" spans="1:14" ht="15.75" thickBot="1">
      <c r="A64" s="150" t="s">
        <v>69</v>
      </c>
      <c r="B64" s="151">
        <v>0</v>
      </c>
      <c r="C64" s="152">
        <f>B64*0.9876</f>
        <v>0</v>
      </c>
      <c r="D64" s="153">
        <f>B64-C64</f>
        <v>0</v>
      </c>
      <c r="E64" s="137"/>
      <c r="F64" s="81"/>
      <c r="G64" s="82"/>
      <c r="I64" s="68"/>
      <c r="J64" s="68"/>
      <c r="K64" s="69"/>
      <c r="L64" s="69"/>
      <c r="M64" s="69"/>
      <c r="N64" s="69"/>
    </row>
    <row r="65" spans="1:14" ht="63.75">
      <c r="A65" s="154" t="s">
        <v>70</v>
      </c>
      <c r="B65" s="155" t="s">
        <v>71</v>
      </c>
      <c r="C65" s="155" t="s">
        <v>72</v>
      </c>
      <c r="D65" s="214" t="s">
        <v>73</v>
      </c>
      <c r="E65" s="137"/>
      <c r="F65" s="81"/>
      <c r="H65" s="68"/>
      <c r="I65" s="68"/>
      <c r="J65" s="68"/>
      <c r="K65" s="69"/>
      <c r="L65" s="69"/>
      <c r="M65" s="69"/>
      <c r="N65" s="69"/>
    </row>
    <row r="66" spans="1:14" ht="15">
      <c r="A66" s="158" t="s">
        <v>66</v>
      </c>
      <c r="B66" s="124">
        <v>96535.63</v>
      </c>
      <c r="C66" s="125">
        <v>88514.37</v>
      </c>
      <c r="D66" s="159">
        <f>B66-C66</f>
        <v>8021.260000000009</v>
      </c>
      <c r="E66" s="137"/>
      <c r="F66" s="81"/>
      <c r="H66" s="68"/>
      <c r="I66" s="68"/>
      <c r="J66" s="68" t="s">
        <v>32</v>
      </c>
      <c r="K66" s="69"/>
      <c r="L66" s="69"/>
      <c r="M66" s="69"/>
      <c r="N66" s="69"/>
    </row>
    <row r="67" spans="1:14" ht="15">
      <c r="A67" s="158" t="s">
        <v>67</v>
      </c>
      <c r="B67" s="124">
        <v>110663.27</v>
      </c>
      <c r="C67" s="125">
        <v>98401.68</v>
      </c>
      <c r="D67" s="159">
        <f>B67-C67</f>
        <v>12261.590000000011</v>
      </c>
      <c r="E67" s="137"/>
      <c r="F67" s="81"/>
      <c r="H67" s="68"/>
      <c r="I67" s="68"/>
      <c r="J67" s="68"/>
      <c r="K67" s="69"/>
      <c r="L67" s="69"/>
      <c r="M67" s="69"/>
      <c r="N67" s="69"/>
    </row>
    <row r="68" spans="1:14" ht="15">
      <c r="A68" s="158" t="s">
        <v>68</v>
      </c>
      <c r="B68" s="124">
        <v>270394.76</v>
      </c>
      <c r="C68" s="125">
        <v>251737.88</v>
      </c>
      <c r="D68" s="159">
        <f>B68-C68</f>
        <v>18656.880000000005</v>
      </c>
      <c r="E68" s="137"/>
      <c r="F68" s="81"/>
      <c r="H68" s="68"/>
      <c r="I68" s="68"/>
      <c r="J68" s="68"/>
      <c r="K68" s="69"/>
      <c r="L68" s="69"/>
      <c r="M68" s="69"/>
      <c r="N68" s="69"/>
    </row>
    <row r="69" spans="1:14" ht="15">
      <c r="A69" s="158" t="s">
        <v>74</v>
      </c>
      <c r="B69" s="124">
        <v>0</v>
      </c>
      <c r="C69" s="125">
        <v>0</v>
      </c>
      <c r="D69" s="159">
        <f>B69-C69</f>
        <v>0</v>
      </c>
      <c r="E69" s="137"/>
      <c r="F69" s="81"/>
      <c r="H69" s="68"/>
      <c r="I69" s="68"/>
      <c r="J69" s="68"/>
      <c r="K69" s="69"/>
      <c r="L69" s="69"/>
      <c r="M69" s="69"/>
      <c r="N69" s="69"/>
    </row>
    <row r="70" spans="1:14" ht="15.75" thickBot="1">
      <c r="A70" s="160" t="s">
        <v>69</v>
      </c>
      <c r="B70" s="164">
        <v>0</v>
      </c>
      <c r="C70" s="165">
        <v>0</v>
      </c>
      <c r="D70" s="166">
        <f>B70-C70</f>
        <v>0</v>
      </c>
      <c r="E70" s="65"/>
      <c r="F70" s="81"/>
      <c r="H70" s="68" t="s">
        <v>32</v>
      </c>
      <c r="I70" s="68"/>
      <c r="J70" s="68"/>
      <c r="K70" s="69"/>
      <c r="L70" s="69"/>
      <c r="M70" s="69"/>
      <c r="N70" s="69"/>
    </row>
    <row r="71" spans="1:14" ht="15">
      <c r="A71" s="91"/>
      <c r="B71" s="87"/>
      <c r="C71" s="92"/>
      <c r="D71" s="93"/>
      <c r="E71" s="65"/>
      <c r="F71" s="81"/>
      <c r="H71" s="68"/>
      <c r="I71" s="68"/>
      <c r="J71" s="68"/>
      <c r="K71" s="69"/>
      <c r="L71" s="69"/>
      <c r="M71" s="69"/>
      <c r="N71" s="69"/>
    </row>
    <row r="72" spans="1:14" ht="25.5">
      <c r="A72" s="94" t="s">
        <v>75</v>
      </c>
      <c r="B72" s="87" t="s">
        <v>16</v>
      </c>
      <c r="C72" s="95"/>
      <c r="D72" s="96">
        <v>0</v>
      </c>
      <c r="E72" s="65"/>
      <c r="F72" s="81"/>
      <c r="H72" s="68"/>
      <c r="I72" s="68"/>
      <c r="J72" s="68" t="s">
        <v>32</v>
      </c>
      <c r="K72" s="69"/>
      <c r="L72" s="69"/>
      <c r="M72" s="69"/>
      <c r="N72" s="69"/>
    </row>
    <row r="73" spans="1:14" ht="17.25" customHeight="1">
      <c r="A73" s="264" t="s">
        <v>76</v>
      </c>
      <c r="B73" s="264"/>
      <c r="C73" s="264"/>
      <c r="D73" s="264"/>
      <c r="E73" s="97" t="e">
        <f>D73+B19</f>
        <v>#VALUE!</v>
      </c>
      <c r="F73" s="68"/>
      <c r="H73" s="98" t="e">
        <f>E73-B18</f>
        <v>#VALUE!</v>
      </c>
      <c r="I73" s="68"/>
      <c r="J73" s="68"/>
      <c r="K73" s="69"/>
      <c r="L73" s="69"/>
      <c r="M73" s="69"/>
      <c r="N73" s="69"/>
    </row>
    <row r="74" spans="1:5" ht="21" customHeight="1">
      <c r="A74" s="99" t="s">
        <v>53</v>
      </c>
      <c r="B74" s="99" t="s">
        <v>54</v>
      </c>
      <c r="C74" s="100">
        <v>1</v>
      </c>
      <c r="D74" s="101"/>
      <c r="E74" s="102"/>
    </row>
    <row r="75" spans="1:5" ht="21" customHeight="1">
      <c r="A75" s="99" t="s">
        <v>55</v>
      </c>
      <c r="B75" s="99" t="s">
        <v>54</v>
      </c>
      <c r="C75" s="99">
        <v>1</v>
      </c>
      <c r="D75" s="101"/>
      <c r="E75" s="102"/>
    </row>
    <row r="76" spans="1:5" ht="18" customHeight="1">
      <c r="A76" s="99" t="s">
        <v>56</v>
      </c>
      <c r="B76" s="99" t="s">
        <v>54</v>
      </c>
      <c r="C76" s="99">
        <v>0</v>
      </c>
      <c r="D76" s="101"/>
      <c r="E76" s="102"/>
    </row>
    <row r="77" spans="1:5" ht="16.5" customHeight="1">
      <c r="A77" s="99" t="s">
        <v>57</v>
      </c>
      <c r="B77" s="99" t="s">
        <v>16</v>
      </c>
      <c r="C77" s="99">
        <v>888.71</v>
      </c>
      <c r="D77" s="101"/>
      <c r="E77" s="102"/>
    </row>
    <row r="78" spans="1:5" ht="15.75" customHeight="1">
      <c r="A78" s="258" t="s">
        <v>77</v>
      </c>
      <c r="B78" s="258"/>
      <c r="C78" s="258"/>
      <c r="D78" s="258"/>
      <c r="E78" s="102"/>
    </row>
    <row r="79" spans="1:5" ht="18.75" customHeight="1">
      <c r="A79" s="99" t="s">
        <v>78</v>
      </c>
      <c r="B79" s="99" t="s">
        <v>54</v>
      </c>
      <c r="C79" s="99">
        <v>0</v>
      </c>
      <c r="D79" s="101"/>
      <c r="E79" s="102"/>
    </row>
    <row r="80" spans="1:5" ht="21.75" customHeight="1">
      <c r="A80" s="99" t="s">
        <v>79</v>
      </c>
      <c r="B80" s="56" t="s">
        <v>54</v>
      </c>
      <c r="C80" s="56">
        <v>0</v>
      </c>
      <c r="D80" s="101"/>
      <c r="E80" s="102"/>
    </row>
    <row r="81" spans="1:5" ht="36" customHeight="1">
      <c r="A81" s="103" t="s">
        <v>80</v>
      </c>
      <c r="B81" s="99" t="s">
        <v>16</v>
      </c>
      <c r="C81" s="99">
        <v>0</v>
      </c>
      <c r="D81" s="101"/>
      <c r="E81" s="102"/>
    </row>
    <row r="82" spans="1:4" ht="15">
      <c r="A82" s="69"/>
      <c r="B82" s="69"/>
      <c r="C82" s="69"/>
      <c r="D82" s="104"/>
    </row>
    <row r="83" spans="1:14" s="1" customFormat="1" ht="12.75">
      <c r="A83"/>
      <c r="B83"/>
      <c r="C83"/>
      <c r="D83"/>
      <c r="H83" s="1" t="s">
        <v>32</v>
      </c>
      <c r="K83"/>
      <c r="L83"/>
      <c r="M83"/>
      <c r="N83"/>
    </row>
    <row r="84" spans="1:14" s="1" customFormat="1" ht="12.75">
      <c r="A84" s="224" t="s">
        <v>289</v>
      </c>
      <c r="B84"/>
      <c r="C84"/>
      <c r="D84"/>
      <c r="K84"/>
      <c r="L84"/>
      <c r="M84"/>
      <c r="N84"/>
    </row>
    <row r="85" spans="1:14" s="1" customFormat="1" ht="12.75">
      <c r="A85"/>
      <c r="B85"/>
      <c r="C85"/>
      <c r="D85"/>
      <c r="H85" s="1" t="s">
        <v>32</v>
      </c>
      <c r="K85"/>
      <c r="L85"/>
      <c r="M85"/>
      <c r="N85"/>
    </row>
    <row r="86" spans="1:14" s="1" customFormat="1" ht="12.75">
      <c r="A86" t="s">
        <v>82</v>
      </c>
      <c r="B86"/>
      <c r="C86"/>
      <c r="D86"/>
      <c r="K86"/>
      <c r="L86"/>
      <c r="M86"/>
      <c r="N86"/>
    </row>
    <row r="90" spans="1:14" s="1" customFormat="1" ht="12.75">
      <c r="A90"/>
      <c r="B90"/>
      <c r="C90"/>
      <c r="D90"/>
      <c r="E90" s="1" t="s">
        <v>32</v>
      </c>
      <c r="K90"/>
      <c r="L90"/>
      <c r="M90"/>
      <c r="N90"/>
    </row>
  </sheetData>
  <sheetProtection selectLockedCells="1" selectUnlockedCells="1"/>
  <mergeCells count="13">
    <mergeCell ref="A1:D1"/>
    <mergeCell ref="A2:D2"/>
    <mergeCell ref="A3:D3"/>
    <mergeCell ref="A4:D4"/>
    <mergeCell ref="A5:D5"/>
    <mergeCell ref="A7:D7"/>
    <mergeCell ref="A78:D78"/>
    <mergeCell ref="A14:D14"/>
    <mergeCell ref="A29:D29"/>
    <mergeCell ref="A47:D47"/>
    <mergeCell ref="A52:D52"/>
    <mergeCell ref="A59:D59"/>
    <mergeCell ref="A73:D73"/>
  </mergeCells>
  <printOptions/>
  <pageMargins left="0.5597222222222222" right="0.7875" top="0.34097222222222223" bottom="0.7875" header="0.5118055555555555" footer="0.5118055555555555"/>
  <pageSetup fitToHeight="3" fitToWidth="2" horizontalDpi="600" verticalDpi="600" orientation="portrait" paperSize="12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7"/>
  <sheetViews>
    <sheetView zoomScale="80" zoomScaleNormal="80" zoomScalePageLayoutView="0" workbookViewId="0" topLeftCell="A14">
      <selection activeCell="E16" sqref="E16:E26"/>
    </sheetView>
  </sheetViews>
  <sheetFormatPr defaultColWidth="11.57421875" defaultRowHeight="12.75"/>
  <cols>
    <col min="1" max="1" width="63.28125" style="0" customWidth="1"/>
    <col min="2" max="2" width="20.28125" style="0" customWidth="1"/>
    <col min="3" max="3" width="31.421875" style="0" customWidth="1"/>
    <col min="4" max="4" width="27.57421875" style="0" customWidth="1"/>
    <col min="5" max="5" width="16.8515625" style="1" customWidth="1"/>
    <col min="6" max="7" width="0" style="1" hidden="1" customWidth="1"/>
    <col min="8" max="8" width="11.57421875" style="1" customWidth="1"/>
    <col min="9" max="9" width="5.28125" style="1" customWidth="1"/>
    <col min="10" max="10" width="30.00390625" style="1" customWidth="1"/>
    <col min="11" max="12" width="23.28125" style="0" customWidth="1"/>
    <col min="13" max="13" width="6.57421875" style="0" customWidth="1"/>
    <col min="14" max="14" width="7.00390625" style="0" customWidth="1"/>
  </cols>
  <sheetData>
    <row r="1" spans="1:4" ht="18">
      <c r="A1" s="265" t="s">
        <v>0</v>
      </c>
      <c r="B1" s="265"/>
      <c r="C1" s="265"/>
      <c r="D1" s="265"/>
    </row>
    <row r="2" spans="1:4" ht="15.75">
      <c r="A2" s="266" t="s">
        <v>1</v>
      </c>
      <c r="B2" s="266"/>
      <c r="C2" s="266"/>
      <c r="D2" s="266"/>
    </row>
    <row r="3" spans="1:4" ht="15.75">
      <c r="A3" s="266" t="s">
        <v>2</v>
      </c>
      <c r="B3" s="266"/>
      <c r="C3" s="266"/>
      <c r="D3" s="266"/>
    </row>
    <row r="4" spans="1:4" ht="12.75">
      <c r="A4" s="267" t="s">
        <v>111</v>
      </c>
      <c r="B4" s="267"/>
      <c r="C4" s="267"/>
      <c r="D4" s="267"/>
    </row>
    <row r="5" spans="1:4" ht="12.75">
      <c r="A5" s="268" t="s">
        <v>171</v>
      </c>
      <c r="B5" s="267"/>
      <c r="C5" s="267"/>
      <c r="D5" s="267"/>
    </row>
    <row r="6" ht="9" customHeight="1">
      <c r="A6" s="2" t="s">
        <v>209</v>
      </c>
    </row>
    <row r="7" spans="1:4" ht="18" customHeight="1">
      <c r="A7" s="269" t="s">
        <v>4</v>
      </c>
      <c r="B7" s="269"/>
      <c r="C7" s="269"/>
      <c r="D7" s="269"/>
    </row>
    <row r="8" spans="1:3" ht="12.75">
      <c r="A8" s="2"/>
      <c r="C8" s="3"/>
    </row>
    <row r="9" spans="1:4" ht="12.75">
      <c r="A9" s="4" t="s">
        <v>5</v>
      </c>
      <c r="B9" s="4" t="s">
        <v>6</v>
      </c>
      <c r="C9" s="4" t="s">
        <v>7</v>
      </c>
      <c r="D9" s="5"/>
    </row>
    <row r="10" spans="1:4" ht="12.75">
      <c r="A10" s="6">
        <v>1</v>
      </c>
      <c r="B10" s="6">
        <v>2</v>
      </c>
      <c r="C10" s="6">
        <v>3</v>
      </c>
      <c r="D10" s="7">
        <v>4</v>
      </c>
    </row>
    <row r="11" spans="1:4" ht="12.75">
      <c r="A11" s="8" t="s">
        <v>8</v>
      </c>
      <c r="B11" s="9"/>
      <c r="C11" s="177" t="s">
        <v>172</v>
      </c>
      <c r="D11" s="10"/>
    </row>
    <row r="12" spans="1:4" ht="12.75">
      <c r="A12" s="8" t="s">
        <v>10</v>
      </c>
      <c r="B12" s="9"/>
      <c r="C12" s="177" t="s">
        <v>173</v>
      </c>
      <c r="D12" s="10"/>
    </row>
    <row r="13" spans="1:8" ht="12.75">
      <c r="A13" s="8" t="s">
        <v>12</v>
      </c>
      <c r="B13" s="9"/>
      <c r="C13" s="177" t="s">
        <v>174</v>
      </c>
      <c r="D13" s="10"/>
      <c r="E13" s="132"/>
      <c r="F13" s="132"/>
      <c r="G13" s="132"/>
      <c r="H13" s="132"/>
    </row>
    <row r="14" spans="1:8" ht="31.5" customHeight="1">
      <c r="A14" s="259" t="s">
        <v>14</v>
      </c>
      <c r="B14" s="259"/>
      <c r="C14" s="259"/>
      <c r="D14" s="259"/>
      <c r="E14" s="132"/>
      <c r="F14" s="132"/>
      <c r="G14" s="132"/>
      <c r="H14" s="132"/>
    </row>
    <row r="15" spans="1:8" ht="25.5">
      <c r="A15" s="11" t="s">
        <v>15</v>
      </c>
      <c r="B15" s="12" t="s">
        <v>16</v>
      </c>
      <c r="C15" s="13">
        <v>5955.56</v>
      </c>
      <c r="D15" s="14"/>
      <c r="E15" s="132"/>
      <c r="F15" s="132"/>
      <c r="G15" s="132"/>
      <c r="H15" s="132"/>
    </row>
    <row r="16" spans="1:8" ht="15">
      <c r="A16" s="8" t="s">
        <v>17</v>
      </c>
      <c r="B16" s="12" t="s">
        <v>16</v>
      </c>
      <c r="C16" s="13">
        <v>0</v>
      </c>
      <c r="D16" s="14"/>
      <c r="E16" s="132"/>
      <c r="F16" s="132"/>
      <c r="G16" s="132"/>
      <c r="H16" s="132"/>
    </row>
    <row r="17" spans="1:8" ht="15">
      <c r="A17" s="8" t="s">
        <v>18</v>
      </c>
      <c r="B17" s="12" t="s">
        <v>16</v>
      </c>
      <c r="C17" s="15">
        <v>32700.21</v>
      </c>
      <c r="D17" s="16"/>
      <c r="E17" s="132" t="e">
        <f>B17/12/1022.6</f>
        <v>#VALUE!</v>
      </c>
      <c r="F17" s="132"/>
      <c r="G17" s="132"/>
      <c r="H17" s="132"/>
    </row>
    <row r="18" spans="1:8" ht="31.5" customHeight="1">
      <c r="A18" s="17" t="s">
        <v>19</v>
      </c>
      <c r="B18" s="12" t="s">
        <v>16</v>
      </c>
      <c r="C18" s="15">
        <f>C19+C20+C21</f>
        <v>11165.699999999999</v>
      </c>
      <c r="D18" s="16"/>
      <c r="E18" s="133">
        <f>C18-C20</f>
        <v>11165.699999999999</v>
      </c>
      <c r="F18" s="132"/>
      <c r="G18" s="132"/>
      <c r="H18" s="132"/>
    </row>
    <row r="19" spans="1:8" ht="15">
      <c r="A19" s="8" t="s">
        <v>20</v>
      </c>
      <c r="B19" s="12" t="s">
        <v>16</v>
      </c>
      <c r="C19" s="15">
        <v>5177.94</v>
      </c>
      <c r="D19" s="16"/>
      <c r="E19" s="133">
        <f>E18-E40</f>
        <v>0</v>
      </c>
      <c r="F19" s="132"/>
      <c r="G19" s="132"/>
      <c r="H19" s="132"/>
    </row>
    <row r="20" spans="1:8" ht="15">
      <c r="A20" s="8" t="s">
        <v>21</v>
      </c>
      <c r="B20" s="12" t="s">
        <v>16</v>
      </c>
      <c r="C20" s="15">
        <v>0</v>
      </c>
      <c r="D20" s="16"/>
      <c r="E20" s="134"/>
      <c r="F20" s="132"/>
      <c r="G20" s="132"/>
      <c r="H20" s="132"/>
    </row>
    <row r="21" spans="1:8" ht="15">
      <c r="A21" s="8" t="s">
        <v>22</v>
      </c>
      <c r="B21" s="12" t="s">
        <v>16</v>
      </c>
      <c r="C21" s="20">
        <f>102.25*4.88*12</f>
        <v>5987.759999999999</v>
      </c>
      <c r="D21" s="16"/>
      <c r="E21" s="132"/>
      <c r="F21" s="132"/>
      <c r="G21" s="132"/>
      <c r="H21" s="132"/>
    </row>
    <row r="22" spans="1:8" ht="15">
      <c r="A22" s="21" t="s">
        <v>23</v>
      </c>
      <c r="B22" s="12" t="s">
        <v>16</v>
      </c>
      <c r="C22" s="15">
        <f>C23+C24+C25+C26+C27</f>
        <v>9944.172419999999</v>
      </c>
      <c r="D22" s="16" t="s">
        <v>24</v>
      </c>
      <c r="E22" s="133" t="e">
        <f>B24+B25+B26+B27+B28</f>
        <v>#VALUE!</v>
      </c>
      <c r="F22" s="132"/>
      <c r="G22" s="132"/>
      <c r="H22" s="132"/>
    </row>
    <row r="23" spans="1:8" ht="15">
      <c r="A23" s="8" t="s">
        <v>25</v>
      </c>
      <c r="B23" s="12" t="s">
        <v>16</v>
      </c>
      <c r="C23" s="15">
        <f>C18*0.8906</f>
        <v>9944.172419999999</v>
      </c>
      <c r="D23" s="16"/>
      <c r="E23" s="132"/>
      <c r="F23" s="132"/>
      <c r="G23" s="132"/>
      <c r="H23" s="132"/>
    </row>
    <row r="24" spans="1:8" ht="15">
      <c r="A24" s="8" t="s">
        <v>26</v>
      </c>
      <c r="B24" s="12" t="s">
        <v>16</v>
      </c>
      <c r="C24" s="15">
        <v>0</v>
      </c>
      <c r="D24" s="22">
        <v>65.21</v>
      </c>
      <c r="E24" s="134" t="e">
        <f>B24/#REF!*1</f>
        <v>#VALUE!</v>
      </c>
      <c r="F24" s="132"/>
      <c r="G24" s="132"/>
      <c r="H24" s="132" t="s">
        <v>27</v>
      </c>
    </row>
    <row r="25" spans="1:8" ht="15">
      <c r="A25" s="8" t="s">
        <v>28</v>
      </c>
      <c r="B25" s="12" t="s">
        <v>16</v>
      </c>
      <c r="C25" s="15">
        <v>0</v>
      </c>
      <c r="D25" s="22">
        <v>119.63</v>
      </c>
      <c r="E25" s="134" t="e">
        <f>B25/#REF!*1</f>
        <v>#VALUE!</v>
      </c>
      <c r="F25" s="132"/>
      <c r="G25" s="132"/>
      <c r="H25" s="132"/>
    </row>
    <row r="26" spans="1:8" ht="15">
      <c r="A26" s="9" t="s">
        <v>29</v>
      </c>
      <c r="B26" s="12" t="s">
        <v>16</v>
      </c>
      <c r="C26" s="15">
        <v>0</v>
      </c>
      <c r="D26" s="22"/>
      <c r="E26" s="134" t="e">
        <f>B26/#REF!*1</f>
        <v>#VALUE!</v>
      </c>
      <c r="F26" s="132"/>
      <c r="G26" s="132"/>
      <c r="H26" s="132"/>
    </row>
    <row r="27" spans="1:8" ht="16.5" customHeight="1">
      <c r="A27" s="116" t="s">
        <v>112</v>
      </c>
      <c r="B27" s="12" t="s">
        <v>16</v>
      </c>
      <c r="C27" s="15">
        <v>0</v>
      </c>
      <c r="D27" s="22">
        <v>139.18</v>
      </c>
      <c r="E27" s="134" t="e">
        <f>B27/#REF!*1</f>
        <v>#VALUE!</v>
      </c>
      <c r="F27" s="132"/>
      <c r="G27" s="132"/>
      <c r="H27" s="132"/>
    </row>
    <row r="28" spans="1:8" ht="15">
      <c r="A28" s="8" t="s">
        <v>31</v>
      </c>
      <c r="B28" s="12" t="s">
        <v>16</v>
      </c>
      <c r="C28" s="15">
        <f>C15+C22</f>
        <v>15899.73242</v>
      </c>
      <c r="D28" s="16" t="s">
        <v>32</v>
      </c>
      <c r="E28" s="134" t="e">
        <f>B28/#REF!*1</f>
        <v>#VALUE!</v>
      </c>
      <c r="F28" s="132"/>
      <c r="G28" s="132"/>
      <c r="H28" s="132"/>
    </row>
    <row r="29" spans="1:8" ht="35.25" customHeight="1">
      <c r="A29" s="260" t="s">
        <v>33</v>
      </c>
      <c r="B29" s="260"/>
      <c r="C29" s="260"/>
      <c r="D29" s="260"/>
      <c r="E29" s="132"/>
      <c r="F29" s="132"/>
      <c r="G29" s="132"/>
      <c r="H29" s="132"/>
    </row>
    <row r="30" spans="1:8" ht="60">
      <c r="A30" s="23" t="s">
        <v>34</v>
      </c>
      <c r="B30" s="24" t="s">
        <v>35</v>
      </c>
      <c r="C30" s="25" t="s">
        <v>36</v>
      </c>
      <c r="D30" s="26" t="s">
        <v>37</v>
      </c>
      <c r="E30" s="132"/>
      <c r="F30" s="132"/>
      <c r="G30" s="132"/>
      <c r="H30" s="132"/>
    </row>
    <row r="31" spans="1:8" ht="15">
      <c r="A31" s="27" t="s">
        <v>38</v>
      </c>
      <c r="B31" s="28" t="s">
        <v>39</v>
      </c>
      <c r="C31" s="29" t="s">
        <v>40</v>
      </c>
      <c r="D31" s="107">
        <f>(0.16+0.16)*6*102.25</f>
        <v>196.32</v>
      </c>
      <c r="E31" s="132"/>
      <c r="F31" s="132"/>
      <c r="G31" s="132"/>
      <c r="H31" s="132"/>
    </row>
    <row r="32" spans="1:8" ht="15">
      <c r="A32" s="31" t="s">
        <v>84</v>
      </c>
      <c r="B32" s="32" t="s">
        <v>85</v>
      </c>
      <c r="C32" s="33" t="s">
        <v>86</v>
      </c>
      <c r="D32" s="108">
        <v>0</v>
      </c>
      <c r="E32" s="132"/>
      <c r="F32" s="132"/>
      <c r="G32" s="132"/>
      <c r="H32" s="132"/>
    </row>
    <row r="33" spans="1:8" ht="15">
      <c r="A33" s="31" t="s">
        <v>41</v>
      </c>
      <c r="B33" s="32" t="s">
        <v>42</v>
      </c>
      <c r="C33" s="33" t="s">
        <v>43</v>
      </c>
      <c r="D33" s="34">
        <f>(3.03+3)*6*102.25</f>
        <v>3699.4049999999993</v>
      </c>
      <c r="E33" s="132"/>
      <c r="F33" s="132"/>
      <c r="G33" s="132"/>
      <c r="H33" s="132"/>
    </row>
    <row r="34" spans="1:8" ht="15">
      <c r="A34" s="31" t="s">
        <v>44</v>
      </c>
      <c r="B34" s="32" t="s">
        <v>39</v>
      </c>
      <c r="C34" s="33" t="s">
        <v>45</v>
      </c>
      <c r="D34" s="108">
        <f>(0.21+0.2)*6*102.25</f>
        <v>251.535</v>
      </c>
      <c r="E34" s="132"/>
      <c r="F34" s="132"/>
      <c r="G34" s="132"/>
      <c r="H34" s="132"/>
    </row>
    <row r="35" spans="1:8" ht="15">
      <c r="A35" s="31" t="s">
        <v>113</v>
      </c>
      <c r="B35" s="32" t="s">
        <v>39</v>
      </c>
      <c r="C35" s="33" t="s">
        <v>40</v>
      </c>
      <c r="D35" s="108">
        <f>(0.48+0.65)*6*102.25</f>
        <v>693.2549999999999</v>
      </c>
      <c r="E35" s="62"/>
      <c r="F35" s="132"/>
      <c r="G35" s="132"/>
      <c r="H35" s="132"/>
    </row>
    <row r="36" spans="1:8" ht="15">
      <c r="A36" s="31" t="s">
        <v>90</v>
      </c>
      <c r="B36" s="106" t="s">
        <v>91</v>
      </c>
      <c r="C36" s="33" t="s">
        <v>40</v>
      </c>
      <c r="D36" s="108">
        <v>0</v>
      </c>
      <c r="E36" s="62"/>
      <c r="F36" s="132"/>
      <c r="G36" s="132"/>
      <c r="H36" s="132"/>
    </row>
    <row r="37" spans="1:8" ht="15">
      <c r="A37" s="31" t="s">
        <v>46</v>
      </c>
      <c r="B37" s="32" t="s">
        <v>42</v>
      </c>
      <c r="C37" s="35" t="s">
        <v>47</v>
      </c>
      <c r="D37" s="108">
        <f>4.88*102.25*12</f>
        <v>5987.759999999999</v>
      </c>
      <c r="E37" s="62"/>
      <c r="F37" s="132"/>
      <c r="G37" s="132"/>
      <c r="H37" s="132"/>
    </row>
    <row r="38" spans="1:14" s="1" customFormat="1" ht="45">
      <c r="A38" s="36" t="s">
        <v>48</v>
      </c>
      <c r="B38" s="37" t="s">
        <v>49</v>
      </c>
      <c r="C38" s="38"/>
      <c r="D38" s="187">
        <v>0</v>
      </c>
      <c r="E38" s="62"/>
      <c r="F38" s="132"/>
      <c r="G38" s="132"/>
      <c r="H38" s="132"/>
      <c r="K38"/>
      <c r="L38"/>
      <c r="M38"/>
      <c r="N38"/>
    </row>
    <row r="39" spans="1:14" s="1" customFormat="1" ht="45">
      <c r="A39" s="109" t="s">
        <v>95</v>
      </c>
      <c r="B39" s="110" t="s">
        <v>96</v>
      </c>
      <c r="C39" s="111" t="s">
        <v>97</v>
      </c>
      <c r="D39" s="188">
        <f>0.55*6*102.25</f>
        <v>337.425</v>
      </c>
      <c r="E39" s="62"/>
      <c r="F39" s="132"/>
      <c r="G39" s="132"/>
      <c r="H39" s="132"/>
      <c r="K39"/>
      <c r="L39"/>
      <c r="M39"/>
      <c r="N39"/>
    </row>
    <row r="40" spans="1:14" s="1" customFormat="1" ht="15.75">
      <c r="A40" s="40" t="s">
        <v>50</v>
      </c>
      <c r="B40" s="41"/>
      <c r="C40" s="42"/>
      <c r="D40" s="113">
        <f>SUM(D31:D39)</f>
        <v>11165.699999999997</v>
      </c>
      <c r="E40" s="135">
        <f>D40-D38</f>
        <v>11165.699999999997</v>
      </c>
      <c r="F40" s="132"/>
      <c r="G40" s="132"/>
      <c r="H40" s="132"/>
      <c r="K40"/>
      <c r="L40"/>
      <c r="M40"/>
      <c r="N40"/>
    </row>
    <row r="41" spans="1:14" s="1" customFormat="1" ht="15">
      <c r="A41" s="43" t="s">
        <v>51</v>
      </c>
      <c r="B41" s="44" t="s">
        <v>16</v>
      </c>
      <c r="C41" s="45"/>
      <c r="D41" s="46">
        <f>C15+C20*0.8906-D38</f>
        <v>5955.56</v>
      </c>
      <c r="E41" s="135"/>
      <c r="F41" s="132"/>
      <c r="G41" s="132"/>
      <c r="H41" s="132"/>
      <c r="K41"/>
      <c r="L41"/>
      <c r="M41"/>
      <c r="N41"/>
    </row>
    <row r="42" spans="1:14" s="1" customFormat="1" ht="15">
      <c r="A42" s="48" t="s">
        <v>17</v>
      </c>
      <c r="B42" s="49" t="s">
        <v>16</v>
      </c>
      <c r="C42" s="33"/>
      <c r="D42" s="14">
        <v>0</v>
      </c>
      <c r="E42" s="132"/>
      <c r="F42" s="132"/>
      <c r="G42" s="132"/>
      <c r="H42" s="132"/>
      <c r="K42"/>
      <c r="L42"/>
      <c r="M42"/>
      <c r="N42"/>
    </row>
    <row r="43" spans="1:14" s="1" customFormat="1" ht="15">
      <c r="A43" s="48" t="s">
        <v>18</v>
      </c>
      <c r="B43" s="49" t="s">
        <v>16</v>
      </c>
      <c r="C43" s="33"/>
      <c r="D43" s="14">
        <v>22244.43</v>
      </c>
      <c r="E43" s="62"/>
      <c r="F43" s="132"/>
      <c r="G43" s="132"/>
      <c r="H43" s="132"/>
      <c r="K43"/>
      <c r="L43"/>
      <c r="M43"/>
      <c r="N43"/>
    </row>
    <row r="44" spans="1:14" s="1" customFormat="1" ht="24" customHeight="1">
      <c r="A44" s="261" t="s">
        <v>52</v>
      </c>
      <c r="B44" s="261"/>
      <c r="C44" s="261"/>
      <c r="D44" s="261"/>
      <c r="E44" s="132"/>
      <c r="F44" s="132"/>
      <c r="G44" s="132"/>
      <c r="H44" s="132"/>
      <c r="K44"/>
      <c r="L44"/>
      <c r="M44"/>
      <c r="N44"/>
    </row>
    <row r="45" spans="1:14" s="1" customFormat="1" ht="15">
      <c r="A45" s="48" t="s">
        <v>53</v>
      </c>
      <c r="B45" s="32" t="s">
        <v>54</v>
      </c>
      <c r="C45" s="33"/>
      <c r="D45" s="14">
        <v>0</v>
      </c>
      <c r="E45" s="132"/>
      <c r="F45" s="132"/>
      <c r="G45" s="132"/>
      <c r="H45" s="132"/>
      <c r="K45"/>
      <c r="L45"/>
      <c r="M45"/>
      <c r="N45"/>
    </row>
    <row r="46" spans="1:14" s="1" customFormat="1" ht="15">
      <c r="A46" s="48" t="s">
        <v>55</v>
      </c>
      <c r="B46" s="32" t="s">
        <v>54</v>
      </c>
      <c r="C46" s="33"/>
      <c r="D46" s="14">
        <v>0</v>
      </c>
      <c r="E46" s="132"/>
      <c r="F46" s="132"/>
      <c r="G46" s="132"/>
      <c r="H46" s="132"/>
      <c r="K46"/>
      <c r="L46"/>
      <c r="M46"/>
      <c r="N46"/>
    </row>
    <row r="47" spans="1:14" s="1" customFormat="1" ht="15">
      <c r="A47" s="50" t="s">
        <v>56</v>
      </c>
      <c r="B47" s="32" t="s">
        <v>54</v>
      </c>
      <c r="C47" s="33"/>
      <c r="D47" s="14">
        <v>0</v>
      </c>
      <c r="E47" s="132"/>
      <c r="F47" s="132"/>
      <c r="G47" s="132"/>
      <c r="H47" s="132"/>
      <c r="K47"/>
      <c r="L47"/>
      <c r="M47"/>
      <c r="N47"/>
    </row>
    <row r="48" spans="1:14" s="1" customFormat="1" ht="15">
      <c r="A48" s="48" t="s">
        <v>57</v>
      </c>
      <c r="B48" s="32" t="s">
        <v>16</v>
      </c>
      <c r="C48" s="33"/>
      <c r="D48" s="14">
        <v>0</v>
      </c>
      <c r="E48" s="132"/>
      <c r="F48" s="132"/>
      <c r="G48" s="132"/>
      <c r="H48" s="132"/>
      <c r="K48"/>
      <c r="L48"/>
      <c r="M48"/>
      <c r="N48"/>
    </row>
    <row r="49" spans="1:8" ht="20.25" customHeight="1">
      <c r="A49" s="262" t="s">
        <v>58</v>
      </c>
      <c r="B49" s="262"/>
      <c r="C49" s="262"/>
      <c r="D49" s="262"/>
      <c r="E49" s="132"/>
      <c r="F49" s="132"/>
      <c r="G49" s="132"/>
      <c r="H49" s="132"/>
    </row>
    <row r="50" spans="1:8" ht="25.5">
      <c r="A50" s="50" t="s">
        <v>59</v>
      </c>
      <c r="B50" s="32" t="s">
        <v>16</v>
      </c>
      <c r="C50" s="33"/>
      <c r="D50" s="14">
        <v>0</v>
      </c>
      <c r="E50" s="132"/>
      <c r="F50" s="132"/>
      <c r="G50" s="132"/>
      <c r="H50" s="132"/>
    </row>
    <row r="51" spans="1:8" ht="15">
      <c r="A51" s="48" t="s">
        <v>17</v>
      </c>
      <c r="B51" s="32" t="s">
        <v>16</v>
      </c>
      <c r="C51" s="33"/>
      <c r="D51" s="14">
        <v>0</v>
      </c>
      <c r="E51" s="132"/>
      <c r="F51" s="132"/>
      <c r="G51" s="132"/>
      <c r="H51" s="132"/>
    </row>
    <row r="52" spans="1:8" ht="15">
      <c r="A52" s="48" t="s">
        <v>18</v>
      </c>
      <c r="B52" s="32" t="s">
        <v>16</v>
      </c>
      <c r="C52" s="33"/>
      <c r="D52" s="51">
        <f>D55-D58-D59-D60</f>
        <v>32288.593152</v>
      </c>
      <c r="E52" s="132"/>
      <c r="F52" s="132"/>
      <c r="G52" s="132"/>
      <c r="H52" s="136"/>
    </row>
    <row r="53" spans="1:8" ht="25.5">
      <c r="A53" s="53" t="s">
        <v>60</v>
      </c>
      <c r="B53" s="32" t="s">
        <v>16</v>
      </c>
      <c r="C53" s="54"/>
      <c r="D53" s="55">
        <v>0</v>
      </c>
      <c r="E53" s="132"/>
      <c r="F53" s="132"/>
      <c r="G53" s="132"/>
      <c r="H53" s="132"/>
    </row>
    <row r="54" spans="1:10" ht="17.25" customHeight="1">
      <c r="A54" s="56" t="s">
        <v>17</v>
      </c>
      <c r="B54" s="32" t="s">
        <v>16</v>
      </c>
      <c r="C54" s="57"/>
      <c r="D54" s="58">
        <v>0</v>
      </c>
      <c r="E54" s="132"/>
      <c r="F54" s="132"/>
      <c r="G54" s="132"/>
      <c r="H54" s="132"/>
      <c r="I54" s="52"/>
      <c r="J54" s="52"/>
    </row>
    <row r="55" spans="1:14" ht="15">
      <c r="A55" s="59" t="s">
        <v>18</v>
      </c>
      <c r="B55" s="32" t="s">
        <v>16</v>
      </c>
      <c r="C55" s="60"/>
      <c r="D55" s="61">
        <v>34561.26</v>
      </c>
      <c r="E55" s="132"/>
      <c r="F55" s="132"/>
      <c r="G55" s="132"/>
      <c r="H55" s="132" t="s">
        <v>32</v>
      </c>
      <c r="I55" s="63"/>
      <c r="J55" s="63"/>
      <c r="K55" s="64"/>
      <c r="L55" s="64"/>
      <c r="M55" s="64"/>
      <c r="N55" s="64"/>
    </row>
    <row r="56" spans="1:14" ht="18" customHeight="1">
      <c r="A56" s="263" t="s">
        <v>61</v>
      </c>
      <c r="B56" s="263"/>
      <c r="C56" s="263"/>
      <c r="D56" s="263"/>
      <c r="E56" s="137"/>
      <c r="F56" s="138"/>
      <c r="G56" s="139"/>
      <c r="H56" s="132"/>
      <c r="I56" s="68"/>
      <c r="J56" s="68"/>
      <c r="K56" s="69"/>
      <c r="L56" s="69"/>
      <c r="M56" s="69"/>
      <c r="N56" s="69"/>
    </row>
    <row r="57" spans="1:14" ht="47.25">
      <c r="A57" s="70" t="s">
        <v>62</v>
      </c>
      <c r="B57" s="71" t="s">
        <v>63</v>
      </c>
      <c r="C57" s="72" t="s">
        <v>64</v>
      </c>
      <c r="D57" s="73" t="s">
        <v>65</v>
      </c>
      <c r="E57" s="137"/>
      <c r="F57" s="138"/>
      <c r="G57" s="139"/>
      <c r="H57" s="132"/>
      <c r="I57" s="68"/>
      <c r="J57" s="74"/>
      <c r="K57" s="69"/>
      <c r="L57" s="69"/>
      <c r="M57" s="69"/>
      <c r="N57" s="69"/>
    </row>
    <row r="58" spans="1:14" ht="15">
      <c r="A58" s="75" t="s">
        <v>66</v>
      </c>
      <c r="B58" s="117">
        <v>14779.08</v>
      </c>
      <c r="C58" s="118">
        <f>B58*0.8906</f>
        <v>13162.248647999999</v>
      </c>
      <c r="D58" s="119">
        <f>B58-C58</f>
        <v>1616.831352000001</v>
      </c>
      <c r="E58" s="140"/>
      <c r="F58" s="138"/>
      <c r="G58" s="139"/>
      <c r="H58" s="132"/>
      <c r="I58" s="68"/>
      <c r="J58" s="68"/>
      <c r="K58" s="69"/>
      <c r="L58" s="69"/>
      <c r="M58" s="69"/>
      <c r="N58" s="69"/>
    </row>
    <row r="59" spans="1:14" ht="15">
      <c r="A59" s="75" t="s">
        <v>67</v>
      </c>
      <c r="B59" s="117">
        <v>0</v>
      </c>
      <c r="C59" s="118">
        <f>B59*0.8866</f>
        <v>0</v>
      </c>
      <c r="D59" s="119">
        <f>B59-C59</f>
        <v>0</v>
      </c>
      <c r="E59" s="137"/>
      <c r="F59" s="138"/>
      <c r="G59" s="139"/>
      <c r="H59" s="132"/>
      <c r="I59" s="68"/>
      <c r="J59" s="68"/>
      <c r="K59" s="69"/>
      <c r="L59" s="69"/>
      <c r="M59" s="69"/>
      <c r="N59" s="69"/>
    </row>
    <row r="60" spans="1:14" ht="15">
      <c r="A60" s="75" t="s">
        <v>68</v>
      </c>
      <c r="B60" s="120">
        <v>5994.84</v>
      </c>
      <c r="C60" s="118">
        <f>B60*0.8906</f>
        <v>5339.0045039999995</v>
      </c>
      <c r="D60" s="119">
        <f>B60-C60</f>
        <v>655.8354960000006</v>
      </c>
      <c r="E60" s="137">
        <f>(2.07+1.8)*6*2301.2-0.37*2301.2*6</f>
        <v>48325.2</v>
      </c>
      <c r="F60" s="141"/>
      <c r="G60" s="142"/>
      <c r="H60" s="137"/>
      <c r="I60" s="68"/>
      <c r="J60" s="68"/>
      <c r="K60" s="69"/>
      <c r="L60" s="69"/>
      <c r="M60" s="69"/>
      <c r="N60" s="69"/>
    </row>
    <row r="61" spans="1:14" ht="15.75" thickBot="1">
      <c r="A61" s="150" t="s">
        <v>69</v>
      </c>
      <c r="B61" s="151">
        <v>0</v>
      </c>
      <c r="C61" s="152">
        <f>B61*0.8866</f>
        <v>0</v>
      </c>
      <c r="D61" s="153">
        <f>B61-C61</f>
        <v>0</v>
      </c>
      <c r="E61" s="137"/>
      <c r="F61" s="141"/>
      <c r="G61" s="142"/>
      <c r="H61" s="132"/>
      <c r="I61" s="68"/>
      <c r="J61" s="68"/>
      <c r="K61" s="69"/>
      <c r="L61" s="69"/>
      <c r="M61" s="69"/>
      <c r="N61" s="69"/>
    </row>
    <row r="62" spans="1:14" ht="63">
      <c r="A62" s="154" t="s">
        <v>70</v>
      </c>
      <c r="B62" s="155" t="s">
        <v>71</v>
      </c>
      <c r="C62" s="156" t="s">
        <v>72</v>
      </c>
      <c r="D62" s="157" t="s">
        <v>73</v>
      </c>
      <c r="E62" s="137"/>
      <c r="F62" s="141"/>
      <c r="G62" s="132"/>
      <c r="H62" s="143"/>
      <c r="I62" s="68"/>
      <c r="J62" s="68"/>
      <c r="K62" s="69"/>
      <c r="L62" s="69"/>
      <c r="M62" s="69"/>
      <c r="N62" s="69"/>
    </row>
    <row r="63" spans="1:14" ht="15">
      <c r="A63" s="158" t="s">
        <v>66</v>
      </c>
      <c r="B63" s="124">
        <f>B58</f>
        <v>14779.08</v>
      </c>
      <c r="C63" s="125">
        <f>B63*0.9623</f>
        <v>14221.908684</v>
      </c>
      <c r="D63" s="159">
        <f>B63-C63</f>
        <v>557.1713159999999</v>
      </c>
      <c r="E63" s="137"/>
      <c r="F63" s="141"/>
      <c r="G63" s="132"/>
      <c r="H63" s="143"/>
      <c r="I63" s="68"/>
      <c r="J63" s="68" t="s">
        <v>32</v>
      </c>
      <c r="K63" s="69"/>
      <c r="L63" s="69"/>
      <c r="M63" s="69"/>
      <c r="N63" s="69"/>
    </row>
    <row r="64" spans="1:14" ht="15">
      <c r="A64" s="158" t="s">
        <v>67</v>
      </c>
      <c r="B64" s="124">
        <f>B59</f>
        <v>0</v>
      </c>
      <c r="C64" s="125">
        <f>C59*1.0063</f>
        <v>0</v>
      </c>
      <c r="D64" s="159">
        <f>B64-C64</f>
        <v>0</v>
      </c>
      <c r="E64" s="137"/>
      <c r="F64" s="141"/>
      <c r="G64" s="132"/>
      <c r="H64" s="143"/>
      <c r="I64" s="68"/>
      <c r="J64" s="68"/>
      <c r="K64" s="69"/>
      <c r="L64" s="69"/>
      <c r="M64" s="69"/>
      <c r="N64" s="69"/>
    </row>
    <row r="65" spans="1:14" ht="15">
      <c r="A65" s="158" t="s">
        <v>68</v>
      </c>
      <c r="B65" s="124">
        <f>B60</f>
        <v>5994.84</v>
      </c>
      <c r="C65" s="125">
        <f>B65*0.9227</f>
        <v>5531.438868</v>
      </c>
      <c r="D65" s="159">
        <f>B65-C65</f>
        <v>463.40113199999996</v>
      </c>
      <c r="E65" s="137"/>
      <c r="F65" s="141"/>
      <c r="G65" s="132"/>
      <c r="H65" s="143"/>
      <c r="I65" s="68"/>
      <c r="J65" s="68"/>
      <c r="K65" s="69"/>
      <c r="L65" s="69"/>
      <c r="M65" s="69"/>
      <c r="N65" s="69"/>
    </row>
    <row r="66" spans="1:14" ht="15">
      <c r="A66" s="158" t="s">
        <v>74</v>
      </c>
      <c r="B66" s="124">
        <v>0</v>
      </c>
      <c r="C66" s="125">
        <f>C61*1.0063</f>
        <v>0</v>
      </c>
      <c r="D66" s="159">
        <f>B66-C66</f>
        <v>0</v>
      </c>
      <c r="E66" s="137"/>
      <c r="F66" s="141"/>
      <c r="G66" s="132"/>
      <c r="H66" s="143"/>
      <c r="I66" s="68"/>
      <c r="J66" s="68"/>
      <c r="K66" s="69"/>
      <c r="L66" s="69"/>
      <c r="M66" s="69"/>
      <c r="N66" s="69"/>
    </row>
    <row r="67" spans="1:14" ht="15.75" thickBot="1">
      <c r="A67" s="160" t="s">
        <v>69</v>
      </c>
      <c r="B67" s="161">
        <v>0</v>
      </c>
      <c r="C67" s="162">
        <v>0</v>
      </c>
      <c r="D67" s="163">
        <f>B67-C67</f>
        <v>0</v>
      </c>
      <c r="E67" s="137"/>
      <c r="F67" s="141"/>
      <c r="G67" s="132"/>
      <c r="H67" s="143" t="s">
        <v>32</v>
      </c>
      <c r="I67" s="68"/>
      <c r="J67" s="68"/>
      <c r="K67" s="69"/>
      <c r="L67" s="69"/>
      <c r="M67" s="69"/>
      <c r="N67" s="69"/>
    </row>
    <row r="68" spans="1:14" ht="15">
      <c r="A68" s="91"/>
      <c r="B68" s="87"/>
      <c r="C68" s="92"/>
      <c r="D68" s="93"/>
      <c r="E68" s="65"/>
      <c r="F68" s="81"/>
      <c r="H68" s="68"/>
      <c r="I68" s="68"/>
      <c r="J68" s="68"/>
      <c r="K68" s="69"/>
      <c r="L68" s="69"/>
      <c r="M68" s="69"/>
      <c r="N68" s="69"/>
    </row>
    <row r="69" spans="1:14" ht="25.5">
      <c r="A69" s="94" t="s">
        <v>75</v>
      </c>
      <c r="B69" s="87" t="s">
        <v>16</v>
      </c>
      <c r="C69" s="95"/>
      <c r="D69" s="96"/>
      <c r="E69" s="65"/>
      <c r="F69" s="81"/>
      <c r="H69" s="68"/>
      <c r="I69" s="68"/>
      <c r="J69" s="68" t="s">
        <v>32</v>
      </c>
      <c r="K69" s="69"/>
      <c r="L69" s="69"/>
      <c r="M69" s="69"/>
      <c r="N69" s="69"/>
    </row>
    <row r="70" spans="1:14" ht="17.25" customHeight="1">
      <c r="A70" s="264" t="s">
        <v>76</v>
      </c>
      <c r="B70" s="264"/>
      <c r="C70" s="264"/>
      <c r="D70" s="264"/>
      <c r="E70" s="97" t="e">
        <f>D70+B19</f>
        <v>#VALUE!</v>
      </c>
      <c r="F70" s="68"/>
      <c r="H70" s="98" t="e">
        <f>E70-B18</f>
        <v>#VALUE!</v>
      </c>
      <c r="I70" s="68"/>
      <c r="J70" s="68"/>
      <c r="K70" s="69"/>
      <c r="L70" s="69"/>
      <c r="M70" s="69"/>
      <c r="N70" s="69"/>
    </row>
    <row r="71" spans="1:5" ht="21" customHeight="1">
      <c r="A71" s="99" t="s">
        <v>53</v>
      </c>
      <c r="B71" s="99" t="s">
        <v>54</v>
      </c>
      <c r="C71" s="100">
        <v>0</v>
      </c>
      <c r="D71" s="101"/>
      <c r="E71" s="102"/>
    </row>
    <row r="72" spans="1:5" ht="21" customHeight="1">
      <c r="A72" s="99" t="s">
        <v>55</v>
      </c>
      <c r="B72" s="99" t="s">
        <v>54</v>
      </c>
      <c r="C72" s="99">
        <v>0</v>
      </c>
      <c r="D72" s="101"/>
      <c r="E72" s="102"/>
    </row>
    <row r="73" spans="1:5" ht="18" customHeight="1">
      <c r="A73" s="99" t="s">
        <v>56</v>
      </c>
      <c r="B73" s="99" t="s">
        <v>54</v>
      </c>
      <c r="C73" s="99">
        <v>0</v>
      </c>
      <c r="D73" s="101"/>
      <c r="E73" s="102"/>
    </row>
    <row r="74" spans="1:5" ht="16.5" customHeight="1">
      <c r="A74" s="99" t="s">
        <v>57</v>
      </c>
      <c r="B74" s="99" t="s">
        <v>16</v>
      </c>
      <c r="C74" s="99">
        <v>0</v>
      </c>
      <c r="D74" s="101"/>
      <c r="E74" s="102"/>
    </row>
    <row r="75" spans="1:5" ht="15.75" customHeight="1">
      <c r="A75" s="258" t="s">
        <v>77</v>
      </c>
      <c r="B75" s="258"/>
      <c r="C75" s="258"/>
      <c r="D75" s="258"/>
      <c r="E75" s="102"/>
    </row>
    <row r="76" spans="1:5" ht="18.75" customHeight="1">
      <c r="A76" s="99" t="s">
        <v>78</v>
      </c>
      <c r="B76" s="99" t="s">
        <v>54</v>
      </c>
      <c r="C76" s="99">
        <v>0</v>
      </c>
      <c r="D76" s="101"/>
      <c r="E76" s="102"/>
    </row>
    <row r="77" spans="1:5" ht="21.75" customHeight="1">
      <c r="A77" s="99" t="s">
        <v>79</v>
      </c>
      <c r="B77" s="56" t="s">
        <v>54</v>
      </c>
      <c r="C77" s="56">
        <v>0</v>
      </c>
      <c r="D77" s="101"/>
      <c r="E77" s="102"/>
    </row>
    <row r="78" spans="1:5" ht="36" customHeight="1">
      <c r="A78" s="103" t="s">
        <v>80</v>
      </c>
      <c r="B78" s="99" t="s">
        <v>16</v>
      </c>
      <c r="C78" s="99">
        <v>0</v>
      </c>
      <c r="D78" s="101"/>
      <c r="E78" s="102"/>
    </row>
    <row r="79" spans="1:4" ht="15">
      <c r="A79" s="69"/>
      <c r="B79" s="69"/>
      <c r="C79" s="69"/>
      <c r="D79" s="104"/>
    </row>
    <row r="80" spans="1:14" s="1" customFormat="1" ht="12.75">
      <c r="A80"/>
      <c r="B80"/>
      <c r="C80"/>
      <c r="D80"/>
      <c r="H80" s="1" t="s">
        <v>32</v>
      </c>
      <c r="K80"/>
      <c r="L80"/>
      <c r="M80"/>
      <c r="N80"/>
    </row>
    <row r="81" spans="1:14" s="1" customFormat="1" ht="12.75">
      <c r="A81" t="s">
        <v>81</v>
      </c>
      <c r="B81"/>
      <c r="C81"/>
      <c r="D81"/>
      <c r="K81"/>
      <c r="L81"/>
      <c r="M81"/>
      <c r="N81"/>
    </row>
    <row r="82" spans="1:14" s="1" customFormat="1" ht="12.75">
      <c r="A82"/>
      <c r="B82"/>
      <c r="C82"/>
      <c r="D82"/>
      <c r="H82" s="1" t="s">
        <v>32</v>
      </c>
      <c r="K82"/>
      <c r="L82"/>
      <c r="M82"/>
      <c r="N82"/>
    </row>
    <row r="83" spans="1:14" s="1" customFormat="1" ht="12.75">
      <c r="A83" t="s">
        <v>82</v>
      </c>
      <c r="B83"/>
      <c r="C83"/>
      <c r="D83"/>
      <c r="K83"/>
      <c r="L83"/>
      <c r="M83"/>
      <c r="N83"/>
    </row>
    <row r="87" spans="1:14" s="1" customFormat="1" ht="12.75">
      <c r="A87"/>
      <c r="B87"/>
      <c r="C87"/>
      <c r="D87"/>
      <c r="E87" s="1" t="s">
        <v>32</v>
      </c>
      <c r="K87"/>
      <c r="L87"/>
      <c r="M87"/>
      <c r="N87"/>
    </row>
  </sheetData>
  <sheetProtection selectLockedCells="1" selectUnlockedCells="1"/>
  <mergeCells count="13">
    <mergeCell ref="A1:D1"/>
    <mergeCell ref="A2:D2"/>
    <mergeCell ref="A3:D3"/>
    <mergeCell ref="A4:D4"/>
    <mergeCell ref="A5:D5"/>
    <mergeCell ref="A7:D7"/>
    <mergeCell ref="A75:D75"/>
    <mergeCell ref="A14:D14"/>
    <mergeCell ref="A29:D29"/>
    <mergeCell ref="A44:D44"/>
    <mergeCell ref="A49:D49"/>
    <mergeCell ref="A56:D56"/>
    <mergeCell ref="A70:D70"/>
  </mergeCells>
  <printOptions/>
  <pageMargins left="0.5597222222222222" right="0.7875" top="0.34097222222222223" bottom="0.7875" header="0.5118055555555555" footer="0.5118055555555555"/>
  <pageSetup fitToHeight="3" fitToWidth="2" horizontalDpi="300" verticalDpi="300" orientation="landscape" paperSize="12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6"/>
  <sheetViews>
    <sheetView zoomScale="80" zoomScaleNormal="80" zoomScalePageLayoutView="0" workbookViewId="0" topLeftCell="A49">
      <selection activeCell="E38" sqref="E38:E41"/>
    </sheetView>
  </sheetViews>
  <sheetFormatPr defaultColWidth="11.57421875" defaultRowHeight="12.75"/>
  <cols>
    <col min="1" max="1" width="63.28125" style="0" customWidth="1"/>
    <col min="2" max="2" width="20.28125" style="0" customWidth="1"/>
    <col min="3" max="3" width="31.421875" style="0" customWidth="1"/>
    <col min="4" max="4" width="27.57421875" style="0" customWidth="1"/>
    <col min="5" max="5" width="16.8515625" style="1" customWidth="1"/>
    <col min="6" max="7" width="0" style="1" hidden="1" customWidth="1"/>
    <col min="8" max="8" width="11.57421875" style="1" customWidth="1"/>
    <col min="9" max="9" width="5.28125" style="1" customWidth="1"/>
    <col min="10" max="10" width="30.00390625" style="1" customWidth="1"/>
    <col min="11" max="12" width="23.28125" style="0" customWidth="1"/>
    <col min="13" max="13" width="6.57421875" style="0" customWidth="1"/>
    <col min="14" max="14" width="7.00390625" style="0" customWidth="1"/>
  </cols>
  <sheetData>
    <row r="1" spans="1:4" ht="18">
      <c r="A1" s="265" t="s">
        <v>0</v>
      </c>
      <c r="B1" s="265"/>
      <c r="C1" s="265"/>
      <c r="D1" s="265"/>
    </row>
    <row r="2" spans="1:4" ht="15.75">
      <c r="A2" s="266" t="s">
        <v>1</v>
      </c>
      <c r="B2" s="266"/>
      <c r="C2" s="266"/>
      <c r="D2" s="266"/>
    </row>
    <row r="3" spans="1:4" ht="15.75">
      <c r="A3" s="266" t="s">
        <v>2</v>
      </c>
      <c r="B3" s="266"/>
      <c r="C3" s="266"/>
      <c r="D3" s="266"/>
    </row>
    <row r="4" spans="1:4" ht="12.75">
      <c r="A4" s="267" t="s">
        <v>114</v>
      </c>
      <c r="B4" s="267"/>
      <c r="C4" s="267"/>
      <c r="D4" s="267"/>
    </row>
    <row r="5" spans="1:4" ht="12.75">
      <c r="A5" s="268" t="s">
        <v>171</v>
      </c>
      <c r="B5" s="267"/>
      <c r="C5" s="267"/>
      <c r="D5" s="267"/>
    </row>
    <row r="6" ht="9" customHeight="1">
      <c r="A6" s="2"/>
    </row>
    <row r="7" spans="1:4" ht="18" customHeight="1">
      <c r="A7" s="269" t="s">
        <v>4</v>
      </c>
      <c r="B7" s="269"/>
      <c r="C7" s="269"/>
      <c r="D7" s="269"/>
    </row>
    <row r="8" spans="1:3" ht="12.75">
      <c r="A8" s="2" t="s">
        <v>223</v>
      </c>
      <c r="C8" s="3"/>
    </row>
    <row r="9" spans="1:4" ht="12.75">
      <c r="A9" s="4" t="s">
        <v>5</v>
      </c>
      <c r="B9" s="4" t="s">
        <v>6</v>
      </c>
      <c r="C9" s="4" t="s">
        <v>7</v>
      </c>
      <c r="D9" s="5"/>
    </row>
    <row r="10" spans="1:4" ht="12.75">
      <c r="A10" s="6">
        <v>1</v>
      </c>
      <c r="B10" s="6">
        <v>2</v>
      </c>
      <c r="C10" s="6">
        <v>3</v>
      </c>
      <c r="D10" s="7">
        <v>4</v>
      </c>
    </row>
    <row r="11" spans="1:4" ht="12.75">
      <c r="A11" s="8" t="s">
        <v>8</v>
      </c>
      <c r="B11" s="9"/>
      <c r="C11" s="177" t="s">
        <v>172</v>
      </c>
      <c r="D11" s="10"/>
    </row>
    <row r="12" spans="1:4" ht="12.75">
      <c r="A12" s="8" t="s">
        <v>10</v>
      </c>
      <c r="B12" s="9"/>
      <c r="C12" s="177" t="s">
        <v>173</v>
      </c>
      <c r="D12" s="10"/>
    </row>
    <row r="13" spans="1:5" ht="12.75">
      <c r="A13" s="8" t="s">
        <v>12</v>
      </c>
      <c r="B13" s="9"/>
      <c r="C13" s="177" t="s">
        <v>174</v>
      </c>
      <c r="D13" s="10"/>
      <c r="E13" s="132"/>
    </row>
    <row r="14" spans="1:5" ht="31.5" customHeight="1">
      <c r="A14" s="259" t="s">
        <v>14</v>
      </c>
      <c r="B14" s="259"/>
      <c r="C14" s="259"/>
      <c r="D14" s="259"/>
      <c r="E14" s="62"/>
    </row>
    <row r="15" spans="1:5" ht="25.5">
      <c r="A15" s="11" t="s">
        <v>15</v>
      </c>
      <c r="B15" s="12" t="s">
        <v>16</v>
      </c>
      <c r="C15" s="13">
        <v>41089.4</v>
      </c>
      <c r="D15" s="14"/>
      <c r="E15" s="132"/>
    </row>
    <row r="16" spans="1:5" ht="15">
      <c r="A16" s="8" t="s">
        <v>17</v>
      </c>
      <c r="B16" s="12" t="s">
        <v>16</v>
      </c>
      <c r="C16" s="13">
        <v>0</v>
      </c>
      <c r="D16" s="14"/>
      <c r="E16" s="132"/>
    </row>
    <row r="17" spans="1:5" ht="15">
      <c r="A17" s="8" t="s">
        <v>18</v>
      </c>
      <c r="B17" s="12" t="s">
        <v>16</v>
      </c>
      <c r="C17" s="15">
        <v>590.75</v>
      </c>
      <c r="D17" s="16"/>
      <c r="E17" s="132" t="e">
        <f>B17/12/1022.6</f>
        <v>#VALUE!</v>
      </c>
    </row>
    <row r="18" spans="1:5" ht="31.5" customHeight="1">
      <c r="A18" s="17" t="s">
        <v>19</v>
      </c>
      <c r="B18" s="12" t="s">
        <v>16</v>
      </c>
      <c r="C18" s="15">
        <f>C19+C20+C21</f>
        <v>28133.386</v>
      </c>
      <c r="D18" s="16"/>
      <c r="E18" s="133">
        <f>C18-C20</f>
        <v>18912.483999999997</v>
      </c>
    </row>
    <row r="19" spans="1:5" ht="15">
      <c r="A19" s="8" t="s">
        <v>20</v>
      </c>
      <c r="B19" s="12" t="s">
        <v>16</v>
      </c>
      <c r="C19" s="15">
        <v>10544.26</v>
      </c>
      <c r="D19" s="16"/>
      <c r="E19" s="133">
        <f>E18-E39</f>
        <v>0</v>
      </c>
    </row>
    <row r="20" spans="1:5" ht="15">
      <c r="A20" s="8" t="s">
        <v>21</v>
      </c>
      <c r="B20" s="12" t="s">
        <v>16</v>
      </c>
      <c r="C20" s="15">
        <f>(4.44+2.29)*6*142.9+3450.6</f>
        <v>9220.902</v>
      </c>
      <c r="D20" s="16"/>
      <c r="E20" s="134"/>
    </row>
    <row r="21" spans="1:5" ht="15">
      <c r="A21" s="8" t="s">
        <v>22</v>
      </c>
      <c r="B21" s="12" t="s">
        <v>16</v>
      </c>
      <c r="C21" s="20">
        <f>142.9*4.88*12</f>
        <v>8368.224</v>
      </c>
      <c r="D21" s="16"/>
      <c r="E21" s="132"/>
    </row>
    <row r="22" spans="1:5" ht="15">
      <c r="A22" s="21" t="s">
        <v>23</v>
      </c>
      <c r="B22" s="12" t="s">
        <v>16</v>
      </c>
      <c r="C22" s="15">
        <f>C23+C24+C25+C26+C27</f>
        <v>26462.2628716</v>
      </c>
      <c r="D22" s="16" t="s">
        <v>24</v>
      </c>
      <c r="E22" s="133" t="e">
        <f>B24+B25+B26+B27+B28</f>
        <v>#VALUE!</v>
      </c>
    </row>
    <row r="23" spans="1:5" ht="15">
      <c r="A23" s="8" t="s">
        <v>25</v>
      </c>
      <c r="B23" s="12" t="s">
        <v>16</v>
      </c>
      <c r="C23" s="15">
        <f>C18*0.9406</f>
        <v>26462.2628716</v>
      </c>
      <c r="D23" s="16"/>
      <c r="E23" s="132"/>
    </row>
    <row r="24" spans="1:8" ht="15">
      <c r="A24" s="8" t="s">
        <v>26</v>
      </c>
      <c r="B24" s="12" t="s">
        <v>16</v>
      </c>
      <c r="C24" s="15">
        <v>0</v>
      </c>
      <c r="D24" s="22">
        <v>65.21</v>
      </c>
      <c r="E24" s="134" t="e">
        <f>B24/#REF!*1</f>
        <v>#VALUE!</v>
      </c>
      <c r="H24" s="1" t="s">
        <v>27</v>
      </c>
    </row>
    <row r="25" spans="1:5" ht="15">
      <c r="A25" s="8" t="s">
        <v>28</v>
      </c>
      <c r="B25" s="12" t="s">
        <v>16</v>
      </c>
      <c r="C25" s="15">
        <v>0</v>
      </c>
      <c r="D25" s="22">
        <v>119.63</v>
      </c>
      <c r="E25" s="134" t="e">
        <f>B25/#REF!*1</f>
        <v>#VALUE!</v>
      </c>
    </row>
    <row r="26" spans="1:5" ht="15">
      <c r="A26" s="9" t="s">
        <v>29</v>
      </c>
      <c r="B26" s="12" t="s">
        <v>16</v>
      </c>
      <c r="C26" s="15">
        <v>0</v>
      </c>
      <c r="D26" s="22"/>
      <c r="E26" s="134" t="e">
        <f>B26/#REF!*1</f>
        <v>#VALUE!</v>
      </c>
    </row>
    <row r="27" spans="1:5" ht="16.5" customHeight="1">
      <c r="A27" s="116" t="s">
        <v>112</v>
      </c>
      <c r="B27" s="12" t="s">
        <v>16</v>
      </c>
      <c r="C27" s="15">
        <v>0</v>
      </c>
      <c r="D27" s="22">
        <v>139.18</v>
      </c>
      <c r="E27" s="134" t="e">
        <f>B27/#REF!*1</f>
        <v>#VALUE!</v>
      </c>
    </row>
    <row r="28" spans="1:5" ht="15">
      <c r="A28" s="8" t="s">
        <v>31</v>
      </c>
      <c r="B28" s="12" t="s">
        <v>16</v>
      </c>
      <c r="C28" s="15">
        <f>C15+C22</f>
        <v>67551.6628716</v>
      </c>
      <c r="D28" s="16" t="s">
        <v>32</v>
      </c>
      <c r="E28" s="134" t="e">
        <f>B28/#REF!*1</f>
        <v>#VALUE!</v>
      </c>
    </row>
    <row r="29" spans="1:5" ht="35.25" customHeight="1">
      <c r="A29" s="260" t="s">
        <v>33</v>
      </c>
      <c r="B29" s="260"/>
      <c r="C29" s="260"/>
      <c r="D29" s="260"/>
      <c r="E29" s="132"/>
    </row>
    <row r="30" spans="1:5" ht="60">
      <c r="A30" s="23" t="s">
        <v>34</v>
      </c>
      <c r="B30" s="24" t="s">
        <v>35</v>
      </c>
      <c r="C30" s="25" t="s">
        <v>36</v>
      </c>
      <c r="D30" s="26" t="s">
        <v>37</v>
      </c>
      <c r="E30" s="132"/>
    </row>
    <row r="31" spans="1:5" ht="15">
      <c r="A31" s="27" t="s">
        <v>38</v>
      </c>
      <c r="B31" s="28" t="s">
        <v>39</v>
      </c>
      <c r="C31" s="29" t="s">
        <v>40</v>
      </c>
      <c r="D31" s="107">
        <f>(0.17+0.16)*6*142.9</f>
        <v>282.942</v>
      </c>
      <c r="E31" s="132"/>
    </row>
    <row r="32" spans="1:5" ht="15">
      <c r="A32" s="31" t="s">
        <v>41</v>
      </c>
      <c r="B32" s="32" t="s">
        <v>42</v>
      </c>
      <c r="C32" s="33" t="s">
        <v>43</v>
      </c>
      <c r="D32" s="34">
        <f>(3.03+3)*6*142.9</f>
        <v>5170.121999999999</v>
      </c>
      <c r="E32" s="132"/>
    </row>
    <row r="33" spans="1:5" ht="15">
      <c r="A33" s="31" t="s">
        <v>44</v>
      </c>
      <c r="B33" s="32" t="s">
        <v>39</v>
      </c>
      <c r="C33" s="33" t="s">
        <v>45</v>
      </c>
      <c r="D33" s="108">
        <f>(0.22+0.23)*6*142.9</f>
        <v>385.83000000000004</v>
      </c>
      <c r="E33" s="132"/>
    </row>
    <row r="34" spans="1:5" ht="15">
      <c r="A34" s="31" t="s">
        <v>115</v>
      </c>
      <c r="B34" s="32" t="s">
        <v>39</v>
      </c>
      <c r="C34" s="33" t="s">
        <v>40</v>
      </c>
      <c r="D34" s="108">
        <f>(0.22+0.22)*6*142.9</f>
        <v>377.25600000000003</v>
      </c>
      <c r="E34" s="132"/>
    </row>
    <row r="35" spans="1:5" ht="15">
      <c r="A35" s="31" t="s">
        <v>90</v>
      </c>
      <c r="B35" s="106" t="s">
        <v>91</v>
      </c>
      <c r="C35" s="33" t="s">
        <v>40</v>
      </c>
      <c r="D35" s="108">
        <f>(1.33+1.27)*6*142.9</f>
        <v>2229.2400000000002</v>
      </c>
      <c r="E35" s="132"/>
    </row>
    <row r="36" spans="1:5" ht="15">
      <c r="A36" s="31" t="s">
        <v>46</v>
      </c>
      <c r="B36" s="32" t="s">
        <v>42</v>
      </c>
      <c r="C36" s="35" t="s">
        <v>47</v>
      </c>
      <c r="D36" s="108">
        <f>4.88*142.9*12</f>
        <v>8368.224</v>
      </c>
      <c r="E36" s="132"/>
    </row>
    <row r="37" spans="1:14" s="1" customFormat="1" ht="45">
      <c r="A37" s="36" t="s">
        <v>48</v>
      </c>
      <c r="B37" s="37" t="s">
        <v>49</v>
      </c>
      <c r="C37" s="38"/>
      <c r="D37" s="39">
        <v>0</v>
      </c>
      <c r="E37" s="62"/>
      <c r="K37"/>
      <c r="L37"/>
      <c r="M37"/>
      <c r="N37"/>
    </row>
    <row r="38" spans="1:14" s="1" customFormat="1" ht="45">
      <c r="A38" s="109" t="s">
        <v>95</v>
      </c>
      <c r="B38" s="110" t="s">
        <v>96</v>
      </c>
      <c r="C38" s="111" t="s">
        <v>97</v>
      </c>
      <c r="D38" s="179">
        <v>2098.87</v>
      </c>
      <c r="E38" s="132"/>
      <c r="K38"/>
      <c r="L38"/>
      <c r="M38"/>
      <c r="N38"/>
    </row>
    <row r="39" spans="1:14" s="1" customFormat="1" ht="15.75">
      <c r="A39" s="40" t="s">
        <v>50</v>
      </c>
      <c r="B39" s="41"/>
      <c r="C39" s="42"/>
      <c r="D39" s="113">
        <f>SUM(D31:D38)</f>
        <v>18912.484</v>
      </c>
      <c r="E39" s="135">
        <f>D39-D37</f>
        <v>18912.484</v>
      </c>
      <c r="K39"/>
      <c r="L39"/>
      <c r="M39"/>
      <c r="N39"/>
    </row>
    <row r="40" spans="1:14" s="1" customFormat="1" ht="15">
      <c r="A40" s="43" t="s">
        <v>51</v>
      </c>
      <c r="B40" s="44" t="s">
        <v>16</v>
      </c>
      <c r="C40" s="45"/>
      <c r="D40" s="46">
        <f>C15+C20*0.9406-D37</f>
        <v>49762.5804212</v>
      </c>
      <c r="E40" s="135"/>
      <c r="K40"/>
      <c r="L40"/>
      <c r="M40"/>
      <c r="N40"/>
    </row>
    <row r="41" spans="1:14" s="1" customFormat="1" ht="15">
      <c r="A41" s="48" t="s">
        <v>17</v>
      </c>
      <c r="B41" s="49" t="s">
        <v>16</v>
      </c>
      <c r="C41" s="33"/>
      <c r="D41" s="14">
        <v>0</v>
      </c>
      <c r="E41" s="132"/>
      <c r="K41"/>
      <c r="L41"/>
      <c r="M41"/>
      <c r="N41"/>
    </row>
    <row r="42" spans="1:14" s="1" customFormat="1" ht="15">
      <c r="A42" s="48" t="s">
        <v>18</v>
      </c>
      <c r="B42" s="49" t="s">
        <v>16</v>
      </c>
      <c r="C42" s="33"/>
      <c r="D42" s="14">
        <v>482.85</v>
      </c>
      <c r="E42" s="132"/>
      <c r="K42"/>
      <c r="L42"/>
      <c r="M42"/>
      <c r="N42"/>
    </row>
    <row r="43" spans="1:14" s="1" customFormat="1" ht="24" customHeight="1">
      <c r="A43" s="261" t="s">
        <v>52</v>
      </c>
      <c r="B43" s="261"/>
      <c r="C43" s="261"/>
      <c r="D43" s="261"/>
      <c r="E43" s="132"/>
      <c r="K43"/>
      <c r="L43"/>
      <c r="M43"/>
      <c r="N43"/>
    </row>
    <row r="44" spans="1:14" s="1" customFormat="1" ht="15">
      <c r="A44" s="48" t="s">
        <v>53</v>
      </c>
      <c r="B44" s="32" t="s">
        <v>54</v>
      </c>
      <c r="C44" s="33"/>
      <c r="D44" s="14">
        <v>0</v>
      </c>
      <c r="E44" s="132"/>
      <c r="K44"/>
      <c r="L44"/>
      <c r="M44"/>
      <c r="N44"/>
    </row>
    <row r="45" spans="1:14" s="1" customFormat="1" ht="15">
      <c r="A45" s="48" t="s">
        <v>55</v>
      </c>
      <c r="B45" s="32" t="s">
        <v>54</v>
      </c>
      <c r="C45" s="33"/>
      <c r="D45" s="14">
        <v>0</v>
      </c>
      <c r="E45" s="132"/>
      <c r="K45"/>
      <c r="L45"/>
      <c r="M45"/>
      <c r="N45"/>
    </row>
    <row r="46" spans="1:14" s="1" customFormat="1" ht="15">
      <c r="A46" s="50" t="s">
        <v>56</v>
      </c>
      <c r="B46" s="32" t="s">
        <v>54</v>
      </c>
      <c r="C46" s="33"/>
      <c r="D46" s="14">
        <v>0</v>
      </c>
      <c r="E46" s="132"/>
      <c r="K46"/>
      <c r="L46"/>
      <c r="M46"/>
      <c r="N46"/>
    </row>
    <row r="47" spans="1:14" s="1" customFormat="1" ht="15">
      <c r="A47" s="48" t="s">
        <v>57</v>
      </c>
      <c r="B47" s="32" t="s">
        <v>16</v>
      </c>
      <c r="C47" s="33"/>
      <c r="D47" s="14">
        <v>0</v>
      </c>
      <c r="E47" s="132"/>
      <c r="K47"/>
      <c r="L47"/>
      <c r="M47"/>
      <c r="N47"/>
    </row>
    <row r="48" spans="1:5" ht="20.25" customHeight="1">
      <c r="A48" s="262" t="s">
        <v>58</v>
      </c>
      <c r="B48" s="262"/>
      <c r="C48" s="262"/>
      <c r="D48" s="262"/>
      <c r="E48" s="132"/>
    </row>
    <row r="49" spans="1:5" ht="25.5">
      <c r="A49" s="50" t="s">
        <v>59</v>
      </c>
      <c r="B49" s="32" t="s">
        <v>16</v>
      </c>
      <c r="C49" s="33"/>
      <c r="D49" s="14">
        <v>0</v>
      </c>
      <c r="E49" s="132"/>
    </row>
    <row r="50" spans="1:5" ht="15">
      <c r="A50" s="48" t="s">
        <v>17</v>
      </c>
      <c r="B50" s="32" t="s">
        <v>16</v>
      </c>
      <c r="C50" s="33"/>
      <c r="D50" s="14">
        <v>0</v>
      </c>
      <c r="E50" s="132"/>
    </row>
    <row r="51" spans="1:8" ht="15">
      <c r="A51" s="48" t="s">
        <v>18</v>
      </c>
      <c r="B51" s="32" t="s">
        <v>16</v>
      </c>
      <c r="C51" s="33"/>
      <c r="D51" s="51">
        <f>D54-D57-D58-D59</f>
        <v>-247.33927200000016</v>
      </c>
      <c r="E51" s="132"/>
      <c r="H51" s="52"/>
    </row>
    <row r="52" spans="1:5" ht="25.5">
      <c r="A52" s="53" t="s">
        <v>60</v>
      </c>
      <c r="B52" s="32" t="s">
        <v>16</v>
      </c>
      <c r="C52" s="54"/>
      <c r="D52" s="55">
        <v>0</v>
      </c>
      <c r="E52" s="132"/>
    </row>
    <row r="53" spans="1:10" ht="17.25" customHeight="1">
      <c r="A53" s="56" t="s">
        <v>17</v>
      </c>
      <c r="B53" s="32" t="s">
        <v>16</v>
      </c>
      <c r="C53" s="57"/>
      <c r="D53" s="58">
        <v>0</v>
      </c>
      <c r="E53" s="132"/>
      <c r="I53" s="52"/>
      <c r="J53" s="52"/>
    </row>
    <row r="54" spans="1:14" ht="15">
      <c r="A54" s="59" t="s">
        <v>18</v>
      </c>
      <c r="B54" s="32" t="s">
        <v>16</v>
      </c>
      <c r="C54" s="60"/>
      <c r="D54" s="61">
        <v>100.5</v>
      </c>
      <c r="E54" s="132"/>
      <c r="H54" s="1" t="s">
        <v>32</v>
      </c>
      <c r="I54" s="63"/>
      <c r="J54" s="63"/>
      <c r="K54" s="64"/>
      <c r="L54" s="64"/>
      <c r="M54" s="64"/>
      <c r="N54" s="64"/>
    </row>
    <row r="55" spans="1:14" ht="18" customHeight="1">
      <c r="A55" s="263" t="s">
        <v>61</v>
      </c>
      <c r="B55" s="263"/>
      <c r="C55" s="263"/>
      <c r="D55" s="263"/>
      <c r="E55" s="137"/>
      <c r="F55" s="66"/>
      <c r="G55" s="67"/>
      <c r="I55" s="68"/>
      <c r="J55" s="68"/>
      <c r="K55" s="69"/>
      <c r="L55" s="69"/>
      <c r="M55" s="69"/>
      <c r="N55" s="69"/>
    </row>
    <row r="56" spans="1:14" ht="47.25">
      <c r="A56" s="70" t="s">
        <v>62</v>
      </c>
      <c r="B56" s="71" t="s">
        <v>63</v>
      </c>
      <c r="C56" s="72" t="s">
        <v>64</v>
      </c>
      <c r="D56" s="73" t="s">
        <v>65</v>
      </c>
      <c r="E56" s="137"/>
      <c r="F56" s="66"/>
      <c r="G56" s="67"/>
      <c r="I56" s="68"/>
      <c r="J56" s="74"/>
      <c r="K56" s="69"/>
      <c r="L56" s="69"/>
      <c r="M56" s="69"/>
      <c r="N56" s="69"/>
    </row>
    <row r="57" spans="1:14" ht="15">
      <c r="A57" s="75" t="s">
        <v>66</v>
      </c>
      <c r="B57" s="117">
        <v>5855.88</v>
      </c>
      <c r="C57" s="118">
        <f>B57*0.9406</f>
        <v>5508.040728</v>
      </c>
      <c r="D57" s="119">
        <f>B57-C57</f>
        <v>347.83927200000016</v>
      </c>
      <c r="E57" s="140"/>
      <c r="F57" s="66"/>
      <c r="G57" s="67"/>
      <c r="I57" s="68"/>
      <c r="J57" s="68"/>
      <c r="K57" s="69"/>
      <c r="L57" s="69"/>
      <c r="M57" s="69"/>
      <c r="N57" s="69"/>
    </row>
    <row r="58" spans="1:14" ht="15">
      <c r="A58" s="75" t="s">
        <v>67</v>
      </c>
      <c r="B58" s="117">
        <v>0</v>
      </c>
      <c r="C58" s="118">
        <f>B58*0.8866</f>
        <v>0</v>
      </c>
      <c r="D58" s="119">
        <f>B58-C58</f>
        <v>0</v>
      </c>
      <c r="E58" s="137"/>
      <c r="F58" s="66"/>
      <c r="G58" s="67"/>
      <c r="I58" s="68"/>
      <c r="J58" s="68"/>
      <c r="K58" s="69"/>
      <c r="L58" s="69"/>
      <c r="M58" s="69"/>
      <c r="N58" s="69"/>
    </row>
    <row r="59" spans="1:14" ht="15">
      <c r="A59" s="75" t="s">
        <v>68</v>
      </c>
      <c r="B59" s="120">
        <v>0</v>
      </c>
      <c r="C59" s="118">
        <f>B59*0.8866</f>
        <v>0</v>
      </c>
      <c r="D59" s="119">
        <f>B59-C59</f>
        <v>0</v>
      </c>
      <c r="E59" s="137">
        <f>(2.07+1.8)*6*2301.2-0.37*2301.2*6</f>
        <v>48325.2</v>
      </c>
      <c r="F59" s="81"/>
      <c r="G59" s="82"/>
      <c r="H59" s="65"/>
      <c r="I59" s="68"/>
      <c r="J59" s="68"/>
      <c r="K59" s="69"/>
      <c r="L59" s="69"/>
      <c r="M59" s="69"/>
      <c r="N59" s="69"/>
    </row>
    <row r="60" spans="1:14" ht="15.75" thickBot="1">
      <c r="A60" s="150" t="s">
        <v>69</v>
      </c>
      <c r="B60" s="151">
        <v>0</v>
      </c>
      <c r="C60" s="152">
        <f>B60*0.8866</f>
        <v>0</v>
      </c>
      <c r="D60" s="153">
        <f>B60-C60</f>
        <v>0</v>
      </c>
      <c r="E60" s="137"/>
      <c r="F60" s="81"/>
      <c r="G60" s="82"/>
      <c r="I60" s="68"/>
      <c r="J60" s="68"/>
      <c r="K60" s="69"/>
      <c r="L60" s="69"/>
      <c r="M60" s="69"/>
      <c r="N60" s="69"/>
    </row>
    <row r="61" spans="1:14" ht="63">
      <c r="A61" s="154" t="s">
        <v>70</v>
      </c>
      <c r="B61" s="155" t="s">
        <v>71</v>
      </c>
      <c r="C61" s="156" t="s">
        <v>72</v>
      </c>
      <c r="D61" s="157" t="s">
        <v>73</v>
      </c>
      <c r="E61" s="137"/>
      <c r="F61" s="81"/>
      <c r="H61" s="68"/>
      <c r="I61" s="68"/>
      <c r="J61" s="68"/>
      <c r="K61" s="69"/>
      <c r="L61" s="69"/>
      <c r="M61" s="69"/>
      <c r="N61" s="69"/>
    </row>
    <row r="62" spans="1:14" ht="15">
      <c r="A62" s="158" t="s">
        <v>66</v>
      </c>
      <c r="B62" s="124">
        <f>B57</f>
        <v>5855.88</v>
      </c>
      <c r="C62" s="125">
        <f>B62*0.9623</f>
        <v>5635.113324</v>
      </c>
      <c r="D62" s="159">
        <f>B62-C62</f>
        <v>220.7666760000002</v>
      </c>
      <c r="E62" s="137"/>
      <c r="F62" s="81"/>
      <c r="H62" s="68"/>
      <c r="I62" s="68"/>
      <c r="J62" s="68" t="s">
        <v>32</v>
      </c>
      <c r="K62" s="69"/>
      <c r="L62" s="69"/>
      <c r="M62" s="69"/>
      <c r="N62" s="69"/>
    </row>
    <row r="63" spans="1:14" ht="15">
      <c r="A63" s="158" t="s">
        <v>67</v>
      </c>
      <c r="B63" s="124">
        <v>0</v>
      </c>
      <c r="C63" s="125">
        <f>C58*1.0063</f>
        <v>0</v>
      </c>
      <c r="D63" s="159">
        <f>B63-C63</f>
        <v>0</v>
      </c>
      <c r="E63" s="65"/>
      <c r="F63" s="81"/>
      <c r="H63" s="68"/>
      <c r="I63" s="68"/>
      <c r="J63" s="68"/>
      <c r="K63" s="69"/>
      <c r="L63" s="69"/>
      <c r="M63" s="69"/>
      <c r="N63" s="69"/>
    </row>
    <row r="64" spans="1:14" ht="15">
      <c r="A64" s="158" t="s">
        <v>68</v>
      </c>
      <c r="B64" s="124">
        <v>0</v>
      </c>
      <c r="C64" s="125">
        <f>C59*1.0063</f>
        <v>0</v>
      </c>
      <c r="D64" s="159">
        <f>B64-C64</f>
        <v>0</v>
      </c>
      <c r="E64" s="65"/>
      <c r="F64" s="81"/>
      <c r="H64" s="68"/>
      <c r="I64" s="68"/>
      <c r="J64" s="68"/>
      <c r="K64" s="69"/>
      <c r="L64" s="69"/>
      <c r="M64" s="69"/>
      <c r="N64" s="69"/>
    </row>
    <row r="65" spans="1:14" ht="15">
      <c r="A65" s="158" t="s">
        <v>74</v>
      </c>
      <c r="B65" s="124">
        <v>0</v>
      </c>
      <c r="C65" s="125">
        <f>C60*1.0063</f>
        <v>0</v>
      </c>
      <c r="D65" s="159">
        <f>B65-C65</f>
        <v>0</v>
      </c>
      <c r="E65" s="65"/>
      <c r="F65" s="81"/>
      <c r="H65" s="68"/>
      <c r="I65" s="68"/>
      <c r="J65" s="68"/>
      <c r="K65" s="69"/>
      <c r="L65" s="69"/>
      <c r="M65" s="69"/>
      <c r="N65" s="69"/>
    </row>
    <row r="66" spans="1:14" ht="15.75" thickBot="1">
      <c r="A66" s="160" t="s">
        <v>69</v>
      </c>
      <c r="B66" s="161">
        <v>0</v>
      </c>
      <c r="C66" s="167">
        <v>0</v>
      </c>
      <c r="D66" s="163">
        <f>B66-C66</f>
        <v>0</v>
      </c>
      <c r="E66" s="65"/>
      <c r="F66" s="81"/>
      <c r="H66" s="68" t="s">
        <v>32</v>
      </c>
      <c r="I66" s="68"/>
      <c r="J66" s="68"/>
      <c r="K66" s="69"/>
      <c r="L66" s="69"/>
      <c r="M66" s="69"/>
      <c r="N66" s="69"/>
    </row>
    <row r="67" spans="1:14" ht="15">
      <c r="A67" s="91"/>
      <c r="B67" s="87"/>
      <c r="C67" s="92"/>
      <c r="D67" s="93"/>
      <c r="E67" s="65"/>
      <c r="F67" s="81"/>
      <c r="H67" s="68"/>
      <c r="I67" s="68"/>
      <c r="J67" s="68"/>
      <c r="K67" s="69"/>
      <c r="L67" s="69"/>
      <c r="M67" s="69"/>
      <c r="N67" s="69"/>
    </row>
    <row r="68" spans="1:14" ht="25.5">
      <c r="A68" s="94" t="s">
        <v>75</v>
      </c>
      <c r="B68" s="87" t="s">
        <v>16</v>
      </c>
      <c r="C68" s="95"/>
      <c r="D68" s="96">
        <v>0</v>
      </c>
      <c r="E68" s="65"/>
      <c r="F68" s="81"/>
      <c r="H68" s="68"/>
      <c r="I68" s="68"/>
      <c r="J68" s="68" t="s">
        <v>32</v>
      </c>
      <c r="K68" s="69"/>
      <c r="L68" s="69"/>
      <c r="M68" s="69"/>
      <c r="N68" s="69"/>
    </row>
    <row r="69" spans="1:14" ht="17.25" customHeight="1">
      <c r="A69" s="264" t="s">
        <v>76</v>
      </c>
      <c r="B69" s="264"/>
      <c r="C69" s="264"/>
      <c r="D69" s="264"/>
      <c r="E69" s="97" t="e">
        <f>D69+B19</f>
        <v>#VALUE!</v>
      </c>
      <c r="F69" s="68"/>
      <c r="H69" s="98" t="e">
        <f>E69-B18</f>
        <v>#VALUE!</v>
      </c>
      <c r="I69" s="68"/>
      <c r="J69" s="68"/>
      <c r="K69" s="69"/>
      <c r="L69" s="69"/>
      <c r="M69" s="69"/>
      <c r="N69" s="69"/>
    </row>
    <row r="70" spans="1:5" ht="21" customHeight="1">
      <c r="A70" s="99" t="s">
        <v>53</v>
      </c>
      <c r="B70" s="99" t="s">
        <v>54</v>
      </c>
      <c r="C70" s="100">
        <v>0</v>
      </c>
      <c r="D70" s="101"/>
      <c r="E70" s="102"/>
    </row>
    <row r="71" spans="1:5" ht="21" customHeight="1">
      <c r="A71" s="99" t="s">
        <v>55</v>
      </c>
      <c r="B71" s="99" t="s">
        <v>54</v>
      </c>
      <c r="C71" s="99">
        <v>0</v>
      </c>
      <c r="D71" s="101"/>
      <c r="E71" s="102"/>
    </row>
    <row r="72" spans="1:5" ht="18" customHeight="1">
      <c r="A72" s="99" t="s">
        <v>56</v>
      </c>
      <c r="B72" s="99" t="s">
        <v>54</v>
      </c>
      <c r="C72" s="99">
        <v>0</v>
      </c>
      <c r="D72" s="101"/>
      <c r="E72" s="102"/>
    </row>
    <row r="73" spans="1:5" ht="16.5" customHeight="1">
      <c r="A73" s="99" t="s">
        <v>57</v>
      </c>
      <c r="B73" s="99" t="s">
        <v>16</v>
      </c>
      <c r="C73" s="99">
        <v>0</v>
      </c>
      <c r="D73" s="101"/>
      <c r="E73" s="102"/>
    </row>
    <row r="74" spans="1:5" ht="15.75" customHeight="1">
      <c r="A74" s="258" t="s">
        <v>77</v>
      </c>
      <c r="B74" s="258"/>
      <c r="C74" s="258"/>
      <c r="D74" s="258"/>
      <c r="E74" s="102"/>
    </row>
    <row r="75" spans="1:5" ht="18.75" customHeight="1">
      <c r="A75" s="99" t="s">
        <v>78</v>
      </c>
      <c r="B75" s="99" t="s">
        <v>54</v>
      </c>
      <c r="C75" s="99">
        <v>0</v>
      </c>
      <c r="D75" s="101"/>
      <c r="E75" s="102"/>
    </row>
    <row r="76" spans="1:5" ht="21.75" customHeight="1">
      <c r="A76" s="99" t="s">
        <v>79</v>
      </c>
      <c r="B76" s="56" t="s">
        <v>54</v>
      </c>
      <c r="C76" s="56">
        <v>0</v>
      </c>
      <c r="D76" s="101"/>
      <c r="E76" s="102"/>
    </row>
    <row r="77" spans="1:5" ht="36" customHeight="1">
      <c r="A77" s="103" t="s">
        <v>80</v>
      </c>
      <c r="B77" s="99" t="s">
        <v>16</v>
      </c>
      <c r="C77" s="99">
        <v>0</v>
      </c>
      <c r="D77" s="101"/>
      <c r="E77" s="102"/>
    </row>
    <row r="78" spans="1:4" ht="15">
      <c r="A78" s="69"/>
      <c r="B78" s="69"/>
      <c r="C78" s="69"/>
      <c r="D78" s="104"/>
    </row>
    <row r="79" spans="1:14" s="1" customFormat="1" ht="12.75">
      <c r="A79"/>
      <c r="B79"/>
      <c r="C79"/>
      <c r="D79"/>
      <c r="H79" s="1" t="s">
        <v>32</v>
      </c>
      <c r="K79"/>
      <c r="L79"/>
      <c r="M79"/>
      <c r="N79"/>
    </row>
    <row r="80" spans="1:14" s="1" customFormat="1" ht="12.75">
      <c r="A80" t="s">
        <v>81</v>
      </c>
      <c r="B80"/>
      <c r="C80"/>
      <c r="D80"/>
      <c r="K80"/>
      <c r="L80"/>
      <c r="M80"/>
      <c r="N80"/>
    </row>
    <row r="81" spans="1:14" s="1" customFormat="1" ht="12.75">
      <c r="A81"/>
      <c r="B81"/>
      <c r="C81"/>
      <c r="D81"/>
      <c r="H81" s="1" t="s">
        <v>32</v>
      </c>
      <c r="K81"/>
      <c r="L81"/>
      <c r="M81"/>
      <c r="N81"/>
    </row>
    <row r="82" spans="1:14" s="1" customFormat="1" ht="12.75">
      <c r="A82" t="s">
        <v>82</v>
      </c>
      <c r="B82"/>
      <c r="C82"/>
      <c r="D82"/>
      <c r="K82"/>
      <c r="L82"/>
      <c r="M82"/>
      <c r="N82"/>
    </row>
    <row r="86" spans="1:14" s="1" customFormat="1" ht="12.75">
      <c r="A86"/>
      <c r="B86"/>
      <c r="C86"/>
      <c r="D86"/>
      <c r="E86" s="1" t="s">
        <v>32</v>
      </c>
      <c r="K86"/>
      <c r="L86"/>
      <c r="M86"/>
      <c r="N86"/>
    </row>
  </sheetData>
  <sheetProtection selectLockedCells="1" selectUnlockedCells="1"/>
  <mergeCells count="13">
    <mergeCell ref="A1:D1"/>
    <mergeCell ref="A2:D2"/>
    <mergeCell ref="A3:D3"/>
    <mergeCell ref="A4:D4"/>
    <mergeCell ref="A5:D5"/>
    <mergeCell ref="A7:D7"/>
    <mergeCell ref="A74:D74"/>
    <mergeCell ref="A14:D14"/>
    <mergeCell ref="A29:D29"/>
    <mergeCell ref="A43:D43"/>
    <mergeCell ref="A48:D48"/>
    <mergeCell ref="A55:D55"/>
    <mergeCell ref="A69:D69"/>
  </mergeCells>
  <printOptions/>
  <pageMargins left="0.5597222222222222" right="0.7875" top="0.34097222222222223" bottom="0.7875" header="0.5118055555555555" footer="0.5118055555555555"/>
  <pageSetup fitToHeight="3" fitToWidth="2" horizontalDpi="300" verticalDpi="300" orientation="landscape" paperSize="12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6"/>
  <sheetViews>
    <sheetView zoomScale="80" zoomScaleNormal="80" zoomScalePageLayoutView="0" workbookViewId="0" topLeftCell="A15">
      <selection activeCell="E18" sqref="E18:E21"/>
    </sheetView>
  </sheetViews>
  <sheetFormatPr defaultColWidth="11.57421875" defaultRowHeight="12.75"/>
  <cols>
    <col min="1" max="1" width="63.28125" style="0" customWidth="1"/>
    <col min="2" max="2" width="20.28125" style="0" customWidth="1"/>
    <col min="3" max="3" width="31.421875" style="0" customWidth="1"/>
    <col min="4" max="4" width="27.57421875" style="0" customWidth="1"/>
    <col min="5" max="5" width="16.8515625" style="1" customWidth="1"/>
    <col min="6" max="7" width="0" style="1" hidden="1" customWidth="1"/>
    <col min="8" max="8" width="11.57421875" style="1" customWidth="1"/>
    <col min="9" max="9" width="5.28125" style="1" customWidth="1"/>
    <col min="10" max="10" width="30.00390625" style="1" customWidth="1"/>
    <col min="11" max="12" width="23.28125" style="0" customWidth="1"/>
    <col min="13" max="13" width="6.57421875" style="0" customWidth="1"/>
    <col min="14" max="14" width="7.00390625" style="0" customWidth="1"/>
  </cols>
  <sheetData>
    <row r="1" spans="1:4" ht="18">
      <c r="A1" s="265" t="s">
        <v>0</v>
      </c>
      <c r="B1" s="265"/>
      <c r="C1" s="265"/>
      <c r="D1" s="265"/>
    </row>
    <row r="2" spans="1:4" ht="15.75">
      <c r="A2" s="266" t="s">
        <v>1</v>
      </c>
      <c r="B2" s="266"/>
      <c r="C2" s="266"/>
      <c r="D2" s="266"/>
    </row>
    <row r="3" spans="1:4" ht="15.75">
      <c r="A3" s="266" t="s">
        <v>2</v>
      </c>
      <c r="B3" s="266"/>
      <c r="C3" s="266"/>
      <c r="D3" s="266"/>
    </row>
    <row r="4" spans="1:4" ht="12.75">
      <c r="A4" s="267" t="s">
        <v>116</v>
      </c>
      <c r="B4" s="267"/>
      <c r="C4" s="267"/>
      <c r="D4" s="267"/>
    </row>
    <row r="5" spans="1:4" ht="12.75">
      <c r="A5" s="268" t="s">
        <v>171</v>
      </c>
      <c r="B5" s="267"/>
      <c r="C5" s="267"/>
      <c r="D5" s="267"/>
    </row>
    <row r="6" ht="9" customHeight="1">
      <c r="A6" s="2"/>
    </row>
    <row r="7" spans="1:4" ht="18" customHeight="1">
      <c r="A7" s="269" t="s">
        <v>4</v>
      </c>
      <c r="B7" s="269"/>
      <c r="C7" s="269"/>
      <c r="D7" s="269"/>
    </row>
    <row r="8" spans="1:3" ht="12.75">
      <c r="A8" s="2" t="s">
        <v>224</v>
      </c>
      <c r="C8" s="3"/>
    </row>
    <row r="9" spans="1:4" ht="12.75">
      <c r="A9" s="4" t="s">
        <v>5</v>
      </c>
      <c r="B9" s="4" t="s">
        <v>6</v>
      </c>
      <c r="C9" s="4" t="s">
        <v>7</v>
      </c>
      <c r="D9" s="5"/>
    </row>
    <row r="10" spans="1:4" ht="12.75">
      <c r="A10" s="6">
        <v>1</v>
      </c>
      <c r="B10" s="6">
        <v>2</v>
      </c>
      <c r="C10" s="6">
        <v>3</v>
      </c>
      <c r="D10" s="7">
        <v>4</v>
      </c>
    </row>
    <row r="11" spans="1:4" ht="12.75">
      <c r="A11" s="8" t="s">
        <v>8</v>
      </c>
      <c r="B11" s="9"/>
      <c r="C11" s="177" t="s">
        <v>172</v>
      </c>
      <c r="D11" s="10"/>
    </row>
    <row r="12" spans="1:4" ht="12.75">
      <c r="A12" s="8" t="s">
        <v>10</v>
      </c>
      <c r="B12" s="9"/>
      <c r="C12" s="177" t="s">
        <v>173</v>
      </c>
      <c r="D12" s="10"/>
    </row>
    <row r="13" spans="1:4" ht="12.75">
      <c r="A13" s="8" t="s">
        <v>12</v>
      </c>
      <c r="B13" s="9"/>
      <c r="C13" s="177" t="s">
        <v>174</v>
      </c>
      <c r="D13" s="10"/>
    </row>
    <row r="14" spans="1:8" ht="31.5" customHeight="1">
      <c r="A14" s="259" t="s">
        <v>14</v>
      </c>
      <c r="B14" s="259"/>
      <c r="C14" s="259"/>
      <c r="D14" s="259"/>
      <c r="E14" s="132"/>
      <c r="F14" s="132"/>
      <c r="G14" s="132"/>
      <c r="H14" s="132"/>
    </row>
    <row r="15" spans="1:8" ht="25.5">
      <c r="A15" s="11" t="s">
        <v>15</v>
      </c>
      <c r="B15" s="12" t="s">
        <v>16</v>
      </c>
      <c r="C15" s="13">
        <v>15835.24</v>
      </c>
      <c r="D15" s="14"/>
      <c r="E15" s="132"/>
      <c r="F15" s="132"/>
      <c r="G15" s="132"/>
      <c r="H15" s="132"/>
    </row>
    <row r="16" spans="1:8" ht="15">
      <c r="A16" s="8" t="s">
        <v>17</v>
      </c>
      <c r="B16" s="12" t="s">
        <v>16</v>
      </c>
      <c r="C16" s="13">
        <v>0</v>
      </c>
      <c r="D16" s="14"/>
      <c r="E16" s="132"/>
      <c r="F16" s="132"/>
      <c r="G16" s="132"/>
      <c r="H16" s="132"/>
    </row>
    <row r="17" spans="1:8" ht="15">
      <c r="A17" s="8" t="s">
        <v>18</v>
      </c>
      <c r="B17" s="12" t="s">
        <v>16</v>
      </c>
      <c r="C17" s="15">
        <v>340.78</v>
      </c>
      <c r="D17" s="16"/>
      <c r="E17" s="132" t="e">
        <f>B17/12/1022.6</f>
        <v>#VALUE!</v>
      </c>
      <c r="F17" s="132"/>
      <c r="G17" s="132"/>
      <c r="H17" s="132"/>
    </row>
    <row r="18" spans="1:8" ht="31.5" customHeight="1">
      <c r="A18" s="17" t="s">
        <v>19</v>
      </c>
      <c r="B18" s="12" t="s">
        <v>16</v>
      </c>
      <c r="C18" s="15">
        <f>C19+C20+C21</f>
        <v>23392.504</v>
      </c>
      <c r="D18" s="16"/>
      <c r="E18" s="133">
        <f>C18-C20</f>
        <v>15375.352</v>
      </c>
      <c r="F18" s="132"/>
      <c r="G18" s="132"/>
      <c r="H18" s="132"/>
    </row>
    <row r="19" spans="1:8" ht="15">
      <c r="A19" s="8" t="s">
        <v>20</v>
      </c>
      <c r="B19" s="12" t="s">
        <v>16</v>
      </c>
      <c r="C19" s="15">
        <v>8160.76</v>
      </c>
      <c r="D19" s="16"/>
      <c r="E19" s="133">
        <f>E18-E39</f>
        <v>-0.007999999999810825</v>
      </c>
      <c r="F19" s="132"/>
      <c r="G19" s="132"/>
      <c r="H19" s="132"/>
    </row>
    <row r="20" spans="1:8" ht="15">
      <c r="A20" s="8" t="s">
        <v>21</v>
      </c>
      <c r="B20" s="12" t="s">
        <v>16</v>
      </c>
      <c r="C20" s="15">
        <f>(3.54+4.22)*6*123.2+2280.96</f>
        <v>8017.152</v>
      </c>
      <c r="D20" s="16"/>
      <c r="E20" s="134"/>
      <c r="F20" s="132"/>
      <c r="G20" s="132"/>
      <c r="H20" s="132"/>
    </row>
    <row r="21" spans="1:8" ht="15">
      <c r="A21" s="8" t="s">
        <v>22</v>
      </c>
      <c r="B21" s="12" t="s">
        <v>16</v>
      </c>
      <c r="C21" s="20">
        <f>123.2*4.88*12</f>
        <v>7214.592000000001</v>
      </c>
      <c r="D21" s="16"/>
      <c r="E21" s="132"/>
      <c r="F21" s="132"/>
      <c r="G21" s="132"/>
      <c r="H21" s="132"/>
    </row>
    <row r="22" spans="1:8" ht="15">
      <c r="A22" s="21" t="s">
        <v>23</v>
      </c>
      <c r="B22" s="12" t="s">
        <v>16</v>
      </c>
      <c r="C22" s="15">
        <f>C23+C24+C25+C26+C27</f>
        <v>23383.146998400003</v>
      </c>
      <c r="D22" s="16" t="s">
        <v>24</v>
      </c>
      <c r="E22" s="133" t="e">
        <f>B24+B25+B26+B27+B28</f>
        <v>#VALUE!</v>
      </c>
      <c r="F22" s="132"/>
      <c r="G22" s="132"/>
      <c r="H22" s="132"/>
    </row>
    <row r="23" spans="1:8" ht="15">
      <c r="A23" s="8" t="s">
        <v>25</v>
      </c>
      <c r="B23" s="12" t="s">
        <v>16</v>
      </c>
      <c r="C23" s="15">
        <f>C18*0.9996</f>
        <v>23383.146998400003</v>
      </c>
      <c r="D23" s="16"/>
      <c r="E23" s="132"/>
      <c r="F23" s="132"/>
      <c r="G23" s="132"/>
      <c r="H23" s="132"/>
    </row>
    <row r="24" spans="1:8" ht="15">
      <c r="A24" s="8" t="s">
        <v>26</v>
      </c>
      <c r="B24" s="12" t="s">
        <v>16</v>
      </c>
      <c r="C24" s="15">
        <v>0</v>
      </c>
      <c r="D24" s="22">
        <v>65.21</v>
      </c>
      <c r="E24" s="134" t="e">
        <f>B24/#REF!*1</f>
        <v>#VALUE!</v>
      </c>
      <c r="F24" s="132"/>
      <c r="G24" s="132"/>
      <c r="H24" s="132" t="s">
        <v>27</v>
      </c>
    </row>
    <row r="25" spans="1:8" ht="15">
      <c r="A25" s="8" t="s">
        <v>28</v>
      </c>
      <c r="B25" s="12" t="s">
        <v>16</v>
      </c>
      <c r="C25" s="15">
        <v>0</v>
      </c>
      <c r="D25" s="22">
        <v>119.63</v>
      </c>
      <c r="E25" s="134" t="e">
        <f>B25/#REF!*1</f>
        <v>#VALUE!</v>
      </c>
      <c r="F25" s="132"/>
      <c r="G25" s="132"/>
      <c r="H25" s="132"/>
    </row>
    <row r="26" spans="1:8" ht="15">
      <c r="A26" s="9" t="s">
        <v>29</v>
      </c>
      <c r="B26" s="12" t="s">
        <v>16</v>
      </c>
      <c r="C26" s="15">
        <v>0</v>
      </c>
      <c r="D26" s="22"/>
      <c r="E26" s="134" t="e">
        <f>B26/#REF!*1</f>
        <v>#VALUE!</v>
      </c>
      <c r="F26" s="132"/>
      <c r="G26" s="132"/>
      <c r="H26" s="132"/>
    </row>
    <row r="27" spans="1:8" ht="16.5" customHeight="1">
      <c r="A27" s="116" t="s">
        <v>112</v>
      </c>
      <c r="B27" s="12" t="s">
        <v>16</v>
      </c>
      <c r="C27" s="15">
        <v>0</v>
      </c>
      <c r="D27" s="22">
        <v>139.18</v>
      </c>
      <c r="E27" s="134" t="e">
        <f>B27/#REF!*1</f>
        <v>#VALUE!</v>
      </c>
      <c r="F27" s="132"/>
      <c r="G27" s="132"/>
      <c r="H27" s="132"/>
    </row>
    <row r="28" spans="1:8" ht="15">
      <c r="A28" s="8" t="s">
        <v>31</v>
      </c>
      <c r="B28" s="12" t="s">
        <v>16</v>
      </c>
      <c r="C28" s="15">
        <f>C15+C22</f>
        <v>39218.386998400005</v>
      </c>
      <c r="D28" s="16" t="s">
        <v>32</v>
      </c>
      <c r="E28" s="134" t="e">
        <f>B28/#REF!*1</f>
        <v>#VALUE!</v>
      </c>
      <c r="F28" s="132"/>
      <c r="G28" s="132"/>
      <c r="H28" s="132"/>
    </row>
    <row r="29" spans="1:8" ht="35.25" customHeight="1">
      <c r="A29" s="260" t="s">
        <v>33</v>
      </c>
      <c r="B29" s="260"/>
      <c r="C29" s="260"/>
      <c r="D29" s="260"/>
      <c r="E29" s="132"/>
      <c r="F29" s="132"/>
      <c r="G29" s="132"/>
      <c r="H29" s="132"/>
    </row>
    <row r="30" spans="1:8" ht="60">
      <c r="A30" s="23" t="s">
        <v>34</v>
      </c>
      <c r="B30" s="24" t="s">
        <v>35</v>
      </c>
      <c r="C30" s="25" t="s">
        <v>36</v>
      </c>
      <c r="D30" s="26" t="s">
        <v>37</v>
      </c>
      <c r="E30" s="132"/>
      <c r="F30" s="132"/>
      <c r="G30" s="132"/>
      <c r="H30" s="132"/>
    </row>
    <row r="31" spans="1:8" ht="15">
      <c r="A31" s="27" t="s">
        <v>38</v>
      </c>
      <c r="B31" s="28" t="s">
        <v>39</v>
      </c>
      <c r="C31" s="29" t="s">
        <v>40</v>
      </c>
      <c r="D31" s="107">
        <f>(0.17+0.16)*6*123.2</f>
        <v>243.936</v>
      </c>
      <c r="E31" s="132"/>
      <c r="F31" s="132"/>
      <c r="G31" s="132"/>
      <c r="H31" s="132"/>
    </row>
    <row r="32" spans="1:8" ht="15">
      <c r="A32" s="31" t="s">
        <v>41</v>
      </c>
      <c r="B32" s="32" t="s">
        <v>42</v>
      </c>
      <c r="C32" s="33" t="s">
        <v>43</v>
      </c>
      <c r="D32" s="34">
        <f>(3.03+3)*6*123.2</f>
        <v>4457.375999999999</v>
      </c>
      <c r="E32" s="132"/>
      <c r="F32" s="132"/>
      <c r="G32" s="132"/>
      <c r="H32" s="132"/>
    </row>
    <row r="33" spans="1:8" ht="15">
      <c r="A33" s="31" t="s">
        <v>44</v>
      </c>
      <c r="B33" s="32" t="s">
        <v>39</v>
      </c>
      <c r="C33" s="33" t="s">
        <v>45</v>
      </c>
      <c r="D33" s="108">
        <f>(0.21+0.2)*6*123.2</f>
        <v>303.072</v>
      </c>
      <c r="E33" s="132"/>
      <c r="F33" s="132"/>
      <c r="G33" s="132"/>
      <c r="H33" s="132"/>
    </row>
    <row r="34" spans="1:8" ht="15">
      <c r="A34" s="31" t="s">
        <v>115</v>
      </c>
      <c r="B34" s="32" t="s">
        <v>39</v>
      </c>
      <c r="C34" s="33" t="s">
        <v>40</v>
      </c>
      <c r="D34" s="108">
        <f>(0.23+0.22)*6*123.2</f>
        <v>332.64000000000004</v>
      </c>
      <c r="E34" s="132"/>
      <c r="F34" s="132"/>
      <c r="G34" s="132"/>
      <c r="H34" s="132"/>
    </row>
    <row r="35" spans="1:8" ht="15">
      <c r="A35" s="31" t="s">
        <v>90</v>
      </c>
      <c r="B35" s="106" t="s">
        <v>91</v>
      </c>
      <c r="C35" s="33" t="s">
        <v>40</v>
      </c>
      <c r="D35" s="108">
        <f>(1.33+1.27)*6*123.2</f>
        <v>1921.9200000000003</v>
      </c>
      <c r="E35" s="132"/>
      <c r="F35" s="132"/>
      <c r="G35" s="132"/>
      <c r="H35" s="132"/>
    </row>
    <row r="36" spans="1:8" ht="15">
      <c r="A36" s="31" t="s">
        <v>46</v>
      </c>
      <c r="B36" s="32" t="s">
        <v>42</v>
      </c>
      <c r="C36" s="35" t="s">
        <v>47</v>
      </c>
      <c r="D36" s="108">
        <f>4.88*123.2*12</f>
        <v>7214.592000000001</v>
      </c>
      <c r="E36" s="132"/>
      <c r="F36" s="132"/>
      <c r="G36" s="132"/>
      <c r="H36" s="132"/>
    </row>
    <row r="37" spans="1:14" s="1" customFormat="1" ht="45">
      <c r="A37" s="36" t="s">
        <v>48</v>
      </c>
      <c r="B37" s="37" t="s">
        <v>49</v>
      </c>
      <c r="C37" s="38"/>
      <c r="D37" s="39">
        <v>0</v>
      </c>
      <c r="E37" s="132"/>
      <c r="F37" s="132"/>
      <c r="G37" s="132"/>
      <c r="H37" s="132"/>
      <c r="K37"/>
      <c r="L37"/>
      <c r="M37"/>
      <c r="N37"/>
    </row>
    <row r="38" spans="1:14" s="1" customFormat="1" ht="45">
      <c r="A38" s="109" t="s">
        <v>95</v>
      </c>
      <c r="B38" s="110" t="s">
        <v>96</v>
      </c>
      <c r="C38" s="111" t="s">
        <v>97</v>
      </c>
      <c r="D38" s="112">
        <f>1.22*6*123.2</f>
        <v>901.8240000000001</v>
      </c>
      <c r="E38" s="62"/>
      <c r="F38" s="132"/>
      <c r="G38" s="132"/>
      <c r="H38" s="132"/>
      <c r="K38"/>
      <c r="L38"/>
      <c r="M38"/>
      <c r="N38"/>
    </row>
    <row r="39" spans="1:14" s="1" customFormat="1" ht="15.75">
      <c r="A39" s="40" t="s">
        <v>50</v>
      </c>
      <c r="B39" s="41"/>
      <c r="C39" s="42"/>
      <c r="D39" s="113">
        <f>SUM(D31:D38)</f>
        <v>15375.36</v>
      </c>
      <c r="E39" s="135">
        <f>D39-D37</f>
        <v>15375.36</v>
      </c>
      <c r="F39" s="132"/>
      <c r="G39" s="132"/>
      <c r="H39" s="132"/>
      <c r="K39"/>
      <c r="L39"/>
      <c r="M39"/>
      <c r="N39"/>
    </row>
    <row r="40" spans="1:14" s="1" customFormat="1" ht="15">
      <c r="A40" s="43" t="s">
        <v>51</v>
      </c>
      <c r="B40" s="44" t="s">
        <v>16</v>
      </c>
      <c r="C40" s="45"/>
      <c r="D40" s="46">
        <f>C15+C20*0.9996-D37</f>
        <v>23849.1851392</v>
      </c>
      <c r="E40" s="47"/>
      <c r="F40" s="132"/>
      <c r="G40" s="132"/>
      <c r="H40" s="132"/>
      <c r="K40"/>
      <c r="L40"/>
      <c r="M40"/>
      <c r="N40"/>
    </row>
    <row r="41" spans="1:14" s="1" customFormat="1" ht="15">
      <c r="A41" s="48" t="s">
        <v>17</v>
      </c>
      <c r="B41" s="49" t="s">
        <v>16</v>
      </c>
      <c r="C41" s="33"/>
      <c r="D41" s="14">
        <v>0</v>
      </c>
      <c r="E41" s="132"/>
      <c r="F41" s="132"/>
      <c r="G41" s="132"/>
      <c r="H41" s="132"/>
      <c r="K41"/>
      <c r="L41"/>
      <c r="M41"/>
      <c r="N41"/>
    </row>
    <row r="42" spans="1:14" s="1" customFormat="1" ht="15">
      <c r="A42" s="48" t="s">
        <v>18</v>
      </c>
      <c r="B42" s="49" t="s">
        <v>16</v>
      </c>
      <c r="C42" s="33"/>
      <c r="D42" s="14">
        <v>9.66</v>
      </c>
      <c r="E42" s="132"/>
      <c r="F42" s="132"/>
      <c r="G42" s="132"/>
      <c r="H42" s="132"/>
      <c r="K42"/>
      <c r="L42"/>
      <c r="M42"/>
      <c r="N42"/>
    </row>
    <row r="43" spans="1:14" s="1" customFormat="1" ht="24" customHeight="1">
      <c r="A43" s="261" t="s">
        <v>52</v>
      </c>
      <c r="B43" s="261"/>
      <c r="C43" s="261"/>
      <c r="D43" s="261"/>
      <c r="E43" s="132"/>
      <c r="F43" s="132"/>
      <c r="G43" s="132"/>
      <c r="H43" s="132"/>
      <c r="K43"/>
      <c r="L43"/>
      <c r="M43"/>
      <c r="N43"/>
    </row>
    <row r="44" spans="1:14" s="1" customFormat="1" ht="15">
      <c r="A44" s="48" t="s">
        <v>53</v>
      </c>
      <c r="B44" s="32" t="s">
        <v>54</v>
      </c>
      <c r="C44" s="33"/>
      <c r="D44" s="14">
        <v>0</v>
      </c>
      <c r="E44" s="132"/>
      <c r="F44" s="132"/>
      <c r="G44" s="132"/>
      <c r="H44" s="132"/>
      <c r="K44"/>
      <c r="L44"/>
      <c r="M44"/>
      <c r="N44"/>
    </row>
    <row r="45" spans="1:14" s="1" customFormat="1" ht="15">
      <c r="A45" s="48" t="s">
        <v>55</v>
      </c>
      <c r="B45" s="32" t="s">
        <v>54</v>
      </c>
      <c r="C45" s="33"/>
      <c r="D45" s="14">
        <v>0</v>
      </c>
      <c r="E45" s="132"/>
      <c r="F45" s="132"/>
      <c r="G45" s="132"/>
      <c r="H45" s="132"/>
      <c r="K45"/>
      <c r="L45"/>
      <c r="M45"/>
      <c r="N45"/>
    </row>
    <row r="46" spans="1:14" s="1" customFormat="1" ht="15">
      <c r="A46" s="50" t="s">
        <v>56</v>
      </c>
      <c r="B46" s="32" t="s">
        <v>54</v>
      </c>
      <c r="C46" s="33"/>
      <c r="D46" s="14">
        <v>0</v>
      </c>
      <c r="E46" s="132"/>
      <c r="F46" s="132"/>
      <c r="G46" s="132"/>
      <c r="H46" s="132"/>
      <c r="K46"/>
      <c r="L46"/>
      <c r="M46"/>
      <c r="N46"/>
    </row>
    <row r="47" spans="1:14" s="1" customFormat="1" ht="15">
      <c r="A47" s="48" t="s">
        <v>57</v>
      </c>
      <c r="B47" s="32" t="s">
        <v>16</v>
      </c>
      <c r="C47" s="33"/>
      <c r="D47" s="14">
        <v>0</v>
      </c>
      <c r="E47" s="132"/>
      <c r="F47" s="132"/>
      <c r="G47" s="132"/>
      <c r="H47" s="132"/>
      <c r="K47"/>
      <c r="L47"/>
      <c r="M47"/>
      <c r="N47"/>
    </row>
    <row r="48" spans="1:8" ht="20.25" customHeight="1">
      <c r="A48" s="262" t="s">
        <v>58</v>
      </c>
      <c r="B48" s="262"/>
      <c r="C48" s="262"/>
      <c r="D48" s="262"/>
      <c r="E48" s="132"/>
      <c r="F48" s="132"/>
      <c r="G48" s="132"/>
      <c r="H48" s="132"/>
    </row>
    <row r="49" spans="1:8" ht="25.5">
      <c r="A49" s="50" t="s">
        <v>59</v>
      </c>
      <c r="B49" s="32" t="s">
        <v>16</v>
      </c>
      <c r="C49" s="33"/>
      <c r="D49" s="14">
        <v>0</v>
      </c>
      <c r="E49" s="132"/>
      <c r="F49" s="132"/>
      <c r="G49" s="132"/>
      <c r="H49" s="132"/>
    </row>
    <row r="50" spans="1:8" ht="15">
      <c r="A50" s="48" t="s">
        <v>17</v>
      </c>
      <c r="B50" s="32" t="s">
        <v>16</v>
      </c>
      <c r="C50" s="33"/>
      <c r="D50" s="14">
        <v>0</v>
      </c>
      <c r="E50" s="132"/>
      <c r="F50" s="132"/>
      <c r="G50" s="132"/>
      <c r="H50" s="132"/>
    </row>
    <row r="51" spans="1:8" ht="15">
      <c r="A51" s="48" t="s">
        <v>18</v>
      </c>
      <c r="B51" s="32" t="s">
        <v>16</v>
      </c>
      <c r="C51" s="33"/>
      <c r="D51" s="51">
        <f>D54-D57-D58-D59</f>
        <v>0.05458399999977703</v>
      </c>
      <c r="E51" s="132"/>
      <c r="F51" s="132"/>
      <c r="G51" s="132"/>
      <c r="H51" s="136"/>
    </row>
    <row r="52" spans="1:8" ht="25.5">
      <c r="A52" s="53" t="s">
        <v>60</v>
      </c>
      <c r="B52" s="32" t="s">
        <v>16</v>
      </c>
      <c r="C52" s="54"/>
      <c r="D52" s="55">
        <v>0</v>
      </c>
      <c r="E52" s="132"/>
      <c r="F52" s="132"/>
      <c r="G52" s="132"/>
      <c r="H52" s="132"/>
    </row>
    <row r="53" spans="1:10" ht="17.25" customHeight="1">
      <c r="A53" s="56" t="s">
        <v>17</v>
      </c>
      <c r="B53" s="32" t="s">
        <v>16</v>
      </c>
      <c r="C53" s="57"/>
      <c r="D53" s="58">
        <v>0</v>
      </c>
      <c r="E53" s="132"/>
      <c r="F53" s="132"/>
      <c r="G53" s="132"/>
      <c r="H53" s="132"/>
      <c r="I53" s="52"/>
      <c r="J53" s="52"/>
    </row>
    <row r="54" spans="1:14" ht="15">
      <c r="A54" s="59" t="s">
        <v>18</v>
      </c>
      <c r="B54" s="32" t="s">
        <v>16</v>
      </c>
      <c r="C54" s="60"/>
      <c r="D54" s="61">
        <v>1.78</v>
      </c>
      <c r="E54" s="132"/>
      <c r="F54" s="132"/>
      <c r="G54" s="132"/>
      <c r="H54" s="132" t="s">
        <v>32</v>
      </c>
      <c r="I54" s="63"/>
      <c r="J54" s="63"/>
      <c r="K54" s="64"/>
      <c r="L54" s="64"/>
      <c r="M54" s="64"/>
      <c r="N54" s="64"/>
    </row>
    <row r="55" spans="1:14" ht="18" customHeight="1">
      <c r="A55" s="263" t="s">
        <v>61</v>
      </c>
      <c r="B55" s="263"/>
      <c r="C55" s="263"/>
      <c r="D55" s="263"/>
      <c r="E55" s="137"/>
      <c r="F55" s="138"/>
      <c r="G55" s="139"/>
      <c r="H55" s="132"/>
      <c r="I55" s="68"/>
      <c r="J55" s="68"/>
      <c r="K55" s="69"/>
      <c r="L55" s="69"/>
      <c r="M55" s="69"/>
      <c r="N55" s="69"/>
    </row>
    <row r="56" spans="1:14" ht="47.25">
      <c r="A56" s="70" t="s">
        <v>62</v>
      </c>
      <c r="B56" s="71" t="s">
        <v>63</v>
      </c>
      <c r="C56" s="72" t="s">
        <v>64</v>
      </c>
      <c r="D56" s="73" t="s">
        <v>65</v>
      </c>
      <c r="E56" s="137"/>
      <c r="F56" s="138"/>
      <c r="G56" s="139"/>
      <c r="H56" s="132"/>
      <c r="I56" s="68"/>
      <c r="J56" s="74"/>
      <c r="K56" s="69"/>
      <c r="L56" s="69"/>
      <c r="M56" s="69"/>
      <c r="N56" s="69"/>
    </row>
    <row r="57" spans="1:14" ht="15">
      <c r="A57" s="75" t="s">
        <v>66</v>
      </c>
      <c r="B57" s="117">
        <v>4313.54</v>
      </c>
      <c r="C57" s="118">
        <f>B57*0.9996</f>
        <v>4311.814584</v>
      </c>
      <c r="D57" s="148">
        <f>B57-C57</f>
        <v>1.725416000000223</v>
      </c>
      <c r="E57" s="140"/>
      <c r="F57" s="138"/>
      <c r="G57" s="139"/>
      <c r="H57" s="132"/>
      <c r="I57" s="68"/>
      <c r="J57" s="68"/>
      <c r="K57" s="69"/>
      <c r="L57" s="69"/>
      <c r="M57" s="69"/>
      <c r="N57" s="69"/>
    </row>
    <row r="58" spans="1:14" ht="15">
      <c r="A58" s="75" t="s">
        <v>67</v>
      </c>
      <c r="B58" s="117">
        <v>0</v>
      </c>
      <c r="C58" s="118">
        <f>B58*0.8866</f>
        <v>0</v>
      </c>
      <c r="D58" s="148">
        <f>B58-C58</f>
        <v>0</v>
      </c>
      <c r="E58" s="137"/>
      <c r="F58" s="138"/>
      <c r="G58" s="139"/>
      <c r="H58" s="132"/>
      <c r="I58" s="68"/>
      <c r="J58" s="68"/>
      <c r="K58" s="69"/>
      <c r="L58" s="69"/>
      <c r="M58" s="69"/>
      <c r="N58" s="69"/>
    </row>
    <row r="59" spans="1:14" ht="15">
      <c r="A59" s="75" t="s">
        <v>68</v>
      </c>
      <c r="B59" s="120">
        <v>0</v>
      </c>
      <c r="C59" s="118">
        <f>B59*0.8866</f>
        <v>0</v>
      </c>
      <c r="D59" s="148">
        <f>B59-C59</f>
        <v>0</v>
      </c>
      <c r="E59" s="137">
        <f>(2.07+1.8)*6*2301.2-0.37*2301.2*6</f>
        <v>48325.2</v>
      </c>
      <c r="F59" s="141"/>
      <c r="G59" s="142"/>
      <c r="H59" s="137"/>
      <c r="I59" s="68"/>
      <c r="J59" s="68"/>
      <c r="K59" s="69"/>
      <c r="L59" s="69"/>
      <c r="M59" s="69"/>
      <c r="N59" s="69"/>
    </row>
    <row r="60" spans="1:14" ht="15">
      <c r="A60" s="83" t="s">
        <v>69</v>
      </c>
      <c r="B60" s="121">
        <v>0</v>
      </c>
      <c r="C60" s="118">
        <f>B60*0.8866</f>
        <v>0</v>
      </c>
      <c r="D60" s="149">
        <f>B60-C60</f>
        <v>0</v>
      </c>
      <c r="E60" s="137"/>
      <c r="F60" s="141"/>
      <c r="G60" s="142"/>
      <c r="H60" s="132"/>
      <c r="I60" s="68"/>
      <c r="J60" s="68"/>
      <c r="K60" s="69"/>
      <c r="L60" s="69"/>
      <c r="M60" s="69"/>
      <c r="N60" s="69"/>
    </row>
    <row r="61" spans="1:14" ht="63">
      <c r="A61" s="86" t="s">
        <v>70</v>
      </c>
      <c r="B61" s="71" t="s">
        <v>71</v>
      </c>
      <c r="C61" s="72" t="s">
        <v>72</v>
      </c>
      <c r="D61" s="73" t="s">
        <v>73</v>
      </c>
      <c r="E61" s="137"/>
      <c r="F61" s="141"/>
      <c r="G61" s="132"/>
      <c r="H61" s="143"/>
      <c r="I61" s="68"/>
      <c r="J61" s="68"/>
      <c r="K61" s="69"/>
      <c r="L61" s="69"/>
      <c r="M61" s="69"/>
      <c r="N61" s="69"/>
    </row>
    <row r="62" spans="1:14" ht="15">
      <c r="A62" s="75" t="s">
        <v>66</v>
      </c>
      <c r="B62" s="124">
        <f>B57</f>
        <v>4313.54</v>
      </c>
      <c r="C62" s="125">
        <v>4311.81</v>
      </c>
      <c r="D62" s="125">
        <v>1.73</v>
      </c>
      <c r="E62" s="137"/>
      <c r="F62" s="141"/>
      <c r="G62" s="132"/>
      <c r="H62" s="143"/>
      <c r="I62" s="68"/>
      <c r="J62" s="68" t="s">
        <v>32</v>
      </c>
      <c r="K62" s="69"/>
      <c r="L62" s="69"/>
      <c r="M62" s="69"/>
      <c r="N62" s="69"/>
    </row>
    <row r="63" spans="1:14" ht="15">
      <c r="A63" s="75" t="s">
        <v>67</v>
      </c>
      <c r="B63" s="124">
        <v>0</v>
      </c>
      <c r="C63" s="125">
        <f>C58*1.0063</f>
        <v>0</v>
      </c>
      <c r="D63" s="125">
        <f>D58*1.0063</f>
        <v>0</v>
      </c>
      <c r="E63" s="65"/>
      <c r="F63" s="81"/>
      <c r="H63" s="68"/>
      <c r="I63" s="68"/>
      <c r="J63" s="68"/>
      <c r="K63" s="69"/>
      <c r="L63" s="69"/>
      <c r="M63" s="69"/>
      <c r="N63" s="69"/>
    </row>
    <row r="64" spans="1:14" ht="15">
      <c r="A64" s="75" t="s">
        <v>68</v>
      </c>
      <c r="B64" s="124">
        <v>0</v>
      </c>
      <c r="C64" s="125">
        <f>C59*1.0063</f>
        <v>0</v>
      </c>
      <c r="D64" s="125">
        <f>D59*1.0063</f>
        <v>0</v>
      </c>
      <c r="E64" s="65"/>
      <c r="F64" s="81"/>
      <c r="H64" s="68"/>
      <c r="I64" s="68"/>
      <c r="J64" s="68"/>
      <c r="K64" s="69"/>
      <c r="L64" s="69"/>
      <c r="M64" s="69"/>
      <c r="N64" s="69"/>
    </row>
    <row r="65" spans="1:14" ht="15">
      <c r="A65" s="75" t="s">
        <v>74</v>
      </c>
      <c r="B65" s="124">
        <v>0</v>
      </c>
      <c r="C65" s="125">
        <v>0</v>
      </c>
      <c r="D65" s="125">
        <v>0</v>
      </c>
      <c r="E65" s="65"/>
      <c r="F65" s="81"/>
      <c r="H65" s="68"/>
      <c r="I65" s="68"/>
      <c r="J65" s="68"/>
      <c r="K65" s="69"/>
      <c r="L65" s="69"/>
      <c r="M65" s="69"/>
      <c r="N65" s="69"/>
    </row>
    <row r="66" spans="1:14" ht="15">
      <c r="A66" s="89" t="s">
        <v>69</v>
      </c>
      <c r="B66" s="126">
        <v>0</v>
      </c>
      <c r="C66" s="129">
        <v>0</v>
      </c>
      <c r="D66" s="129">
        <v>0</v>
      </c>
      <c r="E66" s="65"/>
      <c r="F66" s="81"/>
      <c r="H66" s="68" t="s">
        <v>32</v>
      </c>
      <c r="I66" s="68"/>
      <c r="J66" s="68"/>
      <c r="K66" s="69"/>
      <c r="L66" s="69"/>
      <c r="M66" s="69"/>
      <c r="N66" s="69"/>
    </row>
    <row r="67" spans="1:14" ht="15">
      <c r="A67" s="91"/>
      <c r="B67" s="87"/>
      <c r="C67" s="92"/>
      <c r="D67" s="93"/>
      <c r="E67" s="65"/>
      <c r="F67" s="81"/>
      <c r="H67" s="68"/>
      <c r="I67" s="68"/>
      <c r="J67" s="68"/>
      <c r="K67" s="69"/>
      <c r="L67" s="69"/>
      <c r="M67" s="69"/>
      <c r="N67" s="69"/>
    </row>
    <row r="68" spans="1:14" ht="25.5">
      <c r="A68" s="94" t="s">
        <v>75</v>
      </c>
      <c r="B68" s="87" t="s">
        <v>16</v>
      </c>
      <c r="C68" s="95"/>
      <c r="D68" s="96">
        <v>0</v>
      </c>
      <c r="E68" s="65"/>
      <c r="F68" s="81"/>
      <c r="H68" s="68"/>
      <c r="I68" s="68"/>
      <c r="J68" s="68" t="s">
        <v>32</v>
      </c>
      <c r="K68" s="69"/>
      <c r="L68" s="69"/>
      <c r="M68" s="69"/>
      <c r="N68" s="69"/>
    </row>
    <row r="69" spans="1:14" ht="17.25" customHeight="1">
      <c r="A69" s="264" t="s">
        <v>76</v>
      </c>
      <c r="B69" s="264"/>
      <c r="C69" s="264"/>
      <c r="D69" s="264"/>
      <c r="E69" s="97" t="e">
        <f>D69+B19</f>
        <v>#VALUE!</v>
      </c>
      <c r="F69" s="68"/>
      <c r="H69" s="98" t="e">
        <f>E69-B18</f>
        <v>#VALUE!</v>
      </c>
      <c r="I69" s="68"/>
      <c r="J69" s="68"/>
      <c r="K69" s="69"/>
      <c r="L69" s="69"/>
      <c r="M69" s="69"/>
      <c r="N69" s="69"/>
    </row>
    <row r="70" spans="1:5" ht="21" customHeight="1">
      <c r="A70" s="99" t="s">
        <v>53</v>
      </c>
      <c r="B70" s="99" t="s">
        <v>54</v>
      </c>
      <c r="C70" s="100">
        <v>0</v>
      </c>
      <c r="D70" s="101"/>
      <c r="E70" s="102"/>
    </row>
    <row r="71" spans="1:5" ht="21" customHeight="1">
      <c r="A71" s="99" t="s">
        <v>55</v>
      </c>
      <c r="B71" s="99" t="s">
        <v>54</v>
      </c>
      <c r="C71" s="99">
        <v>0</v>
      </c>
      <c r="D71" s="101"/>
      <c r="E71" s="102"/>
    </row>
    <row r="72" spans="1:5" ht="18" customHeight="1">
      <c r="A72" s="99" t="s">
        <v>56</v>
      </c>
      <c r="B72" s="99" t="s">
        <v>54</v>
      </c>
      <c r="C72" s="99">
        <v>0</v>
      </c>
      <c r="D72" s="101"/>
      <c r="E72" s="102"/>
    </row>
    <row r="73" spans="1:5" ht="16.5" customHeight="1">
      <c r="A73" s="99" t="s">
        <v>57</v>
      </c>
      <c r="B73" s="99" t="s">
        <v>16</v>
      </c>
      <c r="C73" s="99">
        <v>0</v>
      </c>
      <c r="D73" s="101"/>
      <c r="E73" s="102"/>
    </row>
    <row r="74" spans="1:5" ht="15.75" customHeight="1">
      <c r="A74" s="258" t="s">
        <v>77</v>
      </c>
      <c r="B74" s="258"/>
      <c r="C74" s="258"/>
      <c r="D74" s="258"/>
      <c r="E74" s="102"/>
    </row>
    <row r="75" spans="1:5" ht="18.75" customHeight="1">
      <c r="A75" s="99" t="s">
        <v>78</v>
      </c>
      <c r="B75" s="99" t="s">
        <v>54</v>
      </c>
      <c r="C75" s="99">
        <v>0</v>
      </c>
      <c r="D75" s="101"/>
      <c r="E75" s="102"/>
    </row>
    <row r="76" spans="1:5" ht="21.75" customHeight="1">
      <c r="A76" s="99" t="s">
        <v>79</v>
      </c>
      <c r="B76" s="56" t="s">
        <v>54</v>
      </c>
      <c r="C76" s="56">
        <v>0</v>
      </c>
      <c r="D76" s="101"/>
      <c r="E76" s="102"/>
    </row>
    <row r="77" spans="1:5" ht="36" customHeight="1">
      <c r="A77" s="103" t="s">
        <v>80</v>
      </c>
      <c r="B77" s="99" t="s">
        <v>16</v>
      </c>
      <c r="C77" s="99">
        <v>0</v>
      </c>
      <c r="D77" s="101"/>
      <c r="E77" s="102"/>
    </row>
    <row r="78" spans="1:4" ht="15">
      <c r="A78" s="69"/>
      <c r="B78" s="69"/>
      <c r="C78" s="69"/>
      <c r="D78" s="104"/>
    </row>
    <row r="79" spans="1:14" s="1" customFormat="1" ht="12.75">
      <c r="A79"/>
      <c r="B79"/>
      <c r="C79"/>
      <c r="D79"/>
      <c r="H79" s="1" t="s">
        <v>32</v>
      </c>
      <c r="K79"/>
      <c r="L79"/>
      <c r="M79"/>
      <c r="N79"/>
    </row>
    <row r="80" spans="1:14" s="1" customFormat="1" ht="12.75">
      <c r="A80" t="s">
        <v>81</v>
      </c>
      <c r="B80"/>
      <c r="C80"/>
      <c r="D80"/>
      <c r="K80"/>
      <c r="L80"/>
      <c r="M80"/>
      <c r="N80"/>
    </row>
    <row r="81" spans="1:14" s="1" customFormat="1" ht="12.75">
      <c r="A81"/>
      <c r="B81"/>
      <c r="C81"/>
      <c r="D81"/>
      <c r="H81" s="1" t="s">
        <v>32</v>
      </c>
      <c r="K81"/>
      <c r="L81"/>
      <c r="M81"/>
      <c r="N81"/>
    </row>
    <row r="82" spans="1:14" s="1" customFormat="1" ht="12.75">
      <c r="A82" t="s">
        <v>82</v>
      </c>
      <c r="B82"/>
      <c r="C82"/>
      <c r="D82"/>
      <c r="K82"/>
      <c r="L82"/>
      <c r="M82"/>
      <c r="N82"/>
    </row>
    <row r="86" spans="1:14" s="1" customFormat="1" ht="12.75">
      <c r="A86"/>
      <c r="B86"/>
      <c r="C86"/>
      <c r="D86"/>
      <c r="E86" s="1" t="s">
        <v>32</v>
      </c>
      <c r="K86"/>
      <c r="L86"/>
      <c r="M86"/>
      <c r="N86"/>
    </row>
  </sheetData>
  <sheetProtection selectLockedCells="1" selectUnlockedCells="1"/>
  <mergeCells count="13">
    <mergeCell ref="A1:D1"/>
    <mergeCell ref="A2:D2"/>
    <mergeCell ref="A3:D3"/>
    <mergeCell ref="A4:D4"/>
    <mergeCell ref="A5:D5"/>
    <mergeCell ref="A7:D7"/>
    <mergeCell ref="A74:D74"/>
    <mergeCell ref="A14:D14"/>
    <mergeCell ref="A29:D29"/>
    <mergeCell ref="A43:D43"/>
    <mergeCell ref="A48:D48"/>
    <mergeCell ref="A55:D55"/>
    <mergeCell ref="A69:D69"/>
  </mergeCells>
  <printOptions/>
  <pageMargins left="0.5597222222222222" right="0.7875" top="0.34097222222222223" bottom="0.7875" header="0.5118055555555555" footer="0.5118055555555555"/>
  <pageSetup fitToHeight="3" fitToWidth="2" horizontalDpi="300" verticalDpi="300" orientation="landscape" paperSize="12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6"/>
  <sheetViews>
    <sheetView zoomScale="80" zoomScaleNormal="80" zoomScalePageLayoutView="0" workbookViewId="0" topLeftCell="A4">
      <selection activeCell="E18" sqref="E18:E22"/>
    </sheetView>
  </sheetViews>
  <sheetFormatPr defaultColWidth="11.57421875" defaultRowHeight="12.75"/>
  <cols>
    <col min="1" max="1" width="63.28125" style="0" customWidth="1"/>
    <col min="2" max="2" width="20.28125" style="0" customWidth="1"/>
    <col min="3" max="3" width="31.421875" style="0" customWidth="1"/>
    <col min="4" max="4" width="27.57421875" style="0" customWidth="1"/>
    <col min="5" max="5" width="16.8515625" style="1" customWidth="1"/>
    <col min="6" max="7" width="0" style="1" hidden="1" customWidth="1"/>
    <col min="8" max="8" width="11.57421875" style="1" customWidth="1"/>
    <col min="9" max="9" width="5.28125" style="1" customWidth="1"/>
    <col min="10" max="10" width="30.00390625" style="1" customWidth="1"/>
    <col min="11" max="12" width="23.28125" style="0" customWidth="1"/>
    <col min="13" max="13" width="6.57421875" style="0" customWidth="1"/>
    <col min="14" max="14" width="7.00390625" style="0" customWidth="1"/>
  </cols>
  <sheetData>
    <row r="1" spans="1:4" ht="18">
      <c r="A1" s="265" t="s">
        <v>0</v>
      </c>
      <c r="B1" s="265"/>
      <c r="C1" s="265"/>
      <c r="D1" s="265"/>
    </row>
    <row r="2" spans="1:4" ht="15.75">
      <c r="A2" s="266" t="s">
        <v>1</v>
      </c>
      <c r="B2" s="266"/>
      <c r="C2" s="266"/>
      <c r="D2" s="266"/>
    </row>
    <row r="3" spans="1:4" ht="15.75">
      <c r="A3" s="266" t="s">
        <v>2</v>
      </c>
      <c r="B3" s="266"/>
      <c r="C3" s="266"/>
      <c r="D3" s="266"/>
    </row>
    <row r="4" spans="1:4" ht="12.75">
      <c r="A4" s="267" t="s">
        <v>117</v>
      </c>
      <c r="B4" s="267"/>
      <c r="C4" s="267"/>
      <c r="D4" s="267"/>
    </row>
    <row r="5" spans="1:4" ht="12.75">
      <c r="A5" s="268" t="s">
        <v>171</v>
      </c>
      <c r="B5" s="267"/>
      <c r="C5" s="267"/>
      <c r="D5" s="267"/>
    </row>
    <row r="6" ht="9" customHeight="1">
      <c r="A6" s="2"/>
    </row>
    <row r="7" spans="1:4" ht="18" customHeight="1">
      <c r="A7" s="269" t="s">
        <v>4</v>
      </c>
      <c r="B7" s="269"/>
      <c r="C7" s="269"/>
      <c r="D7" s="269"/>
    </row>
    <row r="8" spans="1:3" ht="12.75">
      <c r="A8" s="2" t="s">
        <v>225</v>
      </c>
      <c r="C8" s="3"/>
    </row>
    <row r="9" spans="1:4" ht="12.75">
      <c r="A9" s="4" t="s">
        <v>5</v>
      </c>
      <c r="B9" s="4" t="s">
        <v>6</v>
      </c>
      <c r="C9" s="4" t="s">
        <v>7</v>
      </c>
      <c r="D9" s="5"/>
    </row>
    <row r="10" spans="1:4" ht="12.75">
      <c r="A10" s="6">
        <v>1</v>
      </c>
      <c r="B10" s="6">
        <v>2</v>
      </c>
      <c r="C10" s="6">
        <v>3</v>
      </c>
      <c r="D10" s="7">
        <v>4</v>
      </c>
    </row>
    <row r="11" spans="1:4" ht="12.75">
      <c r="A11" s="8" t="s">
        <v>8</v>
      </c>
      <c r="B11" s="9"/>
      <c r="C11" s="177" t="s">
        <v>172</v>
      </c>
      <c r="D11" s="10"/>
    </row>
    <row r="12" spans="1:8" ht="12.75">
      <c r="A12" s="8" t="s">
        <v>10</v>
      </c>
      <c r="B12" s="9"/>
      <c r="C12" s="177" t="s">
        <v>173</v>
      </c>
      <c r="D12" s="10"/>
      <c r="E12" s="132"/>
      <c r="F12" s="132"/>
      <c r="G12" s="132"/>
      <c r="H12" s="132"/>
    </row>
    <row r="13" spans="1:8" ht="12.75">
      <c r="A13" s="8" t="s">
        <v>12</v>
      </c>
      <c r="B13" s="9"/>
      <c r="C13" s="177" t="s">
        <v>174</v>
      </c>
      <c r="D13" s="10"/>
      <c r="E13" s="132"/>
      <c r="F13" s="132"/>
      <c r="G13" s="132"/>
      <c r="H13" s="132"/>
    </row>
    <row r="14" spans="1:8" ht="31.5" customHeight="1">
      <c r="A14" s="259" t="s">
        <v>14</v>
      </c>
      <c r="B14" s="259"/>
      <c r="C14" s="259"/>
      <c r="D14" s="259"/>
      <c r="E14" s="132"/>
      <c r="F14" s="132"/>
      <c r="G14" s="132"/>
      <c r="H14" s="132"/>
    </row>
    <row r="15" spans="1:8" ht="25.5">
      <c r="A15" s="11" t="s">
        <v>15</v>
      </c>
      <c r="B15" s="12" t="s">
        <v>16</v>
      </c>
      <c r="C15" s="13">
        <v>-16073.37</v>
      </c>
      <c r="D15" s="14"/>
      <c r="E15" s="132"/>
      <c r="F15" s="132"/>
      <c r="G15" s="132"/>
      <c r="H15" s="132"/>
    </row>
    <row r="16" spans="1:8" ht="15">
      <c r="A16" s="8" t="s">
        <v>17</v>
      </c>
      <c r="B16" s="12" t="s">
        <v>16</v>
      </c>
      <c r="C16" s="13">
        <v>0</v>
      </c>
      <c r="D16" s="14"/>
      <c r="E16" s="132"/>
      <c r="F16" s="132"/>
      <c r="G16" s="132"/>
      <c r="H16" s="132"/>
    </row>
    <row r="17" spans="1:8" ht="15">
      <c r="A17" s="8" t="s">
        <v>18</v>
      </c>
      <c r="B17" s="12" t="s">
        <v>16</v>
      </c>
      <c r="C17" s="15">
        <v>4084.31</v>
      </c>
      <c r="D17" s="16"/>
      <c r="E17" s="132" t="e">
        <f>B17/12/1022.6</f>
        <v>#VALUE!</v>
      </c>
      <c r="F17" s="132"/>
      <c r="G17" s="132"/>
      <c r="H17" s="132"/>
    </row>
    <row r="18" spans="1:8" ht="31.5" customHeight="1">
      <c r="A18" s="17" t="s">
        <v>19</v>
      </c>
      <c r="B18" s="12" t="s">
        <v>16</v>
      </c>
      <c r="C18" s="15">
        <f>C19+C20+C21</f>
        <v>18285.838</v>
      </c>
      <c r="D18" s="16"/>
      <c r="E18" s="133">
        <f>C18-C20</f>
        <v>13015.366</v>
      </c>
      <c r="F18" s="132"/>
      <c r="G18" s="132"/>
      <c r="H18" s="132"/>
    </row>
    <row r="19" spans="1:8" ht="15">
      <c r="A19" s="8" t="s">
        <v>20</v>
      </c>
      <c r="B19" s="12" t="s">
        <v>16</v>
      </c>
      <c r="C19" s="15">
        <v>6977.83</v>
      </c>
      <c r="D19" s="16"/>
      <c r="E19" s="133">
        <f>E18-E39</f>
        <v>-0.0019999999985884642</v>
      </c>
      <c r="F19" s="132"/>
      <c r="G19" s="132"/>
      <c r="H19" s="132"/>
    </row>
    <row r="20" spans="1:8" ht="15">
      <c r="A20" s="8" t="s">
        <v>21</v>
      </c>
      <c r="B20" s="12" t="s">
        <v>16</v>
      </c>
      <c r="C20" s="15">
        <f>(3.81+4.71)*6*103.1</f>
        <v>5270.472</v>
      </c>
      <c r="D20" s="16"/>
      <c r="E20" s="134"/>
      <c r="F20" s="132"/>
      <c r="G20" s="132"/>
      <c r="H20" s="132"/>
    </row>
    <row r="21" spans="1:8" ht="15">
      <c r="A21" s="8" t="s">
        <v>22</v>
      </c>
      <c r="B21" s="12" t="s">
        <v>16</v>
      </c>
      <c r="C21" s="20">
        <f>103.1*4.88*12</f>
        <v>6037.536</v>
      </c>
      <c r="D21" s="16"/>
      <c r="E21" s="132"/>
      <c r="F21" s="132"/>
      <c r="G21" s="132"/>
      <c r="H21" s="132"/>
    </row>
    <row r="22" spans="1:8" ht="15">
      <c r="A22" s="21" t="s">
        <v>23</v>
      </c>
      <c r="B22" s="12" t="s">
        <v>16</v>
      </c>
      <c r="C22" s="15">
        <f>C23+C24+C25+C26+C27</f>
        <v>12900.658709</v>
      </c>
      <c r="D22" s="16" t="s">
        <v>24</v>
      </c>
      <c r="E22" s="133" t="e">
        <f>B24+B25+B26+B27+B28</f>
        <v>#VALUE!</v>
      </c>
      <c r="F22" s="132"/>
      <c r="G22" s="132"/>
      <c r="H22" s="132"/>
    </row>
    <row r="23" spans="1:8" ht="15">
      <c r="A23" s="8" t="s">
        <v>25</v>
      </c>
      <c r="B23" s="12" t="s">
        <v>16</v>
      </c>
      <c r="C23" s="15">
        <f>C18*0.7055</f>
        <v>12900.658709</v>
      </c>
      <c r="D23" s="16"/>
      <c r="E23" s="132"/>
      <c r="F23" s="132"/>
      <c r="G23" s="132"/>
      <c r="H23" s="132"/>
    </row>
    <row r="24" spans="1:8" ht="15">
      <c r="A24" s="8" t="s">
        <v>26</v>
      </c>
      <c r="B24" s="12" t="s">
        <v>16</v>
      </c>
      <c r="C24" s="15">
        <v>0</v>
      </c>
      <c r="D24" s="22">
        <v>65.21</v>
      </c>
      <c r="E24" s="134" t="e">
        <f>B24/#REF!*1</f>
        <v>#VALUE!</v>
      </c>
      <c r="F24" s="132"/>
      <c r="G24" s="132"/>
      <c r="H24" s="132" t="s">
        <v>27</v>
      </c>
    </row>
    <row r="25" spans="1:8" ht="15">
      <c r="A25" s="8" t="s">
        <v>28</v>
      </c>
      <c r="B25" s="12" t="s">
        <v>16</v>
      </c>
      <c r="C25" s="15">
        <v>0</v>
      </c>
      <c r="D25" s="22">
        <v>119.63</v>
      </c>
      <c r="E25" s="134" t="e">
        <f>B25/#REF!*1</f>
        <v>#VALUE!</v>
      </c>
      <c r="F25" s="132"/>
      <c r="G25" s="132"/>
      <c r="H25" s="132"/>
    </row>
    <row r="26" spans="1:8" ht="15">
      <c r="A26" s="9" t="s">
        <v>29</v>
      </c>
      <c r="B26" s="12" t="s">
        <v>16</v>
      </c>
      <c r="C26" s="15">
        <v>0</v>
      </c>
      <c r="D26" s="22"/>
      <c r="E26" s="134" t="e">
        <f>B26/#REF!*1</f>
        <v>#VALUE!</v>
      </c>
      <c r="F26" s="132"/>
      <c r="G26" s="132"/>
      <c r="H26" s="132"/>
    </row>
    <row r="27" spans="1:8" ht="16.5" customHeight="1">
      <c r="A27" s="116" t="s">
        <v>112</v>
      </c>
      <c r="B27" s="12" t="s">
        <v>16</v>
      </c>
      <c r="C27" s="15">
        <v>0</v>
      </c>
      <c r="D27" s="22">
        <v>139.18</v>
      </c>
      <c r="E27" s="134" t="e">
        <f>B27/#REF!*1</f>
        <v>#VALUE!</v>
      </c>
      <c r="F27" s="132"/>
      <c r="G27" s="132"/>
      <c r="H27" s="132"/>
    </row>
    <row r="28" spans="1:8" ht="15">
      <c r="A28" s="8" t="s">
        <v>31</v>
      </c>
      <c r="B28" s="12" t="s">
        <v>16</v>
      </c>
      <c r="C28" s="15">
        <f>C15+C22</f>
        <v>-3172.7112910000014</v>
      </c>
      <c r="D28" s="16" t="s">
        <v>32</v>
      </c>
      <c r="E28" s="134" t="e">
        <f>B28/#REF!*1</f>
        <v>#VALUE!</v>
      </c>
      <c r="F28" s="132"/>
      <c r="G28" s="132"/>
      <c r="H28" s="132"/>
    </row>
    <row r="29" spans="1:8" ht="35.25" customHeight="1">
      <c r="A29" s="260" t="s">
        <v>33</v>
      </c>
      <c r="B29" s="260"/>
      <c r="C29" s="260"/>
      <c r="D29" s="260"/>
      <c r="E29" s="132"/>
      <c r="F29" s="132"/>
      <c r="G29" s="132"/>
      <c r="H29" s="132"/>
    </row>
    <row r="30" spans="1:8" ht="60">
      <c r="A30" s="23" t="s">
        <v>34</v>
      </c>
      <c r="B30" s="24" t="s">
        <v>35</v>
      </c>
      <c r="C30" s="25" t="s">
        <v>36</v>
      </c>
      <c r="D30" s="26" t="s">
        <v>37</v>
      </c>
      <c r="E30" s="132"/>
      <c r="F30" s="132"/>
      <c r="G30" s="132"/>
      <c r="H30" s="132"/>
    </row>
    <row r="31" spans="1:8" ht="15">
      <c r="A31" s="27" t="s">
        <v>38</v>
      </c>
      <c r="B31" s="28" t="s">
        <v>39</v>
      </c>
      <c r="C31" s="29" t="s">
        <v>40</v>
      </c>
      <c r="D31" s="107">
        <f>(0.17+0.16)*6*103.1</f>
        <v>204.13799999999998</v>
      </c>
      <c r="E31" s="132"/>
      <c r="F31" s="132"/>
      <c r="G31" s="132"/>
      <c r="H31" s="132"/>
    </row>
    <row r="32" spans="1:8" ht="15">
      <c r="A32" s="31" t="s">
        <v>41</v>
      </c>
      <c r="B32" s="32" t="s">
        <v>42</v>
      </c>
      <c r="C32" s="33" t="s">
        <v>43</v>
      </c>
      <c r="D32" s="108">
        <f>(3.03+3)*6*103.1</f>
        <v>3730.157999999999</v>
      </c>
      <c r="E32" s="132"/>
      <c r="F32" s="132"/>
      <c r="G32" s="132"/>
      <c r="H32" s="132"/>
    </row>
    <row r="33" spans="1:8" ht="15">
      <c r="A33" s="31" t="s">
        <v>44</v>
      </c>
      <c r="B33" s="32" t="s">
        <v>39</v>
      </c>
      <c r="C33" s="33" t="s">
        <v>45</v>
      </c>
      <c r="D33" s="108">
        <f>(0.2+0.21)*6*103.1</f>
        <v>253.62599999999998</v>
      </c>
      <c r="E33" s="132"/>
      <c r="F33" s="132"/>
      <c r="G33" s="132"/>
      <c r="H33" s="132"/>
    </row>
    <row r="34" spans="1:8" ht="15">
      <c r="A34" s="31" t="s">
        <v>115</v>
      </c>
      <c r="B34" s="32" t="s">
        <v>39</v>
      </c>
      <c r="C34" s="33" t="s">
        <v>40</v>
      </c>
      <c r="D34" s="108">
        <f>(0.23+0.22)*6*103.1</f>
        <v>278.37</v>
      </c>
      <c r="E34" s="132"/>
      <c r="F34" s="132"/>
      <c r="G34" s="132"/>
      <c r="H34" s="132"/>
    </row>
    <row r="35" spans="1:8" ht="15">
      <c r="A35" s="31" t="s">
        <v>90</v>
      </c>
      <c r="B35" s="106" t="s">
        <v>91</v>
      </c>
      <c r="C35" s="33" t="s">
        <v>40</v>
      </c>
      <c r="D35" s="108">
        <f>(1.33+1.27)*6*103.1</f>
        <v>1608.3600000000001</v>
      </c>
      <c r="E35" s="132"/>
      <c r="F35" s="132"/>
      <c r="G35" s="132"/>
      <c r="H35" s="132"/>
    </row>
    <row r="36" spans="1:8" ht="15">
      <c r="A36" s="31" t="s">
        <v>46</v>
      </c>
      <c r="B36" s="32" t="s">
        <v>42</v>
      </c>
      <c r="C36" s="35" t="s">
        <v>47</v>
      </c>
      <c r="D36" s="108">
        <f>4.88*103.1*12</f>
        <v>6037.536</v>
      </c>
      <c r="E36" s="132"/>
      <c r="F36" s="132"/>
      <c r="G36" s="132"/>
      <c r="H36" s="132"/>
    </row>
    <row r="37" spans="1:14" s="1" customFormat="1" ht="45">
      <c r="A37" s="36" t="s">
        <v>48</v>
      </c>
      <c r="B37" s="37" t="s">
        <v>49</v>
      </c>
      <c r="C37" s="38"/>
      <c r="D37" s="39">
        <v>0</v>
      </c>
      <c r="E37" s="62"/>
      <c r="F37" s="132"/>
      <c r="G37" s="132"/>
      <c r="H37" s="132"/>
      <c r="K37"/>
      <c r="L37"/>
      <c r="M37"/>
      <c r="N37"/>
    </row>
    <row r="38" spans="1:14" s="1" customFormat="1" ht="45">
      <c r="A38" s="109" t="s">
        <v>95</v>
      </c>
      <c r="B38" s="110" t="s">
        <v>96</v>
      </c>
      <c r="C38" s="111" t="s">
        <v>97</v>
      </c>
      <c r="D38" s="112">
        <v>903.18</v>
      </c>
      <c r="E38" s="132"/>
      <c r="F38" s="132"/>
      <c r="G38" s="132"/>
      <c r="H38" s="132"/>
      <c r="K38"/>
      <c r="L38"/>
      <c r="M38"/>
      <c r="N38"/>
    </row>
    <row r="39" spans="1:14" s="1" customFormat="1" ht="15.75">
      <c r="A39" s="40" t="s">
        <v>50</v>
      </c>
      <c r="B39" s="41"/>
      <c r="C39" s="42"/>
      <c r="D39" s="113">
        <f>SUM(D31:D38)</f>
        <v>13015.367999999999</v>
      </c>
      <c r="E39" s="135">
        <f>D39-D37</f>
        <v>13015.367999999999</v>
      </c>
      <c r="F39" s="132"/>
      <c r="G39" s="132"/>
      <c r="H39" s="132"/>
      <c r="K39"/>
      <c r="L39"/>
      <c r="M39"/>
      <c r="N39"/>
    </row>
    <row r="40" spans="1:14" s="1" customFormat="1" ht="15">
      <c r="A40" s="43" t="s">
        <v>51</v>
      </c>
      <c r="B40" s="44" t="s">
        <v>16</v>
      </c>
      <c r="C40" s="45"/>
      <c r="D40" s="46">
        <f>C15+C20*0.7055-D37</f>
        <v>-12355.052004000001</v>
      </c>
      <c r="E40" s="135"/>
      <c r="F40" s="132"/>
      <c r="G40" s="132"/>
      <c r="H40" s="132"/>
      <c r="K40"/>
      <c r="L40"/>
      <c r="M40"/>
      <c r="N40"/>
    </row>
    <row r="41" spans="1:14" s="1" customFormat="1" ht="15">
      <c r="A41" s="48" t="s">
        <v>17</v>
      </c>
      <c r="B41" s="49" t="s">
        <v>16</v>
      </c>
      <c r="C41" s="33"/>
      <c r="D41" s="14">
        <v>0</v>
      </c>
      <c r="E41" s="132"/>
      <c r="F41" s="132"/>
      <c r="G41" s="132"/>
      <c r="H41" s="132"/>
      <c r="K41"/>
      <c r="L41"/>
      <c r="M41"/>
      <c r="N41"/>
    </row>
    <row r="42" spans="1:14" s="1" customFormat="1" ht="15">
      <c r="A42" s="48" t="s">
        <v>18</v>
      </c>
      <c r="B42" s="49" t="s">
        <v>16</v>
      </c>
      <c r="C42" s="33"/>
      <c r="D42" s="14">
        <v>8878.07</v>
      </c>
      <c r="E42" s="132"/>
      <c r="F42" s="132"/>
      <c r="G42" s="132"/>
      <c r="H42" s="132"/>
      <c r="K42"/>
      <c r="L42"/>
      <c r="M42"/>
      <c r="N42"/>
    </row>
    <row r="43" spans="1:14" s="1" customFormat="1" ht="24" customHeight="1">
      <c r="A43" s="261" t="s">
        <v>52</v>
      </c>
      <c r="B43" s="261"/>
      <c r="C43" s="261"/>
      <c r="D43" s="261"/>
      <c r="E43" s="132"/>
      <c r="F43" s="132"/>
      <c r="G43" s="132"/>
      <c r="H43" s="132"/>
      <c r="K43"/>
      <c r="L43"/>
      <c r="M43"/>
      <c r="N43"/>
    </row>
    <row r="44" spans="1:14" s="1" customFormat="1" ht="15">
      <c r="A44" s="48" t="s">
        <v>53</v>
      </c>
      <c r="B44" s="32" t="s">
        <v>54</v>
      </c>
      <c r="C44" s="33"/>
      <c r="D44" s="14">
        <v>0</v>
      </c>
      <c r="E44" s="132"/>
      <c r="F44" s="132"/>
      <c r="G44" s="132"/>
      <c r="H44" s="132"/>
      <c r="K44"/>
      <c r="L44"/>
      <c r="M44"/>
      <c r="N44"/>
    </row>
    <row r="45" spans="1:14" s="1" customFormat="1" ht="15">
      <c r="A45" s="48" t="s">
        <v>55</v>
      </c>
      <c r="B45" s="32" t="s">
        <v>54</v>
      </c>
      <c r="C45" s="33"/>
      <c r="D45" s="14">
        <v>0</v>
      </c>
      <c r="E45" s="132"/>
      <c r="F45" s="132"/>
      <c r="G45" s="132"/>
      <c r="H45" s="132"/>
      <c r="K45"/>
      <c r="L45"/>
      <c r="M45"/>
      <c r="N45"/>
    </row>
    <row r="46" spans="1:14" s="1" customFormat="1" ht="15">
      <c r="A46" s="50" t="s">
        <v>56</v>
      </c>
      <c r="B46" s="32" t="s">
        <v>54</v>
      </c>
      <c r="C46" s="33"/>
      <c r="D46" s="14">
        <v>0</v>
      </c>
      <c r="E46" s="132"/>
      <c r="F46" s="132"/>
      <c r="G46" s="132"/>
      <c r="H46" s="132"/>
      <c r="K46"/>
      <c r="L46"/>
      <c r="M46"/>
      <c r="N46"/>
    </row>
    <row r="47" spans="1:14" s="1" customFormat="1" ht="15">
      <c r="A47" s="48" t="s">
        <v>57</v>
      </c>
      <c r="B47" s="32" t="s">
        <v>16</v>
      </c>
      <c r="C47" s="33"/>
      <c r="D47" s="14">
        <v>0</v>
      </c>
      <c r="E47" s="132"/>
      <c r="F47" s="132"/>
      <c r="G47" s="132"/>
      <c r="H47" s="132"/>
      <c r="K47"/>
      <c r="L47"/>
      <c r="M47"/>
      <c r="N47"/>
    </row>
    <row r="48" spans="1:8" ht="20.25" customHeight="1">
      <c r="A48" s="262" t="s">
        <v>58</v>
      </c>
      <c r="B48" s="262"/>
      <c r="C48" s="262"/>
      <c r="D48" s="262"/>
      <c r="E48" s="132"/>
      <c r="F48" s="132"/>
      <c r="G48" s="132"/>
      <c r="H48" s="132"/>
    </row>
    <row r="49" spans="1:8" ht="25.5">
      <c r="A49" s="50" t="s">
        <v>59</v>
      </c>
      <c r="B49" s="32" t="s">
        <v>16</v>
      </c>
      <c r="C49" s="33"/>
      <c r="D49" s="14">
        <v>0</v>
      </c>
      <c r="E49" s="132"/>
      <c r="F49" s="132"/>
      <c r="G49" s="132"/>
      <c r="H49" s="132"/>
    </row>
    <row r="50" spans="1:8" ht="15">
      <c r="A50" s="48" t="s">
        <v>17</v>
      </c>
      <c r="B50" s="32" t="s">
        <v>16</v>
      </c>
      <c r="C50" s="33"/>
      <c r="D50" s="14">
        <v>0</v>
      </c>
      <c r="E50" s="132"/>
      <c r="F50" s="132"/>
      <c r="G50" s="132"/>
      <c r="H50" s="132"/>
    </row>
    <row r="51" spans="1:8" ht="15">
      <c r="A51" s="48" t="s">
        <v>18</v>
      </c>
      <c r="B51" s="32" t="s">
        <v>16</v>
      </c>
      <c r="C51" s="33"/>
      <c r="D51" s="51">
        <f>D54-D57-D58-D59</f>
        <v>1834.12867</v>
      </c>
      <c r="E51" s="132"/>
      <c r="F51" s="132"/>
      <c r="G51" s="132"/>
      <c r="H51" s="136"/>
    </row>
    <row r="52" spans="1:8" ht="25.5">
      <c r="A52" s="53" t="s">
        <v>60</v>
      </c>
      <c r="B52" s="32" t="s">
        <v>16</v>
      </c>
      <c r="C52" s="54"/>
      <c r="D52" s="55">
        <v>0</v>
      </c>
      <c r="E52" s="132"/>
      <c r="F52" s="132"/>
      <c r="G52" s="132"/>
      <c r="H52" s="132"/>
    </row>
    <row r="53" spans="1:10" ht="17.25" customHeight="1">
      <c r="A53" s="56" t="s">
        <v>17</v>
      </c>
      <c r="B53" s="32" t="s">
        <v>16</v>
      </c>
      <c r="C53" s="57"/>
      <c r="D53" s="58">
        <v>0</v>
      </c>
      <c r="E53" s="132"/>
      <c r="F53" s="132"/>
      <c r="G53" s="132"/>
      <c r="H53" s="132"/>
      <c r="I53" s="52"/>
      <c r="J53" s="52"/>
    </row>
    <row r="54" spans="1:14" ht="15">
      <c r="A54" s="59" t="s">
        <v>18</v>
      </c>
      <c r="B54" s="32" t="s">
        <v>16</v>
      </c>
      <c r="C54" s="60"/>
      <c r="D54" s="61">
        <v>4661.9</v>
      </c>
      <c r="E54" s="132"/>
      <c r="F54" s="132"/>
      <c r="G54" s="132"/>
      <c r="H54" s="132" t="s">
        <v>32</v>
      </c>
      <c r="I54" s="63"/>
      <c r="J54" s="63"/>
      <c r="K54" s="64"/>
      <c r="L54" s="64"/>
      <c r="M54" s="64"/>
      <c r="N54" s="64"/>
    </row>
    <row r="55" spans="1:14" ht="18" customHeight="1">
      <c r="A55" s="263" t="s">
        <v>61</v>
      </c>
      <c r="B55" s="263"/>
      <c r="C55" s="263"/>
      <c r="D55" s="263"/>
      <c r="E55" s="137"/>
      <c r="F55" s="138"/>
      <c r="G55" s="139"/>
      <c r="H55" s="132"/>
      <c r="I55" s="68"/>
      <c r="J55" s="68"/>
      <c r="K55" s="69"/>
      <c r="L55" s="69"/>
      <c r="M55" s="69"/>
      <c r="N55" s="69"/>
    </row>
    <row r="56" spans="1:14" ht="47.25">
      <c r="A56" s="70" t="s">
        <v>62</v>
      </c>
      <c r="B56" s="71" t="s">
        <v>63</v>
      </c>
      <c r="C56" s="72" t="s">
        <v>64</v>
      </c>
      <c r="D56" s="73" t="s">
        <v>65</v>
      </c>
      <c r="E56" s="137"/>
      <c r="F56" s="138"/>
      <c r="G56" s="139"/>
      <c r="H56" s="132"/>
      <c r="I56" s="68"/>
      <c r="J56" s="74"/>
      <c r="K56" s="69"/>
      <c r="L56" s="69"/>
      <c r="M56" s="69"/>
      <c r="N56" s="69"/>
    </row>
    <row r="57" spans="1:14" ht="15">
      <c r="A57" s="75" t="s">
        <v>66</v>
      </c>
      <c r="B57" s="117">
        <v>9601.94</v>
      </c>
      <c r="C57" s="118">
        <f>B57*0.7055</f>
        <v>6774.168670000001</v>
      </c>
      <c r="D57" s="119">
        <f>B57-C57</f>
        <v>2827.7713299999996</v>
      </c>
      <c r="E57" s="140"/>
      <c r="F57" s="138"/>
      <c r="G57" s="139"/>
      <c r="H57" s="132"/>
      <c r="I57" s="68"/>
      <c r="J57" s="68"/>
      <c r="K57" s="69"/>
      <c r="L57" s="69"/>
      <c r="M57" s="69"/>
      <c r="N57" s="69"/>
    </row>
    <row r="58" spans="1:14" ht="15">
      <c r="A58" s="75" t="s">
        <v>67</v>
      </c>
      <c r="B58" s="117">
        <v>0</v>
      </c>
      <c r="C58" s="118">
        <f>B58*0.8866</f>
        <v>0</v>
      </c>
      <c r="D58" s="119">
        <f>B58-C58</f>
        <v>0</v>
      </c>
      <c r="E58" s="137"/>
      <c r="F58" s="138"/>
      <c r="G58" s="139"/>
      <c r="H58" s="132"/>
      <c r="I58" s="68"/>
      <c r="J58" s="68"/>
      <c r="K58" s="69"/>
      <c r="L58" s="69"/>
      <c r="M58" s="69"/>
      <c r="N58" s="69"/>
    </row>
    <row r="59" spans="1:14" ht="15">
      <c r="A59" s="75" t="s">
        <v>68</v>
      </c>
      <c r="B59" s="120">
        <v>0</v>
      </c>
      <c r="C59" s="118">
        <f>B59*0.8866</f>
        <v>0</v>
      </c>
      <c r="D59" s="119">
        <f>B59-C59</f>
        <v>0</v>
      </c>
      <c r="E59" s="137">
        <f>(2.07+1.8)*6*2301.2-0.37*2301.2*6</f>
        <v>48325.2</v>
      </c>
      <c r="F59" s="141"/>
      <c r="G59" s="142"/>
      <c r="H59" s="137"/>
      <c r="I59" s="68"/>
      <c r="J59" s="68"/>
      <c r="K59" s="69"/>
      <c r="L59" s="69"/>
      <c r="M59" s="69"/>
      <c r="N59" s="69"/>
    </row>
    <row r="60" spans="1:14" ht="15.75" thickBot="1">
      <c r="A60" s="150" t="s">
        <v>69</v>
      </c>
      <c r="B60" s="151">
        <v>0</v>
      </c>
      <c r="C60" s="152">
        <f>B60*0.8866</f>
        <v>0</v>
      </c>
      <c r="D60" s="153">
        <f>B60-C60</f>
        <v>0</v>
      </c>
      <c r="E60" s="137"/>
      <c r="F60" s="141"/>
      <c r="G60" s="142"/>
      <c r="H60" s="132"/>
      <c r="I60" s="68"/>
      <c r="J60" s="68"/>
      <c r="K60" s="69"/>
      <c r="L60" s="69"/>
      <c r="M60" s="69"/>
      <c r="N60" s="69"/>
    </row>
    <row r="61" spans="1:14" ht="63">
      <c r="A61" s="154" t="s">
        <v>70</v>
      </c>
      <c r="B61" s="155" t="s">
        <v>71</v>
      </c>
      <c r="C61" s="156" t="s">
        <v>72</v>
      </c>
      <c r="D61" s="157" t="s">
        <v>73</v>
      </c>
      <c r="E61" s="137"/>
      <c r="F61" s="141"/>
      <c r="G61" s="132"/>
      <c r="H61" s="143"/>
      <c r="I61" s="68"/>
      <c r="J61" s="68"/>
      <c r="K61" s="69"/>
      <c r="L61" s="69"/>
      <c r="M61" s="69"/>
      <c r="N61" s="69"/>
    </row>
    <row r="62" spans="1:14" ht="15">
      <c r="A62" s="158" t="s">
        <v>66</v>
      </c>
      <c r="B62" s="124">
        <f>B57</f>
        <v>9601.94</v>
      </c>
      <c r="C62" s="125">
        <f>B62*0.9623</f>
        <v>9239.946862</v>
      </c>
      <c r="D62" s="159">
        <f>B62-C62</f>
        <v>361.9931379999998</v>
      </c>
      <c r="E62" s="137"/>
      <c r="F62" s="141"/>
      <c r="G62" s="132"/>
      <c r="H62" s="143"/>
      <c r="I62" s="68"/>
      <c r="J62" s="68" t="s">
        <v>32</v>
      </c>
      <c r="K62" s="69"/>
      <c r="L62" s="69"/>
      <c r="M62" s="69"/>
      <c r="N62" s="69"/>
    </row>
    <row r="63" spans="1:14" ht="15">
      <c r="A63" s="158" t="s">
        <v>67</v>
      </c>
      <c r="B63" s="124">
        <v>0</v>
      </c>
      <c r="C63" s="125">
        <f>C58*1.0063</f>
        <v>0</v>
      </c>
      <c r="D63" s="159">
        <f>B63-C63</f>
        <v>0</v>
      </c>
      <c r="E63" s="137"/>
      <c r="F63" s="141"/>
      <c r="G63" s="132"/>
      <c r="H63" s="143"/>
      <c r="I63" s="68"/>
      <c r="J63" s="68"/>
      <c r="K63" s="69"/>
      <c r="L63" s="69"/>
      <c r="M63" s="69"/>
      <c r="N63" s="69"/>
    </row>
    <row r="64" spans="1:14" ht="15">
      <c r="A64" s="158" t="s">
        <v>68</v>
      </c>
      <c r="B64" s="124">
        <v>0</v>
      </c>
      <c r="C64" s="125">
        <f>C59*1.0063</f>
        <v>0</v>
      </c>
      <c r="D64" s="159">
        <f>B64-C64</f>
        <v>0</v>
      </c>
      <c r="E64" s="137"/>
      <c r="F64" s="141"/>
      <c r="G64" s="132"/>
      <c r="H64" s="143"/>
      <c r="I64" s="68"/>
      <c r="J64" s="68"/>
      <c r="K64" s="69"/>
      <c r="L64" s="69"/>
      <c r="M64" s="69"/>
      <c r="N64" s="69"/>
    </row>
    <row r="65" spans="1:14" ht="15">
      <c r="A65" s="158" t="s">
        <v>74</v>
      </c>
      <c r="B65" s="124">
        <v>0</v>
      </c>
      <c r="C65" s="125">
        <f>C60*1.0063</f>
        <v>0</v>
      </c>
      <c r="D65" s="159">
        <f>B65-C65</f>
        <v>0</v>
      </c>
      <c r="E65" s="137"/>
      <c r="F65" s="141"/>
      <c r="G65" s="132"/>
      <c r="H65" s="143"/>
      <c r="I65" s="68"/>
      <c r="J65" s="68"/>
      <c r="K65" s="69"/>
      <c r="L65" s="69"/>
      <c r="M65" s="69"/>
      <c r="N65" s="69"/>
    </row>
    <row r="66" spans="1:14" ht="15.75" thickBot="1">
      <c r="A66" s="160" t="s">
        <v>69</v>
      </c>
      <c r="B66" s="161">
        <v>0</v>
      </c>
      <c r="C66" s="167">
        <v>0</v>
      </c>
      <c r="D66" s="163">
        <f>B66-C66</f>
        <v>0</v>
      </c>
      <c r="E66" s="137"/>
      <c r="F66" s="141"/>
      <c r="G66" s="132"/>
      <c r="H66" s="143" t="s">
        <v>32</v>
      </c>
      <c r="I66" s="68"/>
      <c r="J66" s="68"/>
      <c r="K66" s="69"/>
      <c r="L66" s="69"/>
      <c r="M66" s="69"/>
      <c r="N66" s="69"/>
    </row>
    <row r="67" spans="1:14" ht="15">
      <c r="A67" s="91"/>
      <c r="B67" s="87"/>
      <c r="C67" s="92"/>
      <c r="D67" s="93"/>
      <c r="E67" s="137"/>
      <c r="F67" s="141"/>
      <c r="G67" s="132"/>
      <c r="H67" s="143"/>
      <c r="I67" s="68"/>
      <c r="J67" s="68"/>
      <c r="K67" s="69"/>
      <c r="L67" s="69"/>
      <c r="M67" s="69"/>
      <c r="N67" s="69"/>
    </row>
    <row r="68" spans="1:14" ht="25.5">
      <c r="A68" s="94" t="s">
        <v>75</v>
      </c>
      <c r="B68" s="87" t="s">
        <v>16</v>
      </c>
      <c r="C68" s="95"/>
      <c r="D68" s="96">
        <v>0</v>
      </c>
      <c r="E68" s="137"/>
      <c r="F68" s="141"/>
      <c r="G68" s="132"/>
      <c r="H68" s="143"/>
      <c r="I68" s="68"/>
      <c r="J68" s="68" t="s">
        <v>32</v>
      </c>
      <c r="K68" s="69"/>
      <c r="L68" s="69"/>
      <c r="M68" s="69"/>
      <c r="N68" s="69"/>
    </row>
    <row r="69" spans="1:14" ht="17.25" customHeight="1">
      <c r="A69" s="264" t="s">
        <v>76</v>
      </c>
      <c r="B69" s="264"/>
      <c r="C69" s="264"/>
      <c r="D69" s="264"/>
      <c r="E69" s="144" t="e">
        <f>D69+B19</f>
        <v>#VALUE!</v>
      </c>
      <c r="F69" s="143"/>
      <c r="G69" s="132"/>
      <c r="H69" s="145" t="e">
        <f>E69-B18</f>
        <v>#VALUE!</v>
      </c>
      <c r="I69" s="68"/>
      <c r="J69" s="68"/>
      <c r="K69" s="69"/>
      <c r="L69" s="69"/>
      <c r="M69" s="69"/>
      <c r="N69" s="69"/>
    </row>
    <row r="70" spans="1:8" ht="21" customHeight="1">
      <c r="A70" s="99" t="s">
        <v>53</v>
      </c>
      <c r="B70" s="99" t="s">
        <v>54</v>
      </c>
      <c r="C70" s="100">
        <v>0</v>
      </c>
      <c r="D70" s="101"/>
      <c r="E70" s="146"/>
      <c r="F70" s="132"/>
      <c r="G70" s="132"/>
      <c r="H70" s="132"/>
    </row>
    <row r="71" spans="1:8" ht="21" customHeight="1">
      <c r="A71" s="99" t="s">
        <v>55</v>
      </c>
      <c r="B71" s="99" t="s">
        <v>54</v>
      </c>
      <c r="C71" s="99">
        <v>0</v>
      </c>
      <c r="D71" s="101"/>
      <c r="E71" s="146"/>
      <c r="F71" s="132"/>
      <c r="G71" s="132"/>
      <c r="H71" s="132"/>
    </row>
    <row r="72" spans="1:8" ht="18" customHeight="1">
      <c r="A72" s="99" t="s">
        <v>56</v>
      </c>
      <c r="B72" s="99" t="s">
        <v>54</v>
      </c>
      <c r="C72" s="99">
        <v>0</v>
      </c>
      <c r="D72" s="101"/>
      <c r="E72" s="146"/>
      <c r="F72" s="132"/>
      <c r="G72" s="132"/>
      <c r="H72" s="132"/>
    </row>
    <row r="73" spans="1:8" ht="16.5" customHeight="1">
      <c r="A73" s="99" t="s">
        <v>57</v>
      </c>
      <c r="B73" s="99" t="s">
        <v>16</v>
      </c>
      <c r="C73" s="99">
        <v>0</v>
      </c>
      <c r="D73" s="101"/>
      <c r="E73" s="146"/>
      <c r="F73" s="132"/>
      <c r="G73" s="132"/>
      <c r="H73" s="132"/>
    </row>
    <row r="74" spans="1:8" ht="15.75" customHeight="1">
      <c r="A74" s="258" t="s">
        <v>77</v>
      </c>
      <c r="B74" s="258"/>
      <c r="C74" s="258"/>
      <c r="D74" s="258"/>
      <c r="E74" s="146"/>
      <c r="F74" s="132"/>
      <c r="G74" s="132"/>
      <c r="H74" s="132"/>
    </row>
    <row r="75" spans="1:8" ht="18.75" customHeight="1">
      <c r="A75" s="99" t="s">
        <v>78</v>
      </c>
      <c r="B75" s="99" t="s">
        <v>54</v>
      </c>
      <c r="C75" s="99">
        <v>0</v>
      </c>
      <c r="D75" s="101"/>
      <c r="E75" s="146"/>
      <c r="F75" s="132"/>
      <c r="G75" s="132"/>
      <c r="H75" s="132"/>
    </row>
    <row r="76" spans="1:8" ht="21.75" customHeight="1">
      <c r="A76" s="99" t="s">
        <v>79</v>
      </c>
      <c r="B76" s="56" t="s">
        <v>54</v>
      </c>
      <c r="C76" s="56">
        <v>0</v>
      </c>
      <c r="D76" s="101"/>
      <c r="E76" s="146"/>
      <c r="F76" s="132"/>
      <c r="G76" s="132"/>
      <c r="H76" s="132"/>
    </row>
    <row r="77" spans="1:8" ht="36" customHeight="1">
      <c r="A77" s="103" t="s">
        <v>80</v>
      </c>
      <c r="B77" s="99" t="s">
        <v>16</v>
      </c>
      <c r="C77" s="99">
        <v>0</v>
      </c>
      <c r="D77" s="101"/>
      <c r="E77" s="146"/>
      <c r="F77" s="132"/>
      <c r="G77" s="132"/>
      <c r="H77" s="132"/>
    </row>
    <row r="78" spans="1:8" ht="15">
      <c r="A78" s="69"/>
      <c r="B78" s="69"/>
      <c r="C78" s="69"/>
      <c r="D78" s="104"/>
      <c r="E78" s="132"/>
      <c r="F78" s="132"/>
      <c r="G78" s="132"/>
      <c r="H78" s="132"/>
    </row>
    <row r="79" spans="1:14" s="1" customFormat="1" ht="12.75">
      <c r="A79"/>
      <c r="B79"/>
      <c r="C79"/>
      <c r="D79"/>
      <c r="H79" s="1" t="s">
        <v>32</v>
      </c>
      <c r="K79"/>
      <c r="L79"/>
      <c r="M79"/>
      <c r="N79"/>
    </row>
    <row r="80" spans="1:14" s="1" customFormat="1" ht="12.75">
      <c r="A80" t="s">
        <v>81</v>
      </c>
      <c r="B80"/>
      <c r="C80"/>
      <c r="D80"/>
      <c r="K80"/>
      <c r="L80"/>
      <c r="M80"/>
      <c r="N80"/>
    </row>
    <row r="81" spans="1:14" s="1" customFormat="1" ht="12.75">
      <c r="A81"/>
      <c r="B81"/>
      <c r="C81"/>
      <c r="D81"/>
      <c r="H81" s="1" t="s">
        <v>32</v>
      </c>
      <c r="K81"/>
      <c r="L81"/>
      <c r="M81"/>
      <c r="N81"/>
    </row>
    <row r="82" spans="1:14" s="1" customFormat="1" ht="12.75">
      <c r="A82" t="s">
        <v>82</v>
      </c>
      <c r="B82"/>
      <c r="C82"/>
      <c r="D82"/>
      <c r="K82"/>
      <c r="L82"/>
      <c r="M82"/>
      <c r="N82"/>
    </row>
    <row r="86" spans="1:14" s="1" customFormat="1" ht="12.75">
      <c r="A86"/>
      <c r="B86"/>
      <c r="C86"/>
      <c r="D86"/>
      <c r="E86" s="1" t="s">
        <v>32</v>
      </c>
      <c r="K86"/>
      <c r="L86"/>
      <c r="M86"/>
      <c r="N86"/>
    </row>
  </sheetData>
  <sheetProtection selectLockedCells="1" selectUnlockedCells="1"/>
  <mergeCells count="13">
    <mergeCell ref="A1:D1"/>
    <mergeCell ref="A2:D2"/>
    <mergeCell ref="A3:D3"/>
    <mergeCell ref="A4:D4"/>
    <mergeCell ref="A5:D5"/>
    <mergeCell ref="A7:D7"/>
    <mergeCell ref="A74:D74"/>
    <mergeCell ref="A14:D14"/>
    <mergeCell ref="A29:D29"/>
    <mergeCell ref="A43:D43"/>
    <mergeCell ref="A48:D48"/>
    <mergeCell ref="A55:D55"/>
    <mergeCell ref="A69:D69"/>
  </mergeCells>
  <printOptions/>
  <pageMargins left="0.5597222222222222" right="0.7875" top="0.34097222222222223" bottom="0.7875" header="0.5118055555555555" footer="0.5118055555555555"/>
  <pageSetup fitToHeight="3" fitToWidth="2" horizontalDpi="300" verticalDpi="300" orientation="landscape" paperSize="12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6"/>
  <sheetViews>
    <sheetView zoomScale="80" zoomScaleNormal="80" zoomScalePageLayoutView="0" workbookViewId="0" topLeftCell="A58">
      <selection activeCell="E18" sqref="E18:E26"/>
    </sheetView>
  </sheetViews>
  <sheetFormatPr defaultColWidth="11.57421875" defaultRowHeight="12.75"/>
  <cols>
    <col min="1" max="1" width="63.28125" style="0" customWidth="1"/>
    <col min="2" max="2" width="20.28125" style="0" customWidth="1"/>
    <col min="3" max="3" width="31.421875" style="0" customWidth="1"/>
    <col min="4" max="4" width="27.57421875" style="0" customWidth="1"/>
    <col min="5" max="5" width="16.8515625" style="1" customWidth="1"/>
    <col min="6" max="7" width="0" style="1" hidden="1" customWidth="1"/>
    <col min="8" max="8" width="11.57421875" style="1" customWidth="1"/>
    <col min="9" max="9" width="5.28125" style="1" customWidth="1"/>
    <col min="10" max="10" width="30.00390625" style="1" customWidth="1"/>
    <col min="11" max="12" width="23.28125" style="0" customWidth="1"/>
    <col min="13" max="13" width="6.57421875" style="0" customWidth="1"/>
    <col min="14" max="14" width="7.00390625" style="0" customWidth="1"/>
  </cols>
  <sheetData>
    <row r="1" spans="1:4" ht="18">
      <c r="A1" s="265" t="s">
        <v>0</v>
      </c>
      <c r="B1" s="265"/>
      <c r="C1" s="265"/>
      <c r="D1" s="265"/>
    </row>
    <row r="2" spans="1:4" ht="15.75">
      <c r="A2" s="266" t="s">
        <v>1</v>
      </c>
      <c r="B2" s="266"/>
      <c r="C2" s="266"/>
      <c r="D2" s="266"/>
    </row>
    <row r="3" spans="1:4" ht="15.75">
      <c r="A3" s="266" t="s">
        <v>2</v>
      </c>
      <c r="B3" s="266"/>
      <c r="C3" s="266"/>
      <c r="D3" s="266"/>
    </row>
    <row r="4" spans="1:4" ht="12.75">
      <c r="A4" s="267" t="s">
        <v>118</v>
      </c>
      <c r="B4" s="267"/>
      <c r="C4" s="267"/>
      <c r="D4" s="267"/>
    </row>
    <row r="5" spans="1:4" ht="12.75">
      <c r="A5" s="268" t="s">
        <v>171</v>
      </c>
      <c r="B5" s="267"/>
      <c r="C5" s="267"/>
      <c r="D5" s="267"/>
    </row>
    <row r="6" ht="9" customHeight="1">
      <c r="A6" s="2"/>
    </row>
    <row r="7" spans="1:4" ht="18" customHeight="1">
      <c r="A7" s="269" t="s">
        <v>4</v>
      </c>
      <c r="B7" s="269"/>
      <c r="C7" s="269"/>
      <c r="D7" s="269"/>
    </row>
    <row r="8" spans="1:3" ht="12.75">
      <c r="A8" s="2" t="s">
        <v>226</v>
      </c>
      <c r="C8" s="3"/>
    </row>
    <row r="9" spans="1:4" ht="12.75">
      <c r="A9" s="4" t="s">
        <v>5</v>
      </c>
      <c r="B9" s="4" t="s">
        <v>6</v>
      </c>
      <c r="C9" s="4" t="s">
        <v>7</v>
      </c>
      <c r="D9" s="5"/>
    </row>
    <row r="10" spans="1:4" ht="12.75">
      <c r="A10" s="6">
        <v>1</v>
      </c>
      <c r="B10" s="6">
        <v>2</v>
      </c>
      <c r="C10" s="6">
        <v>3</v>
      </c>
      <c r="D10" s="7">
        <v>4</v>
      </c>
    </row>
    <row r="11" spans="1:4" ht="12.75">
      <c r="A11" s="8" t="s">
        <v>8</v>
      </c>
      <c r="B11" s="9"/>
      <c r="C11" s="177" t="s">
        <v>172</v>
      </c>
      <c r="D11" s="10"/>
    </row>
    <row r="12" spans="1:4" ht="12.75">
      <c r="A12" s="8" t="s">
        <v>10</v>
      </c>
      <c r="B12" s="9"/>
      <c r="C12" s="177" t="s">
        <v>173</v>
      </c>
      <c r="D12" s="10"/>
    </row>
    <row r="13" spans="1:4" ht="12.75">
      <c r="A13" s="8" t="s">
        <v>12</v>
      </c>
      <c r="B13" s="9"/>
      <c r="C13" s="177" t="s">
        <v>174</v>
      </c>
      <c r="D13" s="10"/>
    </row>
    <row r="14" spans="1:4" ht="31.5" customHeight="1">
      <c r="A14" s="259" t="s">
        <v>14</v>
      </c>
      <c r="B14" s="259"/>
      <c r="C14" s="259"/>
      <c r="D14" s="259"/>
    </row>
    <row r="15" spans="1:4" ht="25.5">
      <c r="A15" s="11" t="s">
        <v>15</v>
      </c>
      <c r="B15" s="12" t="s">
        <v>16</v>
      </c>
      <c r="C15" s="13">
        <v>25303.9</v>
      </c>
      <c r="D15" s="14"/>
    </row>
    <row r="16" spans="1:4" ht="15">
      <c r="A16" s="8" t="s">
        <v>17</v>
      </c>
      <c r="B16" s="12" t="s">
        <v>16</v>
      </c>
      <c r="C16" s="13">
        <v>0</v>
      </c>
      <c r="D16" s="14"/>
    </row>
    <row r="17" spans="1:5" ht="15">
      <c r="A17" s="8" t="s">
        <v>18</v>
      </c>
      <c r="B17" s="12" t="s">
        <v>16</v>
      </c>
      <c r="C17" s="15">
        <v>3737.38</v>
      </c>
      <c r="D17" s="16"/>
      <c r="E17" s="1" t="e">
        <f>B17/12/1022.6</f>
        <v>#VALUE!</v>
      </c>
    </row>
    <row r="18" spans="1:5" ht="31.5" customHeight="1">
      <c r="A18" s="17" t="s">
        <v>19</v>
      </c>
      <c r="B18" s="12" t="s">
        <v>16</v>
      </c>
      <c r="C18" s="15">
        <f>C19+C20+C21</f>
        <v>24215.219999999998</v>
      </c>
      <c r="D18" s="16"/>
      <c r="E18" s="133">
        <f>C18-C20</f>
        <v>18546.672</v>
      </c>
    </row>
    <row r="19" spans="1:5" ht="15">
      <c r="A19" s="8" t="s">
        <v>20</v>
      </c>
      <c r="B19" s="12" t="s">
        <v>16</v>
      </c>
      <c r="C19" s="15">
        <v>9750.96</v>
      </c>
      <c r="D19" s="16"/>
      <c r="E19" s="133">
        <f>E18-E39</f>
        <v>-0.004000000000814907</v>
      </c>
    </row>
    <row r="20" spans="1:5" ht="15">
      <c r="A20" s="8" t="s">
        <v>21</v>
      </c>
      <c r="B20" s="12" t="s">
        <v>16</v>
      </c>
      <c r="C20" s="15">
        <f>(0.76+0.13)*6*150.2+4866.48</f>
        <v>5668.548</v>
      </c>
      <c r="D20" s="16"/>
      <c r="E20" s="134"/>
    </row>
    <row r="21" spans="1:5" ht="15">
      <c r="A21" s="8" t="s">
        <v>22</v>
      </c>
      <c r="B21" s="12" t="s">
        <v>16</v>
      </c>
      <c r="C21" s="20">
        <f>150.2*4.88*12</f>
        <v>8795.712</v>
      </c>
      <c r="D21" s="16"/>
      <c r="E21" s="132"/>
    </row>
    <row r="22" spans="1:5" ht="15">
      <c r="A22" s="21" t="s">
        <v>23</v>
      </c>
      <c r="B22" s="12" t="s">
        <v>16</v>
      </c>
      <c r="C22" s="15">
        <f>C23+C24+C25+C26+C27</f>
        <v>25590.644495999997</v>
      </c>
      <c r="D22" s="16" t="s">
        <v>24</v>
      </c>
      <c r="E22" s="133" t="e">
        <f>B24+B25+B26+B27+B28</f>
        <v>#VALUE!</v>
      </c>
    </row>
    <row r="23" spans="1:5" ht="15">
      <c r="A23" s="8" t="s">
        <v>25</v>
      </c>
      <c r="B23" s="12" t="s">
        <v>16</v>
      </c>
      <c r="C23" s="15">
        <f>C18*1.0568</f>
        <v>25590.644495999997</v>
      </c>
      <c r="D23" s="16"/>
      <c r="E23" s="132"/>
    </row>
    <row r="24" spans="1:8" ht="15">
      <c r="A24" s="8" t="s">
        <v>26</v>
      </c>
      <c r="B24" s="12" t="s">
        <v>16</v>
      </c>
      <c r="C24" s="15">
        <v>0</v>
      </c>
      <c r="D24" s="22">
        <v>65.21</v>
      </c>
      <c r="E24" s="134" t="e">
        <f>B24/#REF!*1</f>
        <v>#VALUE!</v>
      </c>
      <c r="H24" s="1" t="s">
        <v>27</v>
      </c>
    </row>
    <row r="25" spans="1:5" ht="15">
      <c r="A25" s="8" t="s">
        <v>28</v>
      </c>
      <c r="B25" s="12" t="s">
        <v>16</v>
      </c>
      <c r="C25" s="15">
        <v>0</v>
      </c>
      <c r="D25" s="22">
        <v>119.63</v>
      </c>
      <c r="E25" s="134" t="e">
        <f>B25/#REF!*1</f>
        <v>#VALUE!</v>
      </c>
    </row>
    <row r="26" spans="1:5" ht="15">
      <c r="A26" s="9" t="s">
        <v>29</v>
      </c>
      <c r="B26" s="12" t="s">
        <v>16</v>
      </c>
      <c r="C26" s="15">
        <v>0</v>
      </c>
      <c r="D26" s="22"/>
      <c r="E26" s="134" t="e">
        <f>B26/#REF!*1</f>
        <v>#VALUE!</v>
      </c>
    </row>
    <row r="27" spans="1:5" ht="16.5" customHeight="1">
      <c r="A27" s="116" t="s">
        <v>112</v>
      </c>
      <c r="B27" s="12" t="s">
        <v>16</v>
      </c>
      <c r="C27" s="15">
        <v>0</v>
      </c>
      <c r="D27" s="22">
        <v>139.18</v>
      </c>
      <c r="E27" s="19" t="e">
        <f>B27/#REF!*1</f>
        <v>#VALUE!</v>
      </c>
    </row>
    <row r="28" spans="1:5" ht="15">
      <c r="A28" s="8" t="s">
        <v>31</v>
      </c>
      <c r="B28" s="12" t="s">
        <v>16</v>
      </c>
      <c r="C28" s="15">
        <f>C15+C22</f>
        <v>50894.544496</v>
      </c>
      <c r="D28" s="16" t="s">
        <v>32</v>
      </c>
      <c r="E28" s="19" t="e">
        <f>B28/#REF!*1</f>
        <v>#VALUE!</v>
      </c>
    </row>
    <row r="29" spans="1:4" ht="35.25" customHeight="1">
      <c r="A29" s="260" t="s">
        <v>33</v>
      </c>
      <c r="B29" s="260"/>
      <c r="C29" s="260"/>
      <c r="D29" s="260"/>
    </row>
    <row r="30" spans="1:8" ht="60">
      <c r="A30" s="23" t="s">
        <v>34</v>
      </c>
      <c r="B30" s="24" t="s">
        <v>35</v>
      </c>
      <c r="C30" s="25" t="s">
        <v>36</v>
      </c>
      <c r="D30" s="26" t="s">
        <v>37</v>
      </c>
      <c r="E30" s="132"/>
      <c r="F30" s="132"/>
      <c r="G30" s="132"/>
      <c r="H30" s="132"/>
    </row>
    <row r="31" spans="1:8" ht="15">
      <c r="A31" s="27" t="s">
        <v>38</v>
      </c>
      <c r="B31" s="28" t="s">
        <v>39</v>
      </c>
      <c r="C31" s="29" t="s">
        <v>40</v>
      </c>
      <c r="D31" s="107">
        <f>(0.17+0.16)*6*150.2</f>
        <v>297.39599999999996</v>
      </c>
      <c r="E31" s="132"/>
      <c r="F31" s="132"/>
      <c r="G31" s="132"/>
      <c r="H31" s="132"/>
    </row>
    <row r="32" spans="1:8" ht="15">
      <c r="A32" s="31" t="s">
        <v>41</v>
      </c>
      <c r="B32" s="32" t="s">
        <v>42</v>
      </c>
      <c r="C32" s="33" t="s">
        <v>43</v>
      </c>
      <c r="D32" s="34">
        <f>(3.03+3)*6*150.2</f>
        <v>5434.235999999998</v>
      </c>
      <c r="E32" s="132"/>
      <c r="F32" s="132"/>
      <c r="G32" s="132"/>
      <c r="H32" s="132"/>
    </row>
    <row r="33" spans="1:8" ht="15">
      <c r="A33" s="31" t="s">
        <v>44</v>
      </c>
      <c r="B33" s="32" t="s">
        <v>39</v>
      </c>
      <c r="C33" s="33" t="s">
        <v>45</v>
      </c>
      <c r="D33" s="108">
        <f>(0.21+0.2)*6*150.2</f>
        <v>369.49199999999996</v>
      </c>
      <c r="E33" s="132"/>
      <c r="F33" s="132"/>
      <c r="G33" s="132"/>
      <c r="H33" s="132"/>
    </row>
    <row r="34" spans="1:8" ht="15">
      <c r="A34" s="31" t="s">
        <v>115</v>
      </c>
      <c r="B34" s="32" t="s">
        <v>39</v>
      </c>
      <c r="C34" s="33" t="s">
        <v>40</v>
      </c>
      <c r="D34" s="108">
        <f>(0.23+0.22)*6*150.2</f>
        <v>405.54</v>
      </c>
      <c r="E34" s="132"/>
      <c r="F34" s="132"/>
      <c r="G34" s="132"/>
      <c r="H34" s="132"/>
    </row>
    <row r="35" spans="1:8" ht="15">
      <c r="A35" s="31" t="s">
        <v>90</v>
      </c>
      <c r="B35" s="106" t="s">
        <v>91</v>
      </c>
      <c r="C35" s="33" t="s">
        <v>40</v>
      </c>
      <c r="D35" s="108">
        <f>(1.33+1.27)*6*150.1</f>
        <v>2341.56</v>
      </c>
      <c r="E35" s="132"/>
      <c r="F35" s="132"/>
      <c r="G35" s="132"/>
      <c r="H35" s="132"/>
    </row>
    <row r="36" spans="1:8" ht="15">
      <c r="A36" s="31" t="s">
        <v>46</v>
      </c>
      <c r="B36" s="32" t="s">
        <v>42</v>
      </c>
      <c r="C36" s="35" t="s">
        <v>47</v>
      </c>
      <c r="D36" s="108">
        <f>4.88*150.2*12</f>
        <v>8795.712</v>
      </c>
      <c r="E36" s="132"/>
      <c r="F36" s="132"/>
      <c r="G36" s="132"/>
      <c r="H36" s="132"/>
    </row>
    <row r="37" spans="1:14" s="1" customFormat="1" ht="45">
      <c r="A37" s="36" t="s">
        <v>48</v>
      </c>
      <c r="B37" s="37" t="s">
        <v>49</v>
      </c>
      <c r="C37" s="38"/>
      <c r="D37" s="39">
        <v>0</v>
      </c>
      <c r="E37" s="132"/>
      <c r="F37" s="132"/>
      <c r="G37" s="132"/>
      <c r="H37" s="132"/>
      <c r="K37"/>
      <c r="L37"/>
      <c r="M37"/>
      <c r="N37"/>
    </row>
    <row r="38" spans="1:14" s="1" customFormat="1" ht="45">
      <c r="A38" s="109" t="s">
        <v>95</v>
      </c>
      <c r="B38" s="110" t="s">
        <v>96</v>
      </c>
      <c r="C38" s="111" t="s">
        <v>97</v>
      </c>
      <c r="D38" s="112">
        <v>902.74</v>
      </c>
      <c r="E38" s="132"/>
      <c r="F38" s="132"/>
      <c r="G38" s="132"/>
      <c r="H38" s="132"/>
      <c r="K38"/>
      <c r="L38"/>
      <c r="M38"/>
      <c r="N38"/>
    </row>
    <row r="39" spans="1:14" s="1" customFormat="1" ht="15.75">
      <c r="A39" s="40" t="s">
        <v>50</v>
      </c>
      <c r="B39" s="41"/>
      <c r="C39" s="42"/>
      <c r="D39" s="113">
        <f>SUM(D31:D38)</f>
        <v>18546.676</v>
      </c>
      <c r="E39" s="135">
        <f>D39-D37</f>
        <v>18546.676</v>
      </c>
      <c r="F39" s="132"/>
      <c r="G39" s="132"/>
      <c r="H39" s="132"/>
      <c r="K39"/>
      <c r="L39"/>
      <c r="M39"/>
      <c r="N39"/>
    </row>
    <row r="40" spans="1:14" s="1" customFormat="1" ht="15">
      <c r="A40" s="43" t="s">
        <v>51</v>
      </c>
      <c r="B40" s="44" t="s">
        <v>16</v>
      </c>
      <c r="C40" s="45"/>
      <c r="D40" s="46">
        <f>C15+C20*1.0568-D37</f>
        <v>31294.4215264</v>
      </c>
      <c r="E40" s="135"/>
      <c r="F40" s="132"/>
      <c r="G40" s="132"/>
      <c r="H40" s="132"/>
      <c r="K40"/>
      <c r="L40"/>
      <c r="M40"/>
      <c r="N40"/>
    </row>
    <row r="41" spans="1:14" s="1" customFormat="1" ht="15">
      <c r="A41" s="48" t="s">
        <v>17</v>
      </c>
      <c r="B41" s="49" t="s">
        <v>16</v>
      </c>
      <c r="C41" s="33"/>
      <c r="D41" s="14">
        <v>0</v>
      </c>
      <c r="E41" s="132"/>
      <c r="F41" s="132"/>
      <c r="G41" s="132"/>
      <c r="H41" s="132"/>
      <c r="K41"/>
      <c r="L41"/>
      <c r="M41"/>
      <c r="N41"/>
    </row>
    <row r="42" spans="1:14" s="1" customFormat="1" ht="15">
      <c r="A42" s="48" t="s">
        <v>18</v>
      </c>
      <c r="B42" s="49" t="s">
        <v>16</v>
      </c>
      <c r="C42" s="33"/>
      <c r="D42" s="14">
        <v>15245.46</v>
      </c>
      <c r="E42" s="132"/>
      <c r="F42" s="132"/>
      <c r="G42" s="132"/>
      <c r="H42" s="132"/>
      <c r="K42"/>
      <c r="L42"/>
      <c r="M42"/>
      <c r="N42"/>
    </row>
    <row r="43" spans="1:14" s="1" customFormat="1" ht="24" customHeight="1">
      <c r="A43" s="261" t="s">
        <v>52</v>
      </c>
      <c r="B43" s="261"/>
      <c r="C43" s="261"/>
      <c r="D43" s="261"/>
      <c r="E43" s="132"/>
      <c r="F43" s="132"/>
      <c r="G43" s="132"/>
      <c r="H43" s="132"/>
      <c r="K43"/>
      <c r="L43"/>
      <c r="M43"/>
      <c r="N43"/>
    </row>
    <row r="44" spans="1:14" s="1" customFormat="1" ht="15">
      <c r="A44" s="48" t="s">
        <v>53</v>
      </c>
      <c r="B44" s="32" t="s">
        <v>54</v>
      </c>
      <c r="C44" s="33"/>
      <c r="D44" s="14">
        <v>0</v>
      </c>
      <c r="E44" s="132"/>
      <c r="F44" s="132"/>
      <c r="G44" s="132"/>
      <c r="H44" s="132"/>
      <c r="K44"/>
      <c r="L44"/>
      <c r="M44"/>
      <c r="N44"/>
    </row>
    <row r="45" spans="1:14" s="1" customFormat="1" ht="15">
      <c r="A45" s="48" t="s">
        <v>55</v>
      </c>
      <c r="B45" s="32" t="s">
        <v>54</v>
      </c>
      <c r="C45" s="33"/>
      <c r="D45" s="14">
        <v>0</v>
      </c>
      <c r="E45" s="132"/>
      <c r="F45" s="132"/>
      <c r="G45" s="132"/>
      <c r="H45" s="132"/>
      <c r="K45"/>
      <c r="L45"/>
      <c r="M45"/>
      <c r="N45"/>
    </row>
    <row r="46" spans="1:14" s="1" customFormat="1" ht="15">
      <c r="A46" s="50" t="s">
        <v>56</v>
      </c>
      <c r="B46" s="32" t="s">
        <v>54</v>
      </c>
      <c r="C46" s="33"/>
      <c r="D46" s="14">
        <v>0</v>
      </c>
      <c r="E46" s="132"/>
      <c r="F46" s="132"/>
      <c r="G46" s="132"/>
      <c r="H46" s="132"/>
      <c r="K46"/>
      <c r="L46"/>
      <c r="M46"/>
      <c r="N46"/>
    </row>
    <row r="47" spans="1:14" s="1" customFormat="1" ht="15">
      <c r="A47" s="48" t="s">
        <v>57</v>
      </c>
      <c r="B47" s="32" t="s">
        <v>16</v>
      </c>
      <c r="C47" s="33"/>
      <c r="D47" s="14">
        <v>0</v>
      </c>
      <c r="E47" s="132"/>
      <c r="F47" s="132"/>
      <c r="G47" s="132"/>
      <c r="H47" s="132"/>
      <c r="K47"/>
      <c r="L47"/>
      <c r="M47"/>
      <c r="N47"/>
    </row>
    <row r="48" spans="1:8" ht="20.25" customHeight="1">
      <c r="A48" s="262" t="s">
        <v>58</v>
      </c>
      <c r="B48" s="262"/>
      <c r="C48" s="262"/>
      <c r="D48" s="262"/>
      <c r="E48" s="132"/>
      <c r="F48" s="132"/>
      <c r="G48" s="132"/>
      <c r="H48" s="132"/>
    </row>
    <row r="49" spans="1:8" ht="25.5">
      <c r="A49" s="50" t="s">
        <v>59</v>
      </c>
      <c r="B49" s="32" t="s">
        <v>16</v>
      </c>
      <c r="C49" s="33"/>
      <c r="D49" s="14">
        <v>0</v>
      </c>
      <c r="E49" s="132"/>
      <c r="F49" s="132"/>
      <c r="G49" s="132"/>
      <c r="H49" s="132"/>
    </row>
    <row r="50" spans="1:8" ht="15">
      <c r="A50" s="48" t="s">
        <v>17</v>
      </c>
      <c r="B50" s="32" t="s">
        <v>16</v>
      </c>
      <c r="C50" s="33"/>
      <c r="D50" s="14">
        <v>0</v>
      </c>
      <c r="E50" s="132"/>
      <c r="F50" s="132"/>
      <c r="G50" s="132"/>
      <c r="H50" s="132"/>
    </row>
    <row r="51" spans="1:8" ht="15">
      <c r="A51" s="48" t="s">
        <v>18</v>
      </c>
      <c r="B51" s="32" t="s">
        <v>16</v>
      </c>
      <c r="C51" s="33"/>
      <c r="D51" s="51">
        <f>D54-D57-D58-D59</f>
        <v>11116.348944000001</v>
      </c>
      <c r="E51" s="132"/>
      <c r="F51" s="132"/>
      <c r="G51" s="132"/>
      <c r="H51" s="136"/>
    </row>
    <row r="52" spans="1:8" ht="25.5">
      <c r="A52" s="53" t="s">
        <v>60</v>
      </c>
      <c r="B52" s="32" t="s">
        <v>16</v>
      </c>
      <c r="C52" s="54"/>
      <c r="D52" s="55">
        <v>0</v>
      </c>
      <c r="E52" s="132"/>
      <c r="F52" s="132"/>
      <c r="G52" s="132"/>
      <c r="H52" s="132"/>
    </row>
    <row r="53" spans="1:10" ht="17.25" customHeight="1">
      <c r="A53" s="56" t="s">
        <v>17</v>
      </c>
      <c r="B53" s="32" t="s">
        <v>16</v>
      </c>
      <c r="C53" s="57"/>
      <c r="D53" s="58">
        <v>0</v>
      </c>
      <c r="E53" s="132"/>
      <c r="F53" s="132"/>
      <c r="G53" s="132"/>
      <c r="H53" s="132"/>
      <c r="I53" s="52"/>
      <c r="J53" s="52"/>
    </row>
    <row r="54" spans="1:14" ht="15">
      <c r="A54" s="59" t="s">
        <v>18</v>
      </c>
      <c r="B54" s="32" t="s">
        <v>16</v>
      </c>
      <c r="C54" s="60"/>
      <c r="D54" s="61">
        <v>10196.44</v>
      </c>
      <c r="E54" s="132"/>
      <c r="F54" s="132"/>
      <c r="G54" s="132"/>
      <c r="H54" s="132" t="s">
        <v>32</v>
      </c>
      <c r="I54" s="63"/>
      <c r="J54" s="63"/>
      <c r="K54" s="64"/>
      <c r="L54" s="64"/>
      <c r="M54" s="64"/>
      <c r="N54" s="64"/>
    </row>
    <row r="55" spans="1:14" ht="18" customHeight="1">
      <c r="A55" s="263" t="s">
        <v>61</v>
      </c>
      <c r="B55" s="263"/>
      <c r="C55" s="263"/>
      <c r="D55" s="263"/>
      <c r="E55" s="137"/>
      <c r="F55" s="138"/>
      <c r="G55" s="139"/>
      <c r="H55" s="132"/>
      <c r="I55" s="68"/>
      <c r="J55" s="68"/>
      <c r="K55" s="69"/>
      <c r="L55" s="69"/>
      <c r="M55" s="69"/>
      <c r="N55" s="69"/>
    </row>
    <row r="56" spans="1:14" ht="47.25">
      <c r="A56" s="70" t="s">
        <v>62</v>
      </c>
      <c r="B56" s="71" t="s">
        <v>63</v>
      </c>
      <c r="C56" s="72" t="s">
        <v>64</v>
      </c>
      <c r="D56" s="73" t="s">
        <v>65</v>
      </c>
      <c r="E56" s="137"/>
      <c r="F56" s="138"/>
      <c r="G56" s="139"/>
      <c r="H56" s="132"/>
      <c r="I56" s="68"/>
      <c r="J56" s="74"/>
      <c r="K56" s="69"/>
      <c r="L56" s="69"/>
      <c r="M56" s="69"/>
      <c r="N56" s="69"/>
    </row>
    <row r="57" spans="1:14" ht="15">
      <c r="A57" s="75" t="s">
        <v>66</v>
      </c>
      <c r="B57" s="117">
        <v>16195.58</v>
      </c>
      <c r="C57" s="118">
        <f>B57*1.0568</f>
        <v>17115.488944</v>
      </c>
      <c r="D57" s="119">
        <f>B57-C57</f>
        <v>-919.9089440000007</v>
      </c>
      <c r="E57" s="140"/>
      <c r="F57" s="138"/>
      <c r="G57" s="139"/>
      <c r="H57" s="132"/>
      <c r="I57" s="68"/>
      <c r="J57" s="68"/>
      <c r="K57" s="69"/>
      <c r="L57" s="69"/>
      <c r="M57" s="69"/>
      <c r="N57" s="69"/>
    </row>
    <row r="58" spans="1:14" ht="15">
      <c r="A58" s="75" t="s">
        <v>67</v>
      </c>
      <c r="B58" s="117">
        <v>0</v>
      </c>
      <c r="C58" s="118">
        <f>B58*0.8866</f>
        <v>0</v>
      </c>
      <c r="D58" s="119">
        <f>B58-C58</f>
        <v>0</v>
      </c>
      <c r="E58" s="137"/>
      <c r="F58" s="138"/>
      <c r="G58" s="139"/>
      <c r="H58" s="132"/>
      <c r="I58" s="68"/>
      <c r="J58" s="68"/>
      <c r="K58" s="69"/>
      <c r="L58" s="69"/>
      <c r="M58" s="69"/>
      <c r="N58" s="69"/>
    </row>
    <row r="59" spans="1:14" ht="15">
      <c r="A59" s="75" t="s">
        <v>68</v>
      </c>
      <c r="B59" s="120">
        <v>0</v>
      </c>
      <c r="C59" s="118">
        <f>B59*0.8866</f>
        <v>0</v>
      </c>
      <c r="D59" s="119">
        <f>B59-C59</f>
        <v>0</v>
      </c>
      <c r="E59" s="137">
        <f>(2.07+1.8)*6*2301.2-0.37*2301.2*6</f>
        <v>48325.2</v>
      </c>
      <c r="F59" s="141"/>
      <c r="G59" s="142"/>
      <c r="H59" s="137"/>
      <c r="I59" s="68"/>
      <c r="J59" s="68"/>
      <c r="K59" s="69"/>
      <c r="L59" s="69"/>
      <c r="M59" s="69"/>
      <c r="N59" s="69"/>
    </row>
    <row r="60" spans="1:14" ht="15.75" thickBot="1">
      <c r="A60" s="150" t="s">
        <v>69</v>
      </c>
      <c r="B60" s="151">
        <v>0</v>
      </c>
      <c r="C60" s="152">
        <f>B60*0.8866</f>
        <v>0</v>
      </c>
      <c r="D60" s="153">
        <f>B60-C60</f>
        <v>0</v>
      </c>
      <c r="E60" s="137"/>
      <c r="F60" s="141"/>
      <c r="G60" s="142"/>
      <c r="H60" s="132"/>
      <c r="I60" s="68"/>
      <c r="J60" s="68"/>
      <c r="K60" s="69"/>
      <c r="L60" s="69"/>
      <c r="M60" s="69"/>
      <c r="N60" s="69"/>
    </row>
    <row r="61" spans="1:14" ht="63">
      <c r="A61" s="154" t="s">
        <v>70</v>
      </c>
      <c r="B61" s="155" t="s">
        <v>71</v>
      </c>
      <c r="C61" s="156" t="s">
        <v>72</v>
      </c>
      <c r="D61" s="157" t="s">
        <v>73</v>
      </c>
      <c r="E61" s="137"/>
      <c r="F61" s="141"/>
      <c r="G61" s="132"/>
      <c r="H61" s="143"/>
      <c r="I61" s="68"/>
      <c r="J61" s="68"/>
      <c r="K61" s="69"/>
      <c r="L61" s="69"/>
      <c r="M61" s="69"/>
      <c r="N61" s="69"/>
    </row>
    <row r="62" spans="1:14" ht="15">
      <c r="A62" s="158" t="s">
        <v>66</v>
      </c>
      <c r="B62" s="124">
        <f>B57</f>
        <v>16195.58</v>
      </c>
      <c r="C62" s="125">
        <v>17115.49</v>
      </c>
      <c r="D62" s="159">
        <f>B62-C62</f>
        <v>-919.9100000000017</v>
      </c>
      <c r="E62" s="137"/>
      <c r="F62" s="141"/>
      <c r="G62" s="132"/>
      <c r="H62" s="143"/>
      <c r="I62" s="68"/>
      <c r="J62" s="68" t="s">
        <v>32</v>
      </c>
      <c r="K62" s="69"/>
      <c r="L62" s="69"/>
      <c r="M62" s="69"/>
      <c r="N62" s="69"/>
    </row>
    <row r="63" spans="1:14" ht="15">
      <c r="A63" s="158" t="s">
        <v>67</v>
      </c>
      <c r="B63" s="124">
        <v>0</v>
      </c>
      <c r="C63" s="125">
        <f>C58*1.0063</f>
        <v>0</v>
      </c>
      <c r="D63" s="159">
        <f>B63-C63</f>
        <v>0</v>
      </c>
      <c r="E63" s="137"/>
      <c r="F63" s="141"/>
      <c r="G63" s="132"/>
      <c r="H63" s="143"/>
      <c r="I63" s="68"/>
      <c r="J63" s="68"/>
      <c r="K63" s="69"/>
      <c r="L63" s="69"/>
      <c r="M63" s="69"/>
      <c r="N63" s="69"/>
    </row>
    <row r="64" spans="1:14" ht="15">
      <c r="A64" s="158" t="s">
        <v>68</v>
      </c>
      <c r="B64" s="124">
        <v>0</v>
      </c>
      <c r="C64" s="125">
        <f>C59*1.0063</f>
        <v>0</v>
      </c>
      <c r="D64" s="159">
        <f>B64-C64</f>
        <v>0</v>
      </c>
      <c r="E64" s="137"/>
      <c r="F64" s="141"/>
      <c r="G64" s="132"/>
      <c r="H64" s="143"/>
      <c r="I64" s="68"/>
      <c r="J64" s="68"/>
      <c r="K64" s="69"/>
      <c r="L64" s="69"/>
      <c r="M64" s="69"/>
      <c r="N64" s="69"/>
    </row>
    <row r="65" spans="1:14" ht="15">
      <c r="A65" s="158" t="s">
        <v>74</v>
      </c>
      <c r="B65" s="124">
        <v>0</v>
      </c>
      <c r="C65" s="125">
        <f>C60*1.0063</f>
        <v>0</v>
      </c>
      <c r="D65" s="159">
        <f>B65-C65</f>
        <v>0</v>
      </c>
      <c r="E65" s="137"/>
      <c r="F65" s="141"/>
      <c r="G65" s="132"/>
      <c r="H65" s="143"/>
      <c r="I65" s="68"/>
      <c r="J65" s="68"/>
      <c r="K65" s="69"/>
      <c r="L65" s="69"/>
      <c r="M65" s="69"/>
      <c r="N65" s="69"/>
    </row>
    <row r="66" spans="1:14" ht="15.75" thickBot="1">
      <c r="A66" s="160" t="s">
        <v>69</v>
      </c>
      <c r="B66" s="161">
        <v>0</v>
      </c>
      <c r="C66" s="167">
        <v>0</v>
      </c>
      <c r="D66" s="163">
        <f>B66-C66</f>
        <v>0</v>
      </c>
      <c r="E66" s="137"/>
      <c r="F66" s="141"/>
      <c r="G66" s="132"/>
      <c r="H66" s="143" t="s">
        <v>32</v>
      </c>
      <c r="I66" s="68"/>
      <c r="J66" s="68"/>
      <c r="K66" s="69"/>
      <c r="L66" s="69"/>
      <c r="M66" s="69"/>
      <c r="N66" s="69"/>
    </row>
    <row r="67" spans="1:14" ht="15">
      <c r="A67" s="91"/>
      <c r="B67" s="87"/>
      <c r="C67" s="92"/>
      <c r="D67" s="93"/>
      <c r="E67" s="65"/>
      <c r="F67" s="81"/>
      <c r="H67" s="68"/>
      <c r="I67" s="68"/>
      <c r="J67" s="68"/>
      <c r="K67" s="69"/>
      <c r="L67" s="69"/>
      <c r="M67" s="69"/>
      <c r="N67" s="69"/>
    </row>
    <row r="68" spans="1:14" ht="25.5">
      <c r="A68" s="94" t="s">
        <v>75</v>
      </c>
      <c r="B68" s="87" t="s">
        <v>16</v>
      </c>
      <c r="C68" s="95"/>
      <c r="D68" s="96">
        <v>0</v>
      </c>
      <c r="E68" s="65"/>
      <c r="F68" s="81"/>
      <c r="H68" s="68"/>
      <c r="I68" s="68"/>
      <c r="J68" s="68" t="s">
        <v>32</v>
      </c>
      <c r="K68" s="69"/>
      <c r="L68" s="69"/>
      <c r="M68" s="69"/>
      <c r="N68" s="69"/>
    </row>
    <row r="69" spans="1:14" ht="17.25" customHeight="1">
      <c r="A69" s="264" t="s">
        <v>76</v>
      </c>
      <c r="B69" s="264"/>
      <c r="C69" s="264"/>
      <c r="D69" s="264"/>
      <c r="E69" s="97" t="e">
        <f>D69+B19</f>
        <v>#VALUE!</v>
      </c>
      <c r="F69" s="68"/>
      <c r="H69" s="98" t="e">
        <f>E69-B18</f>
        <v>#VALUE!</v>
      </c>
      <c r="I69" s="68"/>
      <c r="J69" s="68"/>
      <c r="K69" s="69"/>
      <c r="L69" s="69"/>
      <c r="M69" s="69"/>
      <c r="N69" s="69"/>
    </row>
    <row r="70" spans="1:5" ht="21" customHeight="1">
      <c r="A70" s="99" t="s">
        <v>53</v>
      </c>
      <c r="B70" s="99" t="s">
        <v>54</v>
      </c>
      <c r="C70" s="100">
        <v>0</v>
      </c>
      <c r="D70" s="101"/>
      <c r="E70" s="102"/>
    </row>
    <row r="71" spans="1:5" ht="21" customHeight="1">
      <c r="A71" s="99" t="s">
        <v>55</v>
      </c>
      <c r="B71" s="99" t="s">
        <v>54</v>
      </c>
      <c r="C71" s="99">
        <v>0</v>
      </c>
      <c r="D71" s="101"/>
      <c r="E71" s="102"/>
    </row>
    <row r="72" spans="1:5" ht="18" customHeight="1">
      <c r="A72" s="99" t="s">
        <v>56</v>
      </c>
      <c r="B72" s="99" t="s">
        <v>54</v>
      </c>
      <c r="C72" s="99">
        <v>0</v>
      </c>
      <c r="D72" s="101"/>
      <c r="E72" s="102"/>
    </row>
    <row r="73" spans="1:5" ht="16.5" customHeight="1">
      <c r="A73" s="99" t="s">
        <v>57</v>
      </c>
      <c r="B73" s="99" t="s">
        <v>16</v>
      </c>
      <c r="C73" s="99">
        <v>0</v>
      </c>
      <c r="D73" s="101"/>
      <c r="E73" s="102"/>
    </row>
    <row r="74" spans="1:5" ht="15.75" customHeight="1">
      <c r="A74" s="258" t="s">
        <v>77</v>
      </c>
      <c r="B74" s="258"/>
      <c r="C74" s="258"/>
      <c r="D74" s="258"/>
      <c r="E74" s="102"/>
    </row>
    <row r="75" spans="1:5" ht="18.75" customHeight="1">
      <c r="A75" s="99" t="s">
        <v>78</v>
      </c>
      <c r="B75" s="99" t="s">
        <v>54</v>
      </c>
      <c r="C75" s="99">
        <v>0</v>
      </c>
      <c r="D75" s="101"/>
      <c r="E75" s="102"/>
    </row>
    <row r="76" spans="1:5" ht="21.75" customHeight="1">
      <c r="A76" s="99" t="s">
        <v>79</v>
      </c>
      <c r="B76" s="56" t="s">
        <v>54</v>
      </c>
      <c r="C76" s="56">
        <v>0</v>
      </c>
      <c r="D76" s="101"/>
      <c r="E76" s="102"/>
    </row>
    <row r="77" spans="1:5" ht="36" customHeight="1">
      <c r="A77" s="103" t="s">
        <v>80</v>
      </c>
      <c r="B77" s="99" t="s">
        <v>16</v>
      </c>
      <c r="C77" s="99">
        <v>0</v>
      </c>
      <c r="D77" s="101"/>
      <c r="E77" s="102"/>
    </row>
    <row r="78" spans="1:4" ht="15">
      <c r="A78" s="69"/>
      <c r="B78" s="69"/>
      <c r="C78" s="69"/>
      <c r="D78" s="104"/>
    </row>
    <row r="79" spans="1:14" s="1" customFormat="1" ht="12.75">
      <c r="A79"/>
      <c r="B79"/>
      <c r="C79"/>
      <c r="D79"/>
      <c r="H79" s="1" t="s">
        <v>32</v>
      </c>
      <c r="K79"/>
      <c r="L79"/>
      <c r="M79"/>
      <c r="N79"/>
    </row>
    <row r="80" spans="1:14" s="1" customFormat="1" ht="12.75">
      <c r="A80" t="s">
        <v>81</v>
      </c>
      <c r="B80"/>
      <c r="C80"/>
      <c r="D80"/>
      <c r="K80"/>
      <c r="L80"/>
      <c r="M80"/>
      <c r="N80"/>
    </row>
    <row r="81" spans="1:14" s="1" customFormat="1" ht="12.75">
      <c r="A81"/>
      <c r="B81"/>
      <c r="C81"/>
      <c r="D81"/>
      <c r="H81" s="1" t="s">
        <v>32</v>
      </c>
      <c r="K81"/>
      <c r="L81"/>
      <c r="M81"/>
      <c r="N81"/>
    </row>
    <row r="82" spans="1:14" s="1" customFormat="1" ht="12.75">
      <c r="A82" t="s">
        <v>82</v>
      </c>
      <c r="B82"/>
      <c r="C82"/>
      <c r="D82"/>
      <c r="K82"/>
      <c r="L82"/>
      <c r="M82"/>
      <c r="N82"/>
    </row>
    <row r="86" spans="1:14" s="1" customFormat="1" ht="12.75">
      <c r="A86"/>
      <c r="B86"/>
      <c r="C86"/>
      <c r="D86"/>
      <c r="E86" s="1" t="s">
        <v>32</v>
      </c>
      <c r="K86"/>
      <c r="L86"/>
      <c r="M86"/>
      <c r="N86"/>
    </row>
  </sheetData>
  <sheetProtection selectLockedCells="1" selectUnlockedCells="1"/>
  <mergeCells count="13">
    <mergeCell ref="A1:D1"/>
    <mergeCell ref="A2:D2"/>
    <mergeCell ref="A3:D3"/>
    <mergeCell ref="A4:D4"/>
    <mergeCell ref="A5:D5"/>
    <mergeCell ref="A7:D7"/>
    <mergeCell ref="A74:D74"/>
    <mergeCell ref="A14:D14"/>
    <mergeCell ref="A29:D29"/>
    <mergeCell ref="A43:D43"/>
    <mergeCell ref="A48:D48"/>
    <mergeCell ref="A55:D55"/>
    <mergeCell ref="A69:D69"/>
  </mergeCells>
  <printOptions/>
  <pageMargins left="0.5597222222222222" right="0.7875" top="0.34097222222222223" bottom="0.7875" header="0.5118055555555555" footer="0.5118055555555555"/>
  <pageSetup fitToHeight="3" fitToWidth="2" horizontalDpi="300" verticalDpi="300" orientation="landscape" paperSize="12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6"/>
  <sheetViews>
    <sheetView zoomScale="80" zoomScaleNormal="80" zoomScalePageLayoutView="0" workbookViewId="0" topLeftCell="A19">
      <selection activeCell="E39" sqref="E39:E42"/>
    </sheetView>
  </sheetViews>
  <sheetFormatPr defaultColWidth="11.57421875" defaultRowHeight="12.75"/>
  <cols>
    <col min="1" max="1" width="63.28125" style="0" customWidth="1"/>
    <col min="2" max="2" width="20.28125" style="0" customWidth="1"/>
    <col min="3" max="3" width="31.421875" style="0" customWidth="1"/>
    <col min="4" max="4" width="27.57421875" style="0" customWidth="1"/>
    <col min="5" max="5" width="16.8515625" style="1" customWidth="1"/>
    <col min="6" max="7" width="0" style="1" hidden="1" customWidth="1"/>
    <col min="8" max="8" width="11.57421875" style="1" customWidth="1"/>
    <col min="9" max="9" width="5.28125" style="1" customWidth="1"/>
    <col min="10" max="10" width="30.00390625" style="1" customWidth="1"/>
    <col min="11" max="12" width="23.28125" style="0" customWidth="1"/>
    <col min="13" max="13" width="6.57421875" style="0" customWidth="1"/>
    <col min="14" max="14" width="7.00390625" style="0" customWidth="1"/>
  </cols>
  <sheetData>
    <row r="1" spans="1:4" ht="18">
      <c r="A1" s="265" t="s">
        <v>0</v>
      </c>
      <c r="B1" s="265"/>
      <c r="C1" s="265"/>
      <c r="D1" s="265"/>
    </row>
    <row r="2" spans="1:4" ht="15.75">
      <c r="A2" s="266" t="s">
        <v>1</v>
      </c>
      <c r="B2" s="266"/>
      <c r="C2" s="266"/>
      <c r="D2" s="266"/>
    </row>
    <row r="3" spans="1:4" ht="15.75">
      <c r="A3" s="266" t="s">
        <v>2</v>
      </c>
      <c r="B3" s="266"/>
      <c r="C3" s="266"/>
      <c r="D3" s="266"/>
    </row>
    <row r="4" spans="1:4" ht="12.75">
      <c r="A4" s="267" t="s">
        <v>119</v>
      </c>
      <c r="B4" s="267"/>
      <c r="C4" s="267"/>
      <c r="D4" s="267"/>
    </row>
    <row r="5" spans="1:4" ht="12.75">
      <c r="A5" s="268" t="s">
        <v>171</v>
      </c>
      <c r="B5" s="267"/>
      <c r="C5" s="267"/>
      <c r="D5" s="267"/>
    </row>
    <row r="6" ht="9" customHeight="1">
      <c r="A6" s="2"/>
    </row>
    <row r="7" spans="1:4" ht="18" customHeight="1">
      <c r="A7" s="269" t="s">
        <v>4</v>
      </c>
      <c r="B7" s="269"/>
      <c r="C7" s="269"/>
      <c r="D7" s="269"/>
    </row>
    <row r="8" spans="1:3" ht="12.75">
      <c r="A8" s="2" t="s">
        <v>227</v>
      </c>
      <c r="C8" s="3"/>
    </row>
    <row r="9" spans="1:4" ht="12.75">
      <c r="A9" s="4" t="s">
        <v>5</v>
      </c>
      <c r="B9" s="4" t="s">
        <v>6</v>
      </c>
      <c r="C9" s="4" t="s">
        <v>7</v>
      </c>
      <c r="D9" s="5"/>
    </row>
    <row r="10" spans="1:4" ht="12.75">
      <c r="A10" s="6">
        <v>1</v>
      </c>
      <c r="B10" s="6">
        <v>2</v>
      </c>
      <c r="C10" s="6">
        <v>3</v>
      </c>
      <c r="D10" s="7">
        <v>4</v>
      </c>
    </row>
    <row r="11" spans="1:4" ht="12.75">
      <c r="A11" s="8" t="s">
        <v>8</v>
      </c>
      <c r="B11" s="9"/>
      <c r="C11" s="177" t="s">
        <v>172</v>
      </c>
      <c r="D11" s="10"/>
    </row>
    <row r="12" spans="1:4" ht="12.75">
      <c r="A12" s="8" t="s">
        <v>10</v>
      </c>
      <c r="B12" s="9"/>
      <c r="C12" s="177" t="s">
        <v>173</v>
      </c>
      <c r="D12" s="10"/>
    </row>
    <row r="13" spans="1:4" ht="12.75">
      <c r="A13" s="8" t="s">
        <v>12</v>
      </c>
      <c r="B13" s="9"/>
      <c r="C13" s="177" t="s">
        <v>174</v>
      </c>
      <c r="D13" s="10"/>
    </row>
    <row r="14" spans="1:4" ht="31.5" customHeight="1">
      <c r="A14" s="259" t="s">
        <v>14</v>
      </c>
      <c r="B14" s="259"/>
      <c r="C14" s="259"/>
      <c r="D14" s="259"/>
    </row>
    <row r="15" spans="1:4" ht="25.5">
      <c r="A15" s="11" t="s">
        <v>15</v>
      </c>
      <c r="B15" s="12" t="s">
        <v>16</v>
      </c>
      <c r="C15" s="13">
        <v>7067.97</v>
      </c>
      <c r="D15" s="14"/>
    </row>
    <row r="16" spans="1:8" ht="15">
      <c r="A16" s="8" t="s">
        <v>17</v>
      </c>
      <c r="B16" s="12" t="s">
        <v>16</v>
      </c>
      <c r="C16" s="13">
        <v>0</v>
      </c>
      <c r="D16" s="14"/>
      <c r="E16" s="132"/>
      <c r="F16" s="132"/>
      <c r="G16" s="132"/>
      <c r="H16" s="132"/>
    </row>
    <row r="17" spans="1:8" ht="15">
      <c r="A17" s="8" t="s">
        <v>18</v>
      </c>
      <c r="B17" s="12" t="s">
        <v>16</v>
      </c>
      <c r="C17" s="15">
        <v>13531.28</v>
      </c>
      <c r="D17" s="16"/>
      <c r="E17" s="132" t="e">
        <f>B17/12/1022.6</f>
        <v>#VALUE!</v>
      </c>
      <c r="F17" s="132"/>
      <c r="G17" s="132"/>
      <c r="H17" s="132"/>
    </row>
    <row r="18" spans="1:8" ht="31.5" customHeight="1">
      <c r="A18" s="17" t="s">
        <v>19</v>
      </c>
      <c r="B18" s="12" t="s">
        <v>16</v>
      </c>
      <c r="C18" s="15">
        <f>C19+C20+C21</f>
        <v>15754.854</v>
      </c>
      <c r="D18" s="16"/>
      <c r="E18" s="133">
        <f>C18-C20</f>
        <v>12972.617999999999</v>
      </c>
      <c r="F18" s="132"/>
      <c r="G18" s="132"/>
      <c r="H18" s="132"/>
    </row>
    <row r="19" spans="1:8" ht="15">
      <c r="A19" s="8" t="s">
        <v>20</v>
      </c>
      <c r="B19" s="12" t="s">
        <v>16</v>
      </c>
      <c r="C19" s="15">
        <v>6689.13</v>
      </c>
      <c r="D19" s="16"/>
      <c r="E19" s="133">
        <f>E18-E39</f>
        <v>0.003999999998995918</v>
      </c>
      <c r="F19" s="132"/>
      <c r="G19" s="132"/>
      <c r="H19" s="132"/>
    </row>
    <row r="20" spans="1:8" ht="15">
      <c r="A20" s="8" t="s">
        <v>21</v>
      </c>
      <c r="B20" s="12" t="s">
        <v>16</v>
      </c>
      <c r="C20" s="15">
        <f>(0.22)*6*107.3+2640.6</f>
        <v>2782.236</v>
      </c>
      <c r="D20" s="16"/>
      <c r="E20" s="134"/>
      <c r="F20" s="132"/>
      <c r="G20" s="132"/>
      <c r="H20" s="132"/>
    </row>
    <row r="21" spans="1:8" ht="15">
      <c r="A21" s="8" t="s">
        <v>22</v>
      </c>
      <c r="B21" s="12" t="s">
        <v>16</v>
      </c>
      <c r="C21" s="20">
        <f>107.3*4.88*12</f>
        <v>6283.488</v>
      </c>
      <c r="D21" s="16"/>
      <c r="E21" s="132"/>
      <c r="F21" s="132"/>
      <c r="G21" s="132"/>
      <c r="H21" s="132"/>
    </row>
    <row r="22" spans="1:8" ht="15">
      <c r="A22" s="21" t="s">
        <v>23</v>
      </c>
      <c r="B22" s="12" t="s">
        <v>16</v>
      </c>
      <c r="C22" s="15">
        <f>C23+C24+C25+C26+C27</f>
        <v>12947.3390172</v>
      </c>
      <c r="D22" s="16" t="s">
        <v>24</v>
      </c>
      <c r="E22" s="133" t="e">
        <f>B24+B25+B26+B27+B28</f>
        <v>#VALUE!</v>
      </c>
      <c r="F22" s="132"/>
      <c r="G22" s="132"/>
      <c r="H22" s="132"/>
    </row>
    <row r="23" spans="1:8" ht="15">
      <c r="A23" s="8" t="s">
        <v>25</v>
      </c>
      <c r="B23" s="12" t="s">
        <v>16</v>
      </c>
      <c r="C23" s="15">
        <f>C18*0.8218</f>
        <v>12947.3390172</v>
      </c>
      <c r="D23" s="16"/>
      <c r="E23" s="132"/>
      <c r="F23" s="132"/>
      <c r="G23" s="132"/>
      <c r="H23" s="132"/>
    </row>
    <row r="24" spans="1:8" ht="15">
      <c r="A24" s="8" t="s">
        <v>26</v>
      </c>
      <c r="B24" s="12" t="s">
        <v>16</v>
      </c>
      <c r="C24" s="15">
        <v>0</v>
      </c>
      <c r="D24" s="22">
        <v>65.21</v>
      </c>
      <c r="E24" s="134" t="e">
        <f>B24/#REF!*1</f>
        <v>#VALUE!</v>
      </c>
      <c r="F24" s="132"/>
      <c r="G24" s="132"/>
      <c r="H24" s="132" t="s">
        <v>27</v>
      </c>
    </row>
    <row r="25" spans="1:8" ht="15">
      <c r="A25" s="8" t="s">
        <v>28</v>
      </c>
      <c r="B25" s="12" t="s">
        <v>16</v>
      </c>
      <c r="C25" s="15">
        <v>0</v>
      </c>
      <c r="D25" s="22">
        <v>119.63</v>
      </c>
      <c r="E25" s="134" t="e">
        <f>B25/#REF!*1</f>
        <v>#VALUE!</v>
      </c>
      <c r="F25" s="132"/>
      <c r="G25" s="132"/>
      <c r="H25" s="132"/>
    </row>
    <row r="26" spans="1:8" ht="15">
      <c r="A26" s="9" t="s">
        <v>29</v>
      </c>
      <c r="B26" s="12" t="s">
        <v>16</v>
      </c>
      <c r="C26" s="15">
        <v>0</v>
      </c>
      <c r="D26" s="22"/>
      <c r="E26" s="134" t="e">
        <f>B26/#REF!*1</f>
        <v>#VALUE!</v>
      </c>
      <c r="F26" s="132"/>
      <c r="G26" s="132"/>
      <c r="H26" s="132"/>
    </row>
    <row r="27" spans="1:8" ht="16.5" customHeight="1">
      <c r="A27" s="116" t="s">
        <v>112</v>
      </c>
      <c r="B27" s="12" t="s">
        <v>16</v>
      </c>
      <c r="C27" s="15">
        <v>0</v>
      </c>
      <c r="D27" s="22">
        <v>139.18</v>
      </c>
      <c r="E27" s="134" t="e">
        <f>B27/#REF!*1</f>
        <v>#VALUE!</v>
      </c>
      <c r="F27" s="132"/>
      <c r="G27" s="132"/>
      <c r="H27" s="132"/>
    </row>
    <row r="28" spans="1:8" ht="15">
      <c r="A28" s="8" t="s">
        <v>31</v>
      </c>
      <c r="B28" s="12" t="s">
        <v>16</v>
      </c>
      <c r="C28" s="15">
        <f>C15+C22</f>
        <v>20015.3090172</v>
      </c>
      <c r="D28" s="16" t="s">
        <v>32</v>
      </c>
      <c r="E28" s="134" t="e">
        <f>B28/#REF!*1</f>
        <v>#VALUE!</v>
      </c>
      <c r="F28" s="132"/>
      <c r="G28" s="132"/>
      <c r="H28" s="132"/>
    </row>
    <row r="29" spans="1:8" ht="35.25" customHeight="1">
      <c r="A29" s="260" t="s">
        <v>33</v>
      </c>
      <c r="B29" s="260"/>
      <c r="C29" s="260"/>
      <c r="D29" s="260"/>
      <c r="E29" s="132"/>
      <c r="F29" s="132"/>
      <c r="G29" s="132"/>
      <c r="H29" s="132"/>
    </row>
    <row r="30" spans="1:8" ht="60">
      <c r="A30" s="23" t="s">
        <v>34</v>
      </c>
      <c r="B30" s="24" t="s">
        <v>35</v>
      </c>
      <c r="C30" s="25" t="s">
        <v>36</v>
      </c>
      <c r="D30" s="26" t="s">
        <v>37</v>
      </c>
      <c r="E30" s="132"/>
      <c r="F30" s="132"/>
      <c r="G30" s="132"/>
      <c r="H30" s="132"/>
    </row>
    <row r="31" spans="1:8" ht="15">
      <c r="A31" s="27" t="s">
        <v>38</v>
      </c>
      <c r="B31" s="28" t="s">
        <v>39</v>
      </c>
      <c r="C31" s="29" t="s">
        <v>40</v>
      </c>
      <c r="D31" s="107">
        <f>(0.17+0.16)*6*107.3</f>
        <v>212.45399999999998</v>
      </c>
      <c r="E31" s="132"/>
      <c r="F31" s="132"/>
      <c r="G31" s="132"/>
      <c r="H31" s="132"/>
    </row>
    <row r="32" spans="1:8" ht="15">
      <c r="A32" s="31" t="s">
        <v>41</v>
      </c>
      <c r="B32" s="32" t="s">
        <v>42</v>
      </c>
      <c r="C32" s="33" t="s">
        <v>43</v>
      </c>
      <c r="D32" s="34">
        <f>(3.03+3)*6*107.3</f>
        <v>3882.113999999999</v>
      </c>
      <c r="E32" s="132"/>
      <c r="F32" s="132"/>
      <c r="G32" s="132"/>
      <c r="H32" s="132"/>
    </row>
    <row r="33" spans="1:8" ht="15">
      <c r="A33" s="31" t="s">
        <v>44</v>
      </c>
      <c r="B33" s="32" t="s">
        <v>39</v>
      </c>
      <c r="C33" s="33" t="s">
        <v>45</v>
      </c>
      <c r="D33" s="108">
        <f>(0.21+0.2)*6*107.3</f>
        <v>263.95799999999997</v>
      </c>
      <c r="E33" s="132"/>
      <c r="F33" s="132"/>
      <c r="G33" s="132"/>
      <c r="H33" s="132"/>
    </row>
    <row r="34" spans="1:8" ht="15">
      <c r="A34" s="31" t="s">
        <v>115</v>
      </c>
      <c r="B34" s="32" t="s">
        <v>39</v>
      </c>
      <c r="C34" s="33" t="s">
        <v>40</v>
      </c>
      <c r="D34" s="108">
        <f>(0.23+0.22)*6*107.3</f>
        <v>289.71000000000004</v>
      </c>
      <c r="E34" s="132"/>
      <c r="F34" s="132"/>
      <c r="G34" s="132"/>
      <c r="H34" s="132"/>
    </row>
    <row r="35" spans="1:8" ht="15">
      <c r="A35" s="31" t="s">
        <v>90</v>
      </c>
      <c r="B35" s="106" t="s">
        <v>91</v>
      </c>
      <c r="C35" s="33" t="s">
        <v>40</v>
      </c>
      <c r="D35" s="108">
        <f>(1.33+1.27)*6*107.3</f>
        <v>1673.88</v>
      </c>
      <c r="E35" s="132"/>
      <c r="F35" s="132"/>
      <c r="G35" s="132"/>
      <c r="H35" s="132"/>
    </row>
    <row r="36" spans="1:8" ht="15">
      <c r="A36" s="31" t="s">
        <v>46</v>
      </c>
      <c r="B36" s="32" t="s">
        <v>42</v>
      </c>
      <c r="C36" s="35" t="s">
        <v>47</v>
      </c>
      <c r="D36" s="108">
        <f>4.88*107.3*12</f>
        <v>6283.488</v>
      </c>
      <c r="E36" s="132"/>
      <c r="F36" s="132"/>
      <c r="G36" s="132"/>
      <c r="H36" s="132"/>
    </row>
    <row r="37" spans="1:14" s="1" customFormat="1" ht="45">
      <c r="A37" s="36" t="s">
        <v>48</v>
      </c>
      <c r="B37" s="37" t="s">
        <v>49</v>
      </c>
      <c r="C37" s="38"/>
      <c r="D37" s="39">
        <v>0</v>
      </c>
      <c r="E37" s="62"/>
      <c r="F37" s="132"/>
      <c r="G37" s="132"/>
      <c r="H37" s="132"/>
      <c r="K37"/>
      <c r="L37"/>
      <c r="M37"/>
      <c r="N37"/>
    </row>
    <row r="38" spans="1:14" s="1" customFormat="1" ht="45">
      <c r="A38" s="109" t="s">
        <v>95</v>
      </c>
      <c r="B38" s="110" t="s">
        <v>96</v>
      </c>
      <c r="C38" s="111" t="s">
        <v>97</v>
      </c>
      <c r="D38" s="179">
        <v>367.01</v>
      </c>
      <c r="E38" s="62"/>
      <c r="F38" s="132"/>
      <c r="G38" s="132"/>
      <c r="H38" s="132"/>
      <c r="K38"/>
      <c r="L38"/>
      <c r="M38"/>
      <c r="N38"/>
    </row>
    <row r="39" spans="1:14" s="1" customFormat="1" ht="15.75">
      <c r="A39" s="40" t="s">
        <v>50</v>
      </c>
      <c r="B39" s="41"/>
      <c r="C39" s="42"/>
      <c r="D39" s="113">
        <f>SUM(D31:D38)</f>
        <v>12972.614</v>
      </c>
      <c r="E39" s="47">
        <f>D39-D37</f>
        <v>12972.614</v>
      </c>
      <c r="F39" s="132"/>
      <c r="G39" s="132"/>
      <c r="H39" s="132"/>
      <c r="K39"/>
      <c r="L39"/>
      <c r="M39"/>
      <c r="N39"/>
    </row>
    <row r="40" spans="1:14" s="1" customFormat="1" ht="15">
      <c r="A40" s="43" t="s">
        <v>51</v>
      </c>
      <c r="B40" s="44" t="s">
        <v>16</v>
      </c>
      <c r="C40" s="45"/>
      <c r="D40" s="46">
        <f>C15+C20*0.8218-D37</f>
        <v>9354.411544800001</v>
      </c>
      <c r="E40" s="47"/>
      <c r="F40" s="132"/>
      <c r="G40" s="132"/>
      <c r="H40" s="132"/>
      <c r="K40"/>
      <c r="L40"/>
      <c r="M40"/>
      <c r="N40"/>
    </row>
    <row r="41" spans="1:14" s="1" customFormat="1" ht="15">
      <c r="A41" s="48" t="s">
        <v>17</v>
      </c>
      <c r="B41" s="49" t="s">
        <v>16</v>
      </c>
      <c r="C41" s="33"/>
      <c r="D41" s="14">
        <v>0</v>
      </c>
      <c r="E41" s="132"/>
      <c r="F41" s="132"/>
      <c r="G41" s="132"/>
      <c r="H41" s="132"/>
      <c r="K41"/>
      <c r="L41"/>
      <c r="M41"/>
      <c r="N41"/>
    </row>
    <row r="42" spans="1:14" s="1" customFormat="1" ht="15">
      <c r="A42" s="48" t="s">
        <v>18</v>
      </c>
      <c r="B42" s="49" t="s">
        <v>16</v>
      </c>
      <c r="C42" s="33"/>
      <c r="D42" s="14">
        <v>16151.48</v>
      </c>
      <c r="E42" s="132"/>
      <c r="F42" s="132"/>
      <c r="G42" s="132"/>
      <c r="H42" s="132"/>
      <c r="K42"/>
      <c r="L42"/>
      <c r="M42"/>
      <c r="N42"/>
    </row>
    <row r="43" spans="1:14" s="1" customFormat="1" ht="24" customHeight="1">
      <c r="A43" s="261" t="s">
        <v>52</v>
      </c>
      <c r="B43" s="261"/>
      <c r="C43" s="261"/>
      <c r="D43" s="261"/>
      <c r="E43" s="132"/>
      <c r="F43" s="132"/>
      <c r="G43" s="132"/>
      <c r="H43" s="132"/>
      <c r="K43"/>
      <c r="L43"/>
      <c r="M43"/>
      <c r="N43"/>
    </row>
    <row r="44" spans="1:14" s="1" customFormat="1" ht="15">
      <c r="A44" s="48" t="s">
        <v>53</v>
      </c>
      <c r="B44" s="32" t="s">
        <v>54</v>
      </c>
      <c r="C44" s="33"/>
      <c r="D44" s="14">
        <v>0</v>
      </c>
      <c r="E44" s="132"/>
      <c r="F44" s="132"/>
      <c r="G44" s="132"/>
      <c r="H44" s="132"/>
      <c r="K44"/>
      <c r="L44"/>
      <c r="M44"/>
      <c r="N44"/>
    </row>
    <row r="45" spans="1:14" s="1" customFormat="1" ht="15">
      <c r="A45" s="48" t="s">
        <v>55</v>
      </c>
      <c r="B45" s="32" t="s">
        <v>54</v>
      </c>
      <c r="C45" s="33"/>
      <c r="D45" s="14">
        <v>0</v>
      </c>
      <c r="E45" s="132"/>
      <c r="F45" s="132"/>
      <c r="G45" s="132"/>
      <c r="H45" s="132"/>
      <c r="K45"/>
      <c r="L45"/>
      <c r="M45"/>
      <c r="N45"/>
    </row>
    <row r="46" spans="1:14" s="1" customFormat="1" ht="15">
      <c r="A46" s="50" t="s">
        <v>56</v>
      </c>
      <c r="B46" s="32" t="s">
        <v>54</v>
      </c>
      <c r="C46" s="33"/>
      <c r="D46" s="14">
        <v>0</v>
      </c>
      <c r="E46" s="132"/>
      <c r="F46" s="132"/>
      <c r="G46" s="132"/>
      <c r="H46" s="132"/>
      <c r="K46"/>
      <c r="L46"/>
      <c r="M46"/>
      <c r="N46"/>
    </row>
    <row r="47" spans="1:14" s="1" customFormat="1" ht="15">
      <c r="A47" s="48" t="s">
        <v>57</v>
      </c>
      <c r="B47" s="32" t="s">
        <v>16</v>
      </c>
      <c r="C47" s="33"/>
      <c r="D47" s="14">
        <v>0</v>
      </c>
      <c r="E47" s="132"/>
      <c r="F47" s="132"/>
      <c r="G47" s="132"/>
      <c r="H47" s="132"/>
      <c r="K47"/>
      <c r="L47"/>
      <c r="M47"/>
      <c r="N47"/>
    </row>
    <row r="48" spans="1:8" ht="20.25" customHeight="1">
      <c r="A48" s="262" t="s">
        <v>58</v>
      </c>
      <c r="B48" s="262"/>
      <c r="C48" s="262"/>
      <c r="D48" s="262"/>
      <c r="E48" s="132"/>
      <c r="F48" s="132"/>
      <c r="G48" s="132"/>
      <c r="H48" s="132"/>
    </row>
    <row r="49" spans="1:8" ht="25.5">
      <c r="A49" s="50" t="s">
        <v>59</v>
      </c>
      <c r="B49" s="32" t="s">
        <v>16</v>
      </c>
      <c r="C49" s="33"/>
      <c r="D49" s="14">
        <v>0</v>
      </c>
      <c r="E49" s="132"/>
      <c r="F49" s="132"/>
      <c r="G49" s="132"/>
      <c r="H49" s="132"/>
    </row>
    <row r="50" spans="1:8" ht="15">
      <c r="A50" s="48" t="s">
        <v>17</v>
      </c>
      <c r="B50" s="32" t="s">
        <v>16</v>
      </c>
      <c r="C50" s="33"/>
      <c r="D50" s="14">
        <v>0</v>
      </c>
      <c r="E50" s="132"/>
      <c r="F50" s="132"/>
      <c r="G50" s="132"/>
      <c r="H50" s="132"/>
    </row>
    <row r="51" spans="1:8" ht="15">
      <c r="A51" s="48" t="s">
        <v>18</v>
      </c>
      <c r="B51" s="32" t="s">
        <v>16</v>
      </c>
      <c r="C51" s="33"/>
      <c r="D51" s="51">
        <f>D54-D57-D58-D59</f>
        <v>7675.521704</v>
      </c>
      <c r="E51" s="132"/>
      <c r="F51" s="132"/>
      <c r="G51" s="132"/>
      <c r="H51" s="136"/>
    </row>
    <row r="52" spans="1:8" ht="25.5">
      <c r="A52" s="53" t="s">
        <v>60</v>
      </c>
      <c r="B52" s="32" t="s">
        <v>16</v>
      </c>
      <c r="C52" s="54"/>
      <c r="D52" s="55">
        <v>0</v>
      </c>
      <c r="E52" s="132"/>
      <c r="F52" s="132"/>
      <c r="G52" s="132"/>
      <c r="H52" s="132"/>
    </row>
    <row r="53" spans="1:10" ht="17.25" customHeight="1">
      <c r="A53" s="56" t="s">
        <v>17</v>
      </c>
      <c r="B53" s="32" t="s">
        <v>16</v>
      </c>
      <c r="C53" s="57"/>
      <c r="D53" s="58">
        <v>0</v>
      </c>
      <c r="E53" s="132"/>
      <c r="F53" s="132"/>
      <c r="G53" s="132"/>
      <c r="H53" s="132"/>
      <c r="I53" s="52"/>
      <c r="J53" s="52"/>
    </row>
    <row r="54" spans="1:14" ht="15">
      <c r="A54" s="59" t="s">
        <v>18</v>
      </c>
      <c r="B54" s="32" t="s">
        <v>16</v>
      </c>
      <c r="C54" s="60"/>
      <c r="D54" s="61">
        <v>9290.42</v>
      </c>
      <c r="E54" s="132"/>
      <c r="F54" s="132"/>
      <c r="G54" s="132"/>
      <c r="H54" s="132" t="s">
        <v>32</v>
      </c>
      <c r="I54" s="63"/>
      <c r="J54" s="63"/>
      <c r="K54" s="64"/>
      <c r="L54" s="64"/>
      <c r="M54" s="64"/>
      <c r="N54" s="64"/>
    </row>
    <row r="55" spans="1:14" ht="18" customHeight="1">
      <c r="A55" s="263" t="s">
        <v>61</v>
      </c>
      <c r="B55" s="263"/>
      <c r="C55" s="263"/>
      <c r="D55" s="263"/>
      <c r="E55" s="137"/>
      <c r="F55" s="138"/>
      <c r="G55" s="139"/>
      <c r="H55" s="132"/>
      <c r="I55" s="68"/>
      <c r="J55" s="68"/>
      <c r="K55" s="69"/>
      <c r="L55" s="69"/>
      <c r="M55" s="69"/>
      <c r="N55" s="69"/>
    </row>
    <row r="56" spans="1:14" ht="47.25">
      <c r="A56" s="70" t="s">
        <v>62</v>
      </c>
      <c r="B56" s="71" t="s">
        <v>63</v>
      </c>
      <c r="C56" s="72" t="s">
        <v>64</v>
      </c>
      <c r="D56" s="73" t="s">
        <v>65</v>
      </c>
      <c r="E56" s="137"/>
      <c r="F56" s="138"/>
      <c r="G56" s="139"/>
      <c r="H56" s="132"/>
      <c r="I56" s="68"/>
      <c r="J56" s="74"/>
      <c r="K56" s="69"/>
      <c r="L56" s="69"/>
      <c r="M56" s="69"/>
      <c r="N56" s="69"/>
    </row>
    <row r="57" spans="1:14" ht="15">
      <c r="A57" s="75" t="s">
        <v>66</v>
      </c>
      <c r="B57" s="117">
        <v>9062.28</v>
      </c>
      <c r="C57" s="118">
        <f>B57*0.8218</f>
        <v>7447.381704</v>
      </c>
      <c r="D57" s="119">
        <f>B57-C57</f>
        <v>1614.8982960000003</v>
      </c>
      <c r="E57" s="140"/>
      <c r="F57" s="138"/>
      <c r="G57" s="139"/>
      <c r="H57" s="132"/>
      <c r="I57" s="68"/>
      <c r="J57" s="68"/>
      <c r="K57" s="69"/>
      <c r="L57" s="69"/>
      <c r="M57" s="69"/>
      <c r="N57" s="69"/>
    </row>
    <row r="58" spans="1:14" ht="15">
      <c r="A58" s="75" t="s">
        <v>67</v>
      </c>
      <c r="B58" s="117">
        <v>0</v>
      </c>
      <c r="C58" s="118">
        <f>B58*0.8866</f>
        <v>0</v>
      </c>
      <c r="D58" s="119">
        <f>B58-C58</f>
        <v>0</v>
      </c>
      <c r="E58" s="137"/>
      <c r="F58" s="138"/>
      <c r="G58" s="139"/>
      <c r="H58" s="132"/>
      <c r="I58" s="68"/>
      <c r="J58" s="68"/>
      <c r="K58" s="69"/>
      <c r="L58" s="69"/>
      <c r="M58" s="69"/>
      <c r="N58" s="69"/>
    </row>
    <row r="59" spans="1:14" ht="15">
      <c r="A59" s="75" t="s">
        <v>68</v>
      </c>
      <c r="B59" s="120">
        <v>0</v>
      </c>
      <c r="C59" s="118">
        <f>B59*0.8866</f>
        <v>0</v>
      </c>
      <c r="D59" s="119">
        <f>B59-C59</f>
        <v>0</v>
      </c>
      <c r="E59" s="137">
        <f>(2.07+1.8)*6*2301.2-0.37*2301.2*6</f>
        <v>48325.2</v>
      </c>
      <c r="F59" s="141"/>
      <c r="G59" s="142"/>
      <c r="H59" s="137"/>
      <c r="I59" s="68"/>
      <c r="J59" s="68"/>
      <c r="K59" s="69"/>
      <c r="L59" s="69"/>
      <c r="M59" s="69"/>
      <c r="N59" s="69"/>
    </row>
    <row r="60" spans="1:14" ht="15.75" thickBot="1">
      <c r="A60" s="150" t="s">
        <v>69</v>
      </c>
      <c r="B60" s="151">
        <v>0</v>
      </c>
      <c r="C60" s="152">
        <f>B60*0.8866</f>
        <v>0</v>
      </c>
      <c r="D60" s="153">
        <f>B60-C60</f>
        <v>0</v>
      </c>
      <c r="E60" s="137"/>
      <c r="F60" s="141"/>
      <c r="G60" s="142"/>
      <c r="H60" s="132"/>
      <c r="I60" s="68"/>
      <c r="J60" s="68"/>
      <c r="K60" s="69"/>
      <c r="L60" s="69"/>
      <c r="M60" s="69"/>
      <c r="N60" s="69"/>
    </row>
    <row r="61" spans="1:14" ht="63">
      <c r="A61" s="154" t="s">
        <v>70</v>
      </c>
      <c r="B61" s="155" t="s">
        <v>71</v>
      </c>
      <c r="C61" s="156" t="s">
        <v>72</v>
      </c>
      <c r="D61" s="157" t="s">
        <v>73</v>
      </c>
      <c r="E61" s="137"/>
      <c r="F61" s="141"/>
      <c r="G61" s="132"/>
      <c r="H61" s="143"/>
      <c r="I61" s="68"/>
      <c r="J61" s="68"/>
      <c r="K61" s="69"/>
      <c r="L61" s="69"/>
      <c r="M61" s="69"/>
      <c r="N61" s="69"/>
    </row>
    <row r="62" spans="1:14" ht="15">
      <c r="A62" s="158" t="s">
        <v>66</v>
      </c>
      <c r="B62" s="124">
        <f>B57</f>
        <v>9062.28</v>
      </c>
      <c r="C62" s="125">
        <f>B62*0.9623</f>
        <v>8720.632044000002</v>
      </c>
      <c r="D62" s="159">
        <f>B62-C62</f>
        <v>341.6479559999989</v>
      </c>
      <c r="E62" s="137"/>
      <c r="F62" s="141"/>
      <c r="G62" s="132"/>
      <c r="H62" s="143"/>
      <c r="I62" s="68"/>
      <c r="J62" s="68" t="s">
        <v>32</v>
      </c>
      <c r="K62" s="69"/>
      <c r="L62" s="69"/>
      <c r="M62" s="69"/>
      <c r="N62" s="69"/>
    </row>
    <row r="63" spans="1:14" ht="15">
      <c r="A63" s="158" t="s">
        <v>67</v>
      </c>
      <c r="B63" s="124">
        <v>0</v>
      </c>
      <c r="C63" s="125">
        <v>0</v>
      </c>
      <c r="D63" s="159">
        <f>B63-C63</f>
        <v>0</v>
      </c>
      <c r="E63" s="137"/>
      <c r="F63" s="141"/>
      <c r="G63" s="132"/>
      <c r="H63" s="143"/>
      <c r="I63" s="68"/>
      <c r="J63" s="68"/>
      <c r="K63" s="69"/>
      <c r="L63" s="69"/>
      <c r="M63" s="69"/>
      <c r="N63" s="69"/>
    </row>
    <row r="64" spans="1:14" ht="15">
      <c r="A64" s="158" t="s">
        <v>68</v>
      </c>
      <c r="B64" s="124">
        <v>0</v>
      </c>
      <c r="C64" s="125">
        <v>0</v>
      </c>
      <c r="D64" s="159">
        <f>B64-C64</f>
        <v>0</v>
      </c>
      <c r="E64" s="137"/>
      <c r="F64" s="141"/>
      <c r="G64" s="132"/>
      <c r="H64" s="143"/>
      <c r="I64" s="68"/>
      <c r="J64" s="68"/>
      <c r="K64" s="69"/>
      <c r="L64" s="69"/>
      <c r="M64" s="69"/>
      <c r="N64" s="69"/>
    </row>
    <row r="65" spans="1:14" ht="15">
      <c r="A65" s="158" t="s">
        <v>74</v>
      </c>
      <c r="B65" s="124">
        <v>0</v>
      </c>
      <c r="C65" s="125">
        <v>0</v>
      </c>
      <c r="D65" s="159">
        <f>B65-C65</f>
        <v>0</v>
      </c>
      <c r="E65" s="137"/>
      <c r="F65" s="141"/>
      <c r="G65" s="132"/>
      <c r="H65" s="143"/>
      <c r="I65" s="68"/>
      <c r="J65" s="68"/>
      <c r="K65" s="69"/>
      <c r="L65" s="69"/>
      <c r="M65" s="69"/>
      <c r="N65" s="69"/>
    </row>
    <row r="66" spans="1:14" ht="15.75" thickBot="1">
      <c r="A66" s="160" t="s">
        <v>69</v>
      </c>
      <c r="B66" s="161">
        <v>0</v>
      </c>
      <c r="C66" s="162">
        <v>0</v>
      </c>
      <c r="D66" s="163">
        <f>B66-C66</f>
        <v>0</v>
      </c>
      <c r="E66" s="137"/>
      <c r="F66" s="141"/>
      <c r="G66" s="132"/>
      <c r="H66" s="143" t="s">
        <v>32</v>
      </c>
      <c r="I66" s="68"/>
      <c r="J66" s="68"/>
      <c r="K66" s="69"/>
      <c r="L66" s="69"/>
      <c r="M66" s="69"/>
      <c r="N66" s="69"/>
    </row>
    <row r="67" spans="1:14" ht="15">
      <c r="A67" s="91"/>
      <c r="B67" s="87"/>
      <c r="C67" s="92"/>
      <c r="D67" s="93"/>
      <c r="E67" s="137"/>
      <c r="F67" s="141"/>
      <c r="G67" s="132"/>
      <c r="H67" s="143"/>
      <c r="I67" s="68"/>
      <c r="J67" s="68"/>
      <c r="K67" s="69"/>
      <c r="L67" s="69"/>
      <c r="M67" s="69"/>
      <c r="N67" s="69"/>
    </row>
    <row r="68" spans="1:14" ht="25.5">
      <c r="A68" s="94" t="s">
        <v>75</v>
      </c>
      <c r="B68" s="87" t="s">
        <v>16</v>
      </c>
      <c r="C68" s="95"/>
      <c r="D68" s="96">
        <v>0</v>
      </c>
      <c r="E68" s="137"/>
      <c r="F68" s="141"/>
      <c r="G68" s="132"/>
      <c r="H68" s="143"/>
      <c r="I68" s="68"/>
      <c r="J68" s="68" t="s">
        <v>32</v>
      </c>
      <c r="K68" s="69"/>
      <c r="L68" s="69"/>
      <c r="M68" s="69"/>
      <c r="N68" s="69"/>
    </row>
    <row r="69" spans="1:14" ht="17.25" customHeight="1">
      <c r="A69" s="264" t="s">
        <v>76</v>
      </c>
      <c r="B69" s="264"/>
      <c r="C69" s="264"/>
      <c r="D69" s="264"/>
      <c r="E69" s="144" t="e">
        <f>D69+B19</f>
        <v>#VALUE!</v>
      </c>
      <c r="F69" s="143"/>
      <c r="G69" s="132"/>
      <c r="H69" s="145" t="e">
        <f>E69-B18</f>
        <v>#VALUE!</v>
      </c>
      <c r="I69" s="68"/>
      <c r="J69" s="68"/>
      <c r="K69" s="69"/>
      <c r="L69" s="69"/>
      <c r="M69" s="69"/>
      <c r="N69" s="69"/>
    </row>
    <row r="70" spans="1:8" ht="21" customHeight="1">
      <c r="A70" s="99" t="s">
        <v>53</v>
      </c>
      <c r="B70" s="99" t="s">
        <v>54</v>
      </c>
      <c r="C70" s="100">
        <v>0</v>
      </c>
      <c r="D70" s="101"/>
      <c r="E70" s="146"/>
      <c r="F70" s="132"/>
      <c r="G70" s="132"/>
      <c r="H70" s="132"/>
    </row>
    <row r="71" spans="1:8" ht="21" customHeight="1">
      <c r="A71" s="99" t="s">
        <v>55</v>
      </c>
      <c r="B71" s="99" t="s">
        <v>54</v>
      </c>
      <c r="C71" s="99">
        <v>0</v>
      </c>
      <c r="D71" s="101"/>
      <c r="E71" s="146"/>
      <c r="F71" s="132"/>
      <c r="G71" s="132"/>
      <c r="H71" s="132"/>
    </row>
    <row r="72" spans="1:8" ht="18" customHeight="1">
      <c r="A72" s="99" t="s">
        <v>56</v>
      </c>
      <c r="B72" s="99" t="s">
        <v>54</v>
      </c>
      <c r="C72" s="99">
        <v>0</v>
      </c>
      <c r="D72" s="101"/>
      <c r="E72" s="146"/>
      <c r="F72" s="132"/>
      <c r="G72" s="132"/>
      <c r="H72" s="132"/>
    </row>
    <row r="73" spans="1:8" ht="16.5" customHeight="1">
      <c r="A73" s="99" t="s">
        <v>57</v>
      </c>
      <c r="B73" s="99" t="s">
        <v>16</v>
      </c>
      <c r="C73" s="99">
        <v>0</v>
      </c>
      <c r="D73" s="101"/>
      <c r="E73" s="146"/>
      <c r="F73" s="132"/>
      <c r="G73" s="132"/>
      <c r="H73" s="132"/>
    </row>
    <row r="74" spans="1:8" ht="15.75" customHeight="1">
      <c r="A74" s="258" t="s">
        <v>77</v>
      </c>
      <c r="B74" s="258"/>
      <c r="C74" s="258"/>
      <c r="D74" s="258"/>
      <c r="E74" s="146"/>
      <c r="F74" s="132"/>
      <c r="G74" s="132"/>
      <c r="H74" s="132"/>
    </row>
    <row r="75" spans="1:8" ht="18.75" customHeight="1">
      <c r="A75" s="99" t="s">
        <v>78</v>
      </c>
      <c r="B75" s="99" t="s">
        <v>54</v>
      </c>
      <c r="C75" s="99">
        <v>0</v>
      </c>
      <c r="D75" s="101"/>
      <c r="E75" s="146"/>
      <c r="F75" s="132"/>
      <c r="G75" s="132"/>
      <c r="H75" s="132"/>
    </row>
    <row r="76" spans="1:8" ht="21.75" customHeight="1">
      <c r="A76" s="99" t="s">
        <v>79</v>
      </c>
      <c r="B76" s="56" t="s">
        <v>54</v>
      </c>
      <c r="C76" s="56">
        <v>0</v>
      </c>
      <c r="D76" s="101"/>
      <c r="E76" s="146"/>
      <c r="F76" s="132"/>
      <c r="G76" s="132"/>
      <c r="H76" s="132"/>
    </row>
    <row r="77" spans="1:8" ht="36" customHeight="1">
      <c r="A77" s="103" t="s">
        <v>80</v>
      </c>
      <c r="B77" s="99" t="s">
        <v>16</v>
      </c>
      <c r="C77" s="99">
        <v>0</v>
      </c>
      <c r="D77" s="101"/>
      <c r="E77" s="146"/>
      <c r="F77" s="132"/>
      <c r="G77" s="132"/>
      <c r="H77" s="132"/>
    </row>
    <row r="78" spans="1:8" ht="15">
      <c r="A78" s="69"/>
      <c r="B78" s="69"/>
      <c r="C78" s="69"/>
      <c r="D78" s="104"/>
      <c r="E78" s="132"/>
      <c r="F78" s="132"/>
      <c r="G78" s="132"/>
      <c r="H78" s="132"/>
    </row>
    <row r="79" spans="1:14" s="1" customFormat="1" ht="12.75">
      <c r="A79"/>
      <c r="B79"/>
      <c r="C79"/>
      <c r="D79"/>
      <c r="H79" s="1" t="s">
        <v>32</v>
      </c>
      <c r="K79"/>
      <c r="L79"/>
      <c r="M79"/>
      <c r="N79"/>
    </row>
    <row r="80" spans="1:14" s="1" customFormat="1" ht="12.75">
      <c r="A80" t="s">
        <v>81</v>
      </c>
      <c r="B80"/>
      <c r="C80"/>
      <c r="D80"/>
      <c r="K80"/>
      <c r="L80"/>
      <c r="M80"/>
      <c r="N80"/>
    </row>
    <row r="81" spans="1:14" s="1" customFormat="1" ht="12.75">
      <c r="A81"/>
      <c r="B81"/>
      <c r="C81"/>
      <c r="D81"/>
      <c r="H81" s="1" t="s">
        <v>32</v>
      </c>
      <c r="K81"/>
      <c r="L81"/>
      <c r="M81"/>
      <c r="N81"/>
    </row>
    <row r="82" spans="1:14" s="1" customFormat="1" ht="12.75">
      <c r="A82" t="s">
        <v>82</v>
      </c>
      <c r="B82"/>
      <c r="C82"/>
      <c r="D82"/>
      <c r="K82"/>
      <c r="L82"/>
      <c r="M82"/>
      <c r="N82"/>
    </row>
    <row r="86" spans="1:14" s="1" customFormat="1" ht="12.75">
      <c r="A86"/>
      <c r="B86"/>
      <c r="C86"/>
      <c r="D86"/>
      <c r="E86" s="1" t="s">
        <v>32</v>
      </c>
      <c r="K86"/>
      <c r="L86"/>
      <c r="M86"/>
      <c r="N86"/>
    </row>
  </sheetData>
  <sheetProtection selectLockedCells="1" selectUnlockedCells="1"/>
  <mergeCells count="13">
    <mergeCell ref="A1:D1"/>
    <mergeCell ref="A2:D2"/>
    <mergeCell ref="A3:D3"/>
    <mergeCell ref="A4:D4"/>
    <mergeCell ref="A5:D5"/>
    <mergeCell ref="A7:D7"/>
    <mergeCell ref="A74:D74"/>
    <mergeCell ref="A14:D14"/>
    <mergeCell ref="A29:D29"/>
    <mergeCell ref="A43:D43"/>
    <mergeCell ref="A48:D48"/>
    <mergeCell ref="A55:D55"/>
    <mergeCell ref="A69:D69"/>
  </mergeCells>
  <printOptions/>
  <pageMargins left="0.5597222222222222" right="0.7875" top="0.34097222222222223" bottom="0.7875" header="0.5118055555555555" footer="0.5118055555555555"/>
  <pageSetup fitToHeight="3" fitToWidth="2" horizontalDpi="300" verticalDpi="300" orientation="landscape" paperSize="12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0"/>
  <sheetViews>
    <sheetView zoomScale="80" zoomScaleNormal="80" zoomScalePageLayoutView="0" workbookViewId="0" topLeftCell="A1">
      <selection activeCell="E13" sqref="E13:E46"/>
    </sheetView>
  </sheetViews>
  <sheetFormatPr defaultColWidth="11.57421875" defaultRowHeight="12.75"/>
  <cols>
    <col min="1" max="1" width="54.7109375" style="0" customWidth="1"/>
    <col min="2" max="2" width="17.8515625" style="0" customWidth="1"/>
    <col min="3" max="3" width="22.421875" style="0" customWidth="1"/>
    <col min="4" max="4" width="18.140625" style="0" customWidth="1"/>
    <col min="5" max="5" width="16.8515625" style="1" customWidth="1"/>
    <col min="6" max="7" width="0" style="1" hidden="1" customWidth="1"/>
    <col min="8" max="8" width="11.57421875" style="1" customWidth="1"/>
    <col min="9" max="9" width="5.28125" style="1" customWidth="1"/>
    <col min="10" max="10" width="30.00390625" style="1" customWidth="1"/>
    <col min="11" max="12" width="23.28125" style="0" customWidth="1"/>
    <col min="13" max="13" width="6.57421875" style="0" customWidth="1"/>
    <col min="14" max="14" width="7.00390625" style="0" customWidth="1"/>
  </cols>
  <sheetData>
    <row r="1" spans="1:4" ht="18">
      <c r="A1" s="265" t="s">
        <v>0</v>
      </c>
      <c r="B1" s="265"/>
      <c r="C1" s="265"/>
      <c r="D1" s="265"/>
    </row>
    <row r="2" spans="1:4" ht="15.75">
      <c r="A2" s="266" t="s">
        <v>1</v>
      </c>
      <c r="B2" s="266"/>
      <c r="C2" s="266"/>
      <c r="D2" s="266"/>
    </row>
    <row r="3" spans="1:4" ht="15.75">
      <c r="A3" s="266" t="s">
        <v>2</v>
      </c>
      <c r="B3" s="266"/>
      <c r="C3" s="266"/>
      <c r="D3" s="266"/>
    </row>
    <row r="4" spans="1:4" ht="12.75">
      <c r="A4" s="267" t="s">
        <v>144</v>
      </c>
      <c r="B4" s="267"/>
      <c r="C4" s="267"/>
      <c r="D4" s="267"/>
    </row>
    <row r="5" spans="1:4" ht="12.75">
      <c r="A5" s="268" t="s">
        <v>171</v>
      </c>
      <c r="B5" s="267"/>
      <c r="C5" s="267"/>
      <c r="D5" s="267"/>
    </row>
    <row r="6" ht="9" customHeight="1">
      <c r="A6" s="2"/>
    </row>
    <row r="7" spans="1:4" ht="30" customHeight="1">
      <c r="A7" s="269" t="s">
        <v>4</v>
      </c>
      <c r="B7" s="269"/>
      <c r="C7" s="269"/>
      <c r="D7" s="269"/>
    </row>
    <row r="8" spans="1:3" ht="12.75">
      <c r="A8" s="2" t="s">
        <v>176</v>
      </c>
      <c r="C8" s="3"/>
    </row>
    <row r="9" spans="1:4" ht="12.75">
      <c r="A9" s="4" t="s">
        <v>5</v>
      </c>
      <c r="B9" s="4" t="s">
        <v>6</v>
      </c>
      <c r="C9" s="4" t="s">
        <v>7</v>
      </c>
      <c r="D9" s="5"/>
    </row>
    <row r="10" spans="1:8" ht="12.75">
      <c r="A10" s="6">
        <v>1</v>
      </c>
      <c r="B10" s="6">
        <v>2</v>
      </c>
      <c r="C10" s="6">
        <v>3</v>
      </c>
      <c r="D10" s="7">
        <v>4</v>
      </c>
      <c r="E10" s="132"/>
      <c r="F10" s="132"/>
      <c r="G10" s="132"/>
      <c r="H10" s="132"/>
    </row>
    <row r="11" spans="1:8" ht="12.75">
      <c r="A11" s="8" t="s">
        <v>8</v>
      </c>
      <c r="B11" s="9"/>
      <c r="C11" s="177" t="s">
        <v>172</v>
      </c>
      <c r="D11" s="10"/>
      <c r="E11" s="132"/>
      <c r="F11" s="132"/>
      <c r="G11" s="132"/>
      <c r="H11" s="132"/>
    </row>
    <row r="12" spans="1:8" ht="12.75">
      <c r="A12" s="8" t="s">
        <v>10</v>
      </c>
      <c r="B12" s="9"/>
      <c r="C12" s="177" t="s">
        <v>173</v>
      </c>
      <c r="D12" s="10"/>
      <c r="E12" s="132"/>
      <c r="F12" s="132"/>
      <c r="G12" s="132"/>
      <c r="H12" s="132"/>
    </row>
    <row r="13" spans="1:8" ht="12.75">
      <c r="A13" s="8" t="s">
        <v>12</v>
      </c>
      <c r="B13" s="9"/>
      <c r="C13" s="177" t="s">
        <v>174</v>
      </c>
      <c r="D13" s="10"/>
      <c r="E13" s="132"/>
      <c r="F13" s="132"/>
      <c r="G13" s="132"/>
      <c r="H13" s="132"/>
    </row>
    <row r="14" spans="1:8" ht="31.5" customHeight="1">
      <c r="A14" s="259" t="s">
        <v>14</v>
      </c>
      <c r="B14" s="259"/>
      <c r="C14" s="259"/>
      <c r="D14" s="259"/>
      <c r="E14" s="132"/>
      <c r="F14" s="132"/>
      <c r="G14" s="132"/>
      <c r="H14" s="132"/>
    </row>
    <row r="15" spans="1:8" ht="25.5">
      <c r="A15" s="11" t="s">
        <v>15</v>
      </c>
      <c r="B15" s="12" t="s">
        <v>16</v>
      </c>
      <c r="C15" s="13">
        <v>34313.53</v>
      </c>
      <c r="D15" s="14"/>
      <c r="E15" s="132"/>
      <c r="F15" s="132"/>
      <c r="G15" s="132"/>
      <c r="H15" s="132"/>
    </row>
    <row r="16" spans="1:8" ht="15">
      <c r="A16" s="8" t="s">
        <v>17</v>
      </c>
      <c r="B16" s="12" t="s">
        <v>16</v>
      </c>
      <c r="C16" s="13">
        <v>0</v>
      </c>
      <c r="D16" s="14"/>
      <c r="E16" s="132"/>
      <c r="F16" s="132"/>
      <c r="G16" s="132"/>
      <c r="H16" s="132"/>
    </row>
    <row r="17" spans="1:8" ht="15">
      <c r="A17" s="8" t="s">
        <v>18</v>
      </c>
      <c r="B17" s="12" t="s">
        <v>16</v>
      </c>
      <c r="C17" s="15">
        <v>19537.44</v>
      </c>
      <c r="D17" s="16"/>
      <c r="E17" s="132" t="e">
        <f>B17/12/1022.6</f>
        <v>#VALUE!</v>
      </c>
      <c r="F17" s="132"/>
      <c r="G17" s="132"/>
      <c r="H17" s="132"/>
    </row>
    <row r="18" spans="1:8" ht="31.5" customHeight="1">
      <c r="A18" s="17" t="s">
        <v>19</v>
      </c>
      <c r="B18" s="12" t="s">
        <v>16</v>
      </c>
      <c r="C18" s="15">
        <f>C19+C20+C21</f>
        <v>81018.35800000001</v>
      </c>
      <c r="D18" s="16"/>
      <c r="E18" s="133">
        <f>C18-C20</f>
        <v>73426.56400000001</v>
      </c>
      <c r="F18" s="132"/>
      <c r="G18" s="132"/>
      <c r="H18" s="132"/>
    </row>
    <row r="19" spans="1:8" ht="15">
      <c r="A19" s="8" t="s">
        <v>20</v>
      </c>
      <c r="B19" s="12" t="s">
        <v>16</v>
      </c>
      <c r="C19" s="15">
        <v>46084.9</v>
      </c>
      <c r="D19" s="16"/>
      <c r="E19" s="133">
        <f>E18-E43</f>
        <v>0.0040000000153668225</v>
      </c>
      <c r="F19" s="132"/>
      <c r="G19" s="132"/>
      <c r="H19" s="132"/>
    </row>
    <row r="20" spans="1:8" ht="15">
      <c r="A20" s="8" t="s">
        <v>21</v>
      </c>
      <c r="B20" s="12" t="s">
        <v>16</v>
      </c>
      <c r="C20" s="15">
        <f>(1.39+1.32)*6*466.9</f>
        <v>7591.793999999999</v>
      </c>
      <c r="D20" s="16"/>
      <c r="E20" s="134"/>
      <c r="F20" s="132"/>
      <c r="G20" s="132"/>
      <c r="H20" s="132"/>
    </row>
    <row r="21" spans="1:8" ht="15">
      <c r="A21" s="8" t="s">
        <v>22</v>
      </c>
      <c r="B21" s="12" t="s">
        <v>16</v>
      </c>
      <c r="C21" s="20">
        <f>466.9*4.88*12</f>
        <v>27341.663999999997</v>
      </c>
      <c r="D21" s="16"/>
      <c r="E21" s="132"/>
      <c r="F21" s="132"/>
      <c r="G21" s="132"/>
      <c r="H21" s="132"/>
    </row>
    <row r="22" spans="1:8" ht="15">
      <c r="A22" s="21" t="s">
        <v>23</v>
      </c>
      <c r="B22" s="12" t="s">
        <v>16</v>
      </c>
      <c r="C22" s="15">
        <f>C23+C24+C25+C26+C27</f>
        <v>89784.54433560002</v>
      </c>
      <c r="D22" s="16" t="s">
        <v>24</v>
      </c>
      <c r="E22" s="133" t="e">
        <f>B24+B25+B26+B27+B28</f>
        <v>#VALUE!</v>
      </c>
      <c r="F22" s="132"/>
      <c r="G22" s="132"/>
      <c r="H22" s="132"/>
    </row>
    <row r="23" spans="1:8" ht="15">
      <c r="A23" s="8" t="s">
        <v>25</v>
      </c>
      <c r="B23" s="12" t="s">
        <v>16</v>
      </c>
      <c r="C23" s="15">
        <f>C18*1.1082</f>
        <v>89784.54433560002</v>
      </c>
      <c r="D23" s="16"/>
      <c r="E23" s="132"/>
      <c r="F23" s="132"/>
      <c r="G23" s="132"/>
      <c r="H23" s="132"/>
    </row>
    <row r="24" spans="1:8" ht="15">
      <c r="A24" s="8" t="s">
        <v>26</v>
      </c>
      <c r="B24" s="12" t="s">
        <v>16</v>
      </c>
      <c r="C24" s="15">
        <v>0</v>
      </c>
      <c r="D24" s="22">
        <v>65.21</v>
      </c>
      <c r="E24" s="134" t="e">
        <f>B24/#REF!*1</f>
        <v>#VALUE!</v>
      </c>
      <c r="F24" s="132"/>
      <c r="G24" s="132"/>
      <c r="H24" s="132" t="s">
        <v>27</v>
      </c>
    </row>
    <row r="25" spans="1:8" ht="15">
      <c r="A25" s="8" t="s">
        <v>28</v>
      </c>
      <c r="B25" s="12" t="s">
        <v>16</v>
      </c>
      <c r="C25" s="15">
        <v>0</v>
      </c>
      <c r="D25" s="22">
        <v>119.63</v>
      </c>
      <c r="E25" s="134" t="e">
        <f>B25/#REF!*1</f>
        <v>#VALUE!</v>
      </c>
      <c r="F25" s="132"/>
      <c r="G25" s="132"/>
      <c r="H25" s="132"/>
    </row>
    <row r="26" spans="1:8" ht="15">
      <c r="A26" s="9" t="s">
        <v>29</v>
      </c>
      <c r="B26" s="12" t="s">
        <v>16</v>
      </c>
      <c r="C26" s="15">
        <v>0</v>
      </c>
      <c r="D26" s="22"/>
      <c r="E26" s="134" t="e">
        <f>B26/#REF!*1</f>
        <v>#VALUE!</v>
      </c>
      <c r="F26" s="132"/>
      <c r="G26" s="132"/>
      <c r="H26" s="132"/>
    </row>
    <row r="27" spans="1:8" ht="16.5" customHeight="1">
      <c r="A27" s="116" t="s">
        <v>112</v>
      </c>
      <c r="B27" s="12" t="s">
        <v>16</v>
      </c>
      <c r="C27" s="15">
        <v>0</v>
      </c>
      <c r="D27" s="22">
        <v>139.18</v>
      </c>
      <c r="E27" s="134" t="e">
        <f>B27/#REF!*1</f>
        <v>#VALUE!</v>
      </c>
      <c r="F27" s="132"/>
      <c r="G27" s="132"/>
      <c r="H27" s="132"/>
    </row>
    <row r="28" spans="1:8" ht="15">
      <c r="A28" s="8" t="s">
        <v>31</v>
      </c>
      <c r="B28" s="12" t="s">
        <v>16</v>
      </c>
      <c r="C28" s="15">
        <f>C15+C22</f>
        <v>124098.07433560002</v>
      </c>
      <c r="D28" s="16" t="s">
        <v>32</v>
      </c>
      <c r="E28" s="134" t="e">
        <f>B28/#REF!*1</f>
        <v>#VALUE!</v>
      </c>
      <c r="F28" s="132"/>
      <c r="G28" s="132"/>
      <c r="H28" s="132"/>
    </row>
    <row r="29" spans="1:8" ht="35.25" customHeight="1">
      <c r="A29" s="260" t="s">
        <v>33</v>
      </c>
      <c r="B29" s="260"/>
      <c r="C29" s="260"/>
      <c r="D29" s="260"/>
      <c r="E29" s="132"/>
      <c r="F29" s="132"/>
      <c r="G29" s="132"/>
      <c r="H29" s="132"/>
    </row>
    <row r="30" spans="1:8" ht="51">
      <c r="A30" s="218" t="s">
        <v>34</v>
      </c>
      <c r="B30" s="221" t="s">
        <v>35</v>
      </c>
      <c r="C30" s="216" t="s">
        <v>36</v>
      </c>
      <c r="D30" s="222" t="s">
        <v>37</v>
      </c>
      <c r="E30" s="132"/>
      <c r="F30" s="132"/>
      <c r="G30" s="132"/>
      <c r="H30" s="132"/>
    </row>
    <row r="31" spans="1:8" ht="30">
      <c r="A31" s="27" t="s">
        <v>38</v>
      </c>
      <c r="B31" s="28" t="s">
        <v>39</v>
      </c>
      <c r="C31" s="29" t="s">
        <v>40</v>
      </c>
      <c r="D31" s="107">
        <f>(0.17+0.16)*6*466.9</f>
        <v>924.462</v>
      </c>
      <c r="E31" s="132"/>
      <c r="F31" s="132"/>
      <c r="G31" s="132"/>
      <c r="H31" s="132"/>
    </row>
    <row r="32" spans="1:8" ht="15">
      <c r="A32" s="31" t="s">
        <v>84</v>
      </c>
      <c r="B32" s="32" t="s">
        <v>85</v>
      </c>
      <c r="C32" s="33" t="s">
        <v>86</v>
      </c>
      <c r="D32" s="108">
        <f>(2.45+2.34)*6*466.9</f>
        <v>13418.706</v>
      </c>
      <c r="E32" s="132"/>
      <c r="F32" s="132"/>
      <c r="G32" s="132"/>
      <c r="H32" s="132"/>
    </row>
    <row r="33" spans="1:8" ht="15">
      <c r="A33" s="31" t="s">
        <v>41</v>
      </c>
      <c r="B33" s="32" t="s">
        <v>42</v>
      </c>
      <c r="C33" s="33" t="s">
        <v>43</v>
      </c>
      <c r="D33" s="34">
        <f>(3.03+3)*6*466.9</f>
        <v>16892.441999999995</v>
      </c>
      <c r="E33" s="132"/>
      <c r="F33" s="132"/>
      <c r="G33" s="132"/>
      <c r="H33" s="132"/>
    </row>
    <row r="34" spans="1:8" ht="15">
      <c r="A34" s="31" t="s">
        <v>44</v>
      </c>
      <c r="B34" s="32" t="s">
        <v>39</v>
      </c>
      <c r="C34" s="33" t="s">
        <v>45</v>
      </c>
      <c r="D34" s="108">
        <f>(0.2+0.21)*6*466.9</f>
        <v>1148.5739999999998</v>
      </c>
      <c r="E34" s="132"/>
      <c r="F34" s="132"/>
      <c r="G34" s="132"/>
      <c r="H34" s="132"/>
    </row>
    <row r="35" spans="1:8" ht="15">
      <c r="A35" s="31" t="s">
        <v>88</v>
      </c>
      <c r="B35" s="105" t="s">
        <v>87</v>
      </c>
      <c r="C35" s="33" t="s">
        <v>40</v>
      </c>
      <c r="D35" s="108">
        <f>(0.64+0.67)*6*466.9</f>
        <v>3669.834</v>
      </c>
      <c r="E35" s="132"/>
      <c r="F35" s="132"/>
      <c r="G35" s="132"/>
      <c r="H35" s="132"/>
    </row>
    <row r="36" spans="1:8" ht="15">
      <c r="A36" s="31" t="s">
        <v>123</v>
      </c>
      <c r="B36" s="32" t="s">
        <v>39</v>
      </c>
      <c r="C36" s="33" t="s">
        <v>40</v>
      </c>
      <c r="D36" s="108">
        <v>1850.79</v>
      </c>
      <c r="E36" s="132"/>
      <c r="F36" s="132"/>
      <c r="G36" s="132"/>
      <c r="H36" s="132"/>
    </row>
    <row r="37" spans="1:8" ht="15">
      <c r="A37" s="31" t="s">
        <v>90</v>
      </c>
      <c r="B37" s="106" t="s">
        <v>91</v>
      </c>
      <c r="C37" s="33" t="s">
        <v>40</v>
      </c>
      <c r="D37" s="108">
        <f>(1.33+1.27)*6*466.9</f>
        <v>7283.64</v>
      </c>
      <c r="E37" s="132"/>
      <c r="F37" s="132"/>
      <c r="G37" s="132"/>
      <c r="H37" s="132"/>
    </row>
    <row r="38" spans="1:8" ht="15">
      <c r="A38" s="31" t="s">
        <v>46</v>
      </c>
      <c r="B38" s="32" t="s">
        <v>42</v>
      </c>
      <c r="C38" s="35" t="s">
        <v>47</v>
      </c>
      <c r="D38" s="108">
        <f>4.88*466.9*12</f>
        <v>27341.663999999997</v>
      </c>
      <c r="E38" s="132"/>
      <c r="F38" s="132"/>
      <c r="G38" s="132"/>
      <c r="H38" s="132"/>
    </row>
    <row r="39" spans="1:8" ht="15">
      <c r="A39" s="31" t="s">
        <v>95</v>
      </c>
      <c r="B39" s="32" t="s">
        <v>96</v>
      </c>
      <c r="C39" s="251" t="s">
        <v>97</v>
      </c>
      <c r="D39" s="108">
        <v>896.4479999999999</v>
      </c>
      <c r="E39" s="132"/>
      <c r="F39" s="132"/>
      <c r="G39" s="132"/>
      <c r="H39" s="132"/>
    </row>
    <row r="40" spans="1:14" s="1" customFormat="1" ht="53.25" customHeight="1">
      <c r="A40" s="248" t="s">
        <v>302</v>
      </c>
      <c r="B40" s="37" t="s">
        <v>49</v>
      </c>
      <c r="C40" s="29"/>
      <c r="D40" s="39">
        <v>14373.63</v>
      </c>
      <c r="E40" s="132"/>
      <c r="F40" s="132"/>
      <c r="G40" s="132"/>
      <c r="H40" s="132"/>
      <c r="K40"/>
      <c r="L40"/>
      <c r="M40"/>
      <c r="N40"/>
    </row>
    <row r="41" spans="1:14" s="1" customFormat="1" ht="15">
      <c r="A41" s="109" t="s">
        <v>177</v>
      </c>
      <c r="B41" s="110" t="s">
        <v>178</v>
      </c>
      <c r="C41" s="33" t="s">
        <v>40</v>
      </c>
      <c r="D41" s="179">
        <v>11499.63</v>
      </c>
      <c r="E41" s="132"/>
      <c r="F41" s="132"/>
      <c r="G41" s="132"/>
      <c r="H41" s="132"/>
      <c r="K41"/>
      <c r="L41"/>
      <c r="M41"/>
      <c r="N41"/>
    </row>
    <row r="42" spans="1:14" s="1" customFormat="1" ht="15">
      <c r="A42" s="109" t="s">
        <v>291</v>
      </c>
      <c r="B42" s="110" t="s">
        <v>179</v>
      </c>
      <c r="C42" s="33" t="s">
        <v>40</v>
      </c>
      <c r="D42" s="179">
        <v>2874</v>
      </c>
      <c r="E42" s="132"/>
      <c r="F42" s="132"/>
      <c r="G42" s="132"/>
      <c r="H42" s="132"/>
      <c r="K42"/>
      <c r="L42"/>
      <c r="M42"/>
      <c r="N42"/>
    </row>
    <row r="43" spans="1:14" s="1" customFormat="1" ht="15.75">
      <c r="A43" s="40" t="s">
        <v>50</v>
      </c>
      <c r="B43" s="41"/>
      <c r="C43" s="42"/>
      <c r="D43" s="113">
        <f>D31+D32+D33+D34+D35+D36+D37+D38+D39+D40</f>
        <v>87800.19</v>
      </c>
      <c r="E43" s="135">
        <f>D43-D40</f>
        <v>73426.56</v>
      </c>
      <c r="F43" s="132"/>
      <c r="G43" s="132"/>
      <c r="H43" s="132"/>
      <c r="K43"/>
      <c r="L43"/>
      <c r="M43"/>
      <c r="N43"/>
    </row>
    <row r="44" spans="1:14" s="1" customFormat="1" ht="15">
      <c r="A44" s="43" t="s">
        <v>51</v>
      </c>
      <c r="B44" s="44" t="s">
        <v>16</v>
      </c>
      <c r="C44" s="45"/>
      <c r="D44" s="46">
        <f>C15+C20*1.1082-D40</f>
        <v>28353.126110800004</v>
      </c>
      <c r="E44" s="135"/>
      <c r="F44" s="132"/>
      <c r="G44" s="132"/>
      <c r="H44" s="132"/>
      <c r="K44"/>
      <c r="L44"/>
      <c r="M44"/>
      <c r="N44"/>
    </row>
    <row r="45" spans="1:14" s="1" customFormat="1" ht="15">
      <c r="A45" s="48" t="s">
        <v>17</v>
      </c>
      <c r="B45" s="49" t="s">
        <v>16</v>
      </c>
      <c r="C45" s="33"/>
      <c r="D45" s="14">
        <v>0</v>
      </c>
      <c r="E45" s="132"/>
      <c r="F45" s="132"/>
      <c r="G45" s="132"/>
      <c r="H45" s="132"/>
      <c r="K45"/>
      <c r="L45"/>
      <c r="M45"/>
      <c r="N45"/>
    </row>
    <row r="46" spans="1:14" s="1" customFormat="1" ht="15">
      <c r="A46" s="48" t="s">
        <v>18</v>
      </c>
      <c r="B46" s="49" t="s">
        <v>16</v>
      </c>
      <c r="C46" s="33"/>
      <c r="D46" s="14">
        <v>10771.26</v>
      </c>
      <c r="E46" s="132"/>
      <c r="F46" s="132"/>
      <c r="G46" s="132"/>
      <c r="H46" s="132"/>
      <c r="K46"/>
      <c r="L46"/>
      <c r="M46"/>
      <c r="N46"/>
    </row>
    <row r="47" spans="1:14" s="1" customFormat="1" ht="24" customHeight="1">
      <c r="A47" s="261" t="s">
        <v>52</v>
      </c>
      <c r="B47" s="261"/>
      <c r="C47" s="261"/>
      <c r="D47" s="261"/>
      <c r="E47" s="132"/>
      <c r="F47" s="132"/>
      <c r="G47" s="132"/>
      <c r="H47" s="132"/>
      <c r="K47"/>
      <c r="L47"/>
      <c r="M47"/>
      <c r="N47"/>
    </row>
    <row r="48" spans="1:14" s="1" customFormat="1" ht="15">
      <c r="A48" s="48" t="s">
        <v>53</v>
      </c>
      <c r="B48" s="32" t="s">
        <v>54</v>
      </c>
      <c r="C48" s="33">
        <v>0</v>
      </c>
      <c r="D48" s="14">
        <v>0</v>
      </c>
      <c r="E48" s="132"/>
      <c r="F48" s="132"/>
      <c r="G48" s="132"/>
      <c r="H48" s="132"/>
      <c r="K48"/>
      <c r="L48"/>
      <c r="M48"/>
      <c r="N48"/>
    </row>
    <row r="49" spans="1:14" s="1" customFormat="1" ht="15">
      <c r="A49" s="48" t="s">
        <v>55</v>
      </c>
      <c r="B49" s="32" t="s">
        <v>54</v>
      </c>
      <c r="C49" s="33">
        <v>0</v>
      </c>
      <c r="D49" s="14">
        <v>0</v>
      </c>
      <c r="E49" s="132"/>
      <c r="F49" s="132"/>
      <c r="G49" s="132"/>
      <c r="H49" s="132"/>
      <c r="K49"/>
      <c r="L49"/>
      <c r="M49"/>
      <c r="N49"/>
    </row>
    <row r="50" spans="1:14" s="1" customFormat="1" ht="15">
      <c r="A50" s="50" t="s">
        <v>56</v>
      </c>
      <c r="B50" s="32" t="s">
        <v>54</v>
      </c>
      <c r="C50" s="33">
        <v>0</v>
      </c>
      <c r="D50" s="14">
        <v>0</v>
      </c>
      <c r="E50" s="132"/>
      <c r="F50" s="132"/>
      <c r="G50" s="132"/>
      <c r="H50" s="132"/>
      <c r="K50"/>
      <c r="L50"/>
      <c r="M50"/>
      <c r="N50"/>
    </row>
    <row r="51" spans="1:14" s="1" customFormat="1" ht="15">
      <c r="A51" s="48" t="s">
        <v>57</v>
      </c>
      <c r="B51" s="32" t="s">
        <v>16</v>
      </c>
      <c r="C51" s="33">
        <v>0</v>
      </c>
      <c r="D51" s="14">
        <v>0</v>
      </c>
      <c r="E51" s="132"/>
      <c r="F51" s="132"/>
      <c r="G51" s="132"/>
      <c r="H51" s="132"/>
      <c r="K51"/>
      <c r="L51"/>
      <c r="M51"/>
      <c r="N51"/>
    </row>
    <row r="52" spans="1:8" ht="20.25" customHeight="1">
      <c r="A52" s="262" t="s">
        <v>58</v>
      </c>
      <c r="B52" s="262"/>
      <c r="C52" s="262"/>
      <c r="D52" s="262"/>
      <c r="E52" s="132"/>
      <c r="F52" s="132"/>
      <c r="G52" s="132"/>
      <c r="H52" s="132"/>
    </row>
    <row r="53" spans="1:8" ht="25.5">
      <c r="A53" s="50" t="s">
        <v>59</v>
      </c>
      <c r="B53" s="32" t="s">
        <v>16</v>
      </c>
      <c r="C53" s="33"/>
      <c r="D53" s="14">
        <v>0</v>
      </c>
      <c r="E53" s="132"/>
      <c r="F53" s="132"/>
      <c r="G53" s="132"/>
      <c r="H53" s="132"/>
    </row>
    <row r="54" spans="1:8" ht="15">
      <c r="A54" s="48" t="s">
        <v>17</v>
      </c>
      <c r="B54" s="32" t="s">
        <v>16</v>
      </c>
      <c r="C54" s="33"/>
      <c r="D54" s="14">
        <v>0</v>
      </c>
      <c r="E54" s="132"/>
      <c r="F54" s="132"/>
      <c r="G54" s="132"/>
      <c r="H54" s="132"/>
    </row>
    <row r="55" spans="1:8" ht="15">
      <c r="A55" s="48" t="s">
        <v>18</v>
      </c>
      <c r="B55" s="32" t="s">
        <v>16</v>
      </c>
      <c r="C55" s="33"/>
      <c r="D55" s="51">
        <f>D58-D61-D62-D63</f>
        <v>18724.972584000006</v>
      </c>
      <c r="E55" s="132"/>
      <c r="F55" s="132"/>
      <c r="G55" s="132"/>
      <c r="H55" s="136"/>
    </row>
    <row r="56" spans="1:8" ht="25.5">
      <c r="A56" s="53" t="s">
        <v>60</v>
      </c>
      <c r="B56" s="32" t="s">
        <v>16</v>
      </c>
      <c r="C56" s="54"/>
      <c r="D56" s="55">
        <v>0</v>
      </c>
      <c r="E56" s="132"/>
      <c r="F56" s="132"/>
      <c r="G56" s="132"/>
      <c r="H56" s="132"/>
    </row>
    <row r="57" spans="1:10" ht="17.25" customHeight="1">
      <c r="A57" s="246" t="s">
        <v>288</v>
      </c>
      <c r="B57" s="32" t="s">
        <v>16</v>
      </c>
      <c r="C57" s="33"/>
      <c r="D57" s="14">
        <v>0</v>
      </c>
      <c r="E57" s="132"/>
      <c r="F57" s="132"/>
      <c r="G57" s="132"/>
      <c r="H57" s="132"/>
      <c r="I57" s="52"/>
      <c r="J57" s="52"/>
    </row>
    <row r="58" spans="1:14" ht="15">
      <c r="A58" s="59" t="s">
        <v>18</v>
      </c>
      <c r="B58" s="32" t="s">
        <v>16</v>
      </c>
      <c r="C58" s="60"/>
      <c r="D58" s="61">
        <v>11045.14</v>
      </c>
      <c r="E58" s="132"/>
      <c r="F58" s="132"/>
      <c r="G58" s="132"/>
      <c r="H58" s="132" t="s">
        <v>32</v>
      </c>
      <c r="I58" s="63"/>
      <c r="J58" s="63"/>
      <c r="K58" s="64"/>
      <c r="L58" s="64"/>
      <c r="M58" s="64"/>
      <c r="N58" s="64"/>
    </row>
    <row r="59" spans="1:14" ht="18" customHeight="1">
      <c r="A59" s="263" t="s">
        <v>61</v>
      </c>
      <c r="B59" s="263"/>
      <c r="C59" s="263"/>
      <c r="D59" s="263"/>
      <c r="E59" s="137"/>
      <c r="F59" s="138"/>
      <c r="G59" s="139"/>
      <c r="H59" s="132"/>
      <c r="I59" s="68"/>
      <c r="J59" s="68"/>
      <c r="K59" s="69"/>
      <c r="L59" s="69"/>
      <c r="M59" s="69"/>
      <c r="N59" s="69"/>
    </row>
    <row r="60" spans="1:14" ht="38.25">
      <c r="A60" s="70" t="s">
        <v>62</v>
      </c>
      <c r="B60" s="71" t="s">
        <v>63</v>
      </c>
      <c r="C60" s="212" t="s">
        <v>64</v>
      </c>
      <c r="D60" s="213" t="s">
        <v>65</v>
      </c>
      <c r="E60" s="137"/>
      <c r="F60" s="138"/>
      <c r="G60" s="139"/>
      <c r="H60" s="132"/>
      <c r="I60" s="68"/>
      <c r="J60" s="74"/>
      <c r="K60" s="69"/>
      <c r="L60" s="69"/>
      <c r="M60" s="69"/>
      <c r="N60" s="69"/>
    </row>
    <row r="61" spans="1:14" ht="15">
      <c r="A61" s="75" t="s">
        <v>66</v>
      </c>
      <c r="B61" s="117">
        <v>28704.1</v>
      </c>
      <c r="C61" s="118">
        <f>B61*1.1082</f>
        <v>31809.88362</v>
      </c>
      <c r="D61" s="119">
        <f>B61-C61</f>
        <v>-3105.783620000002</v>
      </c>
      <c r="E61" s="140"/>
      <c r="F61" s="138"/>
      <c r="G61" s="139"/>
      <c r="H61" s="132"/>
      <c r="I61" s="68"/>
      <c r="J61" s="68"/>
      <c r="K61" s="69"/>
      <c r="L61" s="69"/>
      <c r="M61" s="69"/>
      <c r="N61" s="69"/>
    </row>
    <row r="62" spans="1:14" ht="15">
      <c r="A62" s="75" t="s">
        <v>67</v>
      </c>
      <c r="B62" s="117">
        <v>21848.82</v>
      </c>
      <c r="C62" s="118">
        <f>B62*1.1082</f>
        <v>24212.862324</v>
      </c>
      <c r="D62" s="119">
        <f>B62-C62</f>
        <v>-2364.042324000002</v>
      </c>
      <c r="E62" s="137"/>
      <c r="F62" s="138"/>
      <c r="G62" s="139"/>
      <c r="H62" s="132"/>
      <c r="I62" s="68"/>
      <c r="J62" s="68"/>
      <c r="K62" s="69"/>
      <c r="L62" s="69"/>
      <c r="M62" s="69"/>
      <c r="N62" s="69"/>
    </row>
    <row r="63" spans="1:14" ht="15">
      <c r="A63" s="75" t="s">
        <v>68</v>
      </c>
      <c r="B63" s="120">
        <v>20425.2</v>
      </c>
      <c r="C63" s="118">
        <f>B63*1.1082</f>
        <v>22635.206640000004</v>
      </c>
      <c r="D63" s="119">
        <f>B63-C63</f>
        <v>-2210.0066400000032</v>
      </c>
      <c r="E63" s="137">
        <f>(2.07+1.8)*6*2301.2-0.37*2301.2*6</f>
        <v>48325.2</v>
      </c>
      <c r="F63" s="141"/>
      <c r="G63" s="142"/>
      <c r="H63" s="137"/>
      <c r="I63" s="68"/>
      <c r="J63" s="68"/>
      <c r="K63" s="69"/>
      <c r="L63" s="69"/>
      <c r="M63" s="69"/>
      <c r="N63" s="69"/>
    </row>
    <row r="64" spans="1:14" ht="15.75" thickBot="1">
      <c r="A64" s="150" t="s">
        <v>69</v>
      </c>
      <c r="B64" s="151">
        <v>0</v>
      </c>
      <c r="C64" s="152">
        <f>B64*0.9934</f>
        <v>0</v>
      </c>
      <c r="D64" s="153">
        <f>B64-C64</f>
        <v>0</v>
      </c>
      <c r="E64" s="137"/>
      <c r="F64" s="141"/>
      <c r="G64" s="142"/>
      <c r="H64" s="132"/>
      <c r="I64" s="68"/>
      <c r="J64" s="68"/>
      <c r="K64" s="69"/>
      <c r="L64" s="69"/>
      <c r="M64" s="69"/>
      <c r="N64" s="69"/>
    </row>
    <row r="65" spans="1:14" ht="63.75">
      <c r="A65" s="154" t="s">
        <v>70</v>
      </c>
      <c r="B65" s="155" t="s">
        <v>71</v>
      </c>
      <c r="C65" s="155" t="s">
        <v>72</v>
      </c>
      <c r="D65" s="214" t="s">
        <v>73</v>
      </c>
      <c r="E65" s="137"/>
      <c r="F65" s="141"/>
      <c r="G65" s="132"/>
      <c r="H65" s="143"/>
      <c r="I65" s="68"/>
      <c r="J65" s="68"/>
      <c r="K65" s="69"/>
      <c r="L65" s="69"/>
      <c r="M65" s="69"/>
      <c r="N65" s="69"/>
    </row>
    <row r="66" spans="1:14" ht="15">
      <c r="A66" s="158" t="s">
        <v>66</v>
      </c>
      <c r="B66" s="124">
        <f>B61</f>
        <v>28704.1</v>
      </c>
      <c r="C66" s="125">
        <v>31809.88</v>
      </c>
      <c r="D66" s="159">
        <f>B66-C66</f>
        <v>-3105.7800000000025</v>
      </c>
      <c r="E66" s="137"/>
      <c r="F66" s="141"/>
      <c r="G66" s="132"/>
      <c r="H66" s="143"/>
      <c r="I66" s="68"/>
      <c r="J66" s="68" t="s">
        <v>32</v>
      </c>
      <c r="K66" s="69"/>
      <c r="L66" s="69"/>
      <c r="M66" s="69"/>
      <c r="N66" s="69"/>
    </row>
    <row r="67" spans="1:14" ht="15">
      <c r="A67" s="158" t="s">
        <v>67</v>
      </c>
      <c r="B67" s="124">
        <f>B62</f>
        <v>21848.82</v>
      </c>
      <c r="C67" s="125">
        <v>24212.86</v>
      </c>
      <c r="D67" s="159">
        <f>B67-C67</f>
        <v>-2364.040000000001</v>
      </c>
      <c r="E67" s="137"/>
      <c r="F67" s="141"/>
      <c r="G67" s="132"/>
      <c r="H67" s="143"/>
      <c r="I67" s="68"/>
      <c r="J67" s="68"/>
      <c r="K67" s="69"/>
      <c r="L67" s="69"/>
      <c r="M67" s="69"/>
      <c r="N67" s="69"/>
    </row>
    <row r="68" spans="1:14" ht="15">
      <c r="A68" s="158" t="s">
        <v>68</v>
      </c>
      <c r="B68" s="124">
        <f>B63</f>
        <v>20425.2</v>
      </c>
      <c r="C68" s="125">
        <v>22635.21</v>
      </c>
      <c r="D68" s="159">
        <f>B68-C68</f>
        <v>-2210.0099999999984</v>
      </c>
      <c r="E68" s="137"/>
      <c r="F68" s="141"/>
      <c r="G68" s="132"/>
      <c r="H68" s="143"/>
      <c r="I68" s="68"/>
      <c r="J68" s="68"/>
      <c r="K68" s="69"/>
      <c r="L68" s="69"/>
      <c r="M68" s="69"/>
      <c r="N68" s="69"/>
    </row>
    <row r="69" spans="1:14" ht="15">
      <c r="A69" s="158" t="s">
        <v>74</v>
      </c>
      <c r="B69" s="124">
        <v>0</v>
      </c>
      <c r="C69" s="125">
        <v>0</v>
      </c>
      <c r="D69" s="159">
        <f>B69-C69</f>
        <v>0</v>
      </c>
      <c r="E69" s="137"/>
      <c r="F69" s="141"/>
      <c r="G69" s="132"/>
      <c r="H69" s="143"/>
      <c r="I69" s="68"/>
      <c r="J69" s="68"/>
      <c r="K69" s="69"/>
      <c r="L69" s="69"/>
      <c r="M69" s="69"/>
      <c r="N69" s="69"/>
    </row>
    <row r="70" spans="1:14" ht="15.75" thickBot="1">
      <c r="A70" s="160" t="s">
        <v>69</v>
      </c>
      <c r="B70" s="161">
        <v>0</v>
      </c>
      <c r="C70" s="162">
        <v>0</v>
      </c>
      <c r="D70" s="163">
        <f>B70-C70</f>
        <v>0</v>
      </c>
      <c r="E70" s="137"/>
      <c r="F70" s="141"/>
      <c r="G70" s="132"/>
      <c r="H70" s="143" t="s">
        <v>32</v>
      </c>
      <c r="I70" s="68"/>
      <c r="J70" s="68"/>
      <c r="K70" s="69"/>
      <c r="L70" s="69"/>
      <c r="M70" s="69"/>
      <c r="N70" s="69"/>
    </row>
    <row r="71" spans="1:14" ht="15">
      <c r="A71" s="91"/>
      <c r="B71" s="87"/>
      <c r="C71" s="92"/>
      <c r="D71" s="93"/>
      <c r="E71" s="137"/>
      <c r="F71" s="141"/>
      <c r="G71" s="132"/>
      <c r="H71" s="143"/>
      <c r="I71" s="68"/>
      <c r="J71" s="68"/>
      <c r="K71" s="69"/>
      <c r="L71" s="69"/>
      <c r="M71" s="69"/>
      <c r="N71" s="69"/>
    </row>
    <row r="72" spans="1:14" ht="25.5">
      <c r="A72" s="94" t="s">
        <v>75</v>
      </c>
      <c r="B72" s="87" t="s">
        <v>16</v>
      </c>
      <c r="C72" s="95"/>
      <c r="D72" s="96">
        <v>0</v>
      </c>
      <c r="E72" s="137"/>
      <c r="F72" s="141"/>
      <c r="G72" s="132"/>
      <c r="H72" s="143"/>
      <c r="I72" s="68"/>
      <c r="J72" s="68" t="s">
        <v>32</v>
      </c>
      <c r="K72" s="69"/>
      <c r="L72" s="69"/>
      <c r="M72" s="69"/>
      <c r="N72" s="69"/>
    </row>
    <row r="73" spans="1:14" ht="17.25" customHeight="1">
      <c r="A73" s="264" t="s">
        <v>76</v>
      </c>
      <c r="B73" s="264"/>
      <c r="C73" s="264"/>
      <c r="D73" s="264"/>
      <c r="E73" s="144" t="e">
        <f>D73+B19</f>
        <v>#VALUE!</v>
      </c>
      <c r="F73" s="143"/>
      <c r="G73" s="132"/>
      <c r="H73" s="145" t="e">
        <f>E73-B18</f>
        <v>#VALUE!</v>
      </c>
      <c r="I73" s="68"/>
      <c r="J73" s="68"/>
      <c r="K73" s="69"/>
      <c r="L73" s="69"/>
      <c r="M73" s="69"/>
      <c r="N73" s="69"/>
    </row>
    <row r="74" spans="1:8" ht="21" customHeight="1">
      <c r="A74" s="99" t="s">
        <v>53</v>
      </c>
      <c r="B74" s="99" t="s">
        <v>54</v>
      </c>
      <c r="C74" s="100">
        <v>0</v>
      </c>
      <c r="D74" s="101"/>
      <c r="E74" s="146"/>
      <c r="F74" s="132"/>
      <c r="G74" s="132"/>
      <c r="H74" s="132"/>
    </row>
    <row r="75" spans="1:8" ht="21" customHeight="1">
      <c r="A75" s="99" t="s">
        <v>55</v>
      </c>
      <c r="B75" s="99" t="s">
        <v>54</v>
      </c>
      <c r="C75" s="99">
        <v>0</v>
      </c>
      <c r="D75" s="101"/>
      <c r="E75" s="146"/>
      <c r="F75" s="132"/>
      <c r="G75" s="132"/>
      <c r="H75" s="132"/>
    </row>
    <row r="76" spans="1:8" ht="18" customHeight="1">
      <c r="A76" s="99" t="s">
        <v>56</v>
      </c>
      <c r="B76" s="99" t="s">
        <v>54</v>
      </c>
      <c r="C76" s="99">
        <v>0</v>
      </c>
      <c r="D76" s="101"/>
      <c r="E76" s="146"/>
      <c r="F76" s="132"/>
      <c r="G76" s="132"/>
      <c r="H76" s="132"/>
    </row>
    <row r="77" spans="1:8" ht="16.5" customHeight="1">
      <c r="A77" s="99" t="s">
        <v>57</v>
      </c>
      <c r="B77" s="99" t="s">
        <v>16</v>
      </c>
      <c r="C77" s="99">
        <v>0</v>
      </c>
      <c r="D77" s="101"/>
      <c r="E77" s="146"/>
      <c r="F77" s="132"/>
      <c r="G77" s="132"/>
      <c r="H77" s="132"/>
    </row>
    <row r="78" spans="1:8" ht="15.75" customHeight="1">
      <c r="A78" s="258" t="s">
        <v>77</v>
      </c>
      <c r="B78" s="258"/>
      <c r="C78" s="258"/>
      <c r="D78" s="258"/>
      <c r="E78" s="146"/>
      <c r="F78" s="132"/>
      <c r="G78" s="132"/>
      <c r="H78" s="132"/>
    </row>
    <row r="79" spans="1:8" ht="18.75" customHeight="1">
      <c r="A79" s="99" t="s">
        <v>78</v>
      </c>
      <c r="B79" s="99" t="s">
        <v>54</v>
      </c>
      <c r="C79" s="99">
        <v>0</v>
      </c>
      <c r="D79" s="101"/>
      <c r="E79" s="146"/>
      <c r="F79" s="132"/>
      <c r="G79" s="132"/>
      <c r="H79" s="132"/>
    </row>
    <row r="80" spans="1:8" ht="21.75" customHeight="1">
      <c r="A80" s="99" t="s">
        <v>79</v>
      </c>
      <c r="B80" s="56" t="s">
        <v>54</v>
      </c>
      <c r="C80" s="56">
        <v>0</v>
      </c>
      <c r="D80" s="101"/>
      <c r="E80" s="146"/>
      <c r="F80" s="132"/>
      <c r="G80" s="132"/>
      <c r="H80" s="132"/>
    </row>
    <row r="81" spans="1:5" ht="36" customHeight="1">
      <c r="A81" s="103" t="s">
        <v>80</v>
      </c>
      <c r="B81" s="99" t="s">
        <v>16</v>
      </c>
      <c r="C81" s="99">
        <v>19254</v>
      </c>
      <c r="D81" s="101"/>
      <c r="E81" s="102"/>
    </row>
    <row r="82" spans="1:4" ht="15">
      <c r="A82" s="69"/>
      <c r="B82" s="69"/>
      <c r="C82" s="69"/>
      <c r="D82" s="104"/>
    </row>
    <row r="83" spans="1:14" s="1" customFormat="1" ht="12.75">
      <c r="A83"/>
      <c r="B83"/>
      <c r="C83"/>
      <c r="D83"/>
      <c r="H83" s="1" t="s">
        <v>32</v>
      </c>
      <c r="K83"/>
      <c r="L83"/>
      <c r="M83"/>
      <c r="N83"/>
    </row>
    <row r="84" spans="1:14" s="1" customFormat="1" ht="12.75">
      <c r="A84" t="s">
        <v>81</v>
      </c>
      <c r="B84"/>
      <c r="C84" t="s">
        <v>170</v>
      </c>
      <c r="D84"/>
      <c r="K84"/>
      <c r="L84"/>
      <c r="M84"/>
      <c r="N84"/>
    </row>
    <row r="85" spans="1:14" s="1" customFormat="1" ht="12.75">
      <c r="A85"/>
      <c r="B85"/>
      <c r="C85"/>
      <c r="D85"/>
      <c r="H85" s="1" t="s">
        <v>32</v>
      </c>
      <c r="K85"/>
      <c r="L85"/>
      <c r="M85"/>
      <c r="N85"/>
    </row>
    <row r="86" spans="1:14" s="1" customFormat="1" ht="12.75">
      <c r="A86" t="s">
        <v>82</v>
      </c>
      <c r="B86"/>
      <c r="C86"/>
      <c r="D86"/>
      <c r="K86"/>
      <c r="L86"/>
      <c r="M86"/>
      <c r="N86"/>
    </row>
    <row r="90" spans="1:14" s="1" customFormat="1" ht="12.75">
      <c r="A90"/>
      <c r="B90"/>
      <c r="C90"/>
      <c r="D90"/>
      <c r="E90" s="1" t="s">
        <v>32</v>
      </c>
      <c r="K90"/>
      <c r="L90"/>
      <c r="M90"/>
      <c r="N90"/>
    </row>
  </sheetData>
  <sheetProtection selectLockedCells="1" selectUnlockedCells="1"/>
  <mergeCells count="13">
    <mergeCell ref="A1:D1"/>
    <mergeCell ref="A2:D2"/>
    <mergeCell ref="A3:D3"/>
    <mergeCell ref="A4:D4"/>
    <mergeCell ref="A5:D5"/>
    <mergeCell ref="A7:D7"/>
    <mergeCell ref="A78:D78"/>
    <mergeCell ref="A14:D14"/>
    <mergeCell ref="A29:D29"/>
    <mergeCell ref="A47:D47"/>
    <mergeCell ref="A52:D52"/>
    <mergeCell ref="A59:D59"/>
    <mergeCell ref="A73:D73"/>
  </mergeCells>
  <printOptions/>
  <pageMargins left="0.5597222222222222" right="0.7875" top="0.34097222222222223" bottom="0.7875" header="0.5118055555555555" footer="0.5118055555555555"/>
  <pageSetup fitToHeight="3" fitToWidth="2" horizontalDpi="600" verticalDpi="600" orientation="portrait" paperSize="12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8"/>
  <sheetViews>
    <sheetView zoomScale="80" zoomScaleNormal="80" zoomScalePageLayoutView="0" workbookViewId="0" topLeftCell="A10">
      <selection activeCell="E15" sqref="E15:E20"/>
    </sheetView>
  </sheetViews>
  <sheetFormatPr defaultColWidth="11.57421875" defaultRowHeight="12.75"/>
  <cols>
    <col min="1" max="1" width="52.8515625" style="0" customWidth="1"/>
    <col min="2" max="2" width="19.8515625" style="0" customWidth="1"/>
    <col min="3" max="3" width="23.8515625" style="0" customWidth="1"/>
    <col min="4" max="4" width="15.7109375" style="0" customWidth="1"/>
    <col min="5" max="5" width="16.8515625" style="1" customWidth="1"/>
    <col min="6" max="7" width="0" style="1" hidden="1" customWidth="1"/>
    <col min="8" max="8" width="11.57421875" style="1" customWidth="1"/>
    <col min="9" max="9" width="5.28125" style="1" customWidth="1"/>
    <col min="10" max="10" width="30.00390625" style="1" customWidth="1"/>
    <col min="11" max="12" width="23.28125" style="0" customWidth="1"/>
    <col min="13" max="13" width="6.57421875" style="0" customWidth="1"/>
    <col min="14" max="14" width="7.00390625" style="0" customWidth="1"/>
  </cols>
  <sheetData>
    <row r="1" spans="1:4" ht="18">
      <c r="A1" s="265" t="s">
        <v>0</v>
      </c>
      <c r="B1" s="265"/>
      <c r="C1" s="265"/>
      <c r="D1" s="265"/>
    </row>
    <row r="2" spans="1:4" ht="15.75">
      <c r="A2" s="266" t="s">
        <v>1</v>
      </c>
      <c r="B2" s="266"/>
      <c r="C2" s="266"/>
      <c r="D2" s="266"/>
    </row>
    <row r="3" spans="1:4" ht="15.75">
      <c r="A3" s="266" t="s">
        <v>2</v>
      </c>
      <c r="B3" s="266"/>
      <c r="C3" s="266"/>
      <c r="D3" s="266"/>
    </row>
    <row r="4" spans="1:4" ht="12.75">
      <c r="A4" s="267" t="s">
        <v>120</v>
      </c>
      <c r="B4" s="267"/>
      <c r="C4" s="267"/>
      <c r="D4" s="267"/>
    </row>
    <row r="5" spans="1:4" ht="12.75">
      <c r="A5" s="268" t="s">
        <v>171</v>
      </c>
      <c r="B5" s="267"/>
      <c r="C5" s="267"/>
      <c r="D5" s="267"/>
    </row>
    <row r="6" ht="9" customHeight="1">
      <c r="A6" s="2"/>
    </row>
    <row r="7" spans="1:4" ht="30" customHeight="1">
      <c r="A7" s="269" t="s">
        <v>4</v>
      </c>
      <c r="B7" s="269"/>
      <c r="C7" s="269"/>
      <c r="D7" s="269"/>
    </row>
    <row r="8" spans="1:3" ht="12.75">
      <c r="A8" s="2" t="s">
        <v>228</v>
      </c>
      <c r="C8" s="3"/>
    </row>
    <row r="9" spans="1:4" ht="12.75">
      <c r="A9" s="4" t="s">
        <v>5</v>
      </c>
      <c r="B9" s="4" t="s">
        <v>6</v>
      </c>
      <c r="C9" s="4" t="s">
        <v>7</v>
      </c>
      <c r="D9" s="5"/>
    </row>
    <row r="10" spans="1:4" ht="12.75">
      <c r="A10" s="6">
        <v>1</v>
      </c>
      <c r="B10" s="6">
        <v>2</v>
      </c>
      <c r="C10" s="6">
        <v>3</v>
      </c>
      <c r="D10" s="7">
        <v>4</v>
      </c>
    </row>
    <row r="11" spans="1:8" ht="12.75">
      <c r="A11" s="8" t="s">
        <v>8</v>
      </c>
      <c r="B11" s="9"/>
      <c r="C11" s="177" t="s">
        <v>172</v>
      </c>
      <c r="D11" s="10"/>
      <c r="E11" s="132"/>
      <c r="F11" s="132"/>
      <c r="G11" s="132"/>
      <c r="H11" s="132"/>
    </row>
    <row r="12" spans="1:8" ht="12.75">
      <c r="A12" s="8" t="s">
        <v>10</v>
      </c>
      <c r="B12" s="9"/>
      <c r="C12" s="177" t="s">
        <v>173</v>
      </c>
      <c r="D12" s="10"/>
      <c r="E12" s="132"/>
      <c r="F12" s="132"/>
      <c r="G12" s="132"/>
      <c r="H12" s="132"/>
    </row>
    <row r="13" spans="1:8" ht="12.75">
      <c r="A13" s="8" t="s">
        <v>12</v>
      </c>
      <c r="B13" s="9"/>
      <c r="C13" s="177" t="s">
        <v>174</v>
      </c>
      <c r="D13" s="10"/>
      <c r="E13" s="132"/>
      <c r="F13" s="132"/>
      <c r="G13" s="132"/>
      <c r="H13" s="132"/>
    </row>
    <row r="14" spans="1:8" ht="31.5" customHeight="1">
      <c r="A14" s="259" t="s">
        <v>14</v>
      </c>
      <c r="B14" s="259"/>
      <c r="C14" s="259"/>
      <c r="D14" s="259"/>
      <c r="E14" s="132"/>
      <c r="F14" s="132"/>
      <c r="G14" s="132"/>
      <c r="H14" s="132"/>
    </row>
    <row r="15" spans="1:8" ht="25.5">
      <c r="A15" s="11" t="s">
        <v>15</v>
      </c>
      <c r="B15" s="12" t="s">
        <v>16</v>
      </c>
      <c r="C15" s="13">
        <v>1201.16</v>
      </c>
      <c r="D15" s="14"/>
      <c r="E15" s="132"/>
      <c r="F15" s="132"/>
      <c r="G15" s="132"/>
      <c r="H15" s="132"/>
    </row>
    <row r="16" spans="1:8" ht="15">
      <c r="A16" s="8" t="s">
        <v>17</v>
      </c>
      <c r="B16" s="12" t="s">
        <v>16</v>
      </c>
      <c r="C16" s="13">
        <v>0</v>
      </c>
      <c r="D16" s="14"/>
      <c r="E16" s="132"/>
      <c r="F16" s="132"/>
      <c r="G16" s="132"/>
      <c r="H16" s="132"/>
    </row>
    <row r="17" spans="1:8" ht="15">
      <c r="A17" s="8" t="s">
        <v>18</v>
      </c>
      <c r="B17" s="12" t="s">
        <v>16</v>
      </c>
      <c r="C17" s="15">
        <v>11777.38</v>
      </c>
      <c r="D17" s="16"/>
      <c r="E17" s="132" t="e">
        <f>B17/12/1022.6</f>
        <v>#VALUE!</v>
      </c>
      <c r="F17" s="132"/>
      <c r="G17" s="132"/>
      <c r="H17" s="132"/>
    </row>
    <row r="18" spans="1:8" ht="31.5" customHeight="1">
      <c r="A18" s="17" t="s">
        <v>19</v>
      </c>
      <c r="B18" s="12" t="s">
        <v>16</v>
      </c>
      <c r="C18" s="15">
        <f>C19+C20+C21</f>
        <v>67520.76</v>
      </c>
      <c r="D18" s="16"/>
      <c r="E18" s="133">
        <f>C18-C20</f>
        <v>61662.17999999999</v>
      </c>
      <c r="F18" s="132"/>
      <c r="G18" s="132"/>
      <c r="H18" s="132"/>
    </row>
    <row r="19" spans="1:8" ht="15">
      <c r="A19" s="8" t="s">
        <v>20</v>
      </c>
      <c r="B19" s="12" t="s">
        <v>16</v>
      </c>
      <c r="C19" s="15">
        <v>39585.06</v>
      </c>
      <c r="D19" s="16"/>
      <c r="E19" s="133">
        <f>E18-E41</f>
        <v>0</v>
      </c>
      <c r="F19" s="132"/>
      <c r="G19" s="132"/>
      <c r="H19" s="132"/>
    </row>
    <row r="20" spans="1:8" ht="15">
      <c r="A20" s="8" t="s">
        <v>21</v>
      </c>
      <c r="B20" s="12" t="s">
        <v>16</v>
      </c>
      <c r="C20" s="15">
        <f>(1.31+1.28)*6*377</f>
        <v>5858.58</v>
      </c>
      <c r="D20" s="16"/>
      <c r="E20" s="134"/>
      <c r="F20" s="132"/>
      <c r="G20" s="132"/>
      <c r="H20" s="132"/>
    </row>
    <row r="21" spans="1:8" ht="15">
      <c r="A21" s="8" t="s">
        <v>22</v>
      </c>
      <c r="B21" s="12" t="s">
        <v>16</v>
      </c>
      <c r="C21" s="20">
        <f>377*4.88*12</f>
        <v>22077.12</v>
      </c>
      <c r="D21" s="16"/>
      <c r="E21" s="132"/>
      <c r="F21" s="132"/>
      <c r="G21" s="132"/>
      <c r="H21" s="132"/>
    </row>
    <row r="22" spans="1:8" ht="15">
      <c r="A22" s="21" t="s">
        <v>23</v>
      </c>
      <c r="B22" s="12" t="s">
        <v>16</v>
      </c>
      <c r="C22" s="15">
        <f>C23+C24+C25+C26+C27</f>
        <v>56562.140651999995</v>
      </c>
      <c r="D22" s="16" t="s">
        <v>24</v>
      </c>
      <c r="E22" s="133" t="e">
        <f>B24+B25+B26+B27+B28</f>
        <v>#VALUE!</v>
      </c>
      <c r="F22" s="132"/>
      <c r="G22" s="132"/>
      <c r="H22" s="132"/>
    </row>
    <row r="23" spans="1:8" ht="15">
      <c r="A23" s="8" t="s">
        <v>25</v>
      </c>
      <c r="B23" s="12" t="s">
        <v>16</v>
      </c>
      <c r="C23" s="15">
        <f>C18*0.8377</f>
        <v>56562.140651999995</v>
      </c>
      <c r="D23" s="16"/>
      <c r="E23" s="132"/>
      <c r="F23" s="132"/>
      <c r="G23" s="132"/>
      <c r="H23" s="132"/>
    </row>
    <row r="24" spans="1:8" ht="15">
      <c r="A24" s="8" t="s">
        <v>26</v>
      </c>
      <c r="B24" s="12" t="s">
        <v>16</v>
      </c>
      <c r="C24" s="15">
        <v>0</v>
      </c>
      <c r="D24" s="22">
        <v>65.21</v>
      </c>
      <c r="E24" s="134" t="e">
        <f>B24/#REF!*1</f>
        <v>#VALUE!</v>
      </c>
      <c r="F24" s="132"/>
      <c r="G24" s="132"/>
      <c r="H24" s="132" t="s">
        <v>27</v>
      </c>
    </row>
    <row r="25" spans="1:8" ht="15">
      <c r="A25" s="8" t="s">
        <v>28</v>
      </c>
      <c r="B25" s="12" t="s">
        <v>16</v>
      </c>
      <c r="C25" s="15">
        <v>0</v>
      </c>
      <c r="D25" s="22">
        <v>119.63</v>
      </c>
      <c r="E25" s="134" t="e">
        <f>B25/#REF!*1</f>
        <v>#VALUE!</v>
      </c>
      <c r="F25" s="132"/>
      <c r="G25" s="132"/>
      <c r="H25" s="132"/>
    </row>
    <row r="26" spans="1:8" ht="15">
      <c r="A26" s="9" t="s">
        <v>29</v>
      </c>
      <c r="B26" s="12" t="s">
        <v>16</v>
      </c>
      <c r="C26" s="15">
        <v>0</v>
      </c>
      <c r="D26" s="22"/>
      <c r="E26" s="134" t="e">
        <f>B26/#REF!*1</f>
        <v>#VALUE!</v>
      </c>
      <c r="F26" s="132"/>
      <c r="G26" s="132"/>
      <c r="H26" s="132"/>
    </row>
    <row r="27" spans="1:8" ht="16.5" customHeight="1">
      <c r="A27" s="116" t="s">
        <v>112</v>
      </c>
      <c r="B27" s="12" t="s">
        <v>16</v>
      </c>
      <c r="C27" s="15">
        <v>0</v>
      </c>
      <c r="D27" s="22">
        <v>139.18</v>
      </c>
      <c r="E27" s="134" t="e">
        <f>B27/#REF!*1</f>
        <v>#VALUE!</v>
      </c>
      <c r="F27" s="132"/>
      <c r="G27" s="132"/>
      <c r="H27" s="132"/>
    </row>
    <row r="28" spans="1:8" ht="15">
      <c r="A28" s="8" t="s">
        <v>31</v>
      </c>
      <c r="B28" s="12" t="s">
        <v>16</v>
      </c>
      <c r="C28" s="15">
        <f>C15+C22</f>
        <v>57763.300652</v>
      </c>
      <c r="D28" s="16" t="s">
        <v>32</v>
      </c>
      <c r="E28" s="134" t="e">
        <f>B28/#REF!*1</f>
        <v>#VALUE!</v>
      </c>
      <c r="F28" s="132"/>
      <c r="G28" s="132"/>
      <c r="H28" s="132"/>
    </row>
    <row r="29" spans="1:8" ht="35.25" customHeight="1">
      <c r="A29" s="260" t="s">
        <v>33</v>
      </c>
      <c r="B29" s="260"/>
      <c r="C29" s="260"/>
      <c r="D29" s="260"/>
      <c r="E29" s="132"/>
      <c r="F29" s="132"/>
      <c r="G29" s="132"/>
      <c r="H29" s="132"/>
    </row>
    <row r="30" spans="1:8" ht="51">
      <c r="A30" s="218" t="s">
        <v>34</v>
      </c>
      <c r="B30" s="221" t="s">
        <v>35</v>
      </c>
      <c r="C30" s="216" t="s">
        <v>36</v>
      </c>
      <c r="D30" s="222" t="s">
        <v>37</v>
      </c>
      <c r="E30" s="132"/>
      <c r="F30" s="132"/>
      <c r="G30" s="132"/>
      <c r="H30" s="132"/>
    </row>
    <row r="31" spans="1:8" ht="15">
      <c r="A31" s="27" t="s">
        <v>38</v>
      </c>
      <c r="B31" s="28" t="s">
        <v>39</v>
      </c>
      <c r="C31" s="29" t="s">
        <v>40</v>
      </c>
      <c r="D31" s="107">
        <f>(0.17+0.16)*6*377</f>
        <v>746.46</v>
      </c>
      <c r="E31" s="132"/>
      <c r="F31" s="132"/>
      <c r="G31" s="132"/>
      <c r="H31" s="132"/>
    </row>
    <row r="32" spans="1:8" ht="15">
      <c r="A32" s="31" t="s">
        <v>84</v>
      </c>
      <c r="B32" s="32" t="s">
        <v>85</v>
      </c>
      <c r="C32" s="33" t="s">
        <v>86</v>
      </c>
      <c r="D32" s="108">
        <f>(2.45+2.34)*6*377</f>
        <v>10834.980000000001</v>
      </c>
      <c r="E32" s="132"/>
      <c r="F32" s="132"/>
      <c r="G32" s="132"/>
      <c r="H32" s="132"/>
    </row>
    <row r="33" spans="1:8" ht="15">
      <c r="A33" s="31" t="s">
        <v>41</v>
      </c>
      <c r="B33" s="32" t="s">
        <v>42</v>
      </c>
      <c r="C33" s="33" t="s">
        <v>43</v>
      </c>
      <c r="D33" s="34">
        <f>(3.03+3)*6*377</f>
        <v>13639.859999999997</v>
      </c>
      <c r="E33" s="132"/>
      <c r="F33" s="132"/>
      <c r="G33" s="132"/>
      <c r="H33" s="132"/>
    </row>
    <row r="34" spans="1:8" ht="15">
      <c r="A34" s="31" t="s">
        <v>44</v>
      </c>
      <c r="B34" s="32" t="s">
        <v>39</v>
      </c>
      <c r="C34" s="33" t="s">
        <v>45</v>
      </c>
      <c r="D34" s="108">
        <f>(0.2+0.21)*6*377</f>
        <v>927.42</v>
      </c>
      <c r="E34" s="132"/>
      <c r="F34" s="132"/>
      <c r="G34" s="132"/>
      <c r="H34" s="132"/>
    </row>
    <row r="35" spans="1:8" ht="15">
      <c r="A35" s="31" t="s">
        <v>88</v>
      </c>
      <c r="B35" s="105" t="s">
        <v>87</v>
      </c>
      <c r="C35" s="33" t="s">
        <v>40</v>
      </c>
      <c r="D35" s="108">
        <f>(0.7+0.68)*6*377</f>
        <v>3121.56</v>
      </c>
      <c r="E35" s="132"/>
      <c r="F35" s="132"/>
      <c r="G35" s="132"/>
      <c r="H35" s="132"/>
    </row>
    <row r="36" spans="1:8" ht="15">
      <c r="A36" s="31" t="s">
        <v>89</v>
      </c>
      <c r="B36" s="32" t="s">
        <v>39</v>
      </c>
      <c r="C36" s="33" t="s">
        <v>40</v>
      </c>
      <c r="D36" s="108">
        <f>(0.81+0.77)*6*377</f>
        <v>3573.96</v>
      </c>
      <c r="E36" s="132"/>
      <c r="F36" s="132"/>
      <c r="G36" s="132"/>
      <c r="H36" s="132"/>
    </row>
    <row r="37" spans="1:8" ht="15">
      <c r="A37" s="31" t="s">
        <v>90</v>
      </c>
      <c r="B37" s="106" t="s">
        <v>91</v>
      </c>
      <c r="C37" s="33" t="s">
        <v>40</v>
      </c>
      <c r="D37" s="108">
        <f>(1.33+1.27)*6*377</f>
        <v>5881.200000000001</v>
      </c>
      <c r="E37" s="132"/>
      <c r="F37" s="132"/>
      <c r="G37" s="132"/>
      <c r="H37" s="132"/>
    </row>
    <row r="38" spans="1:8" ht="15">
      <c r="A38" s="31" t="s">
        <v>46</v>
      </c>
      <c r="B38" s="32" t="s">
        <v>42</v>
      </c>
      <c r="C38" s="35" t="s">
        <v>47</v>
      </c>
      <c r="D38" s="108">
        <f>4.88*377*12</f>
        <v>22077.12</v>
      </c>
      <c r="E38" s="132"/>
      <c r="F38" s="132"/>
      <c r="G38" s="132"/>
      <c r="H38" s="132"/>
    </row>
    <row r="39" spans="1:8" ht="15">
      <c r="A39" s="31" t="s">
        <v>95</v>
      </c>
      <c r="B39" s="32" t="s">
        <v>96</v>
      </c>
      <c r="C39" s="35" t="s">
        <v>97</v>
      </c>
      <c r="D39" s="108">
        <v>859.62</v>
      </c>
      <c r="E39" s="132"/>
      <c r="F39" s="132"/>
      <c r="G39" s="132"/>
      <c r="H39" s="132"/>
    </row>
    <row r="40" spans="1:14" s="1" customFormat="1" ht="45">
      <c r="A40" s="36" t="s">
        <v>48</v>
      </c>
      <c r="B40" s="37" t="s">
        <v>49</v>
      </c>
      <c r="C40" s="38" t="s">
        <v>121</v>
      </c>
      <c r="D40" s="39">
        <v>0</v>
      </c>
      <c r="E40" s="132"/>
      <c r="F40" s="132"/>
      <c r="G40" s="132"/>
      <c r="H40" s="132"/>
      <c r="K40"/>
      <c r="L40"/>
      <c r="M40"/>
      <c r="N40"/>
    </row>
    <row r="41" spans="1:14" s="1" customFormat="1" ht="15.75">
      <c r="A41" s="40" t="s">
        <v>50</v>
      </c>
      <c r="B41" s="41"/>
      <c r="C41" s="42"/>
      <c r="D41" s="113">
        <f>SUM(D31:D40)</f>
        <v>61662.18</v>
      </c>
      <c r="E41" s="135">
        <f>D41-D40</f>
        <v>61662.18</v>
      </c>
      <c r="F41" s="132"/>
      <c r="G41" s="132"/>
      <c r="H41" s="132"/>
      <c r="K41"/>
      <c r="L41"/>
      <c r="M41"/>
      <c r="N41"/>
    </row>
    <row r="42" spans="1:14" s="1" customFormat="1" ht="15">
      <c r="A42" s="43" t="s">
        <v>51</v>
      </c>
      <c r="B42" s="44" t="s">
        <v>16</v>
      </c>
      <c r="C42" s="45"/>
      <c r="D42" s="46">
        <f>C15+C20*0.8377-D40</f>
        <v>6108.892466</v>
      </c>
      <c r="E42" s="135"/>
      <c r="F42" s="132"/>
      <c r="G42" s="132"/>
      <c r="H42" s="132"/>
      <c r="K42"/>
      <c r="L42"/>
      <c r="M42"/>
      <c r="N42"/>
    </row>
    <row r="43" spans="1:14" s="1" customFormat="1" ht="15">
      <c r="A43" s="48" t="s">
        <v>17</v>
      </c>
      <c r="B43" s="49" t="s">
        <v>16</v>
      </c>
      <c r="C43" s="33"/>
      <c r="D43" s="14">
        <v>0</v>
      </c>
      <c r="E43" s="132"/>
      <c r="F43" s="132"/>
      <c r="G43" s="132"/>
      <c r="H43" s="132"/>
      <c r="K43"/>
      <c r="L43"/>
      <c r="M43"/>
      <c r="N43"/>
    </row>
    <row r="44" spans="1:14" s="1" customFormat="1" ht="15">
      <c r="A44" s="48" t="s">
        <v>18</v>
      </c>
      <c r="B44" s="49" t="s">
        <v>16</v>
      </c>
      <c r="C44" s="33"/>
      <c r="D44" s="14">
        <v>22736</v>
      </c>
      <c r="E44" s="132"/>
      <c r="F44" s="132"/>
      <c r="G44" s="132"/>
      <c r="H44" s="132"/>
      <c r="K44"/>
      <c r="L44"/>
      <c r="M44"/>
      <c r="N44"/>
    </row>
    <row r="45" spans="1:14" s="1" customFormat="1" ht="24" customHeight="1">
      <c r="A45" s="261" t="s">
        <v>52</v>
      </c>
      <c r="B45" s="261"/>
      <c r="C45" s="261"/>
      <c r="D45" s="261"/>
      <c r="E45" s="132"/>
      <c r="F45" s="132"/>
      <c r="G45" s="132"/>
      <c r="H45" s="132"/>
      <c r="K45"/>
      <c r="L45"/>
      <c r="M45"/>
      <c r="N45"/>
    </row>
    <row r="46" spans="1:14" s="1" customFormat="1" ht="15">
      <c r="A46" s="48" t="s">
        <v>53</v>
      </c>
      <c r="B46" s="32" t="s">
        <v>54</v>
      </c>
      <c r="C46" s="33"/>
      <c r="D46" s="14">
        <v>0</v>
      </c>
      <c r="E46" s="132"/>
      <c r="F46" s="132"/>
      <c r="G46" s="132"/>
      <c r="H46" s="132"/>
      <c r="K46"/>
      <c r="L46"/>
      <c r="M46"/>
      <c r="N46"/>
    </row>
    <row r="47" spans="1:14" s="1" customFormat="1" ht="15">
      <c r="A47" s="48" t="s">
        <v>55</v>
      </c>
      <c r="B47" s="32" t="s">
        <v>54</v>
      </c>
      <c r="C47" s="33"/>
      <c r="D47" s="14">
        <v>0</v>
      </c>
      <c r="E47" s="132"/>
      <c r="F47" s="132"/>
      <c r="G47" s="132"/>
      <c r="H47" s="132"/>
      <c r="K47"/>
      <c r="L47"/>
      <c r="M47"/>
      <c r="N47"/>
    </row>
    <row r="48" spans="1:14" s="1" customFormat="1" ht="25.5">
      <c r="A48" s="50" t="s">
        <v>56</v>
      </c>
      <c r="B48" s="32" t="s">
        <v>54</v>
      </c>
      <c r="C48" s="33"/>
      <c r="D48" s="14">
        <v>0</v>
      </c>
      <c r="E48" s="132"/>
      <c r="F48" s="132"/>
      <c r="G48" s="132"/>
      <c r="H48" s="132"/>
      <c r="K48"/>
      <c r="L48"/>
      <c r="M48"/>
      <c r="N48"/>
    </row>
    <row r="49" spans="1:14" s="1" customFormat="1" ht="15">
      <c r="A49" s="48" t="s">
        <v>57</v>
      </c>
      <c r="B49" s="32" t="s">
        <v>16</v>
      </c>
      <c r="C49" s="33"/>
      <c r="D49" s="14">
        <v>0</v>
      </c>
      <c r="E49" s="132"/>
      <c r="F49" s="132"/>
      <c r="G49" s="132"/>
      <c r="H49" s="132"/>
      <c r="K49"/>
      <c r="L49"/>
      <c r="M49"/>
      <c r="N49"/>
    </row>
    <row r="50" spans="1:8" ht="20.25" customHeight="1">
      <c r="A50" s="262" t="s">
        <v>58</v>
      </c>
      <c r="B50" s="262"/>
      <c r="C50" s="262"/>
      <c r="D50" s="262"/>
      <c r="E50" s="132"/>
      <c r="F50" s="132"/>
      <c r="G50" s="132"/>
      <c r="H50" s="132"/>
    </row>
    <row r="51" spans="1:8" ht="25.5">
      <c r="A51" s="50" t="s">
        <v>59</v>
      </c>
      <c r="B51" s="32" t="s">
        <v>16</v>
      </c>
      <c r="C51" s="33"/>
      <c r="D51" s="14">
        <v>0</v>
      </c>
      <c r="E51" s="132"/>
      <c r="F51" s="132"/>
      <c r="G51" s="132"/>
      <c r="H51" s="132"/>
    </row>
    <row r="52" spans="1:8" ht="15">
      <c r="A52" s="48" t="s">
        <v>17</v>
      </c>
      <c r="B52" s="32" t="s">
        <v>16</v>
      </c>
      <c r="C52" s="33"/>
      <c r="D52" s="14">
        <v>0</v>
      </c>
      <c r="E52" s="132"/>
      <c r="F52" s="132"/>
      <c r="G52" s="132"/>
      <c r="H52" s="132"/>
    </row>
    <row r="53" spans="1:8" ht="15">
      <c r="A53" s="48" t="s">
        <v>18</v>
      </c>
      <c r="B53" s="32" t="s">
        <v>16</v>
      </c>
      <c r="C53" s="33"/>
      <c r="D53" s="51">
        <f>D56-D59-D60-D61</f>
        <v>37487.99037599999</v>
      </c>
      <c r="E53" s="132"/>
      <c r="F53" s="132"/>
      <c r="G53" s="132"/>
      <c r="H53" s="136"/>
    </row>
    <row r="54" spans="1:8" ht="25.5">
      <c r="A54" s="53" t="s">
        <v>60</v>
      </c>
      <c r="B54" s="32" t="s">
        <v>16</v>
      </c>
      <c r="C54" s="54"/>
      <c r="D54" s="55">
        <v>0</v>
      </c>
      <c r="E54" s="132"/>
      <c r="F54" s="132"/>
      <c r="G54" s="132"/>
      <c r="H54" s="132"/>
    </row>
    <row r="55" spans="1:10" ht="17.25" customHeight="1">
      <c r="A55" s="246" t="s">
        <v>288</v>
      </c>
      <c r="B55" s="32" t="s">
        <v>16</v>
      </c>
      <c r="C55" s="54"/>
      <c r="D55" s="55">
        <v>0</v>
      </c>
      <c r="E55" s="132"/>
      <c r="F55" s="132"/>
      <c r="G55" s="132"/>
      <c r="H55" s="132"/>
      <c r="I55" s="52"/>
      <c r="J55" s="52"/>
    </row>
    <row r="56" spans="1:14" ht="15">
      <c r="A56" s="59" t="s">
        <v>18</v>
      </c>
      <c r="B56" s="32" t="s">
        <v>16</v>
      </c>
      <c r="C56" s="60"/>
      <c r="D56" s="61">
        <v>72369</v>
      </c>
      <c r="E56" s="132"/>
      <c r="F56" s="132"/>
      <c r="G56" s="132"/>
      <c r="H56" s="132" t="s">
        <v>32</v>
      </c>
      <c r="I56" s="63"/>
      <c r="J56" s="63"/>
      <c r="K56" s="64"/>
      <c r="L56" s="64"/>
      <c r="M56" s="64"/>
      <c r="N56" s="64"/>
    </row>
    <row r="57" spans="1:14" ht="18" customHeight="1">
      <c r="A57" s="263" t="s">
        <v>61</v>
      </c>
      <c r="B57" s="263"/>
      <c r="C57" s="263"/>
      <c r="D57" s="263"/>
      <c r="E57" s="137"/>
      <c r="F57" s="138"/>
      <c r="G57" s="139"/>
      <c r="H57" s="132"/>
      <c r="I57" s="68"/>
      <c r="J57" s="68"/>
      <c r="K57" s="69"/>
      <c r="L57" s="69"/>
      <c r="M57" s="69"/>
      <c r="N57" s="69"/>
    </row>
    <row r="58" spans="1:14" ht="51">
      <c r="A58" s="70" t="s">
        <v>62</v>
      </c>
      <c r="B58" s="71" t="s">
        <v>63</v>
      </c>
      <c r="C58" s="212" t="s">
        <v>64</v>
      </c>
      <c r="D58" s="213" t="s">
        <v>65</v>
      </c>
      <c r="E58" s="137"/>
      <c r="F58" s="138"/>
      <c r="G58" s="139"/>
      <c r="H58" s="132"/>
      <c r="I58" s="68"/>
      <c r="J58" s="74"/>
      <c r="K58" s="69"/>
      <c r="L58" s="69"/>
      <c r="M58" s="69"/>
      <c r="N58" s="69"/>
    </row>
    <row r="59" spans="1:14" ht="15">
      <c r="A59" s="75" t="s">
        <v>66</v>
      </c>
      <c r="B59" s="117">
        <v>26965.34</v>
      </c>
      <c r="C59" s="118">
        <f>B59*0.8377</f>
        <v>22588.865318</v>
      </c>
      <c r="D59" s="119">
        <f>B59-C59</f>
        <v>4376.474682</v>
      </c>
      <c r="E59" s="140"/>
      <c r="F59" s="138"/>
      <c r="G59" s="139"/>
      <c r="H59" s="132"/>
      <c r="I59" s="68"/>
      <c r="J59" s="68"/>
      <c r="K59" s="69"/>
      <c r="L59" s="69"/>
      <c r="M59" s="69"/>
      <c r="N59" s="69"/>
    </row>
    <row r="60" spans="1:14" ht="15">
      <c r="A60" s="75" t="s">
        <v>67</v>
      </c>
      <c r="B60" s="117">
        <v>30456.16</v>
      </c>
      <c r="C60" s="118">
        <f>B60*0.8377</f>
        <v>25513.125232</v>
      </c>
      <c r="D60" s="119">
        <f>B60-C60</f>
        <v>4943.034768000001</v>
      </c>
      <c r="E60" s="137"/>
      <c r="F60" s="138"/>
      <c r="G60" s="139"/>
      <c r="H60" s="132"/>
      <c r="I60" s="68"/>
      <c r="J60" s="68"/>
      <c r="K60" s="69"/>
      <c r="L60" s="69"/>
      <c r="M60" s="69"/>
      <c r="N60" s="69"/>
    </row>
    <row r="61" spans="1:14" ht="15">
      <c r="A61" s="75" t="s">
        <v>68</v>
      </c>
      <c r="B61" s="120">
        <v>157495.38</v>
      </c>
      <c r="C61" s="118">
        <f>B61*0.8377</f>
        <v>131933.879826</v>
      </c>
      <c r="D61" s="119">
        <f>B61-C61</f>
        <v>25561.500174000015</v>
      </c>
      <c r="E61" s="137">
        <f>(2.07+1.8)*6*2301.2-0.37*2301.2*6</f>
        <v>48325.2</v>
      </c>
      <c r="F61" s="141"/>
      <c r="G61" s="142"/>
      <c r="H61" s="137"/>
      <c r="I61" s="68"/>
      <c r="J61" s="68"/>
      <c r="K61" s="69"/>
      <c r="L61" s="69"/>
      <c r="M61" s="69"/>
      <c r="N61" s="69"/>
    </row>
    <row r="62" spans="1:14" ht="15.75" thickBot="1">
      <c r="A62" s="150" t="s">
        <v>69</v>
      </c>
      <c r="B62" s="151">
        <v>0</v>
      </c>
      <c r="C62" s="152">
        <f>B62*1.0047</f>
        <v>0</v>
      </c>
      <c r="D62" s="153">
        <f>B62-C62</f>
        <v>0</v>
      </c>
      <c r="E62" s="137"/>
      <c r="F62" s="141"/>
      <c r="G62" s="142"/>
      <c r="H62" s="132"/>
      <c r="I62" s="68"/>
      <c r="J62" s="68"/>
      <c r="K62" s="69"/>
      <c r="L62" s="69"/>
      <c r="M62" s="69"/>
      <c r="N62" s="69"/>
    </row>
    <row r="63" spans="1:14" ht="63.75">
      <c r="A63" s="154" t="s">
        <v>70</v>
      </c>
      <c r="B63" s="155" t="s">
        <v>71</v>
      </c>
      <c r="C63" s="155" t="s">
        <v>72</v>
      </c>
      <c r="D63" s="214" t="s">
        <v>73</v>
      </c>
      <c r="E63" s="65"/>
      <c r="F63" s="81"/>
      <c r="H63" s="68"/>
      <c r="I63" s="68"/>
      <c r="J63" s="68"/>
      <c r="K63" s="69"/>
      <c r="L63" s="69"/>
      <c r="M63" s="69"/>
      <c r="N63" s="69"/>
    </row>
    <row r="64" spans="1:14" ht="15">
      <c r="A64" s="158" t="s">
        <v>66</v>
      </c>
      <c r="B64" s="124">
        <f>B59</f>
        <v>26965.34</v>
      </c>
      <c r="C64" s="125">
        <v>22588.87</v>
      </c>
      <c r="D64" s="159">
        <f>B64-C64</f>
        <v>4376.470000000001</v>
      </c>
      <c r="E64" s="65"/>
      <c r="F64" s="81"/>
      <c r="H64" s="68"/>
      <c r="I64" s="68"/>
      <c r="J64" s="68" t="s">
        <v>32</v>
      </c>
      <c r="K64" s="69"/>
      <c r="L64" s="69"/>
      <c r="M64" s="69"/>
      <c r="N64" s="69"/>
    </row>
    <row r="65" spans="1:14" ht="15">
      <c r="A65" s="158" t="s">
        <v>67</v>
      </c>
      <c r="B65" s="124">
        <f>B60</f>
        <v>30456.16</v>
      </c>
      <c r="C65" s="125">
        <v>25513.13</v>
      </c>
      <c r="D65" s="159">
        <f>B65-C65</f>
        <v>4943.029999999999</v>
      </c>
      <c r="E65" s="65"/>
      <c r="F65" s="81"/>
      <c r="H65" s="68"/>
      <c r="I65" s="68"/>
      <c r="J65" s="68"/>
      <c r="K65" s="69"/>
      <c r="L65" s="69"/>
      <c r="M65" s="69"/>
      <c r="N65" s="69"/>
    </row>
    <row r="66" spans="1:14" ht="15">
      <c r="A66" s="158" t="s">
        <v>68</v>
      </c>
      <c r="B66" s="124">
        <f>B61</f>
        <v>157495.38</v>
      </c>
      <c r="C66" s="125">
        <v>131933.88</v>
      </c>
      <c r="D66" s="159">
        <f>B66-C66</f>
        <v>25561.5</v>
      </c>
      <c r="E66" s="65"/>
      <c r="F66" s="81"/>
      <c r="H66" s="68"/>
      <c r="I66" s="68"/>
      <c r="J66" s="68"/>
      <c r="K66" s="69"/>
      <c r="L66" s="69"/>
      <c r="M66" s="69"/>
      <c r="N66" s="69"/>
    </row>
    <row r="67" spans="1:14" ht="15">
      <c r="A67" s="158" t="s">
        <v>74</v>
      </c>
      <c r="B67" s="124">
        <v>0</v>
      </c>
      <c r="C67" s="125">
        <v>0</v>
      </c>
      <c r="D67" s="159">
        <f>B67-C67</f>
        <v>0</v>
      </c>
      <c r="E67" s="65"/>
      <c r="F67" s="81"/>
      <c r="H67" s="68"/>
      <c r="I67" s="68"/>
      <c r="J67" s="68"/>
      <c r="K67" s="69"/>
      <c r="L67" s="69"/>
      <c r="M67" s="69"/>
      <c r="N67" s="69"/>
    </row>
    <row r="68" spans="1:14" ht="15.75" thickBot="1">
      <c r="A68" s="160" t="s">
        <v>69</v>
      </c>
      <c r="B68" s="161">
        <v>0</v>
      </c>
      <c r="C68" s="162">
        <v>0</v>
      </c>
      <c r="D68" s="163">
        <f>B68-C68</f>
        <v>0</v>
      </c>
      <c r="E68" s="65"/>
      <c r="F68" s="81"/>
      <c r="H68" s="68" t="s">
        <v>32</v>
      </c>
      <c r="I68" s="68"/>
      <c r="J68" s="68"/>
      <c r="K68" s="69"/>
      <c r="L68" s="69"/>
      <c r="M68" s="69"/>
      <c r="N68" s="69"/>
    </row>
    <row r="69" spans="1:14" ht="15">
      <c r="A69" s="91"/>
      <c r="B69" s="87"/>
      <c r="C69" s="92"/>
      <c r="D69" s="93"/>
      <c r="E69" s="65"/>
      <c r="F69" s="81"/>
      <c r="H69" s="68"/>
      <c r="I69" s="68"/>
      <c r="J69" s="68"/>
      <c r="K69" s="69"/>
      <c r="L69" s="69"/>
      <c r="M69" s="69"/>
      <c r="N69" s="69"/>
    </row>
    <row r="70" spans="1:14" ht="25.5">
      <c r="A70" s="94" t="s">
        <v>75</v>
      </c>
      <c r="B70" s="87" t="s">
        <v>16</v>
      </c>
      <c r="C70" s="95"/>
      <c r="D70" s="96"/>
      <c r="E70" s="65"/>
      <c r="F70" s="81"/>
      <c r="H70" s="68"/>
      <c r="I70" s="68"/>
      <c r="J70" s="68" t="s">
        <v>32</v>
      </c>
      <c r="K70" s="69"/>
      <c r="L70" s="69"/>
      <c r="M70" s="69"/>
      <c r="N70" s="69"/>
    </row>
    <row r="71" spans="1:14" ht="17.25" customHeight="1">
      <c r="A71" s="264" t="s">
        <v>76</v>
      </c>
      <c r="B71" s="264"/>
      <c r="C71" s="264"/>
      <c r="D71" s="264"/>
      <c r="E71" s="97" t="e">
        <f>D71+B19</f>
        <v>#VALUE!</v>
      </c>
      <c r="F71" s="68"/>
      <c r="H71" s="98" t="e">
        <f>E71-B18</f>
        <v>#VALUE!</v>
      </c>
      <c r="I71" s="68"/>
      <c r="J71" s="68"/>
      <c r="K71" s="69"/>
      <c r="L71" s="69"/>
      <c r="M71" s="69"/>
      <c r="N71" s="69"/>
    </row>
    <row r="72" spans="1:5" ht="21" customHeight="1">
      <c r="A72" s="99" t="s">
        <v>53</v>
      </c>
      <c r="B72" s="99" t="s">
        <v>54</v>
      </c>
      <c r="C72" s="100">
        <v>0</v>
      </c>
      <c r="D72" s="101"/>
      <c r="E72" s="102"/>
    </row>
    <row r="73" spans="1:5" ht="21" customHeight="1">
      <c r="A73" s="99" t="s">
        <v>55</v>
      </c>
      <c r="B73" s="99" t="s">
        <v>54</v>
      </c>
      <c r="C73" s="99">
        <v>0</v>
      </c>
      <c r="D73" s="101"/>
      <c r="E73" s="102"/>
    </row>
    <row r="74" spans="1:5" ht="18" customHeight="1">
      <c r="A74" s="99" t="s">
        <v>56</v>
      </c>
      <c r="B74" s="99" t="s">
        <v>54</v>
      </c>
      <c r="C74" s="99">
        <v>0</v>
      </c>
      <c r="D74" s="101"/>
      <c r="E74" s="102"/>
    </row>
    <row r="75" spans="1:5" ht="16.5" customHeight="1">
      <c r="A75" s="99" t="s">
        <v>57</v>
      </c>
      <c r="B75" s="99" t="s">
        <v>16</v>
      </c>
      <c r="C75" s="99">
        <v>0</v>
      </c>
      <c r="D75" s="101"/>
      <c r="E75" s="102"/>
    </row>
    <row r="76" spans="1:5" ht="15.75" customHeight="1">
      <c r="A76" s="258" t="s">
        <v>77</v>
      </c>
      <c r="B76" s="258"/>
      <c r="C76" s="258"/>
      <c r="D76" s="258"/>
      <c r="E76" s="102"/>
    </row>
    <row r="77" spans="1:5" ht="18.75" customHeight="1">
      <c r="A77" s="99" t="s">
        <v>78</v>
      </c>
      <c r="B77" s="99" t="s">
        <v>54</v>
      </c>
      <c r="C77" s="99">
        <v>0</v>
      </c>
      <c r="D77" s="101"/>
      <c r="E77" s="102"/>
    </row>
    <row r="78" spans="1:5" ht="21.75" customHeight="1">
      <c r="A78" s="99" t="s">
        <v>79</v>
      </c>
      <c r="B78" s="56" t="s">
        <v>54</v>
      </c>
      <c r="C78" s="56">
        <v>0</v>
      </c>
      <c r="D78" s="101"/>
      <c r="E78" s="102"/>
    </row>
    <row r="79" spans="1:5" ht="36" customHeight="1">
      <c r="A79" s="103" t="s">
        <v>80</v>
      </c>
      <c r="B79" s="99" t="s">
        <v>16</v>
      </c>
      <c r="C79" s="99">
        <v>0</v>
      </c>
      <c r="D79" s="101"/>
      <c r="E79" s="102"/>
    </row>
    <row r="80" spans="1:4" ht="15">
      <c r="A80" s="69"/>
      <c r="B80" s="69"/>
      <c r="C80" s="69"/>
      <c r="D80" s="104"/>
    </row>
    <row r="81" spans="1:14" s="1" customFormat="1" ht="12.75">
      <c r="A81"/>
      <c r="B81"/>
      <c r="C81"/>
      <c r="D81"/>
      <c r="H81" s="1" t="s">
        <v>32</v>
      </c>
      <c r="K81"/>
      <c r="L81"/>
      <c r="M81"/>
      <c r="N81"/>
    </row>
    <row r="82" spans="1:14" s="1" customFormat="1" ht="12.75">
      <c r="A82" t="s">
        <v>81</v>
      </c>
      <c r="B82"/>
      <c r="C82" t="s">
        <v>170</v>
      </c>
      <c r="D82"/>
      <c r="K82"/>
      <c r="L82"/>
      <c r="M82"/>
      <c r="N82"/>
    </row>
    <row r="83" spans="1:14" s="1" customFormat="1" ht="12.75">
      <c r="A83"/>
      <c r="B83"/>
      <c r="C83"/>
      <c r="D83"/>
      <c r="H83" s="1" t="s">
        <v>32</v>
      </c>
      <c r="K83"/>
      <c r="L83"/>
      <c r="M83"/>
      <c r="N83"/>
    </row>
    <row r="84" spans="1:14" s="1" customFormat="1" ht="12.75">
      <c r="A84" t="s">
        <v>82</v>
      </c>
      <c r="B84"/>
      <c r="C84"/>
      <c r="D84"/>
      <c r="K84"/>
      <c r="L84"/>
      <c r="M84"/>
      <c r="N84"/>
    </row>
    <row r="88" spans="1:14" s="1" customFormat="1" ht="12.75">
      <c r="A88"/>
      <c r="B88"/>
      <c r="C88"/>
      <c r="D88"/>
      <c r="E88" s="1" t="s">
        <v>32</v>
      </c>
      <c r="K88"/>
      <c r="L88"/>
      <c r="M88"/>
      <c r="N88"/>
    </row>
  </sheetData>
  <sheetProtection selectLockedCells="1" selectUnlockedCells="1"/>
  <mergeCells count="13">
    <mergeCell ref="A1:D1"/>
    <mergeCell ref="A2:D2"/>
    <mergeCell ref="A3:D3"/>
    <mergeCell ref="A4:D4"/>
    <mergeCell ref="A5:D5"/>
    <mergeCell ref="A7:D7"/>
    <mergeCell ref="A76:D76"/>
    <mergeCell ref="A14:D14"/>
    <mergeCell ref="A29:D29"/>
    <mergeCell ref="A45:D45"/>
    <mergeCell ref="A50:D50"/>
    <mergeCell ref="A57:D57"/>
    <mergeCell ref="A71:D71"/>
  </mergeCells>
  <printOptions/>
  <pageMargins left="0.5597222222222222" right="0.7875" top="0.34097222222222223" bottom="0.7875" header="0.5118055555555555" footer="0.5118055555555555"/>
  <pageSetup fitToHeight="3" fitToWidth="2" horizontalDpi="600" verticalDpi="600" orientation="portrait" paperSize="12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5"/>
  <sheetViews>
    <sheetView zoomScale="80" zoomScaleNormal="80" zoomScalePageLayoutView="0" workbookViewId="0" topLeftCell="A10">
      <selection activeCell="E15" sqref="E15:E24"/>
    </sheetView>
  </sheetViews>
  <sheetFormatPr defaultColWidth="11.57421875" defaultRowHeight="12.75"/>
  <cols>
    <col min="1" max="1" width="63.28125" style="0" customWidth="1"/>
    <col min="2" max="2" width="20.28125" style="0" customWidth="1"/>
    <col min="3" max="3" width="31.421875" style="0" customWidth="1"/>
    <col min="4" max="4" width="27.57421875" style="0" customWidth="1"/>
    <col min="5" max="5" width="16.8515625" style="1" customWidth="1"/>
    <col min="6" max="7" width="0" style="1" hidden="1" customWidth="1"/>
    <col min="8" max="8" width="11.57421875" style="1" customWidth="1"/>
    <col min="9" max="9" width="5.28125" style="1" customWidth="1"/>
    <col min="10" max="10" width="30.00390625" style="1" customWidth="1"/>
    <col min="11" max="12" width="23.28125" style="0" customWidth="1"/>
    <col min="13" max="13" width="6.57421875" style="0" customWidth="1"/>
    <col min="14" max="14" width="7.00390625" style="0" customWidth="1"/>
  </cols>
  <sheetData>
    <row r="1" spans="1:4" ht="18">
      <c r="A1" s="265" t="s">
        <v>0</v>
      </c>
      <c r="B1" s="265"/>
      <c r="C1" s="265"/>
      <c r="D1" s="265"/>
    </row>
    <row r="2" spans="1:4" ht="15.75">
      <c r="A2" s="266" t="s">
        <v>1</v>
      </c>
      <c r="B2" s="266"/>
      <c r="C2" s="266"/>
      <c r="D2" s="266"/>
    </row>
    <row r="3" spans="1:4" ht="15.75">
      <c r="A3" s="266" t="s">
        <v>2</v>
      </c>
      <c r="B3" s="266"/>
      <c r="C3" s="266"/>
      <c r="D3" s="266"/>
    </row>
    <row r="4" spans="1:4" ht="12.75">
      <c r="A4" s="267" t="s">
        <v>122</v>
      </c>
      <c r="B4" s="267"/>
      <c r="C4" s="267"/>
      <c r="D4" s="267"/>
    </row>
    <row r="5" spans="1:4" ht="12.75">
      <c r="A5" s="268" t="s">
        <v>171</v>
      </c>
      <c r="B5" s="267"/>
      <c r="C5" s="267"/>
      <c r="D5" s="267"/>
    </row>
    <row r="6" ht="9" customHeight="1">
      <c r="A6" s="2"/>
    </row>
    <row r="7" spans="1:4" ht="18" customHeight="1">
      <c r="A7" s="269" t="s">
        <v>4</v>
      </c>
      <c r="B7" s="269"/>
      <c r="C7" s="269"/>
      <c r="D7" s="269"/>
    </row>
    <row r="8" spans="1:3" ht="12.75">
      <c r="A8" s="2" t="s">
        <v>229</v>
      </c>
      <c r="C8" s="3"/>
    </row>
    <row r="9" spans="1:4" ht="12.75">
      <c r="A9" s="4" t="s">
        <v>5</v>
      </c>
      <c r="B9" s="4" t="s">
        <v>6</v>
      </c>
      <c r="C9" s="4" t="s">
        <v>7</v>
      </c>
      <c r="D9" s="5"/>
    </row>
    <row r="10" spans="1:4" ht="12.75">
      <c r="A10" s="6">
        <v>1</v>
      </c>
      <c r="B10" s="6">
        <v>2</v>
      </c>
      <c r="C10" s="6">
        <v>3</v>
      </c>
      <c r="D10" s="7">
        <v>4</v>
      </c>
    </row>
    <row r="11" spans="1:4" ht="12.75">
      <c r="A11" s="8" t="s">
        <v>8</v>
      </c>
      <c r="B11" s="9"/>
      <c r="C11" s="177" t="s">
        <v>172</v>
      </c>
      <c r="D11" s="10"/>
    </row>
    <row r="12" spans="1:4" ht="12.75">
      <c r="A12" s="8" t="s">
        <v>10</v>
      </c>
      <c r="B12" s="9"/>
      <c r="C12" s="177" t="s">
        <v>173</v>
      </c>
      <c r="D12" s="10"/>
    </row>
    <row r="13" spans="1:4" ht="12.75">
      <c r="A13" s="8" t="s">
        <v>12</v>
      </c>
      <c r="B13" s="9"/>
      <c r="C13" s="177" t="s">
        <v>174</v>
      </c>
      <c r="D13" s="10"/>
    </row>
    <row r="14" spans="1:4" ht="31.5" customHeight="1">
      <c r="A14" s="259" t="s">
        <v>14</v>
      </c>
      <c r="B14" s="259"/>
      <c r="C14" s="259"/>
      <c r="D14" s="259"/>
    </row>
    <row r="15" spans="1:8" ht="25.5">
      <c r="A15" s="11" t="s">
        <v>15</v>
      </c>
      <c r="B15" s="12" t="s">
        <v>16</v>
      </c>
      <c r="C15" s="13">
        <v>-14906.25</v>
      </c>
      <c r="D15" s="14"/>
      <c r="E15" s="132"/>
      <c r="F15" s="132"/>
      <c r="G15" s="132"/>
      <c r="H15" s="132"/>
    </row>
    <row r="16" spans="1:8" ht="15">
      <c r="A16" s="8" t="s">
        <v>17</v>
      </c>
      <c r="B16" s="12" t="s">
        <v>16</v>
      </c>
      <c r="C16" s="13">
        <v>0</v>
      </c>
      <c r="D16" s="14"/>
      <c r="E16" s="132"/>
      <c r="F16" s="132"/>
      <c r="G16" s="132"/>
      <c r="H16" s="132"/>
    </row>
    <row r="17" spans="1:8" ht="15">
      <c r="A17" s="8" t="s">
        <v>18</v>
      </c>
      <c r="B17" s="12" t="s">
        <v>16</v>
      </c>
      <c r="C17" s="15">
        <v>1783.41</v>
      </c>
      <c r="D17" s="16"/>
      <c r="E17" s="132" t="e">
        <f>B17/12/1022.6</f>
        <v>#VALUE!</v>
      </c>
      <c r="F17" s="132"/>
      <c r="G17" s="132"/>
      <c r="H17" s="132"/>
    </row>
    <row r="18" spans="1:8" ht="31.5" customHeight="1">
      <c r="A18" s="17" t="s">
        <v>19</v>
      </c>
      <c r="B18" s="12" t="s">
        <v>16</v>
      </c>
      <c r="C18" s="15">
        <f>C19+C20+C21</f>
        <v>11388.84</v>
      </c>
      <c r="D18" s="16"/>
      <c r="E18" s="133">
        <f>C18-C20</f>
        <v>9569.76</v>
      </c>
      <c r="F18" s="132"/>
      <c r="G18" s="132"/>
      <c r="H18" s="132"/>
    </row>
    <row r="19" spans="1:8" ht="15">
      <c r="A19" s="8" t="s">
        <v>20</v>
      </c>
      <c r="B19" s="12" t="s">
        <v>16</v>
      </c>
      <c r="C19" s="15">
        <v>4797.12</v>
      </c>
      <c r="D19" s="16"/>
      <c r="E19" s="133">
        <f>E18-E38</f>
        <v>-273.8099999999995</v>
      </c>
      <c r="F19" s="132"/>
      <c r="G19" s="132"/>
      <c r="H19" s="132"/>
    </row>
    <row r="20" spans="1:8" ht="15">
      <c r="A20" s="8" t="s">
        <v>21</v>
      </c>
      <c r="B20" s="12" t="s">
        <v>16</v>
      </c>
      <c r="C20" s="15">
        <f>(1.65+2.07)*6*81.5</f>
        <v>1819.08</v>
      </c>
      <c r="D20" s="16"/>
      <c r="E20" s="134"/>
      <c r="F20" s="132"/>
      <c r="G20" s="132"/>
      <c r="H20" s="132"/>
    </row>
    <row r="21" spans="1:8" ht="15">
      <c r="A21" s="8" t="s">
        <v>22</v>
      </c>
      <c r="B21" s="12" t="s">
        <v>16</v>
      </c>
      <c r="C21" s="20">
        <f>81.5*4.88*12</f>
        <v>4772.639999999999</v>
      </c>
      <c r="D21" s="16"/>
      <c r="E21" s="132"/>
      <c r="F21" s="132"/>
      <c r="G21" s="132"/>
      <c r="H21" s="132"/>
    </row>
    <row r="22" spans="1:8" ht="15">
      <c r="A22" s="21" t="s">
        <v>23</v>
      </c>
      <c r="B22" s="12" t="s">
        <v>16</v>
      </c>
      <c r="C22" s="15">
        <f>C23+C24+C25+C26+C27</f>
        <v>11156.507664</v>
      </c>
      <c r="D22" s="16" t="s">
        <v>24</v>
      </c>
      <c r="E22" s="133" t="e">
        <f>B24+B25+B26+B27+B28</f>
        <v>#VALUE!</v>
      </c>
      <c r="F22" s="132"/>
      <c r="G22" s="132"/>
      <c r="H22" s="132"/>
    </row>
    <row r="23" spans="1:8" ht="15">
      <c r="A23" s="8" t="s">
        <v>25</v>
      </c>
      <c r="B23" s="12" t="s">
        <v>16</v>
      </c>
      <c r="C23" s="15">
        <f>C18*0.9796</f>
        <v>11156.507664</v>
      </c>
      <c r="D23" s="16"/>
      <c r="E23" s="132"/>
      <c r="F23" s="132"/>
      <c r="G23" s="132"/>
      <c r="H23" s="132"/>
    </row>
    <row r="24" spans="1:8" ht="15">
      <c r="A24" s="8" t="s">
        <v>26</v>
      </c>
      <c r="B24" s="12" t="s">
        <v>16</v>
      </c>
      <c r="C24" s="15">
        <v>0</v>
      </c>
      <c r="D24" s="22">
        <v>65.21</v>
      </c>
      <c r="E24" s="134" t="e">
        <f>B24/#REF!*1</f>
        <v>#VALUE!</v>
      </c>
      <c r="F24" s="132"/>
      <c r="G24" s="132"/>
      <c r="H24" s="132" t="s">
        <v>27</v>
      </c>
    </row>
    <row r="25" spans="1:8" ht="15">
      <c r="A25" s="8" t="s">
        <v>28</v>
      </c>
      <c r="B25" s="12" t="s">
        <v>16</v>
      </c>
      <c r="C25" s="15">
        <v>0</v>
      </c>
      <c r="D25" s="22">
        <v>119.63</v>
      </c>
      <c r="E25" s="134" t="e">
        <f>B25/#REF!*1</f>
        <v>#VALUE!</v>
      </c>
      <c r="F25" s="132"/>
      <c r="G25" s="132"/>
      <c r="H25" s="132"/>
    </row>
    <row r="26" spans="1:8" ht="15">
      <c r="A26" s="9" t="s">
        <v>29</v>
      </c>
      <c r="B26" s="12" t="s">
        <v>16</v>
      </c>
      <c r="C26" s="15">
        <v>0</v>
      </c>
      <c r="D26" s="22"/>
      <c r="E26" s="134" t="e">
        <f>B26/#REF!*1</f>
        <v>#VALUE!</v>
      </c>
      <c r="F26" s="132"/>
      <c r="G26" s="132"/>
      <c r="H26" s="132"/>
    </row>
    <row r="27" spans="1:8" ht="16.5" customHeight="1">
      <c r="A27" s="116" t="s">
        <v>112</v>
      </c>
      <c r="B27" s="12" t="s">
        <v>16</v>
      </c>
      <c r="C27" s="15">
        <v>0</v>
      </c>
      <c r="D27" s="22">
        <v>139.18</v>
      </c>
      <c r="E27" s="134" t="e">
        <f>B27/#REF!*1</f>
        <v>#VALUE!</v>
      </c>
      <c r="F27" s="132"/>
      <c r="G27" s="132"/>
      <c r="H27" s="132"/>
    </row>
    <row r="28" spans="1:8" ht="15">
      <c r="A28" s="8" t="s">
        <v>31</v>
      </c>
      <c r="B28" s="12" t="s">
        <v>16</v>
      </c>
      <c r="C28" s="15">
        <f>C15+C22</f>
        <v>-3749.7423359999993</v>
      </c>
      <c r="D28" s="16" t="s">
        <v>32</v>
      </c>
      <c r="E28" s="134" t="e">
        <f>B28/#REF!*1</f>
        <v>#VALUE!</v>
      </c>
      <c r="F28" s="132"/>
      <c r="G28" s="132"/>
      <c r="H28" s="132"/>
    </row>
    <row r="29" spans="1:8" ht="35.25" customHeight="1">
      <c r="A29" s="260" t="s">
        <v>33</v>
      </c>
      <c r="B29" s="260"/>
      <c r="C29" s="260"/>
      <c r="D29" s="260"/>
      <c r="E29" s="132"/>
      <c r="F29" s="132"/>
      <c r="G29" s="132"/>
      <c r="H29" s="132"/>
    </row>
    <row r="30" spans="1:8" ht="60">
      <c r="A30" s="23" t="s">
        <v>34</v>
      </c>
      <c r="B30" s="24" t="s">
        <v>35</v>
      </c>
      <c r="C30" s="25" t="s">
        <v>36</v>
      </c>
      <c r="D30" s="26" t="s">
        <v>37</v>
      </c>
      <c r="E30" s="132"/>
      <c r="F30" s="132"/>
      <c r="G30" s="132"/>
      <c r="H30" s="132"/>
    </row>
    <row r="31" spans="1:8" ht="15">
      <c r="A31" s="27" t="s">
        <v>38</v>
      </c>
      <c r="B31" s="28" t="s">
        <v>39</v>
      </c>
      <c r="C31" s="29" t="s">
        <v>40</v>
      </c>
      <c r="D31" s="107">
        <f>(0.17+0.16)*6*81.5</f>
        <v>161.37</v>
      </c>
      <c r="E31" s="132"/>
      <c r="F31" s="132"/>
      <c r="G31" s="132"/>
      <c r="H31" s="132"/>
    </row>
    <row r="32" spans="1:8" ht="15">
      <c r="A32" s="31" t="s">
        <v>41</v>
      </c>
      <c r="B32" s="32" t="s">
        <v>42</v>
      </c>
      <c r="C32" s="33" t="s">
        <v>43</v>
      </c>
      <c r="D32" s="34">
        <f>(3.03+3)*6*81.5</f>
        <v>2948.6699999999996</v>
      </c>
      <c r="E32" s="132"/>
      <c r="F32" s="132"/>
      <c r="G32" s="132"/>
      <c r="H32" s="132"/>
    </row>
    <row r="33" spans="1:8" ht="15">
      <c r="A33" s="31" t="s">
        <v>44</v>
      </c>
      <c r="B33" s="32" t="s">
        <v>39</v>
      </c>
      <c r="C33" s="33" t="s">
        <v>45</v>
      </c>
      <c r="D33" s="108">
        <f>(0.2+0.21)*81.5*6</f>
        <v>200.49</v>
      </c>
      <c r="E33" s="132"/>
      <c r="F33" s="132"/>
      <c r="G33" s="132"/>
      <c r="H33" s="132"/>
    </row>
    <row r="34" spans="1:8" ht="15">
      <c r="A34" s="204" t="s">
        <v>230</v>
      </c>
      <c r="B34" s="32" t="s">
        <v>39</v>
      </c>
      <c r="C34" s="33" t="s">
        <v>40</v>
      </c>
      <c r="D34" s="108">
        <f>(0.49+0.51)*6*81.5</f>
        <v>489</v>
      </c>
      <c r="E34" s="132"/>
      <c r="F34" s="132"/>
      <c r="G34" s="132"/>
      <c r="H34" s="132"/>
    </row>
    <row r="35" spans="1:8" ht="15">
      <c r="A35" s="31" t="s">
        <v>90</v>
      </c>
      <c r="B35" s="106" t="s">
        <v>91</v>
      </c>
      <c r="C35" s="33" t="s">
        <v>40</v>
      </c>
      <c r="D35" s="108">
        <f>(1.33+1.27)*6*81.5</f>
        <v>1271.4</v>
      </c>
      <c r="E35" s="132"/>
      <c r="F35" s="132"/>
      <c r="G35" s="132"/>
      <c r="H35" s="132"/>
    </row>
    <row r="36" spans="1:8" ht="15">
      <c r="A36" s="31" t="s">
        <v>46</v>
      </c>
      <c r="B36" s="32" t="s">
        <v>42</v>
      </c>
      <c r="C36" s="35" t="s">
        <v>47</v>
      </c>
      <c r="D36" s="108">
        <f>4.88*81.5*12</f>
        <v>4772.639999999999</v>
      </c>
      <c r="E36" s="132"/>
      <c r="F36" s="132"/>
      <c r="G36" s="132"/>
      <c r="H36" s="132"/>
    </row>
    <row r="37" spans="1:14" s="1" customFormat="1" ht="45">
      <c r="A37" s="36" t="s">
        <v>48</v>
      </c>
      <c r="B37" s="37" t="s">
        <v>49</v>
      </c>
      <c r="C37" s="38"/>
      <c r="D37" s="39">
        <v>0</v>
      </c>
      <c r="E37" s="62"/>
      <c r="F37" s="132"/>
      <c r="G37" s="132"/>
      <c r="H37" s="132"/>
      <c r="K37"/>
      <c r="L37"/>
      <c r="M37"/>
      <c r="N37"/>
    </row>
    <row r="38" spans="1:14" s="1" customFormat="1" ht="15.75">
      <c r="A38" s="40" t="s">
        <v>50</v>
      </c>
      <c r="B38" s="41"/>
      <c r="C38" s="42"/>
      <c r="D38" s="113">
        <f>SUM(D31:D37)</f>
        <v>9843.57</v>
      </c>
      <c r="E38" s="47">
        <f>D38-D37</f>
        <v>9843.57</v>
      </c>
      <c r="F38" s="132"/>
      <c r="G38" s="132"/>
      <c r="H38" s="132"/>
      <c r="K38"/>
      <c r="L38"/>
      <c r="M38"/>
      <c r="N38"/>
    </row>
    <row r="39" spans="1:14" s="1" customFormat="1" ht="15">
      <c r="A39" s="43" t="s">
        <v>51</v>
      </c>
      <c r="B39" s="44" t="s">
        <v>16</v>
      </c>
      <c r="C39" s="45"/>
      <c r="D39" s="46">
        <f>C15+C20*0.9796-D37</f>
        <v>-13124.279232</v>
      </c>
      <c r="E39" s="47"/>
      <c r="F39" s="132"/>
      <c r="G39" s="132"/>
      <c r="H39" s="132"/>
      <c r="K39"/>
      <c r="L39"/>
      <c r="M39"/>
      <c r="N39"/>
    </row>
    <row r="40" spans="1:14" s="1" customFormat="1" ht="15">
      <c r="A40" s="48" t="s">
        <v>17</v>
      </c>
      <c r="B40" s="49" t="s">
        <v>16</v>
      </c>
      <c r="C40" s="33"/>
      <c r="D40" s="14">
        <v>0</v>
      </c>
      <c r="E40" s="132"/>
      <c r="F40" s="132"/>
      <c r="G40" s="132"/>
      <c r="H40" s="132"/>
      <c r="K40"/>
      <c r="L40"/>
      <c r="M40"/>
      <c r="N40"/>
    </row>
    <row r="41" spans="1:14" s="1" customFormat="1" ht="15">
      <c r="A41" s="48" t="s">
        <v>18</v>
      </c>
      <c r="B41" s="49" t="s">
        <v>16</v>
      </c>
      <c r="C41" s="33"/>
      <c r="D41" s="14">
        <v>1089.77</v>
      </c>
      <c r="E41" s="132"/>
      <c r="F41" s="132"/>
      <c r="G41" s="132"/>
      <c r="H41" s="132"/>
      <c r="K41"/>
      <c r="L41"/>
      <c r="M41"/>
      <c r="N41"/>
    </row>
    <row r="42" spans="1:14" s="1" customFormat="1" ht="24" customHeight="1">
      <c r="A42" s="261" t="s">
        <v>52</v>
      </c>
      <c r="B42" s="261"/>
      <c r="C42" s="261"/>
      <c r="D42" s="261"/>
      <c r="E42" s="132"/>
      <c r="F42" s="132"/>
      <c r="G42" s="132"/>
      <c r="H42" s="132"/>
      <c r="K42"/>
      <c r="L42"/>
      <c r="M42"/>
      <c r="N42"/>
    </row>
    <row r="43" spans="1:14" s="1" customFormat="1" ht="15">
      <c r="A43" s="48" t="s">
        <v>53</v>
      </c>
      <c r="B43" s="32" t="s">
        <v>54</v>
      </c>
      <c r="C43" s="33"/>
      <c r="D43" s="14">
        <v>0</v>
      </c>
      <c r="K43"/>
      <c r="L43"/>
      <c r="M43"/>
      <c r="N43"/>
    </row>
    <row r="44" spans="1:14" s="1" customFormat="1" ht="15">
      <c r="A44" s="48" t="s">
        <v>55</v>
      </c>
      <c r="B44" s="32" t="s">
        <v>54</v>
      </c>
      <c r="C44" s="33"/>
      <c r="D44" s="14">
        <v>0</v>
      </c>
      <c r="K44"/>
      <c r="L44"/>
      <c r="M44"/>
      <c r="N44"/>
    </row>
    <row r="45" spans="1:14" s="1" customFormat="1" ht="15">
      <c r="A45" s="50" t="s">
        <v>56</v>
      </c>
      <c r="B45" s="32" t="s">
        <v>54</v>
      </c>
      <c r="C45" s="33"/>
      <c r="D45" s="14">
        <v>0</v>
      </c>
      <c r="K45"/>
      <c r="L45"/>
      <c r="M45"/>
      <c r="N45"/>
    </row>
    <row r="46" spans="1:14" s="1" customFormat="1" ht="15">
      <c r="A46" s="48" t="s">
        <v>57</v>
      </c>
      <c r="B46" s="32" t="s">
        <v>16</v>
      </c>
      <c r="C46" s="33"/>
      <c r="D46" s="14">
        <v>0</v>
      </c>
      <c r="K46"/>
      <c r="L46"/>
      <c r="M46"/>
      <c r="N46"/>
    </row>
    <row r="47" spans="1:4" ht="20.25" customHeight="1">
      <c r="A47" s="262" t="s">
        <v>58</v>
      </c>
      <c r="B47" s="262"/>
      <c r="C47" s="262"/>
      <c r="D47" s="262"/>
    </row>
    <row r="48" spans="1:4" ht="25.5">
      <c r="A48" s="50" t="s">
        <v>59</v>
      </c>
      <c r="B48" s="32" t="s">
        <v>16</v>
      </c>
      <c r="C48" s="33"/>
      <c r="D48" s="14">
        <v>0</v>
      </c>
    </row>
    <row r="49" spans="1:4" ht="15">
      <c r="A49" s="48" t="s">
        <v>17</v>
      </c>
      <c r="B49" s="32" t="s">
        <v>16</v>
      </c>
      <c r="C49" s="33"/>
      <c r="D49" s="14">
        <v>0</v>
      </c>
    </row>
    <row r="50" spans="1:8" ht="15">
      <c r="A50" s="48" t="s">
        <v>18</v>
      </c>
      <c r="B50" s="32" t="s">
        <v>16</v>
      </c>
      <c r="C50" s="33"/>
      <c r="D50" s="51">
        <f>D53-D56-D57-D58</f>
        <v>3389.976752000003</v>
      </c>
      <c r="H50" s="52"/>
    </row>
    <row r="51" spans="1:4" ht="25.5">
      <c r="A51" s="53" t="s">
        <v>60</v>
      </c>
      <c r="B51" s="32" t="s">
        <v>16</v>
      </c>
      <c r="C51" s="54"/>
      <c r="D51" s="55">
        <v>0</v>
      </c>
    </row>
    <row r="52" spans="1:10" ht="17.25" customHeight="1">
      <c r="A52" s="56" t="s">
        <v>17</v>
      </c>
      <c r="B52" s="32" t="s">
        <v>16</v>
      </c>
      <c r="C52" s="57"/>
      <c r="D52" s="58">
        <v>0</v>
      </c>
      <c r="I52" s="52"/>
      <c r="J52" s="52"/>
    </row>
    <row r="53" spans="1:14" ht="15">
      <c r="A53" s="59" t="s">
        <v>18</v>
      </c>
      <c r="B53" s="32" t="s">
        <v>16</v>
      </c>
      <c r="C53" s="60"/>
      <c r="D53" s="61">
        <v>4308.53</v>
      </c>
      <c r="E53" s="62"/>
      <c r="H53" s="1" t="s">
        <v>32</v>
      </c>
      <c r="I53" s="63"/>
      <c r="J53" s="63"/>
      <c r="K53" s="64"/>
      <c r="L53" s="64"/>
      <c r="M53" s="64"/>
      <c r="N53" s="64"/>
    </row>
    <row r="54" spans="1:14" ht="18" customHeight="1">
      <c r="A54" s="263" t="s">
        <v>61</v>
      </c>
      <c r="B54" s="263"/>
      <c r="C54" s="263"/>
      <c r="D54" s="263"/>
      <c r="E54" s="65"/>
      <c r="F54" s="66"/>
      <c r="G54" s="67"/>
      <c r="I54" s="68"/>
      <c r="J54" s="68"/>
      <c r="K54" s="69"/>
      <c r="L54" s="69"/>
      <c r="M54" s="69"/>
      <c r="N54" s="69"/>
    </row>
    <row r="55" spans="1:14" ht="47.25">
      <c r="A55" s="70" t="s">
        <v>62</v>
      </c>
      <c r="B55" s="71" t="s">
        <v>63</v>
      </c>
      <c r="C55" s="72" t="s">
        <v>64</v>
      </c>
      <c r="D55" s="73" t="s">
        <v>65</v>
      </c>
      <c r="E55" s="65"/>
      <c r="F55" s="66"/>
      <c r="G55" s="67"/>
      <c r="I55" s="68"/>
      <c r="J55" s="74"/>
      <c r="K55" s="69"/>
      <c r="L55" s="69"/>
      <c r="M55" s="69"/>
      <c r="N55" s="69"/>
    </row>
    <row r="56" spans="1:14" ht="15">
      <c r="A56" s="75" t="s">
        <v>66</v>
      </c>
      <c r="B56" s="117">
        <v>10979.7</v>
      </c>
      <c r="C56" s="118">
        <f>B56*0.9796</f>
        <v>10755.71412</v>
      </c>
      <c r="D56" s="119">
        <f>B56-C56</f>
        <v>223.98588000000018</v>
      </c>
      <c r="E56" s="79"/>
      <c r="F56" s="66"/>
      <c r="G56" s="67"/>
      <c r="I56" s="68"/>
      <c r="J56" s="68"/>
      <c r="K56" s="69"/>
      <c r="L56" s="69"/>
      <c r="M56" s="69"/>
      <c r="N56" s="69"/>
    </row>
    <row r="57" spans="1:14" ht="15">
      <c r="A57" s="75" t="s">
        <v>67</v>
      </c>
      <c r="B57" s="117">
        <v>0</v>
      </c>
      <c r="C57" s="118">
        <f>B57*1.0205</f>
        <v>0</v>
      </c>
      <c r="D57" s="119">
        <f>B57-C57</f>
        <v>0</v>
      </c>
      <c r="E57" s="65"/>
      <c r="F57" s="66"/>
      <c r="G57" s="67"/>
      <c r="I57" s="68"/>
      <c r="J57" s="68"/>
      <c r="K57" s="69"/>
      <c r="L57" s="69"/>
      <c r="M57" s="69"/>
      <c r="N57" s="69"/>
    </row>
    <row r="58" spans="1:14" ht="15">
      <c r="A58" s="75" t="s">
        <v>68</v>
      </c>
      <c r="B58" s="120">
        <v>34047.42</v>
      </c>
      <c r="C58" s="118">
        <f>B58*0.9796</f>
        <v>33352.852632</v>
      </c>
      <c r="D58" s="119">
        <f>B58-C58</f>
        <v>694.5673679999963</v>
      </c>
      <c r="E58" s="65">
        <f>(2.07+1.8)*6*2301.2-0.37*2301.2*6</f>
        <v>48325.2</v>
      </c>
      <c r="F58" s="81"/>
      <c r="G58" s="82"/>
      <c r="H58" s="65"/>
      <c r="I58" s="68"/>
      <c r="J58" s="68"/>
      <c r="K58" s="69"/>
      <c r="L58" s="69"/>
      <c r="M58" s="69"/>
      <c r="N58" s="69"/>
    </row>
    <row r="59" spans="1:14" ht="15.75" thickBot="1">
      <c r="A59" s="150" t="s">
        <v>69</v>
      </c>
      <c r="B59" s="151">
        <v>0</v>
      </c>
      <c r="C59" s="152">
        <f>B59*1.0205</f>
        <v>0</v>
      </c>
      <c r="D59" s="153">
        <f>B59-C59</f>
        <v>0</v>
      </c>
      <c r="E59" s="65"/>
      <c r="F59" s="81"/>
      <c r="G59" s="82"/>
      <c r="I59" s="68"/>
      <c r="J59" s="68"/>
      <c r="K59" s="69"/>
      <c r="L59" s="69"/>
      <c r="M59" s="69"/>
      <c r="N59" s="69"/>
    </row>
    <row r="60" spans="1:14" ht="63">
      <c r="A60" s="154" t="s">
        <v>70</v>
      </c>
      <c r="B60" s="155" t="s">
        <v>71</v>
      </c>
      <c r="C60" s="156" t="s">
        <v>72</v>
      </c>
      <c r="D60" s="157" t="s">
        <v>73</v>
      </c>
      <c r="E60" s="65"/>
      <c r="F60" s="81"/>
      <c r="H60" s="68"/>
      <c r="I60" s="68"/>
      <c r="J60" s="68"/>
      <c r="K60" s="69"/>
      <c r="L60" s="69"/>
      <c r="M60" s="69"/>
      <c r="N60" s="69"/>
    </row>
    <row r="61" spans="1:14" ht="15">
      <c r="A61" s="158" t="s">
        <v>66</v>
      </c>
      <c r="B61" s="124">
        <f>B56</f>
        <v>10979.7</v>
      </c>
      <c r="C61" s="125">
        <v>10755.71</v>
      </c>
      <c r="D61" s="159">
        <f>B61-C61</f>
        <v>223.9900000000016</v>
      </c>
      <c r="E61" s="65"/>
      <c r="F61" s="81"/>
      <c r="H61" s="68"/>
      <c r="I61" s="68"/>
      <c r="J61" s="68" t="s">
        <v>32</v>
      </c>
      <c r="K61" s="69"/>
      <c r="L61" s="69"/>
      <c r="M61" s="69"/>
      <c r="N61" s="69"/>
    </row>
    <row r="62" spans="1:14" ht="15">
      <c r="A62" s="158" t="s">
        <v>67</v>
      </c>
      <c r="B62" s="124">
        <f>B57</f>
        <v>0</v>
      </c>
      <c r="C62" s="125">
        <f>C57*1.0063</f>
        <v>0</v>
      </c>
      <c r="D62" s="159">
        <f>B62-C62</f>
        <v>0</v>
      </c>
      <c r="E62" s="65"/>
      <c r="F62" s="81"/>
      <c r="H62" s="68"/>
      <c r="I62" s="68"/>
      <c r="J62" s="68"/>
      <c r="K62" s="69"/>
      <c r="L62" s="69"/>
      <c r="M62" s="69"/>
      <c r="N62" s="69"/>
    </row>
    <row r="63" spans="1:14" ht="15">
      <c r="A63" s="158" t="s">
        <v>68</v>
      </c>
      <c r="B63" s="124">
        <f>B58</f>
        <v>34047.42</v>
      </c>
      <c r="C63" s="125">
        <v>33352.85</v>
      </c>
      <c r="D63" s="159">
        <f>B63-C63</f>
        <v>694.5699999999997</v>
      </c>
      <c r="E63" s="65"/>
      <c r="F63" s="81"/>
      <c r="H63" s="68"/>
      <c r="I63" s="68"/>
      <c r="J63" s="68"/>
      <c r="K63" s="69"/>
      <c r="L63" s="69"/>
      <c r="M63" s="69"/>
      <c r="N63" s="69"/>
    </row>
    <row r="64" spans="1:14" ht="15">
      <c r="A64" s="158" t="s">
        <v>74</v>
      </c>
      <c r="B64" s="124">
        <f>0</f>
        <v>0</v>
      </c>
      <c r="C64" s="125">
        <v>0</v>
      </c>
      <c r="D64" s="159">
        <f>B64-C64</f>
        <v>0</v>
      </c>
      <c r="E64" s="65"/>
      <c r="F64" s="81"/>
      <c r="H64" s="68"/>
      <c r="I64" s="68"/>
      <c r="J64" s="68"/>
      <c r="K64" s="69"/>
      <c r="L64" s="69"/>
      <c r="M64" s="69"/>
      <c r="N64" s="69"/>
    </row>
    <row r="65" spans="1:14" ht="15.75" thickBot="1">
      <c r="A65" s="160" t="s">
        <v>69</v>
      </c>
      <c r="B65" s="161">
        <v>0</v>
      </c>
      <c r="C65" s="162">
        <v>0</v>
      </c>
      <c r="D65" s="163">
        <f>B65-C65</f>
        <v>0</v>
      </c>
      <c r="E65" s="65"/>
      <c r="F65" s="81"/>
      <c r="H65" s="68" t="s">
        <v>32</v>
      </c>
      <c r="I65" s="68"/>
      <c r="J65" s="68"/>
      <c r="K65" s="69"/>
      <c r="L65" s="69"/>
      <c r="M65" s="69"/>
      <c r="N65" s="69"/>
    </row>
    <row r="66" spans="1:14" ht="15">
      <c r="A66" s="91"/>
      <c r="B66" s="87"/>
      <c r="C66" s="92"/>
      <c r="D66" s="93"/>
      <c r="E66" s="65"/>
      <c r="F66" s="81"/>
      <c r="H66" s="68"/>
      <c r="I66" s="68"/>
      <c r="J66" s="68"/>
      <c r="K66" s="69"/>
      <c r="L66" s="69"/>
      <c r="M66" s="69"/>
      <c r="N66" s="69"/>
    </row>
    <row r="67" spans="1:14" ht="25.5">
      <c r="A67" s="94" t="s">
        <v>75</v>
      </c>
      <c r="B67" s="87" t="s">
        <v>16</v>
      </c>
      <c r="C67" s="95"/>
      <c r="D67" s="96">
        <v>0</v>
      </c>
      <c r="E67" s="65"/>
      <c r="F67" s="81"/>
      <c r="H67" s="68"/>
      <c r="I67" s="68"/>
      <c r="J67" s="68" t="s">
        <v>32</v>
      </c>
      <c r="K67" s="69"/>
      <c r="L67" s="69"/>
      <c r="M67" s="69"/>
      <c r="N67" s="69"/>
    </row>
    <row r="68" spans="1:14" ht="17.25" customHeight="1">
      <c r="A68" s="264" t="s">
        <v>76</v>
      </c>
      <c r="B68" s="264"/>
      <c r="C68" s="264"/>
      <c r="D68" s="264"/>
      <c r="E68" s="97" t="e">
        <f>D68+B19</f>
        <v>#VALUE!</v>
      </c>
      <c r="F68" s="68"/>
      <c r="H68" s="98" t="e">
        <f>E68-B18</f>
        <v>#VALUE!</v>
      </c>
      <c r="I68" s="68"/>
      <c r="J68" s="68"/>
      <c r="K68" s="69"/>
      <c r="L68" s="69"/>
      <c r="M68" s="69"/>
      <c r="N68" s="69"/>
    </row>
    <row r="69" spans="1:5" ht="21" customHeight="1">
      <c r="A69" s="99" t="s">
        <v>53</v>
      </c>
      <c r="B69" s="99" t="s">
        <v>54</v>
      </c>
      <c r="C69" s="100">
        <v>0</v>
      </c>
      <c r="D69" s="101"/>
      <c r="E69" s="102"/>
    </row>
    <row r="70" spans="1:5" ht="21" customHeight="1">
      <c r="A70" s="99" t="s">
        <v>55</v>
      </c>
      <c r="B70" s="99" t="s">
        <v>54</v>
      </c>
      <c r="C70" s="99">
        <v>0</v>
      </c>
      <c r="D70" s="101"/>
      <c r="E70" s="102"/>
    </row>
    <row r="71" spans="1:5" ht="18" customHeight="1">
      <c r="A71" s="99" t="s">
        <v>56</v>
      </c>
      <c r="B71" s="99" t="s">
        <v>54</v>
      </c>
      <c r="C71" s="99">
        <v>0</v>
      </c>
      <c r="D71" s="101"/>
      <c r="E71" s="102"/>
    </row>
    <row r="72" spans="1:5" ht="16.5" customHeight="1">
      <c r="A72" s="99" t="s">
        <v>57</v>
      </c>
      <c r="B72" s="99" t="s">
        <v>16</v>
      </c>
      <c r="C72" s="99">
        <v>0</v>
      </c>
      <c r="D72" s="101"/>
      <c r="E72" s="102"/>
    </row>
    <row r="73" spans="1:5" ht="15.75" customHeight="1">
      <c r="A73" s="258" t="s">
        <v>77</v>
      </c>
      <c r="B73" s="258"/>
      <c r="C73" s="258"/>
      <c r="D73" s="258"/>
      <c r="E73" s="102"/>
    </row>
    <row r="74" spans="1:5" ht="18.75" customHeight="1">
      <c r="A74" s="99" t="s">
        <v>78</v>
      </c>
      <c r="B74" s="99" t="s">
        <v>54</v>
      </c>
      <c r="C74" s="99">
        <v>1</v>
      </c>
      <c r="D74" s="101"/>
      <c r="E74" s="102"/>
    </row>
    <row r="75" spans="1:5" ht="21.75" customHeight="1">
      <c r="A75" s="99" t="s">
        <v>79</v>
      </c>
      <c r="B75" s="56" t="s">
        <v>54</v>
      </c>
      <c r="C75" s="56">
        <v>0</v>
      </c>
      <c r="D75" s="101"/>
      <c r="E75" s="102"/>
    </row>
    <row r="76" spans="1:5" ht="36" customHeight="1">
      <c r="A76" s="103" t="s">
        <v>80</v>
      </c>
      <c r="B76" s="99" t="s">
        <v>16</v>
      </c>
      <c r="C76" s="99">
        <v>9781</v>
      </c>
      <c r="D76" s="101"/>
      <c r="E76" s="102"/>
    </row>
    <row r="77" spans="1:4" ht="15">
      <c r="A77" s="69"/>
      <c r="B77" s="69"/>
      <c r="C77" s="69"/>
      <c r="D77" s="104"/>
    </row>
    <row r="78" spans="1:14" s="1" customFormat="1" ht="12.75">
      <c r="A78"/>
      <c r="B78"/>
      <c r="C78"/>
      <c r="D78"/>
      <c r="H78" s="1" t="s">
        <v>32</v>
      </c>
      <c r="K78"/>
      <c r="L78"/>
      <c r="M78"/>
      <c r="N78"/>
    </row>
    <row r="79" spans="1:14" s="1" customFormat="1" ht="12.75">
      <c r="A79" t="s">
        <v>81</v>
      </c>
      <c r="B79"/>
      <c r="C79"/>
      <c r="D79"/>
      <c r="K79"/>
      <c r="L79"/>
      <c r="M79"/>
      <c r="N79"/>
    </row>
    <row r="80" spans="1:14" s="1" customFormat="1" ht="12.75">
      <c r="A80"/>
      <c r="B80"/>
      <c r="C80"/>
      <c r="D80"/>
      <c r="H80" s="1" t="s">
        <v>32</v>
      </c>
      <c r="K80"/>
      <c r="L80"/>
      <c r="M80"/>
      <c r="N80"/>
    </row>
    <row r="81" spans="1:14" s="1" customFormat="1" ht="12.75">
      <c r="A81" t="s">
        <v>82</v>
      </c>
      <c r="B81"/>
      <c r="C81"/>
      <c r="D81"/>
      <c r="K81"/>
      <c r="L81"/>
      <c r="M81"/>
      <c r="N81"/>
    </row>
    <row r="85" spans="1:14" s="1" customFormat="1" ht="12.75">
      <c r="A85"/>
      <c r="B85"/>
      <c r="C85"/>
      <c r="D85"/>
      <c r="E85" s="1" t="s">
        <v>32</v>
      </c>
      <c r="K85"/>
      <c r="L85"/>
      <c r="M85"/>
      <c r="N85"/>
    </row>
  </sheetData>
  <sheetProtection selectLockedCells="1" selectUnlockedCells="1"/>
  <mergeCells count="13">
    <mergeCell ref="A1:D1"/>
    <mergeCell ref="A2:D2"/>
    <mergeCell ref="A3:D3"/>
    <mergeCell ref="A4:D4"/>
    <mergeCell ref="A5:D5"/>
    <mergeCell ref="A7:D7"/>
    <mergeCell ref="A73:D73"/>
    <mergeCell ref="A14:D14"/>
    <mergeCell ref="A29:D29"/>
    <mergeCell ref="A42:D42"/>
    <mergeCell ref="A47:D47"/>
    <mergeCell ref="A54:D54"/>
    <mergeCell ref="A68:D68"/>
  </mergeCells>
  <printOptions/>
  <pageMargins left="0.5597222222222222" right="0.7875" top="0.34097222222222223" bottom="0.7875" header="0.5118055555555555" footer="0.5118055555555555"/>
  <pageSetup fitToHeight="3" fitToWidth="2" horizontalDpi="300" verticalDpi="300" orientation="landscape" paperSize="12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6"/>
  <sheetViews>
    <sheetView zoomScale="80" zoomScaleNormal="80" zoomScalePageLayoutView="0" workbookViewId="0" topLeftCell="A25">
      <selection activeCell="E38" sqref="E38:E41"/>
    </sheetView>
  </sheetViews>
  <sheetFormatPr defaultColWidth="11.57421875" defaultRowHeight="12.75"/>
  <cols>
    <col min="1" max="1" width="63.28125" style="0" customWidth="1"/>
    <col min="2" max="2" width="20.28125" style="0" customWidth="1"/>
    <col min="3" max="3" width="31.421875" style="0" customWidth="1"/>
    <col min="4" max="4" width="27.57421875" style="0" customWidth="1"/>
    <col min="5" max="5" width="16.8515625" style="1" customWidth="1"/>
    <col min="6" max="7" width="0" style="1" hidden="1" customWidth="1"/>
    <col min="8" max="8" width="11.57421875" style="1" customWidth="1"/>
    <col min="9" max="9" width="5.28125" style="1" customWidth="1"/>
    <col min="10" max="10" width="30.00390625" style="1" customWidth="1"/>
    <col min="11" max="12" width="23.28125" style="0" customWidth="1"/>
    <col min="13" max="13" width="6.57421875" style="0" customWidth="1"/>
    <col min="14" max="14" width="7.00390625" style="0" customWidth="1"/>
  </cols>
  <sheetData>
    <row r="1" spans="1:4" ht="18">
      <c r="A1" s="265" t="s">
        <v>0</v>
      </c>
      <c r="B1" s="265"/>
      <c r="C1" s="265"/>
      <c r="D1" s="265"/>
    </row>
    <row r="2" spans="1:4" ht="15.75">
      <c r="A2" s="266" t="s">
        <v>1</v>
      </c>
      <c r="B2" s="266"/>
      <c r="C2" s="266"/>
      <c r="D2" s="266"/>
    </row>
    <row r="3" spans="1:4" ht="15.75">
      <c r="A3" s="266" t="s">
        <v>2</v>
      </c>
      <c r="B3" s="266"/>
      <c r="C3" s="266"/>
      <c r="D3" s="266"/>
    </row>
    <row r="4" spans="1:4" ht="12.75">
      <c r="A4" s="267" t="s">
        <v>124</v>
      </c>
      <c r="B4" s="267"/>
      <c r="C4" s="267"/>
      <c r="D4" s="267"/>
    </row>
    <row r="5" spans="1:4" ht="12.75">
      <c r="A5" s="268" t="s">
        <v>171</v>
      </c>
      <c r="B5" s="267"/>
      <c r="C5" s="267"/>
      <c r="D5" s="267"/>
    </row>
    <row r="6" ht="9" customHeight="1">
      <c r="A6" s="2"/>
    </row>
    <row r="7" spans="1:4" ht="18" customHeight="1">
      <c r="A7" s="269" t="s">
        <v>4</v>
      </c>
      <c r="B7" s="269"/>
      <c r="C7" s="269"/>
      <c r="D7" s="269"/>
    </row>
    <row r="8" spans="1:3" ht="12.75">
      <c r="A8" s="2" t="s">
        <v>231</v>
      </c>
      <c r="C8" s="3"/>
    </row>
    <row r="9" spans="1:4" ht="12.75">
      <c r="A9" s="4" t="s">
        <v>5</v>
      </c>
      <c r="B9" s="4" t="s">
        <v>6</v>
      </c>
      <c r="C9" s="4" t="s">
        <v>7</v>
      </c>
      <c r="D9" s="5"/>
    </row>
    <row r="10" spans="1:4" ht="12.75">
      <c r="A10" s="6">
        <v>1</v>
      </c>
      <c r="B10" s="6">
        <v>2</v>
      </c>
      <c r="C10" s="6">
        <v>3</v>
      </c>
      <c r="D10" s="7">
        <v>4</v>
      </c>
    </row>
    <row r="11" spans="1:4" ht="12.75">
      <c r="A11" s="8" t="s">
        <v>8</v>
      </c>
      <c r="B11" s="9"/>
      <c r="C11" s="177" t="s">
        <v>172</v>
      </c>
      <c r="D11" s="10"/>
    </row>
    <row r="12" spans="1:4" ht="12.75">
      <c r="A12" s="8" t="s">
        <v>10</v>
      </c>
      <c r="B12" s="9"/>
      <c r="C12" s="177" t="s">
        <v>173</v>
      </c>
      <c r="D12" s="10"/>
    </row>
    <row r="13" spans="1:4" ht="12.75">
      <c r="A13" s="8" t="s">
        <v>12</v>
      </c>
      <c r="B13" s="9"/>
      <c r="C13" s="177" t="s">
        <v>174</v>
      </c>
      <c r="D13" s="10"/>
    </row>
    <row r="14" spans="1:8" ht="31.5" customHeight="1">
      <c r="A14" s="259" t="s">
        <v>14</v>
      </c>
      <c r="B14" s="259"/>
      <c r="C14" s="259"/>
      <c r="D14" s="259"/>
      <c r="E14" s="132"/>
      <c r="F14" s="132"/>
      <c r="G14" s="132"/>
      <c r="H14" s="132"/>
    </row>
    <row r="15" spans="1:8" ht="25.5">
      <c r="A15" s="11" t="s">
        <v>15</v>
      </c>
      <c r="B15" s="12" t="s">
        <v>16</v>
      </c>
      <c r="C15" s="13">
        <v>19300.28</v>
      </c>
      <c r="D15" s="14"/>
      <c r="E15" s="132"/>
      <c r="F15" s="132"/>
      <c r="G15" s="132"/>
      <c r="H15" s="132"/>
    </row>
    <row r="16" spans="1:8" ht="15">
      <c r="A16" s="8" t="s">
        <v>17</v>
      </c>
      <c r="B16" s="12" t="s">
        <v>16</v>
      </c>
      <c r="C16" s="13">
        <v>0</v>
      </c>
      <c r="D16" s="14"/>
      <c r="E16" s="132"/>
      <c r="F16" s="132"/>
      <c r="G16" s="132"/>
      <c r="H16" s="132"/>
    </row>
    <row r="17" spans="1:8" ht="15">
      <c r="A17" s="8" t="s">
        <v>18</v>
      </c>
      <c r="B17" s="12" t="s">
        <v>16</v>
      </c>
      <c r="C17" s="15">
        <v>3413.99</v>
      </c>
      <c r="D17" s="16"/>
      <c r="E17" s="132" t="e">
        <f>B17/12/1022.6</f>
        <v>#VALUE!</v>
      </c>
      <c r="F17" s="132"/>
      <c r="G17" s="132"/>
      <c r="H17" s="132"/>
    </row>
    <row r="18" spans="1:8" ht="31.5" customHeight="1">
      <c r="A18" s="17" t="s">
        <v>19</v>
      </c>
      <c r="B18" s="12" t="s">
        <v>16</v>
      </c>
      <c r="C18" s="15">
        <f>C19+C20+C21</f>
        <v>21018.239999999998</v>
      </c>
      <c r="D18" s="16"/>
      <c r="E18" s="133">
        <f>C18-C20</f>
        <v>16648.44</v>
      </c>
      <c r="F18" s="132"/>
      <c r="G18" s="132"/>
      <c r="H18" s="132"/>
    </row>
    <row r="19" spans="1:8" ht="15">
      <c r="A19" s="8" t="s">
        <v>20</v>
      </c>
      <c r="B19" s="12" t="s">
        <v>16</v>
      </c>
      <c r="C19" s="15">
        <v>8772.12</v>
      </c>
      <c r="D19" s="16"/>
      <c r="E19" s="133">
        <f>E18-E39</f>
        <v>0</v>
      </c>
      <c r="F19" s="132"/>
      <c r="G19" s="132"/>
      <c r="H19" s="132"/>
    </row>
    <row r="20" spans="1:8" ht="15">
      <c r="A20" s="8" t="s">
        <v>21</v>
      </c>
      <c r="B20" s="12" t="s">
        <v>16</v>
      </c>
      <c r="C20" s="15">
        <f>(0.37+1.03)*6*134.5+3240</f>
        <v>4369.799999999999</v>
      </c>
      <c r="D20" s="16"/>
      <c r="E20" s="134"/>
      <c r="F20" s="132"/>
      <c r="G20" s="132"/>
      <c r="H20" s="132"/>
    </row>
    <row r="21" spans="1:8" ht="15">
      <c r="A21" s="8" t="s">
        <v>22</v>
      </c>
      <c r="B21" s="12" t="s">
        <v>16</v>
      </c>
      <c r="C21" s="20">
        <f>134.5*4.88*12</f>
        <v>7876.32</v>
      </c>
      <c r="D21" s="16"/>
      <c r="E21" s="132"/>
      <c r="F21" s="132"/>
      <c r="G21" s="132"/>
      <c r="H21" s="132"/>
    </row>
    <row r="22" spans="1:8" ht="15">
      <c r="A22" s="21" t="s">
        <v>23</v>
      </c>
      <c r="B22" s="12" t="s">
        <v>16</v>
      </c>
      <c r="C22" s="15">
        <f>C23+C24+C25+C26+C27</f>
        <v>22333.981824</v>
      </c>
      <c r="D22" s="16" t="s">
        <v>24</v>
      </c>
      <c r="E22" s="133" t="e">
        <f>B24+B25+B26+B27+B28</f>
        <v>#VALUE!</v>
      </c>
      <c r="F22" s="132"/>
      <c r="G22" s="132"/>
      <c r="H22" s="132"/>
    </row>
    <row r="23" spans="1:8" ht="15">
      <c r="A23" s="8" t="s">
        <v>25</v>
      </c>
      <c r="B23" s="12" t="s">
        <v>16</v>
      </c>
      <c r="C23" s="15">
        <f>C18*1.0626</f>
        <v>22333.981824</v>
      </c>
      <c r="D23" s="16"/>
      <c r="E23" s="132"/>
      <c r="F23" s="132"/>
      <c r="G23" s="132"/>
      <c r="H23" s="132"/>
    </row>
    <row r="24" spans="1:8" ht="15">
      <c r="A24" s="8" t="s">
        <v>26</v>
      </c>
      <c r="B24" s="12" t="s">
        <v>16</v>
      </c>
      <c r="C24" s="15">
        <v>0</v>
      </c>
      <c r="D24" s="22">
        <v>65.21</v>
      </c>
      <c r="E24" s="134" t="e">
        <f>B24/#REF!*1</f>
        <v>#VALUE!</v>
      </c>
      <c r="F24" s="132"/>
      <c r="G24" s="132"/>
      <c r="H24" s="132" t="s">
        <v>27</v>
      </c>
    </row>
    <row r="25" spans="1:8" ht="15">
      <c r="A25" s="8" t="s">
        <v>28</v>
      </c>
      <c r="B25" s="12" t="s">
        <v>16</v>
      </c>
      <c r="C25" s="15">
        <v>0</v>
      </c>
      <c r="D25" s="22">
        <v>119.63</v>
      </c>
      <c r="E25" s="134" t="e">
        <f>B25/#REF!*1</f>
        <v>#VALUE!</v>
      </c>
      <c r="F25" s="132"/>
      <c r="G25" s="132"/>
      <c r="H25" s="132"/>
    </row>
    <row r="26" spans="1:8" ht="15">
      <c r="A26" s="9" t="s">
        <v>29</v>
      </c>
      <c r="B26" s="12" t="s">
        <v>16</v>
      </c>
      <c r="C26" s="15">
        <v>0</v>
      </c>
      <c r="D26" s="22"/>
      <c r="E26" s="134" t="e">
        <f>B26/#REF!*1</f>
        <v>#VALUE!</v>
      </c>
      <c r="F26" s="132"/>
      <c r="G26" s="132"/>
      <c r="H26" s="132"/>
    </row>
    <row r="27" spans="1:8" ht="16.5" customHeight="1">
      <c r="A27" s="116" t="s">
        <v>112</v>
      </c>
      <c r="B27" s="12" t="s">
        <v>16</v>
      </c>
      <c r="C27" s="15">
        <v>0</v>
      </c>
      <c r="D27" s="22">
        <v>139.18</v>
      </c>
      <c r="E27" s="134" t="e">
        <f>B27/#REF!*1</f>
        <v>#VALUE!</v>
      </c>
      <c r="F27" s="132"/>
      <c r="G27" s="132"/>
      <c r="H27" s="132"/>
    </row>
    <row r="28" spans="1:8" ht="15">
      <c r="A28" s="8" t="s">
        <v>31</v>
      </c>
      <c r="B28" s="12" t="s">
        <v>16</v>
      </c>
      <c r="C28" s="15">
        <f>C15+C22</f>
        <v>41634.261824</v>
      </c>
      <c r="D28" s="16" t="s">
        <v>32</v>
      </c>
      <c r="E28" s="134" t="e">
        <f>B28/#REF!*1</f>
        <v>#VALUE!</v>
      </c>
      <c r="F28" s="132"/>
      <c r="G28" s="132"/>
      <c r="H28" s="132"/>
    </row>
    <row r="29" spans="1:8" ht="35.25" customHeight="1">
      <c r="A29" s="260" t="s">
        <v>33</v>
      </c>
      <c r="B29" s="260"/>
      <c r="C29" s="260"/>
      <c r="D29" s="260"/>
      <c r="E29" s="132"/>
      <c r="F29" s="132"/>
      <c r="G29" s="132"/>
      <c r="H29" s="132"/>
    </row>
    <row r="30" spans="1:8" ht="60">
      <c r="A30" s="23" t="s">
        <v>34</v>
      </c>
      <c r="B30" s="24" t="s">
        <v>35</v>
      </c>
      <c r="C30" s="25" t="s">
        <v>36</v>
      </c>
      <c r="D30" s="26" t="s">
        <v>37</v>
      </c>
      <c r="E30" s="132"/>
      <c r="F30" s="132"/>
      <c r="G30" s="132"/>
      <c r="H30" s="132"/>
    </row>
    <row r="31" spans="1:8" ht="15">
      <c r="A31" s="27" t="s">
        <v>38</v>
      </c>
      <c r="B31" s="28" t="s">
        <v>39</v>
      </c>
      <c r="C31" s="29" t="s">
        <v>40</v>
      </c>
      <c r="D31" s="107">
        <f>(0.17+0.16)*6*134.5</f>
        <v>266.31</v>
      </c>
      <c r="E31" s="132"/>
      <c r="F31" s="132"/>
      <c r="G31" s="132"/>
      <c r="H31" s="132"/>
    </row>
    <row r="32" spans="1:8" ht="15">
      <c r="A32" s="31" t="s">
        <v>41</v>
      </c>
      <c r="B32" s="32" t="s">
        <v>42</v>
      </c>
      <c r="C32" s="33" t="s">
        <v>43</v>
      </c>
      <c r="D32" s="34">
        <f>(3.03+3)*6*134.5</f>
        <v>4866.209999999999</v>
      </c>
      <c r="E32" s="132"/>
      <c r="F32" s="132"/>
      <c r="G32" s="132"/>
      <c r="H32" s="132"/>
    </row>
    <row r="33" spans="1:8" ht="15">
      <c r="A33" s="31" t="s">
        <v>44</v>
      </c>
      <c r="B33" s="32" t="s">
        <v>39</v>
      </c>
      <c r="C33" s="33" t="s">
        <v>45</v>
      </c>
      <c r="D33" s="108">
        <f>(0.2+0.21)*6*134.5</f>
        <v>330.87</v>
      </c>
      <c r="E33" s="132"/>
      <c r="F33" s="132"/>
      <c r="G33" s="132"/>
      <c r="H33" s="132"/>
    </row>
    <row r="34" spans="1:8" ht="15">
      <c r="A34" s="204" t="s">
        <v>115</v>
      </c>
      <c r="B34" s="32" t="s">
        <v>39</v>
      </c>
      <c r="C34" s="33" t="s">
        <v>40</v>
      </c>
      <c r="D34" s="108">
        <f>(0.21+0.22)*6*134.5</f>
        <v>347.01</v>
      </c>
      <c r="E34" s="132"/>
      <c r="F34" s="132"/>
      <c r="G34" s="132"/>
      <c r="H34" s="132"/>
    </row>
    <row r="35" spans="1:8" ht="15">
      <c r="A35" s="31" t="s">
        <v>90</v>
      </c>
      <c r="B35" s="106" t="s">
        <v>91</v>
      </c>
      <c r="C35" s="33" t="s">
        <v>40</v>
      </c>
      <c r="D35" s="108">
        <f>(1.33+1.27)*6*134.5</f>
        <v>2098.2000000000003</v>
      </c>
      <c r="E35" s="132"/>
      <c r="F35" s="132"/>
      <c r="G35" s="132"/>
      <c r="H35" s="132"/>
    </row>
    <row r="36" spans="1:8" ht="15">
      <c r="A36" s="31" t="s">
        <v>46</v>
      </c>
      <c r="B36" s="32" t="s">
        <v>42</v>
      </c>
      <c r="C36" s="35" t="s">
        <v>47</v>
      </c>
      <c r="D36" s="108">
        <f>4.88*134.5*12</f>
        <v>7876.32</v>
      </c>
      <c r="E36" s="132"/>
      <c r="F36" s="132"/>
      <c r="G36" s="132"/>
      <c r="H36" s="132"/>
    </row>
    <row r="37" spans="1:14" s="1" customFormat="1" ht="45">
      <c r="A37" s="36" t="s">
        <v>48</v>
      </c>
      <c r="B37" s="37" t="s">
        <v>49</v>
      </c>
      <c r="C37" s="38"/>
      <c r="D37" s="39">
        <v>0</v>
      </c>
      <c r="E37" s="132"/>
      <c r="F37" s="132"/>
      <c r="G37" s="132"/>
      <c r="H37" s="132"/>
      <c r="K37"/>
      <c r="L37"/>
      <c r="M37"/>
      <c r="N37"/>
    </row>
    <row r="38" spans="1:14" s="1" customFormat="1" ht="45">
      <c r="A38" s="109" t="s">
        <v>95</v>
      </c>
      <c r="B38" s="110" t="s">
        <v>96</v>
      </c>
      <c r="C38" s="111" t="s">
        <v>97</v>
      </c>
      <c r="D38" s="112">
        <v>863.52</v>
      </c>
      <c r="E38" s="256"/>
      <c r="F38" s="132"/>
      <c r="G38" s="132"/>
      <c r="H38" s="132"/>
      <c r="K38"/>
      <c r="L38"/>
      <c r="M38"/>
      <c r="N38"/>
    </row>
    <row r="39" spans="1:14" s="1" customFormat="1" ht="15.75">
      <c r="A39" s="40" t="s">
        <v>50</v>
      </c>
      <c r="B39" s="41"/>
      <c r="C39" s="42"/>
      <c r="D39" s="113">
        <f>SUM(D31:D38)</f>
        <v>16648.44</v>
      </c>
      <c r="E39" s="257">
        <f>D39-D37</f>
        <v>16648.44</v>
      </c>
      <c r="F39" s="132"/>
      <c r="G39" s="132"/>
      <c r="H39" s="132"/>
      <c r="K39"/>
      <c r="L39"/>
      <c r="M39"/>
      <c r="N39"/>
    </row>
    <row r="40" spans="1:14" s="1" customFormat="1" ht="15">
      <c r="A40" s="43" t="s">
        <v>51</v>
      </c>
      <c r="B40" s="44" t="s">
        <v>16</v>
      </c>
      <c r="C40" s="45"/>
      <c r="D40" s="46">
        <f>C15+C19*1.0626-D37</f>
        <v>28621.534712</v>
      </c>
      <c r="E40" s="257"/>
      <c r="F40" s="132"/>
      <c r="G40" s="132"/>
      <c r="H40" s="132"/>
      <c r="K40"/>
      <c r="L40"/>
      <c r="M40"/>
      <c r="N40"/>
    </row>
    <row r="41" spans="1:14" s="1" customFormat="1" ht="15">
      <c r="A41" s="48" t="s">
        <v>17</v>
      </c>
      <c r="B41" s="49" t="s">
        <v>16</v>
      </c>
      <c r="C41" s="33"/>
      <c r="D41" s="14">
        <v>0</v>
      </c>
      <c r="E41" s="256"/>
      <c r="F41" s="132"/>
      <c r="G41" s="132"/>
      <c r="H41" s="132"/>
      <c r="K41"/>
      <c r="L41"/>
      <c r="M41"/>
      <c r="N41"/>
    </row>
    <row r="42" spans="1:14" s="1" customFormat="1" ht="15">
      <c r="A42" s="48" t="s">
        <v>18</v>
      </c>
      <c r="B42" s="49" t="s">
        <v>16</v>
      </c>
      <c r="C42" s="33"/>
      <c r="D42" s="14">
        <v>508.81</v>
      </c>
      <c r="E42" s="132"/>
      <c r="F42" s="132"/>
      <c r="G42" s="132"/>
      <c r="H42" s="132"/>
      <c r="K42"/>
      <c r="L42"/>
      <c r="M42"/>
      <c r="N42"/>
    </row>
    <row r="43" spans="1:14" s="1" customFormat="1" ht="24" customHeight="1">
      <c r="A43" s="261" t="s">
        <v>52</v>
      </c>
      <c r="B43" s="261"/>
      <c r="C43" s="261"/>
      <c r="D43" s="261"/>
      <c r="E43" s="132"/>
      <c r="F43" s="132"/>
      <c r="G43" s="132"/>
      <c r="H43" s="132"/>
      <c r="K43"/>
      <c r="L43"/>
      <c r="M43"/>
      <c r="N43"/>
    </row>
    <row r="44" spans="1:14" s="1" customFormat="1" ht="15">
      <c r="A44" s="48" t="s">
        <v>53</v>
      </c>
      <c r="B44" s="32" t="s">
        <v>54</v>
      </c>
      <c r="C44" s="33">
        <v>0</v>
      </c>
      <c r="D44" s="14">
        <v>0</v>
      </c>
      <c r="E44" s="132"/>
      <c r="F44" s="132"/>
      <c r="G44" s="132"/>
      <c r="H44" s="132"/>
      <c r="K44"/>
      <c r="L44"/>
      <c r="M44"/>
      <c r="N44"/>
    </row>
    <row r="45" spans="1:14" s="1" customFormat="1" ht="15">
      <c r="A45" s="48" t="s">
        <v>55</v>
      </c>
      <c r="B45" s="32" t="s">
        <v>54</v>
      </c>
      <c r="C45" s="33">
        <v>0</v>
      </c>
      <c r="D45" s="14">
        <v>0</v>
      </c>
      <c r="E45" s="132"/>
      <c r="F45" s="132"/>
      <c r="G45" s="132"/>
      <c r="H45" s="132"/>
      <c r="K45"/>
      <c r="L45"/>
      <c r="M45"/>
      <c r="N45"/>
    </row>
    <row r="46" spans="1:14" s="1" customFormat="1" ht="15">
      <c r="A46" s="50" t="s">
        <v>56</v>
      </c>
      <c r="B46" s="32" t="s">
        <v>54</v>
      </c>
      <c r="C46" s="33">
        <v>0</v>
      </c>
      <c r="D46" s="14">
        <v>0</v>
      </c>
      <c r="E46" s="132"/>
      <c r="F46" s="132"/>
      <c r="G46" s="132"/>
      <c r="H46" s="132"/>
      <c r="K46"/>
      <c r="L46"/>
      <c r="M46"/>
      <c r="N46"/>
    </row>
    <row r="47" spans="1:14" s="1" customFormat="1" ht="15">
      <c r="A47" s="48" t="s">
        <v>57</v>
      </c>
      <c r="B47" s="32" t="s">
        <v>16</v>
      </c>
      <c r="C47" s="33">
        <v>0</v>
      </c>
      <c r="D47" s="14">
        <v>0</v>
      </c>
      <c r="E47" s="132"/>
      <c r="F47" s="132"/>
      <c r="G47" s="132"/>
      <c r="H47" s="132"/>
      <c r="K47"/>
      <c r="L47"/>
      <c r="M47"/>
      <c r="N47"/>
    </row>
    <row r="48" spans="1:8" ht="20.25" customHeight="1">
      <c r="A48" s="262" t="s">
        <v>58</v>
      </c>
      <c r="B48" s="262"/>
      <c r="C48" s="262"/>
      <c r="D48" s="262"/>
      <c r="E48" s="132"/>
      <c r="F48" s="132"/>
      <c r="G48" s="132"/>
      <c r="H48" s="132"/>
    </row>
    <row r="49" spans="1:8" ht="25.5">
      <c r="A49" s="50" t="s">
        <v>59</v>
      </c>
      <c r="B49" s="32" t="s">
        <v>16</v>
      </c>
      <c r="C49" s="33"/>
      <c r="D49" s="14">
        <v>0</v>
      </c>
      <c r="E49" s="132"/>
      <c r="F49" s="132"/>
      <c r="G49" s="132"/>
      <c r="H49" s="132"/>
    </row>
    <row r="50" spans="1:8" ht="15">
      <c r="A50" s="48" t="s">
        <v>17</v>
      </c>
      <c r="B50" s="32" t="s">
        <v>16</v>
      </c>
      <c r="C50" s="33"/>
      <c r="D50" s="14">
        <v>0</v>
      </c>
      <c r="E50" s="132"/>
      <c r="F50" s="132"/>
      <c r="G50" s="132"/>
      <c r="H50" s="132"/>
    </row>
    <row r="51" spans="1:8" ht="15">
      <c r="A51" s="48" t="s">
        <v>18</v>
      </c>
      <c r="B51" s="32" t="s">
        <v>16</v>
      </c>
      <c r="C51" s="33"/>
      <c r="D51" s="51">
        <f>D54-D57-D58-D59</f>
        <v>842.5036580000008</v>
      </c>
      <c r="E51" s="132"/>
      <c r="F51" s="132"/>
      <c r="G51" s="132"/>
      <c r="H51" s="136"/>
    </row>
    <row r="52" spans="1:8" ht="25.5">
      <c r="A52" s="53" t="s">
        <v>60</v>
      </c>
      <c r="B52" s="32" t="s">
        <v>16</v>
      </c>
      <c r="C52" s="54"/>
      <c r="D52" s="55">
        <v>0</v>
      </c>
      <c r="E52" s="132"/>
      <c r="F52" s="132"/>
      <c r="G52" s="132"/>
      <c r="H52" s="132"/>
    </row>
    <row r="53" spans="1:10" ht="17.25" customHeight="1">
      <c r="A53" s="56" t="s">
        <v>17</v>
      </c>
      <c r="B53" s="32" t="s">
        <v>16</v>
      </c>
      <c r="C53" s="57"/>
      <c r="D53" s="58">
        <v>0</v>
      </c>
      <c r="E53" s="132"/>
      <c r="F53" s="132"/>
      <c r="G53" s="132"/>
      <c r="H53" s="132"/>
      <c r="I53" s="52"/>
      <c r="J53" s="52"/>
    </row>
    <row r="54" spans="1:14" ht="15">
      <c r="A54" s="59" t="s">
        <v>18</v>
      </c>
      <c r="B54" s="32" t="s">
        <v>16</v>
      </c>
      <c r="C54" s="60"/>
      <c r="D54" s="61">
        <v>234.95</v>
      </c>
      <c r="E54" s="132"/>
      <c r="F54" s="132"/>
      <c r="G54" s="132"/>
      <c r="H54" s="132" t="s">
        <v>32</v>
      </c>
      <c r="I54" s="63"/>
      <c r="J54" s="63"/>
      <c r="K54" s="64"/>
      <c r="L54" s="64"/>
      <c r="M54" s="64"/>
      <c r="N54" s="64"/>
    </row>
    <row r="55" spans="1:14" ht="18" customHeight="1">
      <c r="A55" s="263" t="s">
        <v>61</v>
      </c>
      <c r="B55" s="263"/>
      <c r="C55" s="263"/>
      <c r="D55" s="263"/>
      <c r="E55" s="137"/>
      <c r="F55" s="138"/>
      <c r="G55" s="139"/>
      <c r="H55" s="132"/>
      <c r="I55" s="68"/>
      <c r="J55" s="68"/>
      <c r="K55" s="69"/>
      <c r="L55" s="69"/>
      <c r="M55" s="69"/>
      <c r="N55" s="69"/>
    </row>
    <row r="56" spans="1:14" ht="47.25">
      <c r="A56" s="70" t="s">
        <v>62</v>
      </c>
      <c r="B56" s="71" t="s">
        <v>63</v>
      </c>
      <c r="C56" s="72" t="s">
        <v>64</v>
      </c>
      <c r="D56" s="73" t="s">
        <v>65</v>
      </c>
      <c r="E56" s="137"/>
      <c r="F56" s="138"/>
      <c r="G56" s="139"/>
      <c r="H56" s="132"/>
      <c r="I56" s="68"/>
      <c r="J56" s="74"/>
      <c r="K56" s="69"/>
      <c r="L56" s="69"/>
      <c r="M56" s="69"/>
      <c r="N56" s="69"/>
    </row>
    <row r="57" spans="1:14" ht="15">
      <c r="A57" s="75" t="s">
        <v>66</v>
      </c>
      <c r="B57" s="117">
        <v>9705.33</v>
      </c>
      <c r="C57" s="118">
        <f>B57*1.0626</f>
        <v>10312.883658</v>
      </c>
      <c r="D57" s="119">
        <f>B57-C57</f>
        <v>-607.5536580000007</v>
      </c>
      <c r="E57" s="140"/>
      <c r="F57" s="138"/>
      <c r="G57" s="139"/>
      <c r="H57" s="132"/>
      <c r="I57" s="68"/>
      <c r="J57" s="68"/>
      <c r="K57" s="69"/>
      <c r="L57" s="69"/>
      <c r="M57" s="69"/>
      <c r="N57" s="69"/>
    </row>
    <row r="58" spans="1:14" ht="15">
      <c r="A58" s="75" t="s">
        <v>67</v>
      </c>
      <c r="B58" s="117">
        <v>0</v>
      </c>
      <c r="C58" s="118">
        <f>B58*1.1615</f>
        <v>0</v>
      </c>
      <c r="D58" s="119">
        <f>B58-C58</f>
        <v>0</v>
      </c>
      <c r="E58" s="137"/>
      <c r="F58" s="138"/>
      <c r="G58" s="139"/>
      <c r="H58" s="132"/>
      <c r="I58" s="68"/>
      <c r="J58" s="68"/>
      <c r="K58" s="69"/>
      <c r="L58" s="69"/>
      <c r="M58" s="69"/>
      <c r="N58" s="69"/>
    </row>
    <row r="59" spans="1:14" ht="15">
      <c r="A59" s="75" t="s">
        <v>68</v>
      </c>
      <c r="B59" s="120">
        <v>0</v>
      </c>
      <c r="C59" s="118">
        <f>B59*1.1615</f>
        <v>0</v>
      </c>
      <c r="D59" s="119">
        <f>B59-C59</f>
        <v>0</v>
      </c>
      <c r="E59" s="65">
        <f>(2.07+1.8)*6*2301.2-0.37*2301.2*6</f>
        <v>48325.2</v>
      </c>
      <c r="F59" s="81"/>
      <c r="G59" s="82"/>
      <c r="H59" s="65"/>
      <c r="I59" s="68"/>
      <c r="J59" s="68"/>
      <c r="K59" s="69"/>
      <c r="L59" s="69"/>
      <c r="M59" s="69"/>
      <c r="N59" s="69"/>
    </row>
    <row r="60" spans="1:14" ht="15.75" thickBot="1">
      <c r="A60" s="150" t="s">
        <v>69</v>
      </c>
      <c r="B60" s="151">
        <v>0</v>
      </c>
      <c r="C60" s="152">
        <f>B60*1.1615</f>
        <v>0</v>
      </c>
      <c r="D60" s="153">
        <f>B60-C60</f>
        <v>0</v>
      </c>
      <c r="E60" s="65"/>
      <c r="F60" s="81"/>
      <c r="G60" s="82"/>
      <c r="I60" s="68"/>
      <c r="J60" s="68"/>
      <c r="K60" s="69"/>
      <c r="L60" s="69"/>
      <c r="M60" s="69"/>
      <c r="N60" s="69"/>
    </row>
    <row r="61" spans="1:14" ht="63">
      <c r="A61" s="154" t="s">
        <v>70</v>
      </c>
      <c r="B61" s="155" t="s">
        <v>71</v>
      </c>
      <c r="C61" s="156" t="s">
        <v>72</v>
      </c>
      <c r="D61" s="157" t="s">
        <v>73</v>
      </c>
      <c r="E61" s="65"/>
      <c r="F61" s="81"/>
      <c r="H61" s="68"/>
      <c r="I61" s="68"/>
      <c r="J61" s="68"/>
      <c r="K61" s="69"/>
      <c r="L61" s="69"/>
      <c r="M61" s="69"/>
      <c r="N61" s="69"/>
    </row>
    <row r="62" spans="1:14" ht="15">
      <c r="A62" s="158" t="s">
        <v>66</v>
      </c>
      <c r="B62" s="124">
        <f>B57</f>
        <v>9705.33</v>
      </c>
      <c r="C62" s="125">
        <v>10312.88</v>
      </c>
      <c r="D62" s="159">
        <f>B62-C62</f>
        <v>-607.5499999999993</v>
      </c>
      <c r="E62" s="65"/>
      <c r="F62" s="81"/>
      <c r="H62" s="68"/>
      <c r="I62" s="68"/>
      <c r="J62" s="68" t="s">
        <v>32</v>
      </c>
      <c r="K62" s="69"/>
      <c r="L62" s="69"/>
      <c r="M62" s="69"/>
      <c r="N62" s="69"/>
    </row>
    <row r="63" spans="1:14" ht="15">
      <c r="A63" s="158" t="s">
        <v>67</v>
      </c>
      <c r="B63" s="124">
        <v>0</v>
      </c>
      <c r="C63" s="125">
        <f>C58*1.0063</f>
        <v>0</v>
      </c>
      <c r="D63" s="159">
        <f>B63-C63</f>
        <v>0</v>
      </c>
      <c r="E63" s="65"/>
      <c r="F63" s="81"/>
      <c r="H63" s="68"/>
      <c r="I63" s="68"/>
      <c r="J63" s="68"/>
      <c r="K63" s="69"/>
      <c r="L63" s="69"/>
      <c r="M63" s="69"/>
      <c r="N63" s="69"/>
    </row>
    <row r="64" spans="1:14" ht="15">
      <c r="A64" s="158" t="s">
        <v>68</v>
      </c>
      <c r="B64" s="124">
        <v>0</v>
      </c>
      <c r="C64" s="125">
        <f>C59*1.0063</f>
        <v>0</v>
      </c>
      <c r="D64" s="159">
        <f>B64-C64</f>
        <v>0</v>
      </c>
      <c r="E64" s="65"/>
      <c r="F64" s="81"/>
      <c r="H64" s="68"/>
      <c r="I64" s="68"/>
      <c r="J64" s="68"/>
      <c r="K64" s="69"/>
      <c r="L64" s="69"/>
      <c r="M64" s="69"/>
      <c r="N64" s="69"/>
    </row>
    <row r="65" spans="1:14" ht="15">
      <c r="A65" s="158" t="s">
        <v>74</v>
      </c>
      <c r="B65" s="124">
        <v>0</v>
      </c>
      <c r="C65" s="125">
        <v>0</v>
      </c>
      <c r="D65" s="159">
        <f>B65-C65</f>
        <v>0</v>
      </c>
      <c r="E65" s="65"/>
      <c r="F65" s="81"/>
      <c r="H65" s="68"/>
      <c r="I65" s="68"/>
      <c r="J65" s="68"/>
      <c r="K65" s="69"/>
      <c r="L65" s="69"/>
      <c r="M65" s="69"/>
      <c r="N65" s="69"/>
    </row>
    <row r="66" spans="1:14" ht="15.75" thickBot="1">
      <c r="A66" s="160" t="s">
        <v>69</v>
      </c>
      <c r="B66" s="161">
        <v>0</v>
      </c>
      <c r="C66" s="162">
        <v>0</v>
      </c>
      <c r="D66" s="163">
        <f>B66-C66</f>
        <v>0</v>
      </c>
      <c r="E66" s="65"/>
      <c r="F66" s="81"/>
      <c r="H66" s="68" t="s">
        <v>32</v>
      </c>
      <c r="I66" s="68"/>
      <c r="J66" s="68"/>
      <c r="K66" s="69"/>
      <c r="L66" s="69"/>
      <c r="M66" s="69"/>
      <c r="N66" s="69"/>
    </row>
    <row r="67" spans="1:14" ht="15">
      <c r="A67" s="91"/>
      <c r="B67" s="87"/>
      <c r="C67" s="92"/>
      <c r="D67" s="93"/>
      <c r="E67" s="65"/>
      <c r="F67" s="81"/>
      <c r="H67" s="68"/>
      <c r="I67" s="68"/>
      <c r="J67" s="68"/>
      <c r="K67" s="69"/>
      <c r="L67" s="69"/>
      <c r="M67" s="69"/>
      <c r="N67" s="69"/>
    </row>
    <row r="68" spans="1:14" ht="25.5">
      <c r="A68" s="94" t="s">
        <v>75</v>
      </c>
      <c r="B68" s="87" t="s">
        <v>16</v>
      </c>
      <c r="C68" s="95"/>
      <c r="D68" s="96">
        <v>0</v>
      </c>
      <c r="E68" s="65"/>
      <c r="F68" s="81"/>
      <c r="H68" s="68"/>
      <c r="I68" s="68"/>
      <c r="J68" s="68" t="s">
        <v>32</v>
      </c>
      <c r="K68" s="69"/>
      <c r="L68" s="69"/>
      <c r="M68" s="69"/>
      <c r="N68" s="69"/>
    </row>
    <row r="69" spans="1:14" ht="17.25" customHeight="1">
      <c r="A69" s="264" t="s">
        <v>76</v>
      </c>
      <c r="B69" s="264"/>
      <c r="C69" s="264"/>
      <c r="D69" s="264"/>
      <c r="E69" s="97" t="e">
        <f>D69+B19</f>
        <v>#VALUE!</v>
      </c>
      <c r="F69" s="68"/>
      <c r="H69" s="98" t="e">
        <f>E69-B18</f>
        <v>#VALUE!</v>
      </c>
      <c r="I69" s="68"/>
      <c r="J69" s="68"/>
      <c r="K69" s="69"/>
      <c r="L69" s="69"/>
      <c r="M69" s="69"/>
      <c r="N69" s="69"/>
    </row>
    <row r="70" spans="1:5" ht="21" customHeight="1">
      <c r="A70" s="99" t="s">
        <v>53</v>
      </c>
      <c r="B70" s="99" t="s">
        <v>54</v>
      </c>
      <c r="C70" s="100">
        <v>0</v>
      </c>
      <c r="D70" s="101"/>
      <c r="E70" s="102"/>
    </row>
    <row r="71" spans="1:5" ht="21" customHeight="1">
      <c r="A71" s="99" t="s">
        <v>55</v>
      </c>
      <c r="B71" s="99" t="s">
        <v>54</v>
      </c>
      <c r="C71" s="99">
        <v>0</v>
      </c>
      <c r="D71" s="101"/>
      <c r="E71" s="102"/>
    </row>
    <row r="72" spans="1:5" ht="18" customHeight="1">
      <c r="A72" s="99" t="s">
        <v>56</v>
      </c>
      <c r="B72" s="99" t="s">
        <v>54</v>
      </c>
      <c r="C72" s="99">
        <v>0</v>
      </c>
      <c r="D72" s="101"/>
      <c r="E72" s="102"/>
    </row>
    <row r="73" spans="1:5" ht="16.5" customHeight="1">
      <c r="A73" s="99" t="s">
        <v>57</v>
      </c>
      <c r="B73" s="99" t="s">
        <v>16</v>
      </c>
      <c r="C73" s="99">
        <v>0</v>
      </c>
      <c r="D73" s="101"/>
      <c r="E73" s="102"/>
    </row>
    <row r="74" spans="1:5" ht="15.75" customHeight="1">
      <c r="A74" s="258" t="s">
        <v>77</v>
      </c>
      <c r="B74" s="258"/>
      <c r="C74" s="258"/>
      <c r="D74" s="258"/>
      <c r="E74" s="102"/>
    </row>
    <row r="75" spans="1:5" ht="18.75" customHeight="1">
      <c r="A75" s="99" t="s">
        <v>78</v>
      </c>
      <c r="B75" s="99" t="s">
        <v>54</v>
      </c>
      <c r="C75" s="99">
        <v>0</v>
      </c>
      <c r="D75" s="101"/>
      <c r="E75" s="102"/>
    </row>
    <row r="76" spans="1:5" ht="21.75" customHeight="1">
      <c r="A76" s="99" t="s">
        <v>79</v>
      </c>
      <c r="B76" s="56" t="s">
        <v>54</v>
      </c>
      <c r="C76" s="56">
        <v>0</v>
      </c>
      <c r="D76" s="101"/>
      <c r="E76" s="102"/>
    </row>
    <row r="77" spans="1:5" ht="36" customHeight="1">
      <c r="A77" s="103" t="s">
        <v>80</v>
      </c>
      <c r="B77" s="99" t="s">
        <v>16</v>
      </c>
      <c r="C77" s="99">
        <v>0</v>
      </c>
      <c r="D77" s="101"/>
      <c r="E77" s="102"/>
    </row>
    <row r="78" spans="1:4" ht="15">
      <c r="A78" s="69"/>
      <c r="B78" s="69"/>
      <c r="C78" s="69"/>
      <c r="D78" s="104"/>
    </row>
    <row r="79" spans="1:14" s="1" customFormat="1" ht="12.75">
      <c r="A79"/>
      <c r="B79"/>
      <c r="C79"/>
      <c r="D79"/>
      <c r="H79" s="1" t="s">
        <v>32</v>
      </c>
      <c r="K79"/>
      <c r="L79"/>
      <c r="M79"/>
      <c r="N79"/>
    </row>
    <row r="80" spans="1:14" s="1" customFormat="1" ht="12.75">
      <c r="A80" t="s">
        <v>81</v>
      </c>
      <c r="B80"/>
      <c r="C80"/>
      <c r="D80"/>
      <c r="K80"/>
      <c r="L80"/>
      <c r="M80"/>
      <c r="N80"/>
    </row>
    <row r="81" spans="1:14" s="1" customFormat="1" ht="12.75">
      <c r="A81"/>
      <c r="B81"/>
      <c r="C81"/>
      <c r="D81"/>
      <c r="H81" s="1" t="s">
        <v>32</v>
      </c>
      <c r="K81"/>
      <c r="L81"/>
      <c r="M81"/>
      <c r="N81"/>
    </row>
    <row r="82" spans="1:14" s="1" customFormat="1" ht="12.75">
      <c r="A82" t="s">
        <v>82</v>
      </c>
      <c r="B82"/>
      <c r="C82"/>
      <c r="D82"/>
      <c r="K82"/>
      <c r="L82"/>
      <c r="M82"/>
      <c r="N82"/>
    </row>
    <row r="86" spans="1:14" s="1" customFormat="1" ht="12.75">
      <c r="A86"/>
      <c r="B86"/>
      <c r="C86"/>
      <c r="D86"/>
      <c r="E86" s="1" t="s">
        <v>32</v>
      </c>
      <c r="K86"/>
      <c r="L86"/>
      <c r="M86"/>
      <c r="N86"/>
    </row>
  </sheetData>
  <sheetProtection selectLockedCells="1" selectUnlockedCells="1"/>
  <mergeCells count="13">
    <mergeCell ref="A1:D1"/>
    <mergeCell ref="A2:D2"/>
    <mergeCell ref="A3:D3"/>
    <mergeCell ref="A4:D4"/>
    <mergeCell ref="A5:D5"/>
    <mergeCell ref="A7:D7"/>
    <mergeCell ref="A74:D74"/>
    <mergeCell ref="A14:D14"/>
    <mergeCell ref="A29:D29"/>
    <mergeCell ref="A43:D43"/>
    <mergeCell ref="A48:D48"/>
    <mergeCell ref="A55:D55"/>
    <mergeCell ref="A69:D69"/>
  </mergeCells>
  <printOptions/>
  <pageMargins left="0.5597222222222222" right="0.7875" top="0.34097222222222223" bottom="0.7875" header="0.5118055555555555" footer="0.5118055555555555"/>
  <pageSetup fitToHeight="3" fitToWidth="2" horizontalDpi="300" verticalDpi="300" orientation="landscape" paperSize="12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6"/>
  <sheetViews>
    <sheetView zoomScale="80" zoomScaleNormal="80" zoomScalePageLayoutView="0" workbookViewId="0" topLeftCell="A16">
      <selection activeCell="E38" sqref="E38:E42"/>
    </sheetView>
  </sheetViews>
  <sheetFormatPr defaultColWidth="11.57421875" defaultRowHeight="12.75"/>
  <cols>
    <col min="1" max="1" width="63.28125" style="0" customWidth="1"/>
    <col min="2" max="2" width="20.28125" style="0" customWidth="1"/>
    <col min="3" max="3" width="31.421875" style="0" customWidth="1"/>
    <col min="4" max="4" width="27.57421875" style="0" customWidth="1"/>
    <col min="5" max="5" width="16.8515625" style="1" customWidth="1"/>
    <col min="6" max="7" width="0" style="1" hidden="1" customWidth="1"/>
    <col min="8" max="8" width="11.57421875" style="1" customWidth="1"/>
    <col min="9" max="9" width="5.28125" style="1" customWidth="1"/>
    <col min="10" max="10" width="30.00390625" style="1" customWidth="1"/>
    <col min="11" max="12" width="23.28125" style="0" customWidth="1"/>
    <col min="13" max="13" width="6.57421875" style="0" customWidth="1"/>
    <col min="14" max="14" width="7.00390625" style="0" customWidth="1"/>
  </cols>
  <sheetData>
    <row r="1" spans="1:4" ht="18">
      <c r="A1" s="265" t="s">
        <v>0</v>
      </c>
      <c r="B1" s="265"/>
      <c r="C1" s="265"/>
      <c r="D1" s="265"/>
    </row>
    <row r="2" spans="1:4" ht="15.75">
      <c r="A2" s="266" t="s">
        <v>1</v>
      </c>
      <c r="B2" s="266"/>
      <c r="C2" s="266"/>
      <c r="D2" s="266"/>
    </row>
    <row r="3" spans="1:4" ht="15.75">
      <c r="A3" s="266" t="s">
        <v>2</v>
      </c>
      <c r="B3" s="266"/>
      <c r="C3" s="266"/>
      <c r="D3" s="266"/>
    </row>
    <row r="4" spans="1:4" ht="12.75">
      <c r="A4" s="267" t="s">
        <v>125</v>
      </c>
      <c r="B4" s="267"/>
      <c r="C4" s="267"/>
      <c r="D4" s="267"/>
    </row>
    <row r="5" spans="1:4" ht="12.75">
      <c r="A5" s="268" t="s">
        <v>171</v>
      </c>
      <c r="B5" s="267"/>
      <c r="C5" s="267"/>
      <c r="D5" s="267"/>
    </row>
    <row r="6" ht="9" customHeight="1">
      <c r="A6" s="2"/>
    </row>
    <row r="7" spans="1:4" ht="18" customHeight="1">
      <c r="A7" s="269" t="s">
        <v>4</v>
      </c>
      <c r="B7" s="269"/>
      <c r="C7" s="269"/>
      <c r="D7" s="269"/>
    </row>
    <row r="8" spans="1:3" ht="12.75">
      <c r="A8" s="2" t="s">
        <v>232</v>
      </c>
      <c r="C8" s="3"/>
    </row>
    <row r="9" spans="1:4" ht="12.75">
      <c r="A9" s="4" t="s">
        <v>5</v>
      </c>
      <c r="B9" s="4" t="s">
        <v>6</v>
      </c>
      <c r="C9" s="4" t="s">
        <v>7</v>
      </c>
      <c r="D9" s="5"/>
    </row>
    <row r="10" spans="1:4" ht="12.75">
      <c r="A10" s="6">
        <v>1</v>
      </c>
      <c r="B10" s="6">
        <v>2</v>
      </c>
      <c r="C10" s="6">
        <v>3</v>
      </c>
      <c r="D10" s="7">
        <v>4</v>
      </c>
    </row>
    <row r="11" spans="1:4" ht="12.75">
      <c r="A11" s="8" t="s">
        <v>8</v>
      </c>
      <c r="B11" s="9"/>
      <c r="C11" s="177" t="s">
        <v>172</v>
      </c>
      <c r="D11" s="10"/>
    </row>
    <row r="12" spans="1:4" ht="12.75">
      <c r="A12" s="8" t="s">
        <v>10</v>
      </c>
      <c r="B12" s="9"/>
      <c r="C12" s="177" t="s">
        <v>173</v>
      </c>
      <c r="D12" s="10"/>
    </row>
    <row r="13" spans="1:4" ht="12.75">
      <c r="A13" s="8" t="s">
        <v>12</v>
      </c>
      <c r="B13" s="9"/>
      <c r="C13" s="177" t="s">
        <v>174</v>
      </c>
      <c r="D13" s="10"/>
    </row>
    <row r="14" spans="1:4" ht="31.5" customHeight="1">
      <c r="A14" s="259" t="s">
        <v>14</v>
      </c>
      <c r="B14" s="259"/>
      <c r="C14" s="259"/>
      <c r="D14" s="259"/>
    </row>
    <row r="15" spans="1:4" ht="25.5">
      <c r="A15" s="11" t="s">
        <v>15</v>
      </c>
      <c r="B15" s="12" t="s">
        <v>16</v>
      </c>
      <c r="C15" s="13">
        <v>5436.14</v>
      </c>
      <c r="D15" s="14"/>
    </row>
    <row r="16" spans="1:4" ht="15">
      <c r="A16" s="8" t="s">
        <v>17</v>
      </c>
      <c r="B16" s="12" t="s">
        <v>16</v>
      </c>
      <c r="C16" s="13">
        <v>0</v>
      </c>
      <c r="D16" s="14"/>
    </row>
    <row r="17" spans="1:5" ht="15">
      <c r="A17" s="8" t="s">
        <v>18</v>
      </c>
      <c r="B17" s="12" t="s">
        <v>16</v>
      </c>
      <c r="C17" s="15">
        <v>1634.95</v>
      </c>
      <c r="D17" s="16"/>
      <c r="E17" s="132" t="e">
        <f>B17/12/1022.6</f>
        <v>#VALUE!</v>
      </c>
    </row>
    <row r="18" spans="1:5" ht="31.5" customHeight="1">
      <c r="A18" s="17" t="s">
        <v>19</v>
      </c>
      <c r="B18" s="12" t="s">
        <v>16</v>
      </c>
      <c r="C18" s="15">
        <f>C19+C20+C21</f>
        <v>22411.557999999997</v>
      </c>
      <c r="D18" s="16"/>
      <c r="E18" s="133">
        <f>C18-C20</f>
        <v>18014.085999999996</v>
      </c>
    </row>
    <row r="19" spans="1:5" ht="15">
      <c r="A19" s="8" t="s">
        <v>20</v>
      </c>
      <c r="B19" s="12" t="s">
        <v>16</v>
      </c>
      <c r="C19" s="15">
        <v>9458.47</v>
      </c>
      <c r="D19" s="16"/>
      <c r="E19" s="133">
        <f>E18-E39</f>
        <v>0.004999999997380655</v>
      </c>
    </row>
    <row r="20" spans="1:5" ht="15">
      <c r="A20" s="8" t="s">
        <v>21</v>
      </c>
      <c r="B20" s="12" t="s">
        <v>16</v>
      </c>
      <c r="C20" s="15">
        <f>(1.39+1.93)*6*146.1+1487.16</f>
        <v>4397.472</v>
      </c>
      <c r="D20" s="16"/>
      <c r="E20" s="134"/>
    </row>
    <row r="21" spans="1:5" ht="15">
      <c r="A21" s="8" t="s">
        <v>22</v>
      </c>
      <c r="B21" s="12" t="s">
        <v>16</v>
      </c>
      <c r="C21" s="20">
        <f>146.1*4.88*12</f>
        <v>8555.616</v>
      </c>
      <c r="D21" s="16"/>
      <c r="E21" s="132"/>
    </row>
    <row r="22" spans="1:5" ht="15">
      <c r="A22" s="21" t="s">
        <v>23</v>
      </c>
      <c r="B22" s="12" t="s">
        <v>16</v>
      </c>
      <c r="C22" s="15">
        <f>C23+C24+C25+C26+C27</f>
        <v>22382.4229746</v>
      </c>
      <c r="D22" s="16" t="s">
        <v>24</v>
      </c>
      <c r="E22" s="133" t="e">
        <f>B24+B25+B26+B27+B28</f>
        <v>#VALUE!</v>
      </c>
    </row>
    <row r="23" spans="1:4" ht="15">
      <c r="A23" s="8" t="s">
        <v>25</v>
      </c>
      <c r="B23" s="12" t="s">
        <v>16</v>
      </c>
      <c r="C23" s="15">
        <f>C18*0.9987</f>
        <v>22382.4229746</v>
      </c>
      <c r="D23" s="16"/>
    </row>
    <row r="24" spans="1:8" ht="15">
      <c r="A24" s="8" t="s">
        <v>26</v>
      </c>
      <c r="B24" s="12" t="s">
        <v>16</v>
      </c>
      <c r="C24" s="15">
        <v>0</v>
      </c>
      <c r="D24" s="22">
        <v>65.21</v>
      </c>
      <c r="E24" s="19" t="e">
        <f>B24/#REF!*1</f>
        <v>#VALUE!</v>
      </c>
      <c r="H24" s="1" t="s">
        <v>27</v>
      </c>
    </row>
    <row r="25" spans="1:5" ht="15">
      <c r="A25" s="8" t="s">
        <v>28</v>
      </c>
      <c r="B25" s="12" t="s">
        <v>16</v>
      </c>
      <c r="C25" s="15">
        <v>0</v>
      </c>
      <c r="D25" s="22">
        <v>119.63</v>
      </c>
      <c r="E25" s="19" t="e">
        <f>B25/#REF!*1</f>
        <v>#VALUE!</v>
      </c>
    </row>
    <row r="26" spans="1:5" ht="15">
      <c r="A26" s="9" t="s">
        <v>29</v>
      </c>
      <c r="B26" s="12" t="s">
        <v>16</v>
      </c>
      <c r="C26" s="15">
        <v>0</v>
      </c>
      <c r="D26" s="22"/>
      <c r="E26" s="19" t="e">
        <f>B26/#REF!*1</f>
        <v>#VALUE!</v>
      </c>
    </row>
    <row r="27" spans="1:5" ht="16.5" customHeight="1">
      <c r="A27" s="116" t="s">
        <v>112</v>
      </c>
      <c r="B27" s="12" t="s">
        <v>16</v>
      </c>
      <c r="C27" s="15">
        <v>0</v>
      </c>
      <c r="D27" s="22">
        <v>139.18</v>
      </c>
      <c r="E27" s="19" t="e">
        <f>B27/#REF!*1</f>
        <v>#VALUE!</v>
      </c>
    </row>
    <row r="28" spans="1:5" ht="15">
      <c r="A28" s="8" t="s">
        <v>31</v>
      </c>
      <c r="B28" s="12" t="s">
        <v>16</v>
      </c>
      <c r="C28" s="15">
        <f>C15+C22</f>
        <v>27818.562974599998</v>
      </c>
      <c r="D28" s="16" t="s">
        <v>32</v>
      </c>
      <c r="E28" s="19" t="e">
        <f>B28/#REF!*1</f>
        <v>#VALUE!</v>
      </c>
    </row>
    <row r="29" spans="1:4" ht="35.25" customHeight="1">
      <c r="A29" s="260" t="s">
        <v>33</v>
      </c>
      <c r="B29" s="260"/>
      <c r="C29" s="260"/>
      <c r="D29" s="260"/>
    </row>
    <row r="30" spans="1:4" ht="60">
      <c r="A30" s="23" t="s">
        <v>34</v>
      </c>
      <c r="B30" s="24" t="s">
        <v>35</v>
      </c>
      <c r="C30" s="25" t="s">
        <v>36</v>
      </c>
      <c r="D30" s="26" t="s">
        <v>37</v>
      </c>
    </row>
    <row r="31" spans="1:4" ht="15">
      <c r="A31" s="27" t="s">
        <v>38</v>
      </c>
      <c r="B31" s="28" t="s">
        <v>39</v>
      </c>
      <c r="C31" s="29" t="s">
        <v>40</v>
      </c>
      <c r="D31" s="107">
        <f>(0.175+0.16)*6*146.1</f>
        <v>293.66099999999994</v>
      </c>
    </row>
    <row r="32" spans="1:4" ht="15">
      <c r="A32" s="31" t="s">
        <v>41</v>
      </c>
      <c r="B32" s="32" t="s">
        <v>42</v>
      </c>
      <c r="C32" s="33" t="s">
        <v>43</v>
      </c>
      <c r="D32" s="34">
        <f>(3.03+3)*6*146.1</f>
        <v>5285.897999999998</v>
      </c>
    </row>
    <row r="33" spans="1:4" ht="15">
      <c r="A33" s="31" t="s">
        <v>44</v>
      </c>
      <c r="B33" s="32" t="s">
        <v>39</v>
      </c>
      <c r="C33" s="33" t="s">
        <v>45</v>
      </c>
      <c r="D33" s="108">
        <f>(0.2+0.21)*6*146.1</f>
        <v>359.406</v>
      </c>
    </row>
    <row r="34" spans="1:4" ht="15">
      <c r="A34" s="204" t="s">
        <v>115</v>
      </c>
      <c r="B34" s="32" t="s">
        <v>39</v>
      </c>
      <c r="C34" s="33" t="s">
        <v>40</v>
      </c>
      <c r="D34" s="108">
        <f>(0.23+0.22)*6*146.1</f>
        <v>394.47</v>
      </c>
    </row>
    <row r="35" spans="1:4" ht="15">
      <c r="A35" s="31" t="s">
        <v>90</v>
      </c>
      <c r="B35" s="106" t="s">
        <v>91</v>
      </c>
      <c r="C35" s="33" t="s">
        <v>40</v>
      </c>
      <c r="D35" s="108">
        <f>(1.33+1.27)*6*146.1</f>
        <v>2279.1600000000003</v>
      </c>
    </row>
    <row r="36" spans="1:4" ht="15">
      <c r="A36" s="31" t="s">
        <v>46</v>
      </c>
      <c r="B36" s="32" t="s">
        <v>42</v>
      </c>
      <c r="C36" s="35" t="s">
        <v>47</v>
      </c>
      <c r="D36" s="108">
        <f>4.88*146.1*12</f>
        <v>8555.616</v>
      </c>
    </row>
    <row r="37" spans="1:14" s="1" customFormat="1" ht="45">
      <c r="A37" s="36" t="s">
        <v>48</v>
      </c>
      <c r="B37" s="37" t="s">
        <v>49</v>
      </c>
      <c r="C37" s="38"/>
      <c r="D37" s="39">
        <v>0</v>
      </c>
      <c r="E37" s="62"/>
      <c r="K37"/>
      <c r="L37"/>
      <c r="M37"/>
      <c r="N37"/>
    </row>
    <row r="38" spans="1:14" s="1" customFormat="1" ht="45">
      <c r="A38" s="109" t="s">
        <v>95</v>
      </c>
      <c r="B38" s="110" t="s">
        <v>96</v>
      </c>
      <c r="C38" s="111" t="s">
        <v>97</v>
      </c>
      <c r="D38" s="112">
        <v>845.87</v>
      </c>
      <c r="E38" s="132"/>
      <c r="K38"/>
      <c r="L38"/>
      <c r="M38"/>
      <c r="N38"/>
    </row>
    <row r="39" spans="1:14" s="1" customFormat="1" ht="15.75">
      <c r="A39" s="40" t="s">
        <v>50</v>
      </c>
      <c r="B39" s="41"/>
      <c r="C39" s="42"/>
      <c r="D39" s="113">
        <f>SUM(D31:D38)</f>
        <v>18014.081</v>
      </c>
      <c r="E39" s="135">
        <f>D39-D37</f>
        <v>18014.081</v>
      </c>
      <c r="K39"/>
      <c r="L39"/>
      <c r="M39"/>
      <c r="N39"/>
    </row>
    <row r="40" spans="1:14" s="1" customFormat="1" ht="15">
      <c r="A40" s="43" t="s">
        <v>51</v>
      </c>
      <c r="B40" s="44" t="s">
        <v>16</v>
      </c>
      <c r="C40" s="45"/>
      <c r="D40" s="46">
        <f>C15+C20*0.9987-D37</f>
        <v>9827.8952864</v>
      </c>
      <c r="E40" s="135"/>
      <c r="K40"/>
      <c r="L40"/>
      <c r="M40"/>
      <c r="N40"/>
    </row>
    <row r="41" spans="1:14" s="1" customFormat="1" ht="15">
      <c r="A41" s="48" t="s">
        <v>17</v>
      </c>
      <c r="B41" s="49" t="s">
        <v>16</v>
      </c>
      <c r="C41" s="33"/>
      <c r="D41" s="14">
        <v>0</v>
      </c>
      <c r="E41" s="132"/>
      <c r="K41"/>
      <c r="L41"/>
      <c r="M41"/>
      <c r="N41"/>
    </row>
    <row r="42" spans="1:14" s="1" customFormat="1" ht="15">
      <c r="A42" s="48" t="s">
        <v>18</v>
      </c>
      <c r="B42" s="49" t="s">
        <v>16</v>
      </c>
      <c r="C42" s="33"/>
      <c r="D42" s="14">
        <v>30.39</v>
      </c>
      <c r="E42" s="132"/>
      <c r="K42"/>
      <c r="L42"/>
      <c r="M42"/>
      <c r="N42"/>
    </row>
    <row r="43" spans="1:14" s="1" customFormat="1" ht="24" customHeight="1">
      <c r="A43" s="261" t="s">
        <v>52</v>
      </c>
      <c r="B43" s="261"/>
      <c r="C43" s="261"/>
      <c r="D43" s="261"/>
      <c r="K43"/>
      <c r="L43"/>
      <c r="M43"/>
      <c r="N43"/>
    </row>
    <row r="44" spans="1:14" s="1" customFormat="1" ht="15">
      <c r="A44" s="48" t="s">
        <v>53</v>
      </c>
      <c r="B44" s="32" t="s">
        <v>54</v>
      </c>
      <c r="C44" s="33">
        <v>0</v>
      </c>
      <c r="D44" s="14">
        <v>0</v>
      </c>
      <c r="K44"/>
      <c r="L44"/>
      <c r="M44"/>
      <c r="N44"/>
    </row>
    <row r="45" spans="1:14" s="1" customFormat="1" ht="15">
      <c r="A45" s="48" t="s">
        <v>55</v>
      </c>
      <c r="B45" s="32" t="s">
        <v>54</v>
      </c>
      <c r="C45" s="33">
        <v>0</v>
      </c>
      <c r="D45" s="14">
        <v>0</v>
      </c>
      <c r="K45"/>
      <c r="L45"/>
      <c r="M45"/>
      <c r="N45"/>
    </row>
    <row r="46" spans="1:14" s="1" customFormat="1" ht="15">
      <c r="A46" s="50" t="s">
        <v>56</v>
      </c>
      <c r="B46" s="32" t="s">
        <v>54</v>
      </c>
      <c r="C46" s="33">
        <v>0</v>
      </c>
      <c r="D46" s="14">
        <v>0</v>
      </c>
      <c r="K46"/>
      <c r="L46"/>
      <c r="M46"/>
      <c r="N46"/>
    </row>
    <row r="47" spans="1:14" s="1" customFormat="1" ht="15">
      <c r="A47" s="48" t="s">
        <v>57</v>
      </c>
      <c r="B47" s="32" t="s">
        <v>16</v>
      </c>
      <c r="C47" s="33">
        <v>0</v>
      </c>
      <c r="D47" s="14">
        <v>0</v>
      </c>
      <c r="K47"/>
      <c r="L47"/>
      <c r="M47"/>
      <c r="N47"/>
    </row>
    <row r="48" spans="1:4" ht="20.25" customHeight="1">
      <c r="A48" s="262" t="s">
        <v>58</v>
      </c>
      <c r="B48" s="262"/>
      <c r="C48" s="262"/>
      <c r="D48" s="262"/>
    </row>
    <row r="49" spans="1:4" ht="25.5">
      <c r="A49" s="50" t="s">
        <v>59</v>
      </c>
      <c r="B49" s="32" t="s">
        <v>16</v>
      </c>
      <c r="C49" s="33"/>
      <c r="D49" s="14">
        <v>0</v>
      </c>
    </row>
    <row r="50" spans="1:4" ht="15">
      <c r="A50" s="48" t="s">
        <v>17</v>
      </c>
      <c r="B50" s="32" t="s">
        <v>16</v>
      </c>
      <c r="C50" s="33"/>
      <c r="D50" s="14">
        <v>0</v>
      </c>
    </row>
    <row r="51" spans="1:8" ht="15">
      <c r="A51" s="48" t="s">
        <v>18</v>
      </c>
      <c r="B51" s="32" t="s">
        <v>16</v>
      </c>
      <c r="C51" s="33"/>
      <c r="D51" s="51">
        <f>D54-D57-D58-D59</f>
        <v>0.4128299999999214</v>
      </c>
      <c r="H51" s="52"/>
    </row>
    <row r="52" spans="1:4" ht="25.5">
      <c r="A52" s="53" t="s">
        <v>60</v>
      </c>
      <c r="B52" s="32" t="s">
        <v>16</v>
      </c>
      <c r="C52" s="54"/>
      <c r="D52" s="55">
        <v>0</v>
      </c>
    </row>
    <row r="53" spans="1:10" ht="17.25" customHeight="1">
      <c r="A53" s="56" t="s">
        <v>17</v>
      </c>
      <c r="B53" s="32" t="s">
        <v>16</v>
      </c>
      <c r="C53" s="57"/>
      <c r="D53" s="58">
        <v>0</v>
      </c>
      <c r="I53" s="52"/>
      <c r="J53" s="52"/>
    </row>
    <row r="54" spans="1:14" ht="15">
      <c r="A54" s="59" t="s">
        <v>18</v>
      </c>
      <c r="B54" s="32" t="s">
        <v>16</v>
      </c>
      <c r="C54" s="60"/>
      <c r="D54" s="61">
        <v>9.93</v>
      </c>
      <c r="E54" s="62"/>
      <c r="H54" s="1" t="s">
        <v>32</v>
      </c>
      <c r="I54" s="63"/>
      <c r="J54" s="63"/>
      <c r="K54" s="64"/>
      <c r="L54" s="64"/>
      <c r="M54" s="64"/>
      <c r="N54" s="64"/>
    </row>
    <row r="55" spans="1:14" ht="18" customHeight="1">
      <c r="A55" s="263" t="s">
        <v>61</v>
      </c>
      <c r="B55" s="263"/>
      <c r="C55" s="263"/>
      <c r="D55" s="263"/>
      <c r="E55" s="65"/>
      <c r="F55" s="66"/>
      <c r="G55" s="67"/>
      <c r="I55" s="68"/>
      <c r="J55" s="68"/>
      <c r="K55" s="69"/>
      <c r="L55" s="69"/>
      <c r="M55" s="69"/>
      <c r="N55" s="69"/>
    </row>
    <row r="56" spans="1:14" ht="47.25">
      <c r="A56" s="70" t="s">
        <v>62</v>
      </c>
      <c r="B56" s="71" t="s">
        <v>63</v>
      </c>
      <c r="C56" s="72" t="s">
        <v>64</v>
      </c>
      <c r="D56" s="73" t="s">
        <v>65</v>
      </c>
      <c r="E56" s="65"/>
      <c r="F56" s="66"/>
      <c r="G56" s="67"/>
      <c r="I56" s="68"/>
      <c r="J56" s="74"/>
      <c r="K56" s="69"/>
      <c r="L56" s="69"/>
      <c r="M56" s="69"/>
      <c r="N56" s="69"/>
    </row>
    <row r="57" spans="1:14" ht="15">
      <c r="A57" s="75" t="s">
        <v>66</v>
      </c>
      <c r="B57" s="117">
        <v>7320.9</v>
      </c>
      <c r="C57" s="118">
        <f>B57*0.9987</f>
        <v>7311.38283</v>
      </c>
      <c r="D57" s="119">
        <f>B57-C57</f>
        <v>9.517170000000078</v>
      </c>
      <c r="E57" s="79"/>
      <c r="F57" s="66"/>
      <c r="G57" s="67"/>
      <c r="I57" s="68"/>
      <c r="J57" s="68"/>
      <c r="K57" s="69"/>
      <c r="L57" s="69"/>
      <c r="M57" s="69"/>
      <c r="N57" s="69"/>
    </row>
    <row r="58" spans="1:14" ht="15">
      <c r="A58" s="75" t="s">
        <v>67</v>
      </c>
      <c r="B58" s="117">
        <v>0</v>
      </c>
      <c r="C58" s="118">
        <f>B58*1.1615</f>
        <v>0</v>
      </c>
      <c r="D58" s="119">
        <f>B58-C58</f>
        <v>0</v>
      </c>
      <c r="E58" s="65"/>
      <c r="F58" s="66"/>
      <c r="G58" s="67"/>
      <c r="I58" s="68"/>
      <c r="J58" s="68"/>
      <c r="K58" s="69"/>
      <c r="L58" s="69"/>
      <c r="M58" s="69"/>
      <c r="N58" s="69"/>
    </row>
    <row r="59" spans="1:14" ht="15">
      <c r="A59" s="75" t="s">
        <v>68</v>
      </c>
      <c r="B59" s="120">
        <v>0</v>
      </c>
      <c r="C59" s="118">
        <f>B59*1.1615</f>
        <v>0</v>
      </c>
      <c r="D59" s="119">
        <f>B59-C59</f>
        <v>0</v>
      </c>
      <c r="E59" s="65">
        <f>(2.07+1.8)*6*2301.2-0.37*2301.2*6</f>
        <v>48325.2</v>
      </c>
      <c r="F59" s="81"/>
      <c r="G59" s="82"/>
      <c r="H59" s="65"/>
      <c r="I59" s="68"/>
      <c r="J59" s="68"/>
      <c r="K59" s="69"/>
      <c r="L59" s="69"/>
      <c r="M59" s="69"/>
      <c r="N59" s="69"/>
    </row>
    <row r="60" spans="1:14" ht="15.75" thickBot="1">
      <c r="A60" s="150" t="s">
        <v>69</v>
      </c>
      <c r="B60" s="151">
        <v>0</v>
      </c>
      <c r="C60" s="152">
        <f>B60*1.1615</f>
        <v>0</v>
      </c>
      <c r="D60" s="153">
        <f>B60-C60</f>
        <v>0</v>
      </c>
      <c r="E60" s="65"/>
      <c r="F60" s="81"/>
      <c r="G60" s="82"/>
      <c r="I60" s="68"/>
      <c r="J60" s="68"/>
      <c r="K60" s="69"/>
      <c r="L60" s="69"/>
      <c r="M60" s="69"/>
      <c r="N60" s="69"/>
    </row>
    <row r="61" spans="1:14" ht="63">
      <c r="A61" s="154" t="s">
        <v>70</v>
      </c>
      <c r="B61" s="155" t="s">
        <v>71</v>
      </c>
      <c r="C61" s="156" t="s">
        <v>72</v>
      </c>
      <c r="D61" s="157" t="s">
        <v>73</v>
      </c>
      <c r="E61" s="65"/>
      <c r="F61" s="81"/>
      <c r="H61" s="68"/>
      <c r="I61" s="68"/>
      <c r="J61" s="68"/>
      <c r="K61" s="69"/>
      <c r="L61" s="69"/>
      <c r="M61" s="69"/>
      <c r="N61" s="69"/>
    </row>
    <row r="62" spans="1:14" ht="15">
      <c r="A62" s="158" t="s">
        <v>66</v>
      </c>
      <c r="B62" s="124">
        <f>B57</f>
        <v>7320.9</v>
      </c>
      <c r="C62" s="125">
        <v>7311.38</v>
      </c>
      <c r="D62" s="159">
        <f>B62-C62</f>
        <v>9.519999999999527</v>
      </c>
      <c r="E62" s="65"/>
      <c r="F62" s="81"/>
      <c r="H62" s="68"/>
      <c r="I62" s="68"/>
      <c r="J62" s="68" t="s">
        <v>32</v>
      </c>
      <c r="K62" s="69"/>
      <c r="L62" s="69"/>
      <c r="M62" s="69"/>
      <c r="N62" s="69"/>
    </row>
    <row r="63" spans="1:14" ht="15">
      <c r="A63" s="158" t="s">
        <v>67</v>
      </c>
      <c r="B63" s="124">
        <v>0</v>
      </c>
      <c r="C63" s="125">
        <v>0</v>
      </c>
      <c r="D63" s="159">
        <f>B63-C63</f>
        <v>0</v>
      </c>
      <c r="E63" s="65"/>
      <c r="F63" s="81"/>
      <c r="H63" s="68"/>
      <c r="I63" s="68"/>
      <c r="J63" s="68"/>
      <c r="K63" s="69"/>
      <c r="L63" s="69"/>
      <c r="M63" s="69"/>
      <c r="N63" s="69"/>
    </row>
    <row r="64" spans="1:14" ht="15">
      <c r="A64" s="158" t="s">
        <v>68</v>
      </c>
      <c r="B64" s="124">
        <v>0</v>
      </c>
      <c r="C64" s="125">
        <v>0</v>
      </c>
      <c r="D64" s="159">
        <f>B64-C64</f>
        <v>0</v>
      </c>
      <c r="E64" s="65"/>
      <c r="F64" s="81"/>
      <c r="H64" s="68"/>
      <c r="I64" s="68"/>
      <c r="J64" s="68"/>
      <c r="K64" s="69"/>
      <c r="L64" s="69"/>
      <c r="M64" s="69"/>
      <c r="N64" s="69"/>
    </row>
    <row r="65" spans="1:14" ht="15">
      <c r="A65" s="158" t="s">
        <v>74</v>
      </c>
      <c r="B65" s="124">
        <v>0</v>
      </c>
      <c r="C65" s="125">
        <v>0</v>
      </c>
      <c r="D65" s="159">
        <f>B65-C65</f>
        <v>0</v>
      </c>
      <c r="E65" s="65"/>
      <c r="F65" s="81"/>
      <c r="H65" s="68"/>
      <c r="I65" s="68"/>
      <c r="J65" s="68"/>
      <c r="K65" s="69"/>
      <c r="L65" s="69"/>
      <c r="M65" s="69"/>
      <c r="N65" s="69"/>
    </row>
    <row r="66" spans="1:14" ht="15.75" thickBot="1">
      <c r="A66" s="160" t="s">
        <v>69</v>
      </c>
      <c r="B66" s="161">
        <v>0</v>
      </c>
      <c r="C66" s="162">
        <v>0</v>
      </c>
      <c r="D66" s="163">
        <f>B66-C66</f>
        <v>0</v>
      </c>
      <c r="E66" s="65"/>
      <c r="F66" s="81"/>
      <c r="H66" s="68" t="s">
        <v>32</v>
      </c>
      <c r="I66" s="68"/>
      <c r="J66" s="68"/>
      <c r="K66" s="69"/>
      <c r="L66" s="69"/>
      <c r="M66" s="69"/>
      <c r="N66" s="69"/>
    </row>
    <row r="67" spans="1:14" ht="15">
      <c r="A67" s="91"/>
      <c r="B67" s="87"/>
      <c r="C67" s="92"/>
      <c r="D67" s="93"/>
      <c r="E67" s="65"/>
      <c r="F67" s="81"/>
      <c r="H67" s="68"/>
      <c r="I67" s="68"/>
      <c r="J67" s="68"/>
      <c r="K67" s="69"/>
      <c r="L67" s="69"/>
      <c r="M67" s="69"/>
      <c r="N67" s="69"/>
    </row>
    <row r="68" spans="1:14" ht="25.5">
      <c r="A68" s="94" t="s">
        <v>75</v>
      </c>
      <c r="B68" s="87" t="s">
        <v>16</v>
      </c>
      <c r="C68" s="95"/>
      <c r="D68" s="96">
        <v>0</v>
      </c>
      <c r="E68" s="65"/>
      <c r="F68" s="81"/>
      <c r="H68" s="68"/>
      <c r="I68" s="68"/>
      <c r="J68" s="68" t="s">
        <v>32</v>
      </c>
      <c r="K68" s="69"/>
      <c r="L68" s="69"/>
      <c r="M68" s="69"/>
      <c r="N68" s="69"/>
    </row>
    <row r="69" spans="1:14" ht="17.25" customHeight="1">
      <c r="A69" s="264" t="s">
        <v>76</v>
      </c>
      <c r="B69" s="264"/>
      <c r="C69" s="264"/>
      <c r="D69" s="264"/>
      <c r="E69" s="97" t="e">
        <f>D69+B19</f>
        <v>#VALUE!</v>
      </c>
      <c r="F69" s="68"/>
      <c r="H69" s="98" t="e">
        <f>E69-B18</f>
        <v>#VALUE!</v>
      </c>
      <c r="I69" s="68"/>
      <c r="J69" s="68"/>
      <c r="K69" s="69"/>
      <c r="L69" s="69"/>
      <c r="M69" s="69"/>
      <c r="N69" s="69"/>
    </row>
    <row r="70" spans="1:5" ht="21" customHeight="1">
      <c r="A70" s="99" t="s">
        <v>53</v>
      </c>
      <c r="B70" s="99" t="s">
        <v>54</v>
      </c>
      <c r="C70" s="100">
        <v>0</v>
      </c>
      <c r="D70" s="101"/>
      <c r="E70" s="102"/>
    </row>
    <row r="71" spans="1:5" ht="21" customHeight="1">
      <c r="A71" s="99" t="s">
        <v>55</v>
      </c>
      <c r="B71" s="99" t="s">
        <v>54</v>
      </c>
      <c r="C71" s="99">
        <v>0</v>
      </c>
      <c r="D71" s="101"/>
      <c r="E71" s="102"/>
    </row>
    <row r="72" spans="1:5" ht="18" customHeight="1">
      <c r="A72" s="99" t="s">
        <v>56</v>
      </c>
      <c r="B72" s="99" t="s">
        <v>54</v>
      </c>
      <c r="C72" s="99">
        <v>0</v>
      </c>
      <c r="D72" s="101"/>
      <c r="E72" s="102"/>
    </row>
    <row r="73" spans="1:5" ht="16.5" customHeight="1">
      <c r="A73" s="99" t="s">
        <v>57</v>
      </c>
      <c r="B73" s="99" t="s">
        <v>16</v>
      </c>
      <c r="C73" s="99">
        <v>0</v>
      </c>
      <c r="D73" s="101"/>
      <c r="E73" s="102"/>
    </row>
    <row r="74" spans="1:5" ht="15.75" customHeight="1">
      <c r="A74" s="258" t="s">
        <v>77</v>
      </c>
      <c r="B74" s="258"/>
      <c r="C74" s="258"/>
      <c r="D74" s="258"/>
      <c r="E74" s="102"/>
    </row>
    <row r="75" spans="1:5" ht="18.75" customHeight="1">
      <c r="A75" s="99" t="s">
        <v>78</v>
      </c>
      <c r="B75" s="99" t="s">
        <v>54</v>
      </c>
      <c r="C75" s="99">
        <v>1</v>
      </c>
      <c r="D75" s="101"/>
      <c r="E75" s="102"/>
    </row>
    <row r="76" spans="1:5" ht="21.75" customHeight="1">
      <c r="A76" s="99" t="s">
        <v>79</v>
      </c>
      <c r="B76" s="56" t="s">
        <v>54</v>
      </c>
      <c r="C76" s="56">
        <v>0</v>
      </c>
      <c r="D76" s="101"/>
      <c r="E76" s="102"/>
    </row>
    <row r="77" spans="1:5" ht="36" customHeight="1">
      <c r="A77" s="103" t="s">
        <v>80</v>
      </c>
      <c r="B77" s="99" t="s">
        <v>16</v>
      </c>
      <c r="C77" s="99">
        <v>0</v>
      </c>
      <c r="D77" s="101"/>
      <c r="E77" s="102"/>
    </row>
    <row r="78" spans="1:4" ht="15">
      <c r="A78" s="69"/>
      <c r="B78" s="69"/>
      <c r="C78" s="69"/>
      <c r="D78" s="104"/>
    </row>
    <row r="79" spans="1:14" s="1" customFormat="1" ht="12.75">
      <c r="A79"/>
      <c r="B79"/>
      <c r="C79"/>
      <c r="D79"/>
      <c r="H79" s="1" t="s">
        <v>32</v>
      </c>
      <c r="K79"/>
      <c r="L79"/>
      <c r="M79"/>
      <c r="N79"/>
    </row>
    <row r="80" spans="1:14" s="1" customFormat="1" ht="12.75">
      <c r="A80" t="s">
        <v>81</v>
      </c>
      <c r="B80"/>
      <c r="C80"/>
      <c r="D80"/>
      <c r="K80"/>
      <c r="L80"/>
      <c r="M80"/>
      <c r="N80"/>
    </row>
    <row r="81" spans="1:14" s="1" customFormat="1" ht="12.75">
      <c r="A81"/>
      <c r="B81"/>
      <c r="C81"/>
      <c r="D81"/>
      <c r="H81" s="1" t="s">
        <v>32</v>
      </c>
      <c r="K81"/>
      <c r="L81"/>
      <c r="M81"/>
      <c r="N81"/>
    </row>
    <row r="82" spans="1:14" s="1" customFormat="1" ht="12.75">
      <c r="A82" t="s">
        <v>82</v>
      </c>
      <c r="B82"/>
      <c r="C82"/>
      <c r="D82"/>
      <c r="K82"/>
      <c r="L82"/>
      <c r="M82"/>
      <c r="N82"/>
    </row>
    <row r="86" spans="1:14" s="1" customFormat="1" ht="12.75">
      <c r="A86"/>
      <c r="B86"/>
      <c r="C86"/>
      <c r="D86"/>
      <c r="E86" s="1" t="s">
        <v>32</v>
      </c>
      <c r="K86"/>
      <c r="L86"/>
      <c r="M86"/>
      <c r="N86"/>
    </row>
  </sheetData>
  <sheetProtection selectLockedCells="1" selectUnlockedCells="1"/>
  <mergeCells count="13">
    <mergeCell ref="A1:D1"/>
    <mergeCell ref="A2:D2"/>
    <mergeCell ref="A3:D3"/>
    <mergeCell ref="A4:D4"/>
    <mergeCell ref="A5:D5"/>
    <mergeCell ref="A7:D7"/>
    <mergeCell ref="A74:D74"/>
    <mergeCell ref="A14:D14"/>
    <mergeCell ref="A29:D29"/>
    <mergeCell ref="A43:D43"/>
    <mergeCell ref="A48:D48"/>
    <mergeCell ref="A55:D55"/>
    <mergeCell ref="A69:D69"/>
  </mergeCells>
  <printOptions/>
  <pageMargins left="0.5597222222222222" right="0.7875" top="0.34097222222222223" bottom="0.7875" header="0.5118055555555555" footer="0.5118055555555555"/>
  <pageSetup fitToHeight="3" fitToWidth="2" horizontalDpi="300" verticalDpi="300" orientation="landscape" paperSize="12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6"/>
  <sheetViews>
    <sheetView zoomScale="80" zoomScaleNormal="80" zoomScalePageLayoutView="0" workbookViewId="0" topLeftCell="A22">
      <selection activeCell="E38" sqref="E38:E40"/>
    </sheetView>
  </sheetViews>
  <sheetFormatPr defaultColWidth="11.57421875" defaultRowHeight="12.75"/>
  <cols>
    <col min="1" max="1" width="63.28125" style="0" customWidth="1"/>
    <col min="2" max="2" width="20.28125" style="0" customWidth="1"/>
    <col min="3" max="3" width="31.421875" style="0" customWidth="1"/>
    <col min="4" max="4" width="27.57421875" style="0" customWidth="1"/>
    <col min="5" max="5" width="16.8515625" style="1" customWidth="1"/>
    <col min="6" max="7" width="0" style="1" hidden="1" customWidth="1"/>
    <col min="8" max="8" width="11.57421875" style="1" customWidth="1"/>
    <col min="9" max="9" width="5.28125" style="1" customWidth="1"/>
    <col min="10" max="10" width="30.00390625" style="1" customWidth="1"/>
    <col min="11" max="12" width="23.28125" style="0" customWidth="1"/>
    <col min="13" max="13" width="6.57421875" style="0" customWidth="1"/>
    <col min="14" max="14" width="7.00390625" style="0" customWidth="1"/>
  </cols>
  <sheetData>
    <row r="1" spans="1:4" ht="18">
      <c r="A1" s="265" t="s">
        <v>0</v>
      </c>
      <c r="B1" s="265"/>
      <c r="C1" s="265"/>
      <c r="D1" s="265"/>
    </row>
    <row r="2" spans="1:4" ht="15.75">
      <c r="A2" s="266" t="s">
        <v>1</v>
      </c>
      <c r="B2" s="266"/>
      <c r="C2" s="266"/>
      <c r="D2" s="266"/>
    </row>
    <row r="3" spans="1:4" ht="15.75">
      <c r="A3" s="266" t="s">
        <v>2</v>
      </c>
      <c r="B3" s="266"/>
      <c r="C3" s="266"/>
      <c r="D3" s="266"/>
    </row>
    <row r="4" spans="1:4" ht="12.75">
      <c r="A4" s="267" t="s">
        <v>126</v>
      </c>
      <c r="B4" s="267"/>
      <c r="C4" s="267"/>
      <c r="D4" s="267"/>
    </row>
    <row r="5" spans="1:4" ht="12.75">
      <c r="A5" s="268" t="s">
        <v>171</v>
      </c>
      <c r="B5" s="267"/>
      <c r="C5" s="267"/>
      <c r="D5" s="267"/>
    </row>
    <row r="6" ht="9" customHeight="1">
      <c r="A6" s="2"/>
    </row>
    <row r="7" spans="1:4" ht="18" customHeight="1">
      <c r="A7" s="269" t="s">
        <v>4</v>
      </c>
      <c r="B7" s="269"/>
      <c r="C7" s="269"/>
      <c r="D7" s="269"/>
    </row>
    <row r="8" spans="1:3" ht="12.75">
      <c r="A8" s="2" t="s">
        <v>233</v>
      </c>
      <c r="C8" s="3"/>
    </row>
    <row r="9" spans="1:4" ht="12.75">
      <c r="A9" s="4" t="s">
        <v>5</v>
      </c>
      <c r="B9" s="4" t="s">
        <v>6</v>
      </c>
      <c r="C9" s="4" t="s">
        <v>7</v>
      </c>
      <c r="D9" s="5"/>
    </row>
    <row r="10" spans="1:4" ht="12.75">
      <c r="A10" s="6">
        <v>1</v>
      </c>
      <c r="B10" s="6">
        <v>2</v>
      </c>
      <c r="C10" s="6">
        <v>3</v>
      </c>
      <c r="D10" s="7">
        <v>4</v>
      </c>
    </row>
    <row r="11" spans="1:4" ht="12.75">
      <c r="A11" s="8" t="s">
        <v>8</v>
      </c>
      <c r="B11" s="9"/>
      <c r="C11" s="177" t="s">
        <v>172</v>
      </c>
      <c r="D11" s="10"/>
    </row>
    <row r="12" spans="1:4" ht="12.75">
      <c r="A12" s="8" t="s">
        <v>10</v>
      </c>
      <c r="B12" s="9"/>
      <c r="C12" s="177" t="s">
        <v>173</v>
      </c>
      <c r="D12" s="10"/>
    </row>
    <row r="13" spans="1:4" ht="12.75">
      <c r="A13" s="8" t="s">
        <v>12</v>
      </c>
      <c r="B13" s="9"/>
      <c r="C13" s="177" t="s">
        <v>174</v>
      </c>
      <c r="D13" s="10"/>
    </row>
    <row r="14" spans="1:8" ht="31.5" customHeight="1">
      <c r="A14" s="259" t="s">
        <v>14</v>
      </c>
      <c r="B14" s="259"/>
      <c r="C14" s="259"/>
      <c r="D14" s="259"/>
      <c r="E14" s="132"/>
      <c r="F14" s="132"/>
      <c r="G14" s="132"/>
      <c r="H14" s="132"/>
    </row>
    <row r="15" spans="1:8" ht="25.5">
      <c r="A15" s="11" t="s">
        <v>15</v>
      </c>
      <c r="B15" s="12" t="s">
        <v>16</v>
      </c>
      <c r="C15" s="13">
        <v>-4986.21</v>
      </c>
      <c r="D15" s="14"/>
      <c r="E15" s="132"/>
      <c r="F15" s="132"/>
      <c r="G15" s="132"/>
      <c r="H15" s="132"/>
    </row>
    <row r="16" spans="1:8" ht="15">
      <c r="A16" s="8" t="s">
        <v>17</v>
      </c>
      <c r="B16" s="12" t="s">
        <v>16</v>
      </c>
      <c r="C16" s="13">
        <v>0</v>
      </c>
      <c r="D16" s="14"/>
      <c r="E16" s="132"/>
      <c r="F16" s="132"/>
      <c r="G16" s="132"/>
      <c r="H16" s="132"/>
    </row>
    <row r="17" spans="1:8" ht="15">
      <c r="A17" s="8" t="s">
        <v>18</v>
      </c>
      <c r="B17" s="12" t="s">
        <v>16</v>
      </c>
      <c r="C17" s="15">
        <v>1649.05</v>
      </c>
      <c r="D17" s="16"/>
      <c r="E17" s="132" t="e">
        <f>B17/12/1022.6</f>
        <v>#VALUE!</v>
      </c>
      <c r="F17" s="132"/>
      <c r="G17" s="132"/>
      <c r="H17" s="132"/>
    </row>
    <row r="18" spans="1:8" ht="31.5" customHeight="1">
      <c r="A18" s="17" t="s">
        <v>19</v>
      </c>
      <c r="B18" s="12" t="s">
        <v>16</v>
      </c>
      <c r="C18" s="15">
        <f>C19+C20+C21</f>
        <v>15158.828000000001</v>
      </c>
      <c r="D18" s="16"/>
      <c r="E18" s="133">
        <f>C18-C20</f>
        <v>13593.368</v>
      </c>
      <c r="F18" s="132"/>
      <c r="G18" s="132"/>
      <c r="H18" s="132"/>
    </row>
    <row r="19" spans="1:8" ht="15">
      <c r="A19" s="8" t="s">
        <v>20</v>
      </c>
      <c r="B19" s="12" t="s">
        <v>16</v>
      </c>
      <c r="C19" s="15">
        <f>5080.31+2053.89</f>
        <v>7134.200000000001</v>
      </c>
      <c r="D19" s="16"/>
      <c r="E19" s="133">
        <f>E18-E39</f>
        <v>-0.0039999999971769284</v>
      </c>
      <c r="F19" s="132"/>
      <c r="G19" s="132"/>
      <c r="H19" s="132"/>
    </row>
    <row r="20" spans="1:8" ht="15">
      <c r="A20" s="8" t="s">
        <v>21</v>
      </c>
      <c r="B20" s="12" t="s">
        <v>16</v>
      </c>
      <c r="C20" s="15">
        <f>(1.87+2.38)*6*110.3+806.7-2053.89</f>
        <v>1565.4600000000005</v>
      </c>
      <c r="D20" s="16"/>
      <c r="E20" s="134"/>
      <c r="F20" s="132"/>
      <c r="G20" s="132"/>
      <c r="H20" s="132"/>
    </row>
    <row r="21" spans="1:8" ht="15">
      <c r="A21" s="8" t="s">
        <v>22</v>
      </c>
      <c r="B21" s="12" t="s">
        <v>16</v>
      </c>
      <c r="C21" s="20">
        <f>110.3*4.88*12</f>
        <v>6459.168</v>
      </c>
      <c r="D21" s="16"/>
      <c r="E21" s="132"/>
      <c r="F21" s="132"/>
      <c r="G21" s="132"/>
      <c r="H21" s="132"/>
    </row>
    <row r="22" spans="1:8" ht="15">
      <c r="A22" s="21" t="s">
        <v>23</v>
      </c>
      <c r="B22" s="12" t="s">
        <v>16</v>
      </c>
      <c r="C22" s="15">
        <f>C23+C24+C25+C26+C27</f>
        <v>14455.4583808</v>
      </c>
      <c r="D22" s="16" t="s">
        <v>24</v>
      </c>
      <c r="E22" s="133" t="e">
        <f>B24+B25+B26+B27+B28</f>
        <v>#VALUE!</v>
      </c>
      <c r="F22" s="132"/>
      <c r="G22" s="132"/>
      <c r="H22" s="132"/>
    </row>
    <row r="23" spans="1:8" ht="15">
      <c r="A23" s="8" t="s">
        <v>25</v>
      </c>
      <c r="B23" s="12" t="s">
        <v>16</v>
      </c>
      <c r="C23" s="15">
        <f>C18*0.9536</f>
        <v>14455.4583808</v>
      </c>
      <c r="D23" s="16"/>
      <c r="E23" s="132"/>
      <c r="F23" s="132"/>
      <c r="G23" s="132"/>
      <c r="H23" s="132"/>
    </row>
    <row r="24" spans="1:8" ht="15">
      <c r="A24" s="8" t="s">
        <v>26</v>
      </c>
      <c r="B24" s="12" t="s">
        <v>16</v>
      </c>
      <c r="C24" s="15">
        <v>0</v>
      </c>
      <c r="D24" s="22">
        <v>65.21</v>
      </c>
      <c r="E24" s="134" t="e">
        <f>B24/#REF!*1</f>
        <v>#VALUE!</v>
      </c>
      <c r="F24" s="132"/>
      <c r="G24" s="132"/>
      <c r="H24" s="132" t="s">
        <v>27</v>
      </c>
    </row>
    <row r="25" spans="1:8" ht="15">
      <c r="A25" s="8" t="s">
        <v>28</v>
      </c>
      <c r="B25" s="12" t="s">
        <v>16</v>
      </c>
      <c r="C25" s="15">
        <v>0</v>
      </c>
      <c r="D25" s="22">
        <v>119.63</v>
      </c>
      <c r="E25" s="134" t="e">
        <f>B25/#REF!*1</f>
        <v>#VALUE!</v>
      </c>
      <c r="F25" s="132"/>
      <c r="G25" s="132"/>
      <c r="H25" s="132"/>
    </row>
    <row r="26" spans="1:8" ht="15">
      <c r="A26" s="9" t="s">
        <v>29</v>
      </c>
      <c r="B26" s="12" t="s">
        <v>16</v>
      </c>
      <c r="C26" s="15">
        <v>0</v>
      </c>
      <c r="D26" s="22"/>
      <c r="E26" s="134" t="e">
        <f>B26/#REF!*1</f>
        <v>#VALUE!</v>
      </c>
      <c r="F26" s="132"/>
      <c r="G26" s="132"/>
      <c r="H26" s="132"/>
    </row>
    <row r="27" spans="1:8" ht="16.5" customHeight="1">
      <c r="A27" s="116" t="s">
        <v>112</v>
      </c>
      <c r="B27" s="12" t="s">
        <v>16</v>
      </c>
      <c r="C27" s="15">
        <v>0</v>
      </c>
      <c r="D27" s="22">
        <v>139.18</v>
      </c>
      <c r="E27" s="134" t="e">
        <f>B27/#REF!*1</f>
        <v>#VALUE!</v>
      </c>
      <c r="F27" s="132"/>
      <c r="G27" s="132"/>
      <c r="H27" s="132"/>
    </row>
    <row r="28" spans="1:8" ht="15">
      <c r="A28" s="8" t="s">
        <v>31</v>
      </c>
      <c r="B28" s="12" t="s">
        <v>16</v>
      </c>
      <c r="C28" s="15">
        <f>C15+C22</f>
        <v>9469.2483808</v>
      </c>
      <c r="D28" s="16" t="s">
        <v>32</v>
      </c>
      <c r="E28" s="134" t="e">
        <f>B28/#REF!*1</f>
        <v>#VALUE!</v>
      </c>
      <c r="F28" s="132"/>
      <c r="G28" s="132"/>
      <c r="H28" s="132"/>
    </row>
    <row r="29" spans="1:8" ht="35.25" customHeight="1">
      <c r="A29" s="260" t="s">
        <v>33</v>
      </c>
      <c r="B29" s="260"/>
      <c r="C29" s="260"/>
      <c r="D29" s="260"/>
      <c r="E29" s="132"/>
      <c r="F29" s="132"/>
      <c r="G29" s="132"/>
      <c r="H29" s="132"/>
    </row>
    <row r="30" spans="1:8" ht="60">
      <c r="A30" s="23" t="s">
        <v>34</v>
      </c>
      <c r="B30" s="24" t="s">
        <v>35</v>
      </c>
      <c r="C30" s="25" t="s">
        <v>36</v>
      </c>
      <c r="D30" s="26" t="s">
        <v>37</v>
      </c>
      <c r="E30" s="132"/>
      <c r="F30" s="132"/>
      <c r="G30" s="132"/>
      <c r="H30" s="132"/>
    </row>
    <row r="31" spans="1:8" ht="15">
      <c r="A31" s="27" t="s">
        <v>38</v>
      </c>
      <c r="B31" s="28" t="s">
        <v>39</v>
      </c>
      <c r="C31" s="29" t="s">
        <v>40</v>
      </c>
      <c r="D31" s="107">
        <f>(0.17+0.16)*6*110.3</f>
        <v>218.394</v>
      </c>
      <c r="E31" s="132"/>
      <c r="F31" s="132"/>
      <c r="G31" s="132"/>
      <c r="H31" s="132"/>
    </row>
    <row r="32" spans="1:8" ht="15">
      <c r="A32" s="31" t="s">
        <v>41</v>
      </c>
      <c r="B32" s="32" t="s">
        <v>42</v>
      </c>
      <c r="C32" s="33" t="s">
        <v>43</v>
      </c>
      <c r="D32" s="34">
        <f>(3.03+3)*6*110.3</f>
        <v>3990.653999999999</v>
      </c>
      <c r="E32" s="132"/>
      <c r="F32" s="132"/>
      <c r="G32" s="132"/>
      <c r="H32" s="132"/>
    </row>
    <row r="33" spans="1:8" ht="15">
      <c r="A33" s="31" t="s">
        <v>44</v>
      </c>
      <c r="B33" s="32" t="s">
        <v>39</v>
      </c>
      <c r="C33" s="33" t="s">
        <v>45</v>
      </c>
      <c r="D33" s="108">
        <f>(0.2+0.21)*6*110.3</f>
        <v>271.33799999999997</v>
      </c>
      <c r="E33" s="132"/>
      <c r="F33" s="132"/>
      <c r="G33" s="132"/>
      <c r="H33" s="132"/>
    </row>
    <row r="34" spans="1:8" ht="15">
      <c r="A34" s="204" t="s">
        <v>115</v>
      </c>
      <c r="B34" s="32" t="s">
        <v>39</v>
      </c>
      <c r="C34" s="33" t="s">
        <v>40</v>
      </c>
      <c r="D34" s="108">
        <f>(0.23+0.22)*6*110.3</f>
        <v>297.81</v>
      </c>
      <c r="E34" s="132"/>
      <c r="F34" s="132"/>
      <c r="G34" s="132"/>
      <c r="H34" s="132"/>
    </row>
    <row r="35" spans="1:8" ht="15">
      <c r="A35" s="31" t="s">
        <v>90</v>
      </c>
      <c r="B35" s="106" t="s">
        <v>91</v>
      </c>
      <c r="C35" s="33" t="s">
        <v>40</v>
      </c>
      <c r="D35" s="108">
        <f>(1.33+1.27)*6*110.3</f>
        <v>1720.68</v>
      </c>
      <c r="E35" s="132"/>
      <c r="F35" s="132"/>
      <c r="G35" s="132"/>
      <c r="H35" s="132"/>
    </row>
    <row r="36" spans="1:8" ht="15">
      <c r="A36" s="31" t="s">
        <v>46</v>
      </c>
      <c r="B36" s="32" t="s">
        <v>42</v>
      </c>
      <c r="C36" s="35" t="s">
        <v>47</v>
      </c>
      <c r="D36" s="108">
        <f>4.88*110.3*12</f>
        <v>6459.168</v>
      </c>
      <c r="E36" s="132"/>
      <c r="F36" s="132"/>
      <c r="G36" s="132"/>
      <c r="H36" s="132"/>
    </row>
    <row r="37" spans="1:14" s="1" customFormat="1" ht="45">
      <c r="A37" s="36" t="s">
        <v>48</v>
      </c>
      <c r="B37" s="37" t="s">
        <v>49</v>
      </c>
      <c r="C37" s="38" t="s">
        <v>40</v>
      </c>
      <c r="D37" s="39">
        <v>0</v>
      </c>
      <c r="E37" s="62"/>
      <c r="F37" s="132"/>
      <c r="G37" s="132"/>
      <c r="H37" s="132"/>
      <c r="K37"/>
      <c r="L37"/>
      <c r="M37"/>
      <c r="N37"/>
    </row>
    <row r="38" spans="1:14" s="1" customFormat="1" ht="15">
      <c r="A38" s="109" t="s">
        <v>95</v>
      </c>
      <c r="B38" s="110" t="s">
        <v>96</v>
      </c>
      <c r="C38" s="111"/>
      <c r="D38" s="112">
        <f>0.96*6*110.3</f>
        <v>635.328</v>
      </c>
      <c r="E38" s="132"/>
      <c r="F38" s="132"/>
      <c r="G38" s="132"/>
      <c r="H38" s="132"/>
      <c r="K38"/>
      <c r="L38"/>
      <c r="M38"/>
      <c r="N38"/>
    </row>
    <row r="39" spans="1:14" s="1" customFormat="1" ht="15.75">
      <c r="A39" s="40" t="s">
        <v>50</v>
      </c>
      <c r="B39" s="41"/>
      <c r="C39" s="42"/>
      <c r="D39" s="113">
        <f>SUM(D31:D38)</f>
        <v>13593.371999999998</v>
      </c>
      <c r="E39" s="135">
        <f>D39-D37</f>
        <v>13593.371999999998</v>
      </c>
      <c r="F39" s="132"/>
      <c r="G39" s="132"/>
      <c r="H39" s="132"/>
      <c r="K39"/>
      <c r="L39"/>
      <c r="M39"/>
      <c r="N39"/>
    </row>
    <row r="40" spans="1:14" s="1" customFormat="1" ht="15">
      <c r="A40" s="43" t="s">
        <v>51</v>
      </c>
      <c r="B40" s="44" t="s">
        <v>16</v>
      </c>
      <c r="C40" s="45"/>
      <c r="D40" s="46">
        <f>C15+C20*0.9536-D37</f>
        <v>-3493.3873439999998</v>
      </c>
      <c r="E40" s="135"/>
      <c r="F40" s="132"/>
      <c r="G40" s="132"/>
      <c r="H40" s="132"/>
      <c r="K40"/>
      <c r="L40"/>
      <c r="M40"/>
      <c r="N40"/>
    </row>
    <row r="41" spans="1:14" s="1" customFormat="1" ht="15">
      <c r="A41" s="48" t="s">
        <v>17</v>
      </c>
      <c r="B41" s="49" t="s">
        <v>16</v>
      </c>
      <c r="C41" s="33"/>
      <c r="D41" s="14">
        <v>0</v>
      </c>
      <c r="E41" s="62"/>
      <c r="F41" s="132"/>
      <c r="G41" s="132"/>
      <c r="H41" s="132"/>
      <c r="K41"/>
      <c r="L41"/>
      <c r="M41"/>
      <c r="N41"/>
    </row>
    <row r="42" spans="1:14" s="1" customFormat="1" ht="15">
      <c r="A42" s="48" t="s">
        <v>18</v>
      </c>
      <c r="B42" s="49" t="s">
        <v>16</v>
      </c>
      <c r="C42" s="33"/>
      <c r="D42" s="14">
        <v>703.63</v>
      </c>
      <c r="E42" s="132"/>
      <c r="F42" s="132"/>
      <c r="G42" s="132"/>
      <c r="H42" s="132"/>
      <c r="K42"/>
      <c r="L42"/>
      <c r="M42"/>
      <c r="N42"/>
    </row>
    <row r="43" spans="1:14" s="1" customFormat="1" ht="24" customHeight="1">
      <c r="A43" s="261" t="s">
        <v>52</v>
      </c>
      <c r="B43" s="261"/>
      <c r="C43" s="261"/>
      <c r="D43" s="261"/>
      <c r="E43" s="132"/>
      <c r="F43" s="132"/>
      <c r="G43" s="132"/>
      <c r="H43" s="132"/>
      <c r="K43"/>
      <c r="L43"/>
      <c r="M43"/>
      <c r="N43"/>
    </row>
    <row r="44" spans="1:14" s="1" customFormat="1" ht="15">
      <c r="A44" s="48" t="s">
        <v>53</v>
      </c>
      <c r="B44" s="32" t="s">
        <v>54</v>
      </c>
      <c r="C44" s="33">
        <v>0</v>
      </c>
      <c r="D44" s="14">
        <v>0</v>
      </c>
      <c r="E44" s="132"/>
      <c r="F44" s="132"/>
      <c r="G44" s="132"/>
      <c r="H44" s="132"/>
      <c r="K44"/>
      <c r="L44"/>
      <c r="M44"/>
      <c r="N44"/>
    </row>
    <row r="45" spans="1:14" s="1" customFormat="1" ht="15">
      <c r="A45" s="48" t="s">
        <v>55</v>
      </c>
      <c r="B45" s="32" t="s">
        <v>54</v>
      </c>
      <c r="C45" s="33">
        <v>0</v>
      </c>
      <c r="D45" s="14">
        <v>0</v>
      </c>
      <c r="E45" s="132"/>
      <c r="F45" s="132"/>
      <c r="G45" s="132"/>
      <c r="H45" s="132"/>
      <c r="K45"/>
      <c r="L45"/>
      <c r="M45"/>
      <c r="N45"/>
    </row>
    <row r="46" spans="1:14" s="1" customFormat="1" ht="15">
      <c r="A46" s="50" t="s">
        <v>56</v>
      </c>
      <c r="B46" s="32" t="s">
        <v>54</v>
      </c>
      <c r="C46" s="33">
        <v>0</v>
      </c>
      <c r="D46" s="14">
        <v>0</v>
      </c>
      <c r="E46" s="132"/>
      <c r="F46" s="132"/>
      <c r="G46" s="132"/>
      <c r="H46" s="132"/>
      <c r="K46"/>
      <c r="L46"/>
      <c r="M46"/>
      <c r="N46"/>
    </row>
    <row r="47" spans="1:14" s="1" customFormat="1" ht="15">
      <c r="A47" s="48" t="s">
        <v>57</v>
      </c>
      <c r="B47" s="32" t="s">
        <v>16</v>
      </c>
      <c r="C47" s="33">
        <v>0</v>
      </c>
      <c r="D47" s="14">
        <v>0</v>
      </c>
      <c r="E47" s="132"/>
      <c r="F47" s="132"/>
      <c r="G47" s="132"/>
      <c r="H47" s="132"/>
      <c r="K47"/>
      <c r="L47"/>
      <c r="M47"/>
      <c r="N47"/>
    </row>
    <row r="48" spans="1:8" ht="20.25" customHeight="1">
      <c r="A48" s="262" t="s">
        <v>58</v>
      </c>
      <c r="B48" s="262"/>
      <c r="C48" s="262"/>
      <c r="D48" s="262"/>
      <c r="E48" s="132"/>
      <c r="F48" s="132"/>
      <c r="G48" s="132"/>
      <c r="H48" s="132"/>
    </row>
    <row r="49" spans="1:8" ht="25.5">
      <c r="A49" s="50" t="s">
        <v>59</v>
      </c>
      <c r="B49" s="32" t="s">
        <v>16</v>
      </c>
      <c r="C49" s="33"/>
      <c r="D49" s="14">
        <v>0</v>
      </c>
      <c r="E49" s="132"/>
      <c r="F49" s="132"/>
      <c r="G49" s="132"/>
      <c r="H49" s="132"/>
    </row>
    <row r="50" spans="1:8" ht="15">
      <c r="A50" s="48" t="s">
        <v>17</v>
      </c>
      <c r="B50" s="32" t="s">
        <v>16</v>
      </c>
      <c r="C50" s="33"/>
      <c r="D50" s="14">
        <v>0</v>
      </c>
      <c r="E50" s="132"/>
      <c r="F50" s="132"/>
      <c r="G50" s="132"/>
      <c r="H50" s="132"/>
    </row>
    <row r="51" spans="1:8" ht="15">
      <c r="A51" s="48" t="s">
        <v>18</v>
      </c>
      <c r="B51" s="32" t="s">
        <v>16</v>
      </c>
      <c r="C51" s="33"/>
      <c r="D51" s="51">
        <f>D54-D57-D58-D59</f>
        <v>0.08939199999997527</v>
      </c>
      <c r="E51" s="132"/>
      <c r="F51" s="132"/>
      <c r="G51" s="132"/>
      <c r="H51" s="136"/>
    </row>
    <row r="52" spans="1:4" ht="25.5">
      <c r="A52" s="53" t="s">
        <v>60</v>
      </c>
      <c r="B52" s="32" t="s">
        <v>16</v>
      </c>
      <c r="C52" s="54"/>
      <c r="D52" s="55">
        <v>0</v>
      </c>
    </row>
    <row r="53" spans="1:10" ht="17.25" customHeight="1">
      <c r="A53" s="56" t="s">
        <v>17</v>
      </c>
      <c r="B53" s="32" t="s">
        <v>16</v>
      </c>
      <c r="C53" s="57"/>
      <c r="D53" s="58">
        <v>0</v>
      </c>
      <c r="I53" s="52"/>
      <c r="J53" s="52"/>
    </row>
    <row r="54" spans="1:14" ht="15">
      <c r="A54" s="59" t="s">
        <v>18</v>
      </c>
      <c r="B54" s="32" t="s">
        <v>16</v>
      </c>
      <c r="C54" s="60"/>
      <c r="D54" s="61">
        <v>259.87</v>
      </c>
      <c r="E54" s="62"/>
      <c r="H54" s="1" t="s">
        <v>32</v>
      </c>
      <c r="I54" s="63"/>
      <c r="J54" s="63"/>
      <c r="K54" s="64"/>
      <c r="L54" s="64"/>
      <c r="M54" s="64"/>
      <c r="N54" s="64"/>
    </row>
    <row r="55" spans="1:14" ht="18" customHeight="1">
      <c r="A55" s="263" t="s">
        <v>61</v>
      </c>
      <c r="B55" s="263"/>
      <c r="C55" s="263"/>
      <c r="D55" s="263"/>
      <c r="E55" s="65"/>
      <c r="F55" s="66"/>
      <c r="G55" s="67"/>
      <c r="I55" s="68"/>
      <c r="J55" s="68"/>
      <c r="K55" s="69"/>
      <c r="L55" s="69"/>
      <c r="M55" s="69"/>
      <c r="N55" s="69"/>
    </row>
    <row r="56" spans="1:14" ht="47.25">
      <c r="A56" s="70" t="s">
        <v>62</v>
      </c>
      <c r="B56" s="71" t="s">
        <v>63</v>
      </c>
      <c r="C56" s="72" t="s">
        <v>64</v>
      </c>
      <c r="D56" s="73" t="s">
        <v>65</v>
      </c>
      <c r="E56" s="65"/>
      <c r="F56" s="66"/>
      <c r="G56" s="67"/>
      <c r="I56" s="68"/>
      <c r="J56" s="74"/>
      <c r="K56" s="69"/>
      <c r="L56" s="69"/>
      <c r="M56" s="69"/>
      <c r="N56" s="69"/>
    </row>
    <row r="57" spans="1:14" ht="15">
      <c r="A57" s="75" t="s">
        <v>66</v>
      </c>
      <c r="B57" s="117">
        <v>5598.72</v>
      </c>
      <c r="C57" s="118">
        <f>B57*0.9536</f>
        <v>5338.939392</v>
      </c>
      <c r="D57" s="119">
        <f>B57-C57</f>
        <v>259.78060800000003</v>
      </c>
      <c r="E57" s="79"/>
      <c r="F57" s="66"/>
      <c r="G57" s="67"/>
      <c r="I57" s="68"/>
      <c r="J57" s="68"/>
      <c r="K57" s="69"/>
      <c r="L57" s="69"/>
      <c r="M57" s="69"/>
      <c r="N57" s="69"/>
    </row>
    <row r="58" spans="1:14" ht="15">
      <c r="A58" s="75" t="s">
        <v>67</v>
      </c>
      <c r="B58" s="117">
        <v>0</v>
      </c>
      <c r="C58" s="118">
        <f>B58*1.1615</f>
        <v>0</v>
      </c>
      <c r="D58" s="119">
        <f>B58-C58</f>
        <v>0</v>
      </c>
      <c r="E58" s="65"/>
      <c r="F58" s="66"/>
      <c r="G58" s="67"/>
      <c r="I58" s="68"/>
      <c r="J58" s="68"/>
      <c r="K58" s="69"/>
      <c r="L58" s="69"/>
      <c r="M58" s="69"/>
      <c r="N58" s="69"/>
    </row>
    <row r="59" spans="1:14" ht="15">
      <c r="A59" s="75" t="s">
        <v>68</v>
      </c>
      <c r="B59" s="120">
        <v>0</v>
      </c>
      <c r="C59" s="118">
        <f>B59*1.1615</f>
        <v>0</v>
      </c>
      <c r="D59" s="119">
        <f>B59-C59</f>
        <v>0</v>
      </c>
      <c r="E59" s="65">
        <f>(2.07+1.8)*6*2301.2-0.37*2301.2*6</f>
        <v>48325.2</v>
      </c>
      <c r="F59" s="81"/>
      <c r="G59" s="82"/>
      <c r="H59" s="65"/>
      <c r="I59" s="68"/>
      <c r="J59" s="68"/>
      <c r="K59" s="69"/>
      <c r="L59" s="69"/>
      <c r="M59" s="69"/>
      <c r="N59" s="69"/>
    </row>
    <row r="60" spans="1:14" ht="15.75" thickBot="1">
      <c r="A60" s="150" t="s">
        <v>69</v>
      </c>
      <c r="B60" s="151">
        <v>0</v>
      </c>
      <c r="C60" s="152">
        <f>B60*1.1615</f>
        <v>0</v>
      </c>
      <c r="D60" s="153">
        <f>B60-C60</f>
        <v>0</v>
      </c>
      <c r="E60" s="65"/>
      <c r="F60" s="81"/>
      <c r="G60" s="82"/>
      <c r="I60" s="68"/>
      <c r="J60" s="68"/>
      <c r="K60" s="69"/>
      <c r="L60" s="69"/>
      <c r="M60" s="69"/>
      <c r="N60" s="69"/>
    </row>
    <row r="61" spans="1:14" ht="63">
      <c r="A61" s="154" t="s">
        <v>70</v>
      </c>
      <c r="B61" s="155" t="s">
        <v>71</v>
      </c>
      <c r="C61" s="156" t="s">
        <v>72</v>
      </c>
      <c r="D61" s="157" t="s">
        <v>73</v>
      </c>
      <c r="E61" s="65"/>
      <c r="F61" s="81"/>
      <c r="H61" s="68"/>
      <c r="I61" s="68"/>
      <c r="J61" s="68"/>
      <c r="K61" s="69"/>
      <c r="L61" s="69"/>
      <c r="M61" s="69"/>
      <c r="N61" s="69"/>
    </row>
    <row r="62" spans="1:14" ht="15">
      <c r="A62" s="158" t="s">
        <v>66</v>
      </c>
      <c r="B62" s="124">
        <f>B57</f>
        <v>5598.72</v>
      </c>
      <c r="C62" s="125">
        <f>B62*0.9623</f>
        <v>5387.648256</v>
      </c>
      <c r="D62" s="159">
        <f>B62-C62</f>
        <v>211.07174399999985</v>
      </c>
      <c r="E62" s="65"/>
      <c r="F62" s="81"/>
      <c r="H62" s="68"/>
      <c r="I62" s="68"/>
      <c r="J62" s="68" t="s">
        <v>32</v>
      </c>
      <c r="K62" s="69"/>
      <c r="L62" s="69"/>
      <c r="M62" s="69"/>
      <c r="N62" s="69"/>
    </row>
    <row r="63" spans="1:14" ht="15">
      <c r="A63" s="158" t="s">
        <v>67</v>
      </c>
      <c r="B63" s="124">
        <v>0</v>
      </c>
      <c r="C63" s="125">
        <v>0</v>
      </c>
      <c r="D63" s="159">
        <f>B63-C63</f>
        <v>0</v>
      </c>
      <c r="E63" s="65"/>
      <c r="F63" s="81"/>
      <c r="H63" s="68"/>
      <c r="I63" s="68"/>
      <c r="J63" s="68"/>
      <c r="K63" s="69"/>
      <c r="L63" s="69"/>
      <c r="M63" s="69"/>
      <c r="N63" s="69"/>
    </row>
    <row r="64" spans="1:14" ht="15">
      <c r="A64" s="158" t="s">
        <v>68</v>
      </c>
      <c r="B64" s="124">
        <v>0</v>
      </c>
      <c r="C64" s="125">
        <v>0</v>
      </c>
      <c r="D64" s="159">
        <f>B64-C64</f>
        <v>0</v>
      </c>
      <c r="E64" s="65"/>
      <c r="F64" s="81"/>
      <c r="H64" s="68"/>
      <c r="I64" s="68"/>
      <c r="J64" s="68"/>
      <c r="K64" s="69"/>
      <c r="L64" s="69"/>
      <c r="M64" s="69"/>
      <c r="N64" s="69"/>
    </row>
    <row r="65" spans="1:14" ht="15">
      <c r="A65" s="158" t="s">
        <v>74</v>
      </c>
      <c r="B65" s="124">
        <v>0</v>
      </c>
      <c r="C65" s="125">
        <v>0</v>
      </c>
      <c r="D65" s="159">
        <f>B65-C65</f>
        <v>0</v>
      </c>
      <c r="E65" s="65"/>
      <c r="F65" s="81"/>
      <c r="H65" s="68"/>
      <c r="I65" s="68"/>
      <c r="J65" s="68"/>
      <c r="K65" s="69"/>
      <c r="L65" s="69"/>
      <c r="M65" s="69"/>
      <c r="N65" s="69"/>
    </row>
    <row r="66" spans="1:14" ht="15.75" thickBot="1">
      <c r="A66" s="160" t="s">
        <v>69</v>
      </c>
      <c r="B66" s="161">
        <v>0</v>
      </c>
      <c r="C66" s="162">
        <v>0</v>
      </c>
      <c r="D66" s="163">
        <f>B66-C66</f>
        <v>0</v>
      </c>
      <c r="E66" s="65"/>
      <c r="F66" s="81"/>
      <c r="H66" s="68" t="s">
        <v>32</v>
      </c>
      <c r="I66" s="68"/>
      <c r="J66" s="68"/>
      <c r="K66" s="69"/>
      <c r="L66" s="69"/>
      <c r="M66" s="69"/>
      <c r="N66" s="69"/>
    </row>
    <row r="67" spans="1:14" ht="15">
      <c r="A67" s="91"/>
      <c r="B67" s="87"/>
      <c r="C67" s="92"/>
      <c r="D67" s="93"/>
      <c r="E67" s="65"/>
      <c r="F67" s="81"/>
      <c r="H67" s="68"/>
      <c r="I67" s="68"/>
      <c r="J67" s="68"/>
      <c r="K67" s="69"/>
      <c r="L67" s="69"/>
      <c r="M67" s="69"/>
      <c r="N67" s="69"/>
    </row>
    <row r="68" spans="1:14" ht="25.5">
      <c r="A68" s="94" t="s">
        <v>75</v>
      </c>
      <c r="B68" s="87" t="s">
        <v>16</v>
      </c>
      <c r="C68" s="95"/>
      <c r="D68" s="96"/>
      <c r="E68" s="65"/>
      <c r="F68" s="81"/>
      <c r="H68" s="68"/>
      <c r="I68" s="68"/>
      <c r="J68" s="68" t="s">
        <v>32</v>
      </c>
      <c r="K68" s="69"/>
      <c r="L68" s="69"/>
      <c r="M68" s="69"/>
      <c r="N68" s="69"/>
    </row>
    <row r="69" spans="1:14" ht="17.25" customHeight="1">
      <c r="A69" s="264" t="s">
        <v>76</v>
      </c>
      <c r="B69" s="264"/>
      <c r="C69" s="264"/>
      <c r="D69" s="264"/>
      <c r="E69" s="97" t="e">
        <f>D69+B19</f>
        <v>#VALUE!</v>
      </c>
      <c r="F69" s="68"/>
      <c r="H69" s="98" t="e">
        <f>E69-B18</f>
        <v>#VALUE!</v>
      </c>
      <c r="I69" s="68"/>
      <c r="J69" s="68"/>
      <c r="K69" s="69"/>
      <c r="L69" s="69"/>
      <c r="M69" s="69"/>
      <c r="N69" s="69"/>
    </row>
    <row r="70" spans="1:5" ht="21" customHeight="1">
      <c r="A70" s="99" t="s">
        <v>53</v>
      </c>
      <c r="B70" s="99" t="s">
        <v>54</v>
      </c>
      <c r="C70" s="100">
        <v>0</v>
      </c>
      <c r="D70" s="101"/>
      <c r="E70" s="102"/>
    </row>
    <row r="71" spans="1:5" ht="21" customHeight="1">
      <c r="A71" s="99" t="s">
        <v>55</v>
      </c>
      <c r="B71" s="99" t="s">
        <v>54</v>
      </c>
      <c r="C71" s="99">
        <v>0</v>
      </c>
      <c r="D71" s="101"/>
      <c r="E71" s="102"/>
    </row>
    <row r="72" spans="1:5" ht="18" customHeight="1">
      <c r="A72" s="99" t="s">
        <v>56</v>
      </c>
      <c r="B72" s="99" t="s">
        <v>54</v>
      </c>
      <c r="C72" s="99">
        <v>0</v>
      </c>
      <c r="D72" s="101"/>
      <c r="E72" s="102"/>
    </row>
    <row r="73" spans="1:5" ht="16.5" customHeight="1">
      <c r="A73" s="99" t="s">
        <v>57</v>
      </c>
      <c r="B73" s="99" t="s">
        <v>16</v>
      </c>
      <c r="C73" s="99">
        <v>0</v>
      </c>
      <c r="D73" s="101"/>
      <c r="E73" s="102"/>
    </row>
    <row r="74" spans="1:5" ht="15.75" customHeight="1">
      <c r="A74" s="258" t="s">
        <v>77</v>
      </c>
      <c r="B74" s="258"/>
      <c r="C74" s="258"/>
      <c r="D74" s="258"/>
      <c r="E74" s="102"/>
    </row>
    <row r="75" spans="1:5" ht="18.75" customHeight="1">
      <c r="A75" s="99" t="s">
        <v>78</v>
      </c>
      <c r="B75" s="99" t="s">
        <v>54</v>
      </c>
      <c r="C75" s="99">
        <v>0</v>
      </c>
      <c r="D75" s="101"/>
      <c r="E75" s="102"/>
    </row>
    <row r="76" spans="1:5" ht="21.75" customHeight="1">
      <c r="A76" s="99" t="s">
        <v>79</v>
      </c>
      <c r="B76" s="56" t="s">
        <v>54</v>
      </c>
      <c r="C76" s="56">
        <v>0</v>
      </c>
      <c r="D76" s="101"/>
      <c r="E76" s="102"/>
    </row>
    <row r="77" spans="1:5" ht="36" customHeight="1">
      <c r="A77" s="103" t="s">
        <v>80</v>
      </c>
      <c r="B77" s="99" t="s">
        <v>16</v>
      </c>
      <c r="C77" s="99">
        <v>0</v>
      </c>
      <c r="D77" s="101"/>
      <c r="E77" s="102"/>
    </row>
    <row r="78" spans="1:4" ht="15">
      <c r="A78" s="69"/>
      <c r="B78" s="69"/>
      <c r="C78" s="69"/>
      <c r="D78" s="104"/>
    </row>
    <row r="79" spans="1:14" s="1" customFormat="1" ht="12.75">
      <c r="A79"/>
      <c r="B79"/>
      <c r="C79"/>
      <c r="D79"/>
      <c r="H79" s="1" t="s">
        <v>32</v>
      </c>
      <c r="K79"/>
      <c r="L79"/>
      <c r="M79"/>
      <c r="N79"/>
    </row>
    <row r="80" spans="1:14" s="1" customFormat="1" ht="12.75">
      <c r="A80" t="s">
        <v>81</v>
      </c>
      <c r="B80"/>
      <c r="C80"/>
      <c r="D80"/>
      <c r="K80"/>
      <c r="L80"/>
      <c r="M80"/>
      <c r="N80"/>
    </row>
    <row r="81" spans="1:14" s="1" customFormat="1" ht="12.75">
      <c r="A81"/>
      <c r="B81"/>
      <c r="C81"/>
      <c r="D81"/>
      <c r="H81" s="1" t="s">
        <v>32</v>
      </c>
      <c r="K81"/>
      <c r="L81"/>
      <c r="M81"/>
      <c r="N81"/>
    </row>
    <row r="82" spans="1:14" s="1" customFormat="1" ht="12.75">
      <c r="A82" t="s">
        <v>82</v>
      </c>
      <c r="B82"/>
      <c r="C82"/>
      <c r="D82"/>
      <c r="K82"/>
      <c r="L82"/>
      <c r="M82"/>
      <c r="N82"/>
    </row>
    <row r="86" spans="1:14" s="1" customFormat="1" ht="12.75">
      <c r="A86"/>
      <c r="B86"/>
      <c r="C86"/>
      <c r="D86"/>
      <c r="E86" s="1" t="s">
        <v>32</v>
      </c>
      <c r="K86"/>
      <c r="L86"/>
      <c r="M86"/>
      <c r="N86"/>
    </row>
  </sheetData>
  <sheetProtection selectLockedCells="1" selectUnlockedCells="1"/>
  <mergeCells count="13">
    <mergeCell ref="A1:D1"/>
    <mergeCell ref="A2:D2"/>
    <mergeCell ref="A3:D3"/>
    <mergeCell ref="A4:D4"/>
    <mergeCell ref="A5:D5"/>
    <mergeCell ref="A7:D7"/>
    <mergeCell ref="A74:D74"/>
    <mergeCell ref="A14:D14"/>
    <mergeCell ref="A29:D29"/>
    <mergeCell ref="A43:D43"/>
    <mergeCell ref="A48:D48"/>
    <mergeCell ref="A55:D55"/>
    <mergeCell ref="A69:D69"/>
  </mergeCells>
  <printOptions/>
  <pageMargins left="0.5597222222222222" right="0.7875" top="0.34097222222222223" bottom="0.7875" header="0.5118055555555555" footer="0.5118055555555555"/>
  <pageSetup fitToHeight="3" fitToWidth="2" horizontalDpi="300" verticalDpi="300" orientation="landscape" paperSize="12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6"/>
  <sheetViews>
    <sheetView zoomScale="80" zoomScaleNormal="80" zoomScalePageLayoutView="0" workbookViewId="0" topLeftCell="A19">
      <selection activeCell="E38" sqref="E38:E41"/>
    </sheetView>
  </sheetViews>
  <sheetFormatPr defaultColWidth="11.57421875" defaultRowHeight="12.75"/>
  <cols>
    <col min="1" max="1" width="63.28125" style="0" customWidth="1"/>
    <col min="2" max="2" width="20.28125" style="0" customWidth="1"/>
    <col min="3" max="3" width="31.421875" style="0" customWidth="1"/>
    <col min="4" max="4" width="27.57421875" style="0" customWidth="1"/>
    <col min="5" max="5" width="16.8515625" style="1" customWidth="1"/>
    <col min="6" max="7" width="0" style="1" hidden="1" customWidth="1"/>
    <col min="8" max="8" width="11.57421875" style="1" customWidth="1"/>
    <col min="9" max="9" width="5.28125" style="1" customWidth="1"/>
    <col min="10" max="10" width="30.00390625" style="1" customWidth="1"/>
    <col min="11" max="12" width="23.28125" style="0" customWidth="1"/>
    <col min="13" max="13" width="6.57421875" style="0" customWidth="1"/>
    <col min="14" max="14" width="7.00390625" style="0" customWidth="1"/>
  </cols>
  <sheetData>
    <row r="1" spans="1:4" ht="18">
      <c r="A1" s="265" t="s">
        <v>0</v>
      </c>
      <c r="B1" s="265"/>
      <c r="C1" s="265"/>
      <c r="D1" s="265"/>
    </row>
    <row r="2" spans="1:4" ht="15.75">
      <c r="A2" s="266" t="s">
        <v>1</v>
      </c>
      <c r="B2" s="266"/>
      <c r="C2" s="266"/>
      <c r="D2" s="266"/>
    </row>
    <row r="3" spans="1:4" ht="15.75">
      <c r="A3" s="266" t="s">
        <v>2</v>
      </c>
      <c r="B3" s="266"/>
      <c r="C3" s="266"/>
      <c r="D3" s="266"/>
    </row>
    <row r="4" spans="1:4" ht="12.75">
      <c r="A4" s="267" t="s">
        <v>127</v>
      </c>
      <c r="B4" s="267"/>
      <c r="C4" s="267"/>
      <c r="D4" s="267"/>
    </row>
    <row r="5" spans="1:4" ht="12.75">
      <c r="A5" s="268" t="s">
        <v>171</v>
      </c>
      <c r="B5" s="267"/>
      <c r="C5" s="267"/>
      <c r="D5" s="267"/>
    </row>
    <row r="6" ht="9" customHeight="1">
      <c r="A6" s="2"/>
    </row>
    <row r="7" spans="1:4" ht="18" customHeight="1">
      <c r="A7" s="269" t="s">
        <v>4</v>
      </c>
      <c r="B7" s="269"/>
      <c r="C7" s="269"/>
      <c r="D7" s="269"/>
    </row>
    <row r="8" spans="1:3" ht="12.75">
      <c r="A8" s="2" t="s">
        <v>240</v>
      </c>
      <c r="C8" s="3"/>
    </row>
    <row r="9" spans="1:4" ht="12.75">
      <c r="A9" s="4" t="s">
        <v>5</v>
      </c>
      <c r="B9" s="4" t="s">
        <v>6</v>
      </c>
      <c r="C9" s="4" t="s">
        <v>7</v>
      </c>
      <c r="D9" s="5"/>
    </row>
    <row r="10" spans="1:4" ht="12.75">
      <c r="A10" s="6">
        <v>1</v>
      </c>
      <c r="B10" s="6">
        <v>2</v>
      </c>
      <c r="C10" s="6">
        <v>3</v>
      </c>
      <c r="D10" s="7">
        <v>4</v>
      </c>
    </row>
    <row r="11" spans="1:4" ht="12.75">
      <c r="A11" s="8" t="s">
        <v>8</v>
      </c>
      <c r="B11" s="9"/>
      <c r="C11" s="177" t="s">
        <v>172</v>
      </c>
      <c r="D11" s="10"/>
    </row>
    <row r="12" spans="1:8" ht="12.75">
      <c r="A12" s="8" t="s">
        <v>10</v>
      </c>
      <c r="B12" s="9"/>
      <c r="C12" s="177" t="s">
        <v>173</v>
      </c>
      <c r="D12" s="10"/>
      <c r="E12" s="132"/>
      <c r="F12" s="132"/>
      <c r="G12" s="132"/>
      <c r="H12" s="132"/>
    </row>
    <row r="13" spans="1:8" ht="12.75">
      <c r="A13" s="8" t="s">
        <v>12</v>
      </c>
      <c r="B13" s="9"/>
      <c r="C13" s="177" t="s">
        <v>174</v>
      </c>
      <c r="D13" s="10"/>
      <c r="E13" s="132"/>
      <c r="F13" s="132"/>
      <c r="G13" s="132"/>
      <c r="H13" s="132"/>
    </row>
    <row r="14" spans="1:8" ht="31.5" customHeight="1">
      <c r="A14" s="259" t="s">
        <v>14</v>
      </c>
      <c r="B14" s="259"/>
      <c r="C14" s="259"/>
      <c r="D14" s="259"/>
      <c r="E14" s="132"/>
      <c r="F14" s="132"/>
      <c r="G14" s="132"/>
      <c r="H14" s="132"/>
    </row>
    <row r="15" spans="1:8" ht="25.5">
      <c r="A15" s="11" t="s">
        <v>15</v>
      </c>
      <c r="B15" s="12" t="s">
        <v>16</v>
      </c>
      <c r="C15" s="13">
        <v>33621.77</v>
      </c>
      <c r="D15" s="14"/>
      <c r="E15" s="132"/>
      <c r="F15" s="132"/>
      <c r="G15" s="132"/>
      <c r="H15" s="132"/>
    </row>
    <row r="16" spans="1:8" ht="15">
      <c r="A16" s="8" t="s">
        <v>17</v>
      </c>
      <c r="B16" s="12" t="s">
        <v>16</v>
      </c>
      <c r="C16" s="13">
        <v>0</v>
      </c>
      <c r="D16" s="14"/>
      <c r="E16" s="132"/>
      <c r="F16" s="132"/>
      <c r="G16" s="132"/>
      <c r="H16" s="132"/>
    </row>
    <row r="17" spans="1:8" ht="15">
      <c r="A17" s="8" t="s">
        <v>18</v>
      </c>
      <c r="B17" s="12" t="s">
        <v>16</v>
      </c>
      <c r="C17" s="15">
        <v>1649.05</v>
      </c>
      <c r="D17" s="16"/>
      <c r="E17" s="132" t="e">
        <f>B17/12/1022.6</f>
        <v>#VALUE!</v>
      </c>
      <c r="F17" s="132"/>
      <c r="G17" s="132"/>
      <c r="H17" s="132"/>
    </row>
    <row r="18" spans="1:8" ht="31.5" customHeight="1">
      <c r="A18" s="17" t="s">
        <v>19</v>
      </c>
      <c r="B18" s="12" t="s">
        <v>16</v>
      </c>
      <c r="C18" s="15">
        <f>C19+C20+C21</f>
        <v>20888.032000000003</v>
      </c>
      <c r="D18" s="16"/>
      <c r="E18" s="133">
        <f>C18-C20</f>
        <v>12526.312000000002</v>
      </c>
      <c r="F18" s="132"/>
      <c r="G18" s="132"/>
      <c r="H18" s="132"/>
    </row>
    <row r="19" spans="1:8" ht="15">
      <c r="A19" s="8" t="s">
        <v>20</v>
      </c>
      <c r="B19" s="12" t="s">
        <v>16</v>
      </c>
      <c r="C19" s="15">
        <f>5145.59+1542.29</f>
        <v>6687.88</v>
      </c>
      <c r="D19" s="16"/>
      <c r="E19" s="133">
        <f>E18-E39</f>
        <v>0.004000000004452886</v>
      </c>
      <c r="F19" s="132"/>
      <c r="G19" s="132"/>
      <c r="H19" s="132"/>
    </row>
    <row r="20" spans="1:8" ht="15">
      <c r="A20" s="8" t="s">
        <v>21</v>
      </c>
      <c r="B20" s="12" t="s">
        <v>16</v>
      </c>
      <c r="C20" s="15">
        <f>(6.07+5.33)*6*99.7+1542.24</f>
        <v>8361.720000000001</v>
      </c>
      <c r="D20" s="16"/>
      <c r="E20" s="134"/>
      <c r="F20" s="132"/>
      <c r="G20" s="132"/>
      <c r="H20" s="132"/>
    </row>
    <row r="21" spans="1:8" ht="15">
      <c r="A21" s="8" t="s">
        <v>22</v>
      </c>
      <c r="B21" s="12" t="s">
        <v>16</v>
      </c>
      <c r="C21" s="20">
        <f>99.7*4.88*12</f>
        <v>5838.432</v>
      </c>
      <c r="D21" s="16"/>
      <c r="E21" s="132"/>
      <c r="F21" s="132"/>
      <c r="G21" s="132"/>
      <c r="H21" s="132"/>
    </row>
    <row r="22" spans="1:8" ht="15">
      <c r="A22" s="21" t="s">
        <v>23</v>
      </c>
      <c r="B22" s="12" t="s">
        <v>16</v>
      </c>
      <c r="C22" s="15">
        <f>C23+C24+C25+C26+C27</f>
        <v>20888.032000000003</v>
      </c>
      <c r="D22" s="16" t="s">
        <v>24</v>
      </c>
      <c r="E22" s="133" t="e">
        <f>B24+B25+B26+B27+B28</f>
        <v>#VALUE!</v>
      </c>
      <c r="F22" s="132"/>
      <c r="G22" s="132"/>
      <c r="H22" s="132"/>
    </row>
    <row r="23" spans="1:8" ht="15">
      <c r="A23" s="8" t="s">
        <v>25</v>
      </c>
      <c r="B23" s="12" t="s">
        <v>16</v>
      </c>
      <c r="C23" s="15">
        <f>C18</f>
        <v>20888.032000000003</v>
      </c>
      <c r="D23" s="16"/>
      <c r="E23" s="132"/>
      <c r="F23" s="132"/>
      <c r="G23" s="132"/>
      <c r="H23" s="132"/>
    </row>
    <row r="24" spans="1:8" ht="15">
      <c r="A24" s="8" t="s">
        <v>26</v>
      </c>
      <c r="B24" s="12" t="s">
        <v>16</v>
      </c>
      <c r="C24" s="15">
        <v>0</v>
      </c>
      <c r="D24" s="22">
        <v>65.21</v>
      </c>
      <c r="E24" s="134" t="e">
        <f>B24/#REF!*1</f>
        <v>#VALUE!</v>
      </c>
      <c r="F24" s="132"/>
      <c r="G24" s="132"/>
      <c r="H24" s="132" t="s">
        <v>27</v>
      </c>
    </row>
    <row r="25" spans="1:8" ht="15">
      <c r="A25" s="8" t="s">
        <v>28</v>
      </c>
      <c r="B25" s="12" t="s">
        <v>16</v>
      </c>
      <c r="C25" s="15">
        <v>0</v>
      </c>
      <c r="D25" s="22">
        <v>119.63</v>
      </c>
      <c r="E25" s="134" t="e">
        <f>B25/#REF!*1</f>
        <v>#VALUE!</v>
      </c>
      <c r="F25" s="132"/>
      <c r="G25" s="132"/>
      <c r="H25" s="132"/>
    </row>
    <row r="26" spans="1:8" ht="15">
      <c r="A26" s="9" t="s">
        <v>29</v>
      </c>
      <c r="B26" s="12" t="s">
        <v>16</v>
      </c>
      <c r="C26" s="15">
        <v>0</v>
      </c>
      <c r="D26" s="22"/>
      <c r="E26" s="134" t="e">
        <f>B26/#REF!*1</f>
        <v>#VALUE!</v>
      </c>
      <c r="F26" s="132"/>
      <c r="G26" s="132"/>
      <c r="H26" s="132"/>
    </row>
    <row r="27" spans="1:8" ht="16.5" customHeight="1">
      <c r="A27" s="116" t="s">
        <v>112</v>
      </c>
      <c r="B27" s="12" t="s">
        <v>16</v>
      </c>
      <c r="C27" s="15">
        <v>0</v>
      </c>
      <c r="D27" s="22">
        <v>139.18</v>
      </c>
      <c r="E27" s="134" t="e">
        <f>B27/#REF!*1</f>
        <v>#VALUE!</v>
      </c>
      <c r="F27" s="132"/>
      <c r="G27" s="132"/>
      <c r="H27" s="132"/>
    </row>
    <row r="28" spans="1:8" ht="15">
      <c r="A28" s="8" t="s">
        <v>31</v>
      </c>
      <c r="B28" s="12" t="s">
        <v>16</v>
      </c>
      <c r="C28" s="15">
        <f>C15+C22</f>
        <v>54509.801999999996</v>
      </c>
      <c r="D28" s="16" t="s">
        <v>32</v>
      </c>
      <c r="E28" s="134" t="e">
        <f>B28/#REF!*1</f>
        <v>#VALUE!</v>
      </c>
      <c r="F28" s="132"/>
      <c r="G28" s="132"/>
      <c r="H28" s="132"/>
    </row>
    <row r="29" spans="1:8" ht="35.25" customHeight="1">
      <c r="A29" s="260" t="s">
        <v>33</v>
      </c>
      <c r="B29" s="260"/>
      <c r="C29" s="260"/>
      <c r="D29" s="260"/>
      <c r="E29" s="132"/>
      <c r="F29" s="132"/>
      <c r="G29" s="132"/>
      <c r="H29" s="132"/>
    </row>
    <row r="30" spans="1:8" ht="60">
      <c r="A30" s="23" t="s">
        <v>34</v>
      </c>
      <c r="B30" s="24" t="s">
        <v>35</v>
      </c>
      <c r="C30" s="25" t="s">
        <v>36</v>
      </c>
      <c r="D30" s="26" t="s">
        <v>37</v>
      </c>
      <c r="E30" s="132"/>
      <c r="F30" s="132"/>
      <c r="G30" s="132"/>
      <c r="H30" s="132"/>
    </row>
    <row r="31" spans="1:8" ht="15">
      <c r="A31" s="27" t="s">
        <v>38</v>
      </c>
      <c r="B31" s="28" t="s">
        <v>39</v>
      </c>
      <c r="C31" s="29" t="s">
        <v>40</v>
      </c>
      <c r="D31" s="107">
        <f>(0.17+0.16)*6*99.7</f>
        <v>197.406</v>
      </c>
      <c r="E31" s="132"/>
      <c r="F31" s="132"/>
      <c r="G31" s="132"/>
      <c r="H31" s="132"/>
    </row>
    <row r="32" spans="1:8" ht="15">
      <c r="A32" s="31" t="s">
        <v>41</v>
      </c>
      <c r="B32" s="32" t="s">
        <v>42</v>
      </c>
      <c r="C32" s="33" t="s">
        <v>43</v>
      </c>
      <c r="D32" s="34">
        <f>(3.03+3)*6*99.7</f>
        <v>3607.1459999999993</v>
      </c>
      <c r="E32" s="132"/>
      <c r="F32" s="132"/>
      <c r="G32" s="132"/>
      <c r="H32" s="132"/>
    </row>
    <row r="33" spans="1:8" ht="15">
      <c r="A33" s="31" t="s">
        <v>44</v>
      </c>
      <c r="B33" s="32" t="s">
        <v>39</v>
      </c>
      <c r="C33" s="33" t="s">
        <v>45</v>
      </c>
      <c r="D33" s="108">
        <f>(0.2+0.21)*6*99.7</f>
        <v>245.262</v>
      </c>
      <c r="E33" s="132"/>
      <c r="F33" s="132"/>
      <c r="G33" s="132"/>
      <c r="H33" s="132"/>
    </row>
    <row r="34" spans="1:8" ht="15">
      <c r="A34" s="204" t="s">
        <v>115</v>
      </c>
      <c r="B34" s="32" t="s">
        <v>39</v>
      </c>
      <c r="C34" s="33" t="s">
        <v>40</v>
      </c>
      <c r="D34" s="108">
        <f>(0.23+0.22)*6*99.7</f>
        <v>269.19</v>
      </c>
      <c r="E34" s="132"/>
      <c r="F34" s="132"/>
      <c r="G34" s="132"/>
      <c r="H34" s="132"/>
    </row>
    <row r="35" spans="1:8" ht="15">
      <c r="A35" s="31" t="s">
        <v>90</v>
      </c>
      <c r="B35" s="106" t="s">
        <v>91</v>
      </c>
      <c r="C35" s="33" t="s">
        <v>40</v>
      </c>
      <c r="D35" s="108">
        <f>(1.33+1.27)*6*99.7</f>
        <v>1555.3200000000002</v>
      </c>
      <c r="E35" s="132"/>
      <c r="F35" s="132"/>
      <c r="G35" s="132"/>
      <c r="H35" s="132"/>
    </row>
    <row r="36" spans="1:8" ht="15">
      <c r="A36" s="31" t="s">
        <v>46</v>
      </c>
      <c r="B36" s="32" t="s">
        <v>42</v>
      </c>
      <c r="C36" s="35" t="s">
        <v>47</v>
      </c>
      <c r="D36" s="108">
        <f>4.88*99.7*12</f>
        <v>5838.432</v>
      </c>
      <c r="E36" s="132"/>
      <c r="F36" s="132"/>
      <c r="G36" s="132"/>
      <c r="H36" s="132"/>
    </row>
    <row r="37" spans="1:14" s="1" customFormat="1" ht="45">
      <c r="A37" s="36" t="s">
        <v>48</v>
      </c>
      <c r="B37" s="37" t="s">
        <v>49</v>
      </c>
      <c r="C37" s="38"/>
      <c r="D37" s="39">
        <v>0</v>
      </c>
      <c r="E37" s="132"/>
      <c r="F37" s="132"/>
      <c r="G37" s="132"/>
      <c r="H37" s="132"/>
      <c r="K37"/>
      <c r="L37"/>
      <c r="M37"/>
      <c r="N37"/>
    </row>
    <row r="38" spans="1:14" s="1" customFormat="1" ht="15">
      <c r="A38" s="109" t="s">
        <v>95</v>
      </c>
      <c r="B38" s="110" t="s">
        <v>96</v>
      </c>
      <c r="C38" s="111"/>
      <c r="D38" s="112">
        <f>1.36*99.7*6</f>
        <v>813.5520000000001</v>
      </c>
      <c r="E38" s="132"/>
      <c r="F38" s="132"/>
      <c r="G38" s="132"/>
      <c r="H38" s="132"/>
      <c r="K38"/>
      <c r="L38"/>
      <c r="M38"/>
      <c r="N38"/>
    </row>
    <row r="39" spans="1:14" s="1" customFormat="1" ht="15.75">
      <c r="A39" s="40" t="s">
        <v>50</v>
      </c>
      <c r="B39" s="41"/>
      <c r="C39" s="42"/>
      <c r="D39" s="113">
        <f>SUM(D31:D38)</f>
        <v>12526.307999999997</v>
      </c>
      <c r="E39" s="135">
        <f>D39-D37</f>
        <v>12526.307999999997</v>
      </c>
      <c r="F39" s="132"/>
      <c r="G39" s="132"/>
      <c r="H39" s="132"/>
      <c r="K39"/>
      <c r="L39"/>
      <c r="M39"/>
      <c r="N39"/>
    </row>
    <row r="40" spans="1:14" s="1" customFormat="1" ht="15">
      <c r="A40" s="43" t="s">
        <v>51</v>
      </c>
      <c r="B40" s="44" t="s">
        <v>16</v>
      </c>
      <c r="C40" s="45"/>
      <c r="D40" s="46">
        <f>C15+C20*1-D37</f>
        <v>41983.49</v>
      </c>
      <c r="E40" s="135"/>
      <c r="F40" s="132"/>
      <c r="G40" s="132"/>
      <c r="H40" s="132"/>
      <c r="K40"/>
      <c r="L40"/>
      <c r="M40"/>
      <c r="N40"/>
    </row>
    <row r="41" spans="1:14" s="1" customFormat="1" ht="15">
      <c r="A41" s="48" t="s">
        <v>17</v>
      </c>
      <c r="B41" s="49" t="s">
        <v>16</v>
      </c>
      <c r="C41" s="33"/>
      <c r="D41" s="14">
        <v>0</v>
      </c>
      <c r="E41" s="132"/>
      <c r="F41" s="132"/>
      <c r="G41" s="132"/>
      <c r="H41" s="132"/>
      <c r="K41"/>
      <c r="L41"/>
      <c r="M41"/>
      <c r="N41"/>
    </row>
    <row r="42" spans="1:14" s="1" customFormat="1" ht="15">
      <c r="A42" s="48" t="s">
        <v>18</v>
      </c>
      <c r="B42" s="49" t="s">
        <v>16</v>
      </c>
      <c r="C42" s="33"/>
      <c r="D42" s="14">
        <v>1649.5</v>
      </c>
      <c r="E42" s="132"/>
      <c r="F42" s="132"/>
      <c r="G42" s="132"/>
      <c r="H42" s="132"/>
      <c r="K42"/>
      <c r="L42"/>
      <c r="M42"/>
      <c r="N42"/>
    </row>
    <row r="43" spans="1:14" s="1" customFormat="1" ht="24" customHeight="1">
      <c r="A43" s="261" t="s">
        <v>52</v>
      </c>
      <c r="B43" s="261"/>
      <c r="C43" s="261"/>
      <c r="D43" s="261"/>
      <c r="E43" s="132"/>
      <c r="F43" s="132"/>
      <c r="G43" s="132"/>
      <c r="H43" s="132"/>
      <c r="K43"/>
      <c r="L43"/>
      <c r="M43"/>
      <c r="N43"/>
    </row>
    <row r="44" spans="1:14" s="1" customFormat="1" ht="15">
      <c r="A44" s="48" t="s">
        <v>53</v>
      </c>
      <c r="B44" s="32" t="s">
        <v>54</v>
      </c>
      <c r="C44" s="33">
        <v>0</v>
      </c>
      <c r="D44" s="14">
        <v>0</v>
      </c>
      <c r="E44" s="132"/>
      <c r="F44" s="132"/>
      <c r="G44" s="132"/>
      <c r="H44" s="132"/>
      <c r="K44"/>
      <c r="L44"/>
      <c r="M44"/>
      <c r="N44"/>
    </row>
    <row r="45" spans="1:14" s="1" customFormat="1" ht="15">
      <c r="A45" s="48" t="s">
        <v>55</v>
      </c>
      <c r="B45" s="32" t="s">
        <v>54</v>
      </c>
      <c r="C45" s="33">
        <v>0</v>
      </c>
      <c r="D45" s="14">
        <v>0</v>
      </c>
      <c r="E45" s="132"/>
      <c r="F45" s="132"/>
      <c r="G45" s="132"/>
      <c r="H45" s="132"/>
      <c r="K45"/>
      <c r="L45"/>
      <c r="M45"/>
      <c r="N45"/>
    </row>
    <row r="46" spans="1:14" s="1" customFormat="1" ht="15">
      <c r="A46" s="50" t="s">
        <v>56</v>
      </c>
      <c r="B46" s="32" t="s">
        <v>54</v>
      </c>
      <c r="C46" s="33">
        <v>0</v>
      </c>
      <c r="D46" s="14">
        <v>0</v>
      </c>
      <c r="E46" s="132"/>
      <c r="F46" s="132"/>
      <c r="G46" s="132"/>
      <c r="H46" s="132"/>
      <c r="K46"/>
      <c r="L46"/>
      <c r="M46"/>
      <c r="N46"/>
    </row>
    <row r="47" spans="1:14" s="1" customFormat="1" ht="15">
      <c r="A47" s="48" t="s">
        <v>57</v>
      </c>
      <c r="B47" s="32" t="s">
        <v>16</v>
      </c>
      <c r="C47" s="33">
        <v>0</v>
      </c>
      <c r="D47" s="14">
        <v>0</v>
      </c>
      <c r="E47" s="132"/>
      <c r="F47" s="132"/>
      <c r="G47" s="132"/>
      <c r="H47" s="132"/>
      <c r="K47"/>
      <c r="L47"/>
      <c r="M47"/>
      <c r="N47"/>
    </row>
    <row r="48" spans="1:8" ht="20.25" customHeight="1">
      <c r="A48" s="262" t="s">
        <v>58</v>
      </c>
      <c r="B48" s="262"/>
      <c r="C48" s="262"/>
      <c r="D48" s="262"/>
      <c r="E48" s="132"/>
      <c r="F48" s="132"/>
      <c r="G48" s="132"/>
      <c r="H48" s="132"/>
    </row>
    <row r="49" spans="1:8" ht="25.5">
      <c r="A49" s="50" t="s">
        <v>59</v>
      </c>
      <c r="B49" s="32" t="s">
        <v>16</v>
      </c>
      <c r="C49" s="33"/>
      <c r="D49" s="14">
        <v>0</v>
      </c>
      <c r="E49" s="132"/>
      <c r="F49" s="132"/>
      <c r="G49" s="132"/>
      <c r="H49" s="132"/>
    </row>
    <row r="50" spans="1:8" ht="15">
      <c r="A50" s="48" t="s">
        <v>17</v>
      </c>
      <c r="B50" s="32" t="s">
        <v>16</v>
      </c>
      <c r="C50" s="33"/>
      <c r="D50" s="14">
        <v>0</v>
      </c>
      <c r="E50" s="132"/>
      <c r="F50" s="132"/>
      <c r="G50" s="132"/>
      <c r="H50" s="132"/>
    </row>
    <row r="51" spans="1:8" ht="15">
      <c r="A51" s="48" t="s">
        <v>18</v>
      </c>
      <c r="B51" s="32" t="s">
        <v>16</v>
      </c>
      <c r="C51" s="33"/>
      <c r="D51" s="51">
        <f>D54-D57-D58-D59</f>
        <v>1826.35</v>
      </c>
      <c r="E51" s="132"/>
      <c r="F51" s="132"/>
      <c r="G51" s="132"/>
      <c r="H51" s="136"/>
    </row>
    <row r="52" spans="1:8" ht="25.5">
      <c r="A52" s="53" t="s">
        <v>60</v>
      </c>
      <c r="B52" s="32" t="s">
        <v>16</v>
      </c>
      <c r="C52" s="54"/>
      <c r="D52" s="55">
        <v>0</v>
      </c>
      <c r="E52" s="132"/>
      <c r="F52" s="132"/>
      <c r="G52" s="132"/>
      <c r="H52" s="132"/>
    </row>
    <row r="53" spans="1:10" ht="17.25" customHeight="1">
      <c r="A53" s="56" t="s">
        <v>17</v>
      </c>
      <c r="B53" s="32" t="s">
        <v>16</v>
      </c>
      <c r="C53" s="57"/>
      <c r="D53" s="58">
        <v>0</v>
      </c>
      <c r="E53" s="132"/>
      <c r="F53" s="132"/>
      <c r="G53" s="132"/>
      <c r="H53" s="132"/>
      <c r="I53" s="52"/>
      <c r="J53" s="52"/>
    </row>
    <row r="54" spans="1:14" ht="15">
      <c r="A54" s="59" t="s">
        <v>18</v>
      </c>
      <c r="B54" s="32" t="s">
        <v>16</v>
      </c>
      <c r="C54" s="60"/>
      <c r="D54" s="61">
        <v>1826.35</v>
      </c>
      <c r="E54" s="132"/>
      <c r="F54" s="132"/>
      <c r="G54" s="132"/>
      <c r="H54" s="132" t="s">
        <v>32</v>
      </c>
      <c r="I54" s="63"/>
      <c r="J54" s="63"/>
      <c r="K54" s="64"/>
      <c r="L54" s="64"/>
      <c r="M54" s="64"/>
      <c r="N54" s="64"/>
    </row>
    <row r="55" spans="1:14" ht="18" customHeight="1">
      <c r="A55" s="263" t="s">
        <v>61</v>
      </c>
      <c r="B55" s="263"/>
      <c r="C55" s="263"/>
      <c r="D55" s="263"/>
      <c r="E55" s="137"/>
      <c r="F55" s="138"/>
      <c r="G55" s="139"/>
      <c r="H55" s="132"/>
      <c r="I55" s="68"/>
      <c r="J55" s="68"/>
      <c r="K55" s="69"/>
      <c r="L55" s="69"/>
      <c r="M55" s="69"/>
      <c r="N55" s="69"/>
    </row>
    <row r="56" spans="1:14" ht="47.25">
      <c r="A56" s="70" t="s">
        <v>62</v>
      </c>
      <c r="B56" s="71" t="s">
        <v>63</v>
      </c>
      <c r="C56" s="72" t="s">
        <v>64</v>
      </c>
      <c r="D56" s="73" t="s">
        <v>65</v>
      </c>
      <c r="E56" s="137"/>
      <c r="F56" s="138"/>
      <c r="G56" s="139"/>
      <c r="H56" s="132"/>
      <c r="I56" s="68"/>
      <c r="J56" s="74"/>
      <c r="K56" s="69"/>
      <c r="L56" s="69"/>
      <c r="M56" s="69"/>
      <c r="N56" s="69"/>
    </row>
    <row r="57" spans="1:14" ht="15">
      <c r="A57" s="75" t="s">
        <v>66</v>
      </c>
      <c r="B57" s="117">
        <v>19598.03</v>
      </c>
      <c r="C57" s="118">
        <f>B57</f>
        <v>19598.03</v>
      </c>
      <c r="D57" s="119">
        <f>B57-C57</f>
        <v>0</v>
      </c>
      <c r="E57" s="140"/>
      <c r="F57" s="138"/>
      <c r="G57" s="139"/>
      <c r="H57" s="132"/>
      <c r="I57" s="68"/>
      <c r="J57" s="68"/>
      <c r="K57" s="69"/>
      <c r="L57" s="69"/>
      <c r="M57" s="69"/>
      <c r="N57" s="69"/>
    </row>
    <row r="58" spans="1:14" ht="15">
      <c r="A58" s="75" t="s">
        <v>67</v>
      </c>
      <c r="B58" s="117">
        <v>0</v>
      </c>
      <c r="C58" s="118">
        <f>B58*1.1615</f>
        <v>0</v>
      </c>
      <c r="D58" s="119">
        <f>B58-C58</f>
        <v>0</v>
      </c>
      <c r="E58" s="137"/>
      <c r="F58" s="138"/>
      <c r="G58" s="139"/>
      <c r="H58" s="132"/>
      <c r="I58" s="68"/>
      <c r="J58" s="68"/>
      <c r="K58" s="69"/>
      <c r="L58" s="69"/>
      <c r="M58" s="69"/>
      <c r="N58" s="69"/>
    </row>
    <row r="59" spans="1:14" ht="15">
      <c r="A59" s="75" t="s">
        <v>68</v>
      </c>
      <c r="B59" s="120">
        <v>0</v>
      </c>
      <c r="C59" s="118">
        <f>B59*1.1615</f>
        <v>0</v>
      </c>
      <c r="D59" s="119">
        <f>B59-C59</f>
        <v>0</v>
      </c>
      <c r="E59" s="137">
        <f>(2.07+1.8)*6*2301.2-0.37*2301.2*6</f>
        <v>48325.2</v>
      </c>
      <c r="F59" s="141"/>
      <c r="G59" s="142"/>
      <c r="H59" s="137"/>
      <c r="I59" s="68"/>
      <c r="J59" s="68"/>
      <c r="K59" s="69"/>
      <c r="L59" s="69"/>
      <c r="M59" s="69"/>
      <c r="N59" s="69"/>
    </row>
    <row r="60" spans="1:14" ht="15.75" thickBot="1">
      <c r="A60" s="150" t="s">
        <v>69</v>
      </c>
      <c r="B60" s="151">
        <v>0</v>
      </c>
      <c r="C60" s="152">
        <f>B60*1.1615</f>
        <v>0</v>
      </c>
      <c r="D60" s="153">
        <f>B60-C60</f>
        <v>0</v>
      </c>
      <c r="E60" s="137"/>
      <c r="F60" s="141"/>
      <c r="G60" s="142"/>
      <c r="H60" s="132"/>
      <c r="I60" s="68"/>
      <c r="J60" s="68"/>
      <c r="K60" s="69"/>
      <c r="L60" s="69"/>
      <c r="M60" s="69"/>
      <c r="N60" s="69"/>
    </row>
    <row r="61" spans="1:14" ht="63">
      <c r="A61" s="154" t="s">
        <v>70</v>
      </c>
      <c r="B61" s="155" t="s">
        <v>71</v>
      </c>
      <c r="C61" s="156" t="s">
        <v>72</v>
      </c>
      <c r="D61" s="157" t="s">
        <v>73</v>
      </c>
      <c r="E61" s="137"/>
      <c r="F61" s="141"/>
      <c r="G61" s="132"/>
      <c r="H61" s="143"/>
      <c r="I61" s="68"/>
      <c r="J61" s="68"/>
      <c r="K61" s="69"/>
      <c r="L61" s="69"/>
      <c r="M61" s="69"/>
      <c r="N61" s="69"/>
    </row>
    <row r="62" spans="1:14" ht="15">
      <c r="A62" s="158" t="s">
        <v>66</v>
      </c>
      <c r="B62" s="124">
        <f>B57</f>
        <v>19598.03</v>
      </c>
      <c r="C62" s="125">
        <f>C57</f>
        <v>19598.03</v>
      </c>
      <c r="D62" s="159">
        <f>B62-C62</f>
        <v>0</v>
      </c>
      <c r="E62" s="137"/>
      <c r="F62" s="141"/>
      <c r="G62" s="132"/>
      <c r="H62" s="143"/>
      <c r="I62" s="68"/>
      <c r="J62" s="68" t="s">
        <v>32</v>
      </c>
      <c r="K62" s="69"/>
      <c r="L62" s="69"/>
      <c r="M62" s="69"/>
      <c r="N62" s="69"/>
    </row>
    <row r="63" spans="1:14" ht="15">
      <c r="A63" s="158" t="s">
        <v>67</v>
      </c>
      <c r="B63" s="124">
        <v>0</v>
      </c>
      <c r="C63" s="125">
        <v>0</v>
      </c>
      <c r="D63" s="159">
        <f>B63-C63</f>
        <v>0</v>
      </c>
      <c r="E63" s="137"/>
      <c r="F63" s="141"/>
      <c r="G63" s="132"/>
      <c r="H63" s="143"/>
      <c r="I63" s="68"/>
      <c r="J63" s="68"/>
      <c r="K63" s="69"/>
      <c r="L63" s="69"/>
      <c r="M63" s="69"/>
      <c r="N63" s="69"/>
    </row>
    <row r="64" spans="1:14" ht="15">
      <c r="A64" s="158" t="s">
        <v>68</v>
      </c>
      <c r="B64" s="124">
        <v>0</v>
      </c>
      <c r="C64" s="125">
        <v>0</v>
      </c>
      <c r="D64" s="159">
        <f>B64-C64</f>
        <v>0</v>
      </c>
      <c r="E64" s="137"/>
      <c r="F64" s="141"/>
      <c r="G64" s="132"/>
      <c r="H64" s="143"/>
      <c r="I64" s="68"/>
      <c r="J64" s="68"/>
      <c r="K64" s="69"/>
      <c r="L64" s="69"/>
      <c r="M64" s="69"/>
      <c r="N64" s="69"/>
    </row>
    <row r="65" spans="1:14" ht="15">
      <c r="A65" s="158" t="s">
        <v>74</v>
      </c>
      <c r="B65" s="124">
        <v>0</v>
      </c>
      <c r="C65" s="125">
        <v>0</v>
      </c>
      <c r="D65" s="159">
        <f>B65-C65</f>
        <v>0</v>
      </c>
      <c r="E65" s="137"/>
      <c r="F65" s="141"/>
      <c r="G65" s="132"/>
      <c r="H65" s="143"/>
      <c r="I65" s="68"/>
      <c r="J65" s="68"/>
      <c r="K65" s="69"/>
      <c r="L65" s="69"/>
      <c r="M65" s="69"/>
      <c r="N65" s="69"/>
    </row>
    <row r="66" spans="1:14" ht="15.75" thickBot="1">
      <c r="A66" s="160" t="s">
        <v>69</v>
      </c>
      <c r="B66" s="161">
        <v>0</v>
      </c>
      <c r="C66" s="162">
        <v>0</v>
      </c>
      <c r="D66" s="163">
        <f>B66-C66</f>
        <v>0</v>
      </c>
      <c r="E66" s="137"/>
      <c r="F66" s="141"/>
      <c r="G66" s="132"/>
      <c r="H66" s="143" t="s">
        <v>32</v>
      </c>
      <c r="I66" s="68"/>
      <c r="J66" s="68"/>
      <c r="K66" s="69"/>
      <c r="L66" s="69"/>
      <c r="M66" s="69"/>
      <c r="N66" s="69"/>
    </row>
    <row r="67" spans="1:14" ht="15">
      <c r="A67" s="91"/>
      <c r="B67" s="87"/>
      <c r="C67" s="92"/>
      <c r="D67" s="93"/>
      <c r="E67" s="137"/>
      <c r="F67" s="141"/>
      <c r="G67" s="132"/>
      <c r="H67" s="143"/>
      <c r="I67" s="68"/>
      <c r="J67" s="68"/>
      <c r="K67" s="69"/>
      <c r="L67" s="69"/>
      <c r="M67" s="69"/>
      <c r="N67" s="69"/>
    </row>
    <row r="68" spans="1:14" ht="25.5">
      <c r="A68" s="94" t="s">
        <v>75</v>
      </c>
      <c r="B68" s="87" t="s">
        <v>16</v>
      </c>
      <c r="C68" s="95"/>
      <c r="D68" s="96"/>
      <c r="E68" s="137"/>
      <c r="F68" s="141"/>
      <c r="G68" s="132"/>
      <c r="H68" s="143"/>
      <c r="I68" s="68"/>
      <c r="J68" s="68" t="s">
        <v>32</v>
      </c>
      <c r="K68" s="69"/>
      <c r="L68" s="69"/>
      <c r="M68" s="69"/>
      <c r="N68" s="69"/>
    </row>
    <row r="69" spans="1:14" ht="17.25" customHeight="1">
      <c r="A69" s="264" t="s">
        <v>76</v>
      </c>
      <c r="B69" s="264"/>
      <c r="C69" s="264"/>
      <c r="D69" s="264"/>
      <c r="E69" s="144" t="e">
        <f>D69+B19</f>
        <v>#VALUE!</v>
      </c>
      <c r="F69" s="143"/>
      <c r="G69" s="132"/>
      <c r="H69" s="145" t="e">
        <f>E69-B18</f>
        <v>#VALUE!</v>
      </c>
      <c r="I69" s="68"/>
      <c r="J69" s="68"/>
      <c r="K69" s="69"/>
      <c r="L69" s="69"/>
      <c r="M69" s="69"/>
      <c r="N69" s="69"/>
    </row>
    <row r="70" spans="1:8" ht="21" customHeight="1">
      <c r="A70" s="99" t="s">
        <v>53</v>
      </c>
      <c r="B70" s="99" t="s">
        <v>54</v>
      </c>
      <c r="C70" s="100">
        <v>0</v>
      </c>
      <c r="D70" s="101"/>
      <c r="E70" s="146"/>
      <c r="F70" s="132"/>
      <c r="G70" s="132"/>
      <c r="H70" s="132"/>
    </row>
    <row r="71" spans="1:8" ht="21" customHeight="1">
      <c r="A71" s="99" t="s">
        <v>55</v>
      </c>
      <c r="B71" s="99" t="s">
        <v>54</v>
      </c>
      <c r="C71" s="99">
        <v>0</v>
      </c>
      <c r="D71" s="101"/>
      <c r="E71" s="146"/>
      <c r="F71" s="132"/>
      <c r="G71" s="132"/>
      <c r="H71" s="132"/>
    </row>
    <row r="72" spans="1:8" ht="18" customHeight="1">
      <c r="A72" s="99" t="s">
        <v>56</v>
      </c>
      <c r="B72" s="99" t="s">
        <v>54</v>
      </c>
      <c r="C72" s="99">
        <v>0</v>
      </c>
      <c r="D72" s="101"/>
      <c r="E72" s="146"/>
      <c r="F72" s="132"/>
      <c r="G72" s="132"/>
      <c r="H72" s="132"/>
    </row>
    <row r="73" spans="1:8" ht="16.5" customHeight="1">
      <c r="A73" s="99" t="s">
        <v>57</v>
      </c>
      <c r="B73" s="99" t="s">
        <v>16</v>
      </c>
      <c r="C73" s="99">
        <v>0</v>
      </c>
      <c r="D73" s="101"/>
      <c r="E73" s="146"/>
      <c r="F73" s="132"/>
      <c r="G73" s="132"/>
      <c r="H73" s="132"/>
    </row>
    <row r="74" spans="1:8" ht="15.75" customHeight="1">
      <c r="A74" s="258" t="s">
        <v>77</v>
      </c>
      <c r="B74" s="258"/>
      <c r="C74" s="258"/>
      <c r="D74" s="258"/>
      <c r="E74" s="146"/>
      <c r="F74" s="132"/>
      <c r="G74" s="132"/>
      <c r="H74" s="132"/>
    </row>
    <row r="75" spans="1:8" ht="18.75" customHeight="1">
      <c r="A75" s="99" t="s">
        <v>78</v>
      </c>
      <c r="B75" s="99" t="s">
        <v>54</v>
      </c>
      <c r="C75" s="99">
        <v>0</v>
      </c>
      <c r="D75" s="101"/>
      <c r="E75" s="146"/>
      <c r="F75" s="132"/>
      <c r="G75" s="132"/>
      <c r="H75" s="132"/>
    </row>
    <row r="76" spans="1:8" ht="21.75" customHeight="1">
      <c r="A76" s="99" t="s">
        <v>79</v>
      </c>
      <c r="B76" s="56" t="s">
        <v>54</v>
      </c>
      <c r="C76" s="56">
        <v>0</v>
      </c>
      <c r="D76" s="101"/>
      <c r="E76" s="146"/>
      <c r="F76" s="132"/>
      <c r="G76" s="132"/>
      <c r="H76" s="132"/>
    </row>
    <row r="77" spans="1:8" ht="36" customHeight="1">
      <c r="A77" s="103" t="s">
        <v>80</v>
      </c>
      <c r="B77" s="99" t="s">
        <v>16</v>
      </c>
      <c r="C77" s="99">
        <v>0</v>
      </c>
      <c r="D77" s="101"/>
      <c r="E77" s="146"/>
      <c r="F77" s="132"/>
      <c r="G77" s="132"/>
      <c r="H77" s="132"/>
    </row>
    <row r="78" spans="1:8" ht="15">
      <c r="A78" s="69"/>
      <c r="B78" s="69"/>
      <c r="C78" s="69"/>
      <c r="D78" s="104"/>
      <c r="E78" s="132"/>
      <c r="F78" s="132"/>
      <c r="G78" s="132"/>
      <c r="H78" s="132"/>
    </row>
    <row r="79" spans="1:14" s="1" customFormat="1" ht="12.75">
      <c r="A79"/>
      <c r="B79"/>
      <c r="C79"/>
      <c r="D79"/>
      <c r="E79" s="132"/>
      <c r="F79" s="132"/>
      <c r="G79" s="132"/>
      <c r="H79" s="132" t="s">
        <v>32</v>
      </c>
      <c r="K79"/>
      <c r="L79"/>
      <c r="M79"/>
      <c r="N79"/>
    </row>
    <row r="80" spans="1:14" s="1" customFormat="1" ht="12.75">
      <c r="A80" t="s">
        <v>81</v>
      </c>
      <c r="B80"/>
      <c r="C80"/>
      <c r="D80"/>
      <c r="E80" s="132"/>
      <c r="F80" s="132"/>
      <c r="G80" s="132"/>
      <c r="H80" s="132"/>
      <c r="K80"/>
      <c r="L80"/>
      <c r="M80"/>
      <c r="N80"/>
    </row>
    <row r="81" spans="1:14" s="1" customFormat="1" ht="12.75">
      <c r="A81"/>
      <c r="B81"/>
      <c r="C81"/>
      <c r="D81"/>
      <c r="H81" s="1" t="s">
        <v>32</v>
      </c>
      <c r="K81"/>
      <c r="L81"/>
      <c r="M81"/>
      <c r="N81"/>
    </row>
    <row r="82" spans="1:14" s="1" customFormat="1" ht="12.75">
      <c r="A82" t="s">
        <v>82</v>
      </c>
      <c r="B82"/>
      <c r="C82"/>
      <c r="D82"/>
      <c r="K82"/>
      <c r="L82"/>
      <c r="M82"/>
      <c r="N82"/>
    </row>
    <row r="86" spans="1:14" s="1" customFormat="1" ht="12.75">
      <c r="A86"/>
      <c r="B86"/>
      <c r="C86"/>
      <c r="D86"/>
      <c r="E86" s="1" t="s">
        <v>32</v>
      </c>
      <c r="K86"/>
      <c r="L86"/>
      <c r="M86"/>
      <c r="N86"/>
    </row>
  </sheetData>
  <sheetProtection selectLockedCells="1" selectUnlockedCells="1"/>
  <mergeCells count="13">
    <mergeCell ref="A1:D1"/>
    <mergeCell ref="A2:D2"/>
    <mergeCell ref="A3:D3"/>
    <mergeCell ref="A4:D4"/>
    <mergeCell ref="A5:D5"/>
    <mergeCell ref="A7:D7"/>
    <mergeCell ref="A74:D74"/>
    <mergeCell ref="A14:D14"/>
    <mergeCell ref="A29:D29"/>
    <mergeCell ref="A43:D43"/>
    <mergeCell ref="A48:D48"/>
    <mergeCell ref="A55:D55"/>
    <mergeCell ref="A69:D69"/>
  </mergeCells>
  <printOptions/>
  <pageMargins left="0.5597222222222222" right="0.7875" top="0.34097222222222223" bottom="0.7875" header="0.5118055555555555" footer="0.5118055555555555"/>
  <pageSetup fitToHeight="3" fitToWidth="2" horizontalDpi="300" verticalDpi="300" orientation="landscape" paperSize="12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6"/>
  <sheetViews>
    <sheetView zoomScale="80" zoomScaleNormal="80" zoomScalePageLayoutView="0" workbookViewId="0" topLeftCell="A16">
      <selection activeCell="E39" sqref="E39:E41"/>
    </sheetView>
  </sheetViews>
  <sheetFormatPr defaultColWidth="11.57421875" defaultRowHeight="12.75"/>
  <cols>
    <col min="1" max="1" width="63.28125" style="0" customWidth="1"/>
    <col min="2" max="2" width="20.28125" style="0" customWidth="1"/>
    <col min="3" max="3" width="31.421875" style="0" customWidth="1"/>
    <col min="4" max="4" width="27.57421875" style="0" customWidth="1"/>
    <col min="5" max="5" width="16.8515625" style="1" customWidth="1"/>
    <col min="6" max="7" width="0" style="1" hidden="1" customWidth="1"/>
    <col min="8" max="8" width="11.57421875" style="1" customWidth="1"/>
    <col min="9" max="9" width="5.28125" style="1" customWidth="1"/>
    <col min="10" max="10" width="30.00390625" style="1" customWidth="1"/>
    <col min="11" max="12" width="23.28125" style="0" customWidth="1"/>
    <col min="13" max="13" width="6.57421875" style="0" customWidth="1"/>
    <col min="14" max="14" width="7.00390625" style="0" customWidth="1"/>
  </cols>
  <sheetData>
    <row r="1" spans="1:4" ht="18">
      <c r="A1" s="265" t="s">
        <v>0</v>
      </c>
      <c r="B1" s="265"/>
      <c r="C1" s="265"/>
      <c r="D1" s="265"/>
    </row>
    <row r="2" spans="1:4" ht="15.75">
      <c r="A2" s="266" t="s">
        <v>1</v>
      </c>
      <c r="B2" s="266"/>
      <c r="C2" s="266"/>
      <c r="D2" s="266"/>
    </row>
    <row r="3" spans="1:4" ht="15.75">
      <c r="A3" s="266" t="s">
        <v>2</v>
      </c>
      <c r="B3" s="266"/>
      <c r="C3" s="266"/>
      <c r="D3" s="266"/>
    </row>
    <row r="4" spans="1:4" ht="12.75">
      <c r="A4" s="267" t="s">
        <v>128</v>
      </c>
      <c r="B4" s="267"/>
      <c r="C4" s="267"/>
      <c r="D4" s="267"/>
    </row>
    <row r="5" spans="1:4" ht="12.75">
      <c r="A5" s="268" t="s">
        <v>171</v>
      </c>
      <c r="B5" s="267"/>
      <c r="C5" s="267"/>
      <c r="D5" s="267"/>
    </row>
    <row r="6" ht="9" customHeight="1">
      <c r="A6" s="2"/>
    </row>
    <row r="7" spans="1:4" ht="18" customHeight="1">
      <c r="A7" s="269" t="s">
        <v>4</v>
      </c>
      <c r="B7" s="269"/>
      <c r="C7" s="269"/>
      <c r="D7" s="269"/>
    </row>
    <row r="8" spans="1:3" ht="12.75">
      <c r="A8" s="2" t="s">
        <v>241</v>
      </c>
      <c r="C8" s="3"/>
    </row>
    <row r="9" spans="1:4" ht="12.75">
      <c r="A9" s="4" t="s">
        <v>5</v>
      </c>
      <c r="B9" s="4" t="s">
        <v>6</v>
      </c>
      <c r="C9" s="4" t="s">
        <v>7</v>
      </c>
      <c r="D9" s="5"/>
    </row>
    <row r="10" spans="1:4" ht="12.75">
      <c r="A10" s="6">
        <v>1</v>
      </c>
      <c r="B10" s="6">
        <v>2</v>
      </c>
      <c r="C10" s="6">
        <v>3</v>
      </c>
      <c r="D10" s="7">
        <v>4</v>
      </c>
    </row>
    <row r="11" spans="1:4" ht="12.75">
      <c r="A11" s="8" t="s">
        <v>8</v>
      </c>
      <c r="B11" s="9"/>
      <c r="C11" s="177" t="s">
        <v>172</v>
      </c>
      <c r="D11" s="10"/>
    </row>
    <row r="12" spans="1:4" ht="12.75">
      <c r="A12" s="8" t="s">
        <v>10</v>
      </c>
      <c r="B12" s="9"/>
      <c r="C12" s="177" t="s">
        <v>173</v>
      </c>
      <c r="D12" s="10"/>
    </row>
    <row r="13" spans="1:4" ht="12.75">
      <c r="A13" s="8" t="s">
        <v>12</v>
      </c>
      <c r="B13" s="9"/>
      <c r="C13" s="177" t="s">
        <v>174</v>
      </c>
      <c r="D13" s="10"/>
    </row>
    <row r="14" spans="1:8" ht="31.5" customHeight="1">
      <c r="A14" s="259" t="s">
        <v>14</v>
      </c>
      <c r="B14" s="259"/>
      <c r="C14" s="259"/>
      <c r="D14" s="259"/>
      <c r="E14" s="132"/>
      <c r="F14" s="132"/>
      <c r="G14" s="132"/>
      <c r="H14" s="132"/>
    </row>
    <row r="15" spans="1:8" ht="25.5">
      <c r="A15" s="11" t="s">
        <v>15</v>
      </c>
      <c r="B15" s="12" t="s">
        <v>16</v>
      </c>
      <c r="C15" s="13">
        <v>36633.65</v>
      </c>
      <c r="D15" s="14"/>
      <c r="E15" s="132"/>
      <c r="F15" s="132"/>
      <c r="G15" s="132"/>
      <c r="H15" s="132"/>
    </row>
    <row r="16" spans="1:8" ht="15">
      <c r="A16" s="8" t="s">
        <v>17</v>
      </c>
      <c r="B16" s="12" t="s">
        <v>16</v>
      </c>
      <c r="C16" s="13">
        <v>0</v>
      </c>
      <c r="D16" s="14"/>
      <c r="E16" s="132"/>
      <c r="F16" s="132"/>
      <c r="G16" s="132"/>
      <c r="H16" s="132"/>
    </row>
    <row r="17" spans="1:8" ht="15">
      <c r="A17" s="8" t="s">
        <v>18</v>
      </c>
      <c r="B17" s="12" t="s">
        <v>16</v>
      </c>
      <c r="C17" s="15">
        <v>1914.14</v>
      </c>
      <c r="D17" s="16"/>
      <c r="E17" s="132" t="e">
        <f>B17/12/1022.6</f>
        <v>#VALUE!</v>
      </c>
      <c r="F17" s="132"/>
      <c r="G17" s="132"/>
      <c r="H17" s="132"/>
    </row>
    <row r="18" spans="1:8" ht="31.5" customHeight="1">
      <c r="A18" s="17" t="s">
        <v>19</v>
      </c>
      <c r="B18" s="12" t="s">
        <v>16</v>
      </c>
      <c r="C18" s="15">
        <f>C19+C20+C21</f>
        <v>23304.332</v>
      </c>
      <c r="D18" s="16"/>
      <c r="E18" s="133">
        <f>C18-C20</f>
        <v>13865.275999999998</v>
      </c>
      <c r="F18" s="132"/>
      <c r="G18" s="132"/>
      <c r="H18" s="132"/>
    </row>
    <row r="19" spans="1:8" ht="15">
      <c r="A19" s="8" t="s">
        <v>20</v>
      </c>
      <c r="B19" s="12" t="s">
        <v>16</v>
      </c>
      <c r="C19" s="15">
        <f>3759.59+3599.67</f>
        <v>7359.26</v>
      </c>
      <c r="D19" s="16"/>
      <c r="E19" s="133">
        <f>E18-E39</f>
        <v>-0.004000000000814907</v>
      </c>
      <c r="F19" s="132"/>
      <c r="G19" s="132"/>
      <c r="H19" s="132"/>
    </row>
    <row r="20" spans="1:8" ht="15">
      <c r="A20" s="8" t="s">
        <v>21</v>
      </c>
      <c r="B20" s="12" t="s">
        <v>16</v>
      </c>
      <c r="C20" s="15">
        <f>(4.05+4.71)*6*111.1+3599.64</f>
        <v>9439.056</v>
      </c>
      <c r="D20" s="16"/>
      <c r="E20" s="134"/>
      <c r="F20" s="132"/>
      <c r="G20" s="132"/>
      <c r="H20" s="132"/>
    </row>
    <row r="21" spans="1:8" ht="15">
      <c r="A21" s="8" t="s">
        <v>22</v>
      </c>
      <c r="B21" s="12" t="s">
        <v>16</v>
      </c>
      <c r="C21" s="20">
        <f>111.1*4.88*12</f>
        <v>6506.016</v>
      </c>
      <c r="D21" s="16"/>
      <c r="E21" s="208"/>
      <c r="F21" s="132"/>
      <c r="G21" s="132"/>
      <c r="H21" s="132"/>
    </row>
    <row r="22" spans="1:8" ht="15">
      <c r="A22" s="21" t="s">
        <v>23</v>
      </c>
      <c r="B22" s="12" t="s">
        <v>16</v>
      </c>
      <c r="C22" s="15">
        <f>C23+C24+C25+C26+C27</f>
        <v>23304.332</v>
      </c>
      <c r="D22" s="16" t="s">
        <v>24</v>
      </c>
      <c r="E22" s="133" t="e">
        <f>B24+B25+B26+B27+B28</f>
        <v>#VALUE!</v>
      </c>
      <c r="F22" s="132"/>
      <c r="G22" s="132"/>
      <c r="H22" s="132"/>
    </row>
    <row r="23" spans="1:8" ht="15">
      <c r="A23" s="8" t="s">
        <v>25</v>
      </c>
      <c r="B23" s="12" t="s">
        <v>16</v>
      </c>
      <c r="C23" s="15">
        <f>C18</f>
        <v>23304.332</v>
      </c>
      <c r="D23" s="16"/>
      <c r="E23" s="132"/>
      <c r="F23" s="132"/>
      <c r="G23" s="132"/>
      <c r="H23" s="132"/>
    </row>
    <row r="24" spans="1:8" ht="15">
      <c r="A24" s="8" t="s">
        <v>26</v>
      </c>
      <c r="B24" s="12" t="s">
        <v>16</v>
      </c>
      <c r="C24" s="15">
        <v>0</v>
      </c>
      <c r="D24" s="22">
        <v>65.21</v>
      </c>
      <c r="E24" s="134" t="e">
        <f>B24/#REF!*1</f>
        <v>#VALUE!</v>
      </c>
      <c r="F24" s="132"/>
      <c r="G24" s="132"/>
      <c r="H24" s="132" t="s">
        <v>27</v>
      </c>
    </row>
    <row r="25" spans="1:8" ht="15">
      <c r="A25" s="8" t="s">
        <v>28</v>
      </c>
      <c r="B25" s="12" t="s">
        <v>16</v>
      </c>
      <c r="C25" s="15">
        <v>0</v>
      </c>
      <c r="D25" s="22">
        <v>119.63</v>
      </c>
      <c r="E25" s="134" t="e">
        <f>B25/#REF!*1</f>
        <v>#VALUE!</v>
      </c>
      <c r="F25" s="132"/>
      <c r="G25" s="132"/>
      <c r="H25" s="132"/>
    </row>
    <row r="26" spans="1:8" ht="15">
      <c r="A26" s="9" t="s">
        <v>29</v>
      </c>
      <c r="B26" s="12" t="s">
        <v>16</v>
      </c>
      <c r="C26" s="15">
        <v>0</v>
      </c>
      <c r="D26" s="22"/>
      <c r="E26" s="134" t="e">
        <f>B26/#REF!*1</f>
        <v>#VALUE!</v>
      </c>
      <c r="F26" s="132"/>
      <c r="G26" s="132"/>
      <c r="H26" s="132"/>
    </row>
    <row r="27" spans="1:8" ht="16.5" customHeight="1">
      <c r="A27" s="116" t="s">
        <v>112</v>
      </c>
      <c r="B27" s="12" t="s">
        <v>16</v>
      </c>
      <c r="C27" s="15">
        <v>0</v>
      </c>
      <c r="D27" s="22">
        <v>139.18</v>
      </c>
      <c r="E27" s="134" t="e">
        <f>B27/#REF!*1</f>
        <v>#VALUE!</v>
      </c>
      <c r="F27" s="132"/>
      <c r="G27" s="132"/>
      <c r="H27" s="132"/>
    </row>
    <row r="28" spans="1:8" ht="15">
      <c r="A28" s="8" t="s">
        <v>31</v>
      </c>
      <c r="B28" s="12" t="s">
        <v>16</v>
      </c>
      <c r="C28" s="15">
        <f>C15+C22</f>
        <v>59937.982</v>
      </c>
      <c r="D28" s="16" t="s">
        <v>32</v>
      </c>
      <c r="E28" s="134" t="e">
        <f>B28/#REF!*1</f>
        <v>#VALUE!</v>
      </c>
      <c r="F28" s="132"/>
      <c r="G28" s="132"/>
      <c r="H28" s="132"/>
    </row>
    <row r="29" spans="1:8" ht="35.25" customHeight="1">
      <c r="A29" s="260" t="s">
        <v>33</v>
      </c>
      <c r="B29" s="260"/>
      <c r="C29" s="260"/>
      <c r="D29" s="260"/>
      <c r="E29" s="132"/>
      <c r="F29" s="132"/>
      <c r="G29" s="132"/>
      <c r="H29" s="132"/>
    </row>
    <row r="30" spans="1:8" ht="60">
      <c r="A30" s="23" t="s">
        <v>34</v>
      </c>
      <c r="B30" s="24" t="s">
        <v>35</v>
      </c>
      <c r="C30" s="25" t="s">
        <v>36</v>
      </c>
      <c r="D30" s="26" t="s">
        <v>37</v>
      </c>
      <c r="E30" s="132"/>
      <c r="F30" s="132"/>
      <c r="G30" s="132"/>
      <c r="H30" s="132"/>
    </row>
    <row r="31" spans="1:8" ht="15">
      <c r="A31" s="27" t="s">
        <v>38</v>
      </c>
      <c r="B31" s="28" t="s">
        <v>39</v>
      </c>
      <c r="C31" s="29" t="s">
        <v>40</v>
      </c>
      <c r="D31" s="107">
        <f>(0.17+0.16)*6*111.1</f>
        <v>219.97799999999998</v>
      </c>
      <c r="E31" s="132"/>
      <c r="F31" s="132"/>
      <c r="G31" s="132"/>
      <c r="H31" s="132"/>
    </row>
    <row r="32" spans="1:8" ht="15">
      <c r="A32" s="31" t="s">
        <v>41</v>
      </c>
      <c r="B32" s="32" t="s">
        <v>42</v>
      </c>
      <c r="C32" s="33" t="s">
        <v>43</v>
      </c>
      <c r="D32" s="34">
        <f>(3.03+3)*6*111.1</f>
        <v>4019.597999999999</v>
      </c>
      <c r="E32" s="132"/>
      <c r="F32" s="132"/>
      <c r="G32" s="132"/>
      <c r="H32" s="132"/>
    </row>
    <row r="33" spans="1:8" ht="15">
      <c r="A33" s="31" t="s">
        <v>44</v>
      </c>
      <c r="B33" s="32" t="s">
        <v>39</v>
      </c>
      <c r="C33" s="33" t="s">
        <v>45</v>
      </c>
      <c r="D33" s="108">
        <f>(0.2+0.21)*6*111.1</f>
        <v>273.306</v>
      </c>
      <c r="E33" s="132"/>
      <c r="F33" s="132"/>
      <c r="G33" s="132"/>
      <c r="H33" s="132"/>
    </row>
    <row r="34" spans="1:8" ht="15">
      <c r="A34" s="31" t="s">
        <v>123</v>
      </c>
      <c r="B34" s="32" t="s">
        <v>39</v>
      </c>
      <c r="C34" s="33" t="s">
        <v>40</v>
      </c>
      <c r="D34" s="108">
        <f>(0.23+0.22)*6*111.1</f>
        <v>299.97</v>
      </c>
      <c r="E34" s="132"/>
      <c r="F34" s="132"/>
      <c r="G34" s="132"/>
      <c r="H34" s="132"/>
    </row>
    <row r="35" spans="1:8" ht="15">
      <c r="A35" s="31" t="s">
        <v>90</v>
      </c>
      <c r="B35" s="106" t="s">
        <v>91</v>
      </c>
      <c r="C35" s="33" t="s">
        <v>40</v>
      </c>
      <c r="D35" s="108">
        <f>(1.33+1.27)*6*111.1</f>
        <v>1733.16</v>
      </c>
      <c r="E35" s="132"/>
      <c r="F35" s="132"/>
      <c r="G35" s="132"/>
      <c r="H35" s="132"/>
    </row>
    <row r="36" spans="1:8" ht="15">
      <c r="A36" s="31" t="s">
        <v>46</v>
      </c>
      <c r="B36" s="32" t="s">
        <v>42</v>
      </c>
      <c r="C36" s="35" t="s">
        <v>47</v>
      </c>
      <c r="D36" s="108">
        <f>4.88*111.1*12</f>
        <v>6506.016</v>
      </c>
      <c r="E36" s="132"/>
      <c r="F36" s="132"/>
      <c r="G36" s="132"/>
      <c r="H36" s="132"/>
    </row>
    <row r="37" spans="1:14" s="1" customFormat="1" ht="45">
      <c r="A37" s="36" t="s">
        <v>48</v>
      </c>
      <c r="B37" s="37" t="s">
        <v>49</v>
      </c>
      <c r="C37" s="38"/>
      <c r="D37" s="39">
        <v>0</v>
      </c>
      <c r="E37" s="132"/>
      <c r="F37" s="132"/>
      <c r="G37" s="132"/>
      <c r="H37" s="132"/>
      <c r="K37"/>
      <c r="L37"/>
      <c r="M37"/>
      <c r="N37"/>
    </row>
    <row r="38" spans="1:14" s="1" customFormat="1" ht="15">
      <c r="A38" s="109" t="s">
        <v>95</v>
      </c>
      <c r="B38" s="110" t="s">
        <v>96</v>
      </c>
      <c r="C38" s="111"/>
      <c r="D38" s="112">
        <f>1.22*6*111.1</f>
        <v>813.252</v>
      </c>
      <c r="E38" s="208"/>
      <c r="F38" s="132"/>
      <c r="G38" s="132"/>
      <c r="H38" s="132"/>
      <c r="K38"/>
      <c r="L38"/>
      <c r="M38"/>
      <c r="N38"/>
    </row>
    <row r="39" spans="1:14" s="1" customFormat="1" ht="15.75">
      <c r="A39" s="40" t="s">
        <v>50</v>
      </c>
      <c r="B39" s="41"/>
      <c r="C39" s="42"/>
      <c r="D39" s="113">
        <f>SUM(D31:D38)</f>
        <v>13865.279999999999</v>
      </c>
      <c r="E39" s="135">
        <f>D39-D37</f>
        <v>13865.279999999999</v>
      </c>
      <c r="F39" s="132"/>
      <c r="G39" s="132"/>
      <c r="H39" s="132"/>
      <c r="K39"/>
      <c r="L39"/>
      <c r="M39"/>
      <c r="N39"/>
    </row>
    <row r="40" spans="1:14" s="1" customFormat="1" ht="15">
      <c r="A40" s="43" t="s">
        <v>51</v>
      </c>
      <c r="B40" s="44" t="s">
        <v>16</v>
      </c>
      <c r="C40" s="45"/>
      <c r="D40" s="46">
        <f>C15+C20*1-D37</f>
        <v>46072.706000000006</v>
      </c>
      <c r="E40" s="135"/>
      <c r="F40" s="132"/>
      <c r="G40" s="132"/>
      <c r="H40" s="132"/>
      <c r="K40"/>
      <c r="L40"/>
      <c r="M40"/>
      <c r="N40"/>
    </row>
    <row r="41" spans="1:14" s="1" customFormat="1" ht="15">
      <c r="A41" s="48" t="s">
        <v>17</v>
      </c>
      <c r="B41" s="49" t="s">
        <v>16</v>
      </c>
      <c r="C41" s="33"/>
      <c r="D41" s="14">
        <v>0</v>
      </c>
      <c r="E41" s="132"/>
      <c r="F41" s="132"/>
      <c r="G41" s="132"/>
      <c r="H41" s="132"/>
      <c r="K41"/>
      <c r="L41"/>
      <c r="M41"/>
      <c r="N41"/>
    </row>
    <row r="42" spans="1:14" s="1" customFormat="1" ht="15">
      <c r="A42" s="48" t="s">
        <v>18</v>
      </c>
      <c r="B42" s="49" t="s">
        <v>16</v>
      </c>
      <c r="C42" s="33"/>
      <c r="D42" s="14">
        <v>1914.14</v>
      </c>
      <c r="E42" s="132"/>
      <c r="F42" s="132"/>
      <c r="G42" s="132"/>
      <c r="H42" s="132"/>
      <c r="K42"/>
      <c r="L42"/>
      <c r="M42"/>
      <c r="N42"/>
    </row>
    <row r="43" spans="1:14" s="1" customFormat="1" ht="24" customHeight="1">
      <c r="A43" s="261" t="s">
        <v>52</v>
      </c>
      <c r="B43" s="261"/>
      <c r="C43" s="261"/>
      <c r="D43" s="261"/>
      <c r="E43" s="132"/>
      <c r="F43" s="132"/>
      <c r="G43" s="132"/>
      <c r="H43" s="132"/>
      <c r="K43"/>
      <c r="L43"/>
      <c r="M43"/>
      <c r="N43"/>
    </row>
    <row r="44" spans="1:14" s="1" customFormat="1" ht="15">
      <c r="A44" s="48" t="s">
        <v>53</v>
      </c>
      <c r="B44" s="32" t="s">
        <v>54</v>
      </c>
      <c r="C44" s="33">
        <v>0</v>
      </c>
      <c r="D44" s="14">
        <v>0</v>
      </c>
      <c r="E44" s="132"/>
      <c r="F44" s="132"/>
      <c r="G44" s="132"/>
      <c r="H44" s="132"/>
      <c r="K44"/>
      <c r="L44"/>
      <c r="M44"/>
      <c r="N44"/>
    </row>
    <row r="45" spans="1:14" s="1" customFormat="1" ht="15">
      <c r="A45" s="48" t="s">
        <v>55</v>
      </c>
      <c r="B45" s="32" t="s">
        <v>54</v>
      </c>
      <c r="C45" s="33">
        <v>0</v>
      </c>
      <c r="D45" s="14">
        <v>0</v>
      </c>
      <c r="E45" s="132"/>
      <c r="F45" s="132"/>
      <c r="G45" s="132"/>
      <c r="H45" s="132"/>
      <c r="K45"/>
      <c r="L45"/>
      <c r="M45"/>
      <c r="N45"/>
    </row>
    <row r="46" spans="1:14" s="1" customFormat="1" ht="15">
      <c r="A46" s="50" t="s">
        <v>56</v>
      </c>
      <c r="B46" s="32" t="s">
        <v>54</v>
      </c>
      <c r="C46" s="33">
        <v>0</v>
      </c>
      <c r="D46" s="14">
        <v>0</v>
      </c>
      <c r="E46" s="132"/>
      <c r="F46" s="132"/>
      <c r="G46" s="132"/>
      <c r="H46" s="132"/>
      <c r="K46"/>
      <c r="L46"/>
      <c r="M46"/>
      <c r="N46"/>
    </row>
    <row r="47" spans="1:14" s="1" customFormat="1" ht="15">
      <c r="A47" s="48" t="s">
        <v>57</v>
      </c>
      <c r="B47" s="32" t="s">
        <v>16</v>
      </c>
      <c r="C47" s="33">
        <v>0</v>
      </c>
      <c r="D47" s="14">
        <v>0</v>
      </c>
      <c r="E47" s="132"/>
      <c r="F47" s="132"/>
      <c r="G47" s="132"/>
      <c r="H47" s="132"/>
      <c r="K47"/>
      <c r="L47"/>
      <c r="M47"/>
      <c r="N47"/>
    </row>
    <row r="48" spans="1:8" ht="20.25" customHeight="1">
      <c r="A48" s="262" t="s">
        <v>58</v>
      </c>
      <c r="B48" s="262"/>
      <c r="C48" s="262"/>
      <c r="D48" s="262"/>
      <c r="E48" s="132"/>
      <c r="F48" s="132"/>
      <c r="G48" s="132"/>
      <c r="H48" s="132"/>
    </row>
    <row r="49" spans="1:8" ht="25.5">
      <c r="A49" s="50" t="s">
        <v>59</v>
      </c>
      <c r="B49" s="32" t="s">
        <v>16</v>
      </c>
      <c r="C49" s="33"/>
      <c r="D49" s="14">
        <v>0</v>
      </c>
      <c r="E49" s="132"/>
      <c r="F49" s="132"/>
      <c r="G49" s="132"/>
      <c r="H49" s="132"/>
    </row>
    <row r="50" spans="1:8" ht="15">
      <c r="A50" s="48" t="s">
        <v>17</v>
      </c>
      <c r="B50" s="32" t="s">
        <v>16</v>
      </c>
      <c r="C50" s="33"/>
      <c r="D50" s="14">
        <v>0</v>
      </c>
      <c r="E50" s="132"/>
      <c r="F50" s="132"/>
      <c r="G50" s="132"/>
      <c r="H50" s="132"/>
    </row>
    <row r="51" spans="1:8" ht="15">
      <c r="A51" s="48" t="s">
        <v>18</v>
      </c>
      <c r="B51" s="32" t="s">
        <v>16</v>
      </c>
      <c r="C51" s="33"/>
      <c r="D51" s="51">
        <v>1066</v>
      </c>
      <c r="E51" s="132"/>
      <c r="F51" s="132"/>
      <c r="G51" s="132"/>
      <c r="H51" s="136"/>
    </row>
    <row r="52" spans="1:8" ht="25.5">
      <c r="A52" s="53" t="s">
        <v>60</v>
      </c>
      <c r="B52" s="32" t="s">
        <v>16</v>
      </c>
      <c r="C52" s="54"/>
      <c r="D52" s="55">
        <v>0</v>
      </c>
      <c r="E52" s="132"/>
      <c r="F52" s="132"/>
      <c r="G52" s="132"/>
      <c r="H52" s="132"/>
    </row>
    <row r="53" spans="1:10" ht="17.25" customHeight="1">
      <c r="A53" s="56" t="s">
        <v>17</v>
      </c>
      <c r="B53" s="32" t="s">
        <v>16</v>
      </c>
      <c r="C53" s="57"/>
      <c r="D53" s="58">
        <v>0</v>
      </c>
      <c r="E53" s="132"/>
      <c r="F53" s="132"/>
      <c r="G53" s="132"/>
      <c r="H53" s="132"/>
      <c r="I53" s="52"/>
      <c r="J53" s="52"/>
    </row>
    <row r="54" spans="1:14" ht="15">
      <c r="A54" s="59" t="s">
        <v>18</v>
      </c>
      <c r="B54" s="32" t="s">
        <v>16</v>
      </c>
      <c r="C54" s="60"/>
      <c r="D54" s="61">
        <v>0</v>
      </c>
      <c r="E54" s="132"/>
      <c r="F54" s="132"/>
      <c r="G54" s="132"/>
      <c r="H54" s="132" t="s">
        <v>32</v>
      </c>
      <c r="I54" s="63"/>
      <c r="J54" s="63"/>
      <c r="K54" s="64"/>
      <c r="L54" s="64"/>
      <c r="M54" s="64"/>
      <c r="N54" s="64"/>
    </row>
    <row r="55" spans="1:14" ht="18" customHeight="1">
      <c r="A55" s="263" t="s">
        <v>61</v>
      </c>
      <c r="B55" s="263"/>
      <c r="C55" s="263"/>
      <c r="D55" s="263"/>
      <c r="E55" s="137"/>
      <c r="F55" s="138"/>
      <c r="G55" s="139"/>
      <c r="H55" s="132"/>
      <c r="I55" s="68"/>
      <c r="J55" s="68"/>
      <c r="K55" s="69"/>
      <c r="L55" s="69"/>
      <c r="M55" s="69"/>
      <c r="N55" s="69"/>
    </row>
    <row r="56" spans="1:14" ht="47.25">
      <c r="A56" s="70" t="s">
        <v>62</v>
      </c>
      <c r="B56" s="71" t="s">
        <v>63</v>
      </c>
      <c r="C56" s="72" t="s">
        <v>64</v>
      </c>
      <c r="D56" s="73" t="s">
        <v>65</v>
      </c>
      <c r="E56" s="137"/>
      <c r="F56" s="138"/>
      <c r="G56" s="139"/>
      <c r="H56" s="132"/>
      <c r="I56" s="68"/>
      <c r="J56" s="74"/>
      <c r="K56" s="69"/>
      <c r="L56" s="69"/>
      <c r="M56" s="69"/>
      <c r="N56" s="69"/>
    </row>
    <row r="57" spans="1:14" ht="15">
      <c r="A57" s="75" t="s">
        <v>66</v>
      </c>
      <c r="B57" s="117">
        <v>13505.14</v>
      </c>
      <c r="C57" s="118">
        <f>B57</f>
        <v>13505.14</v>
      </c>
      <c r="D57" s="119">
        <f>B57-C57</f>
        <v>0</v>
      </c>
      <c r="E57" s="79"/>
      <c r="F57" s="66"/>
      <c r="G57" s="67"/>
      <c r="I57" s="68"/>
      <c r="J57" s="68"/>
      <c r="K57" s="69"/>
      <c r="L57" s="69"/>
      <c r="M57" s="69"/>
      <c r="N57" s="69"/>
    </row>
    <row r="58" spans="1:14" ht="15">
      <c r="A58" s="75" t="s">
        <v>67</v>
      </c>
      <c r="B58" s="117">
        <v>0</v>
      </c>
      <c r="C58" s="118">
        <f>B58*1.1615</f>
        <v>0</v>
      </c>
      <c r="D58" s="119">
        <f>B58-C58</f>
        <v>0</v>
      </c>
      <c r="E58" s="65"/>
      <c r="F58" s="66"/>
      <c r="G58" s="67"/>
      <c r="I58" s="68"/>
      <c r="J58" s="68"/>
      <c r="K58" s="69"/>
      <c r="L58" s="69"/>
      <c r="M58" s="69"/>
      <c r="N58" s="69"/>
    </row>
    <row r="59" spans="1:14" ht="15">
      <c r="A59" s="75" t="s">
        <v>68</v>
      </c>
      <c r="B59" s="120">
        <v>0</v>
      </c>
      <c r="C59" s="118">
        <f>B59*1.1615</f>
        <v>0</v>
      </c>
      <c r="D59" s="119">
        <f>B59-C59</f>
        <v>0</v>
      </c>
      <c r="E59" s="65">
        <f>(2.07+1.8)*6*2301.2-0.37*2301.2*6</f>
        <v>48325.2</v>
      </c>
      <c r="F59" s="81"/>
      <c r="G59" s="82"/>
      <c r="H59" s="65"/>
      <c r="I59" s="68"/>
      <c r="J59" s="68"/>
      <c r="K59" s="69"/>
      <c r="L59" s="69"/>
      <c r="M59" s="69"/>
      <c r="N59" s="69"/>
    </row>
    <row r="60" spans="1:14" ht="15.75" thickBot="1">
      <c r="A60" s="150" t="s">
        <v>69</v>
      </c>
      <c r="B60" s="151">
        <v>0</v>
      </c>
      <c r="C60" s="152">
        <f>B60*1.1615</f>
        <v>0</v>
      </c>
      <c r="D60" s="153">
        <f>B60-C60</f>
        <v>0</v>
      </c>
      <c r="E60" s="65"/>
      <c r="F60" s="81"/>
      <c r="G60" s="82"/>
      <c r="I60" s="68"/>
      <c r="J60" s="68"/>
      <c r="K60" s="69"/>
      <c r="L60" s="69"/>
      <c r="M60" s="69"/>
      <c r="N60" s="69"/>
    </row>
    <row r="61" spans="1:14" ht="63">
      <c r="A61" s="154" t="s">
        <v>70</v>
      </c>
      <c r="B61" s="155" t="s">
        <v>71</v>
      </c>
      <c r="C61" s="156" t="s">
        <v>72</v>
      </c>
      <c r="D61" s="157" t="s">
        <v>73</v>
      </c>
      <c r="E61" s="65"/>
      <c r="F61" s="81"/>
      <c r="H61" s="68"/>
      <c r="I61" s="68"/>
      <c r="J61" s="68"/>
      <c r="K61" s="69"/>
      <c r="L61" s="69"/>
      <c r="M61" s="69"/>
      <c r="N61" s="69"/>
    </row>
    <row r="62" spans="1:14" ht="15">
      <c r="A62" s="158" t="s">
        <v>66</v>
      </c>
      <c r="B62" s="124">
        <f>B57</f>
        <v>13505.14</v>
      </c>
      <c r="C62" s="125">
        <f>C57</f>
        <v>13505.14</v>
      </c>
      <c r="D62" s="159">
        <f>B62-C62</f>
        <v>0</v>
      </c>
      <c r="E62" s="65"/>
      <c r="F62" s="81"/>
      <c r="H62" s="68"/>
      <c r="I62" s="68"/>
      <c r="J62" s="68" t="s">
        <v>32</v>
      </c>
      <c r="K62" s="69"/>
      <c r="L62" s="69"/>
      <c r="M62" s="69"/>
      <c r="N62" s="69"/>
    </row>
    <row r="63" spans="1:14" ht="15">
      <c r="A63" s="158" t="s">
        <v>67</v>
      </c>
      <c r="B63" s="124">
        <v>0</v>
      </c>
      <c r="C63" s="125">
        <v>0</v>
      </c>
      <c r="D63" s="159">
        <f>B63-C63</f>
        <v>0</v>
      </c>
      <c r="E63" s="65"/>
      <c r="F63" s="81"/>
      <c r="H63" s="68"/>
      <c r="I63" s="68"/>
      <c r="J63" s="68"/>
      <c r="K63" s="69"/>
      <c r="L63" s="69"/>
      <c r="M63" s="69"/>
      <c r="N63" s="69"/>
    </row>
    <row r="64" spans="1:14" ht="15">
      <c r="A64" s="158" t="s">
        <v>68</v>
      </c>
      <c r="B64" s="124">
        <v>0</v>
      </c>
      <c r="C64" s="125">
        <v>0</v>
      </c>
      <c r="D64" s="159">
        <f>B64-C64</f>
        <v>0</v>
      </c>
      <c r="E64" s="65"/>
      <c r="F64" s="81"/>
      <c r="H64" s="68"/>
      <c r="I64" s="68"/>
      <c r="J64" s="68"/>
      <c r="K64" s="69"/>
      <c r="L64" s="69"/>
      <c r="M64" s="69"/>
      <c r="N64" s="69"/>
    </row>
    <row r="65" spans="1:14" ht="15">
      <c r="A65" s="158" t="s">
        <v>74</v>
      </c>
      <c r="B65" s="124">
        <v>0</v>
      </c>
      <c r="C65" s="125">
        <v>0</v>
      </c>
      <c r="D65" s="159">
        <f>B65-C65</f>
        <v>0</v>
      </c>
      <c r="E65" s="65"/>
      <c r="F65" s="81"/>
      <c r="H65" s="68"/>
      <c r="I65" s="68"/>
      <c r="J65" s="68"/>
      <c r="K65" s="69"/>
      <c r="L65" s="69"/>
      <c r="M65" s="69"/>
      <c r="N65" s="69"/>
    </row>
    <row r="66" spans="1:14" ht="15.75" thickBot="1">
      <c r="A66" s="160" t="s">
        <v>69</v>
      </c>
      <c r="B66" s="161">
        <v>0</v>
      </c>
      <c r="C66" s="162">
        <v>0</v>
      </c>
      <c r="D66" s="163">
        <f>B66-C66</f>
        <v>0</v>
      </c>
      <c r="E66" s="65"/>
      <c r="F66" s="81"/>
      <c r="H66" s="68" t="s">
        <v>32</v>
      </c>
      <c r="I66" s="68"/>
      <c r="J66" s="68"/>
      <c r="K66" s="69"/>
      <c r="L66" s="69"/>
      <c r="M66" s="69"/>
      <c r="N66" s="69"/>
    </row>
    <row r="67" spans="1:14" ht="15">
      <c r="A67" s="91"/>
      <c r="B67" s="87"/>
      <c r="C67" s="92"/>
      <c r="D67" s="93"/>
      <c r="E67" s="65"/>
      <c r="F67" s="81"/>
      <c r="H67" s="68"/>
      <c r="I67" s="68"/>
      <c r="J67" s="68"/>
      <c r="K67" s="69"/>
      <c r="L67" s="69"/>
      <c r="M67" s="69"/>
      <c r="N67" s="69"/>
    </row>
    <row r="68" spans="1:14" ht="25.5">
      <c r="A68" s="94" t="s">
        <v>75</v>
      </c>
      <c r="B68" s="87" t="s">
        <v>16</v>
      </c>
      <c r="C68" s="95"/>
      <c r="D68" s="96"/>
      <c r="E68" s="65"/>
      <c r="F68" s="81"/>
      <c r="H68" s="68"/>
      <c r="I68" s="68"/>
      <c r="J68" s="68" t="s">
        <v>32</v>
      </c>
      <c r="K68" s="69"/>
      <c r="L68" s="69"/>
      <c r="M68" s="69"/>
      <c r="N68" s="69"/>
    </row>
    <row r="69" spans="1:14" ht="17.25" customHeight="1">
      <c r="A69" s="264" t="s">
        <v>76</v>
      </c>
      <c r="B69" s="264"/>
      <c r="C69" s="264"/>
      <c r="D69" s="264"/>
      <c r="E69" s="97" t="e">
        <f>D69+B19</f>
        <v>#VALUE!</v>
      </c>
      <c r="F69" s="68"/>
      <c r="H69" s="98" t="e">
        <f>E69-B18</f>
        <v>#VALUE!</v>
      </c>
      <c r="I69" s="68"/>
      <c r="J69" s="68"/>
      <c r="K69" s="69"/>
      <c r="L69" s="69"/>
      <c r="M69" s="69"/>
      <c r="N69" s="69"/>
    </row>
    <row r="70" spans="1:5" ht="21" customHeight="1">
      <c r="A70" s="99" t="s">
        <v>53</v>
      </c>
      <c r="B70" s="99" t="s">
        <v>54</v>
      </c>
      <c r="C70" s="100">
        <v>0</v>
      </c>
      <c r="D70" s="101"/>
      <c r="E70" s="102"/>
    </row>
    <row r="71" spans="1:5" ht="21" customHeight="1">
      <c r="A71" s="99" t="s">
        <v>55</v>
      </c>
      <c r="B71" s="99" t="s">
        <v>54</v>
      </c>
      <c r="C71" s="99">
        <v>0</v>
      </c>
      <c r="D71" s="101"/>
      <c r="E71" s="102"/>
    </row>
    <row r="72" spans="1:5" ht="18" customHeight="1">
      <c r="A72" s="99" t="s">
        <v>56</v>
      </c>
      <c r="B72" s="99" t="s">
        <v>54</v>
      </c>
      <c r="C72" s="99">
        <v>0</v>
      </c>
      <c r="D72" s="101"/>
      <c r="E72" s="102"/>
    </row>
    <row r="73" spans="1:5" ht="16.5" customHeight="1">
      <c r="A73" s="99" t="s">
        <v>57</v>
      </c>
      <c r="B73" s="99" t="s">
        <v>16</v>
      </c>
      <c r="C73" s="99">
        <v>0</v>
      </c>
      <c r="D73" s="101"/>
      <c r="E73" s="102"/>
    </row>
    <row r="74" spans="1:5" ht="15.75" customHeight="1">
      <c r="A74" s="258" t="s">
        <v>77</v>
      </c>
      <c r="B74" s="258"/>
      <c r="C74" s="258"/>
      <c r="D74" s="258"/>
      <c r="E74" s="102"/>
    </row>
    <row r="75" spans="1:5" ht="18.75" customHeight="1">
      <c r="A75" s="99" t="s">
        <v>78</v>
      </c>
      <c r="B75" s="99" t="s">
        <v>54</v>
      </c>
      <c r="C75" s="99">
        <v>0</v>
      </c>
      <c r="D75" s="101"/>
      <c r="E75" s="102"/>
    </row>
    <row r="76" spans="1:5" ht="21.75" customHeight="1">
      <c r="A76" s="99" t="s">
        <v>79</v>
      </c>
      <c r="B76" s="56" t="s">
        <v>54</v>
      </c>
      <c r="C76" s="56">
        <v>0</v>
      </c>
      <c r="D76" s="101"/>
      <c r="E76" s="102"/>
    </row>
    <row r="77" spans="1:5" ht="36" customHeight="1">
      <c r="A77" s="103" t="s">
        <v>80</v>
      </c>
      <c r="B77" s="99" t="s">
        <v>16</v>
      </c>
      <c r="C77" s="99">
        <v>0</v>
      </c>
      <c r="D77" s="101"/>
      <c r="E77" s="102"/>
    </row>
    <row r="78" spans="1:4" ht="15">
      <c r="A78" s="69"/>
      <c r="B78" s="69"/>
      <c r="C78" s="69"/>
      <c r="D78" s="104"/>
    </row>
    <row r="79" spans="1:14" s="1" customFormat="1" ht="12.75">
      <c r="A79"/>
      <c r="B79"/>
      <c r="C79"/>
      <c r="D79"/>
      <c r="H79" s="1" t="s">
        <v>32</v>
      </c>
      <c r="K79"/>
      <c r="L79"/>
      <c r="M79"/>
      <c r="N79"/>
    </row>
    <row r="80" spans="1:14" s="1" customFormat="1" ht="12.75">
      <c r="A80" t="s">
        <v>81</v>
      </c>
      <c r="B80"/>
      <c r="C80"/>
      <c r="D80"/>
      <c r="K80"/>
      <c r="L80"/>
      <c r="M80"/>
      <c r="N80"/>
    </row>
    <row r="81" spans="1:14" s="1" customFormat="1" ht="12.75">
      <c r="A81"/>
      <c r="B81"/>
      <c r="C81"/>
      <c r="D81"/>
      <c r="H81" s="1" t="s">
        <v>32</v>
      </c>
      <c r="K81"/>
      <c r="L81"/>
      <c r="M81"/>
      <c r="N81"/>
    </row>
    <row r="82" spans="1:14" s="1" customFormat="1" ht="12.75">
      <c r="A82" t="s">
        <v>82</v>
      </c>
      <c r="B82"/>
      <c r="C82"/>
      <c r="D82"/>
      <c r="K82"/>
      <c r="L82"/>
      <c r="M82"/>
      <c r="N82"/>
    </row>
    <row r="86" spans="1:14" s="1" customFormat="1" ht="12.75">
      <c r="A86"/>
      <c r="B86"/>
      <c r="C86"/>
      <c r="D86"/>
      <c r="E86" s="1" t="s">
        <v>32</v>
      </c>
      <c r="K86"/>
      <c r="L86"/>
      <c r="M86"/>
      <c r="N86"/>
    </row>
  </sheetData>
  <sheetProtection selectLockedCells="1" selectUnlockedCells="1"/>
  <mergeCells count="13">
    <mergeCell ref="A1:D1"/>
    <mergeCell ref="A2:D2"/>
    <mergeCell ref="A3:D3"/>
    <mergeCell ref="A4:D4"/>
    <mergeCell ref="A5:D5"/>
    <mergeCell ref="A7:D7"/>
    <mergeCell ref="A74:D74"/>
    <mergeCell ref="A14:D14"/>
    <mergeCell ref="A29:D29"/>
    <mergeCell ref="A43:D43"/>
    <mergeCell ref="A48:D48"/>
    <mergeCell ref="A55:D55"/>
    <mergeCell ref="A69:D69"/>
  </mergeCells>
  <printOptions/>
  <pageMargins left="0.5597222222222222" right="0.7875" top="0.34097222222222223" bottom="0.7875" header="0.5118055555555555" footer="0.5118055555555555"/>
  <pageSetup fitToHeight="3" fitToWidth="2" horizontalDpi="300" verticalDpi="300" orientation="landscape" paperSize="12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6"/>
  <sheetViews>
    <sheetView zoomScale="80" zoomScaleNormal="80" zoomScalePageLayoutView="0" workbookViewId="0" topLeftCell="A16">
      <selection activeCell="E38" sqref="E38:E40"/>
    </sheetView>
  </sheetViews>
  <sheetFormatPr defaultColWidth="11.57421875" defaultRowHeight="12.75"/>
  <cols>
    <col min="1" max="1" width="63.28125" style="0" customWidth="1"/>
    <col min="2" max="2" width="20.28125" style="0" customWidth="1"/>
    <col min="3" max="3" width="31.421875" style="0" customWidth="1"/>
    <col min="4" max="4" width="27.57421875" style="0" customWidth="1"/>
    <col min="5" max="5" width="16.8515625" style="1" customWidth="1"/>
    <col min="6" max="7" width="0" style="1" hidden="1" customWidth="1"/>
    <col min="8" max="8" width="11.57421875" style="1" customWidth="1"/>
    <col min="9" max="9" width="5.28125" style="1" customWidth="1"/>
    <col min="10" max="10" width="30.00390625" style="1" customWidth="1"/>
    <col min="11" max="12" width="23.28125" style="0" customWidth="1"/>
    <col min="13" max="13" width="6.57421875" style="0" customWidth="1"/>
    <col min="14" max="14" width="7.00390625" style="0" customWidth="1"/>
  </cols>
  <sheetData>
    <row r="1" spans="1:4" ht="18">
      <c r="A1" s="265" t="s">
        <v>0</v>
      </c>
      <c r="B1" s="265"/>
      <c r="C1" s="265"/>
      <c r="D1" s="265"/>
    </row>
    <row r="2" spans="1:4" ht="15.75">
      <c r="A2" s="266" t="s">
        <v>1</v>
      </c>
      <c r="B2" s="266"/>
      <c r="C2" s="266"/>
      <c r="D2" s="266"/>
    </row>
    <row r="3" spans="1:4" ht="15.75">
      <c r="A3" s="266" t="s">
        <v>2</v>
      </c>
      <c r="B3" s="266"/>
      <c r="C3" s="266"/>
      <c r="D3" s="266"/>
    </row>
    <row r="4" spans="1:4" ht="12.75">
      <c r="A4" s="267" t="s">
        <v>129</v>
      </c>
      <c r="B4" s="267"/>
      <c r="C4" s="267"/>
      <c r="D4" s="267"/>
    </row>
    <row r="5" spans="1:4" ht="12.75">
      <c r="A5" s="268" t="s">
        <v>171</v>
      </c>
      <c r="B5" s="267"/>
      <c r="C5" s="267"/>
      <c r="D5" s="267"/>
    </row>
    <row r="6" ht="9" customHeight="1">
      <c r="A6" s="2"/>
    </row>
    <row r="7" spans="1:4" ht="18" customHeight="1">
      <c r="A7" s="269" t="s">
        <v>4</v>
      </c>
      <c r="B7" s="269"/>
      <c r="C7" s="269"/>
      <c r="D7" s="269"/>
    </row>
    <row r="8" spans="1:3" ht="12.75">
      <c r="A8" s="2" t="s">
        <v>242</v>
      </c>
      <c r="C8" s="3"/>
    </row>
    <row r="9" spans="1:4" ht="12.75">
      <c r="A9" s="4" t="s">
        <v>5</v>
      </c>
      <c r="B9" s="4" t="s">
        <v>6</v>
      </c>
      <c r="C9" s="4" t="s">
        <v>7</v>
      </c>
      <c r="D9" s="5"/>
    </row>
    <row r="10" spans="1:4" ht="12.75">
      <c r="A10" s="6">
        <v>1</v>
      </c>
      <c r="B10" s="6">
        <v>2</v>
      </c>
      <c r="C10" s="6">
        <v>3</v>
      </c>
      <c r="D10" s="7">
        <v>4</v>
      </c>
    </row>
    <row r="11" spans="1:4" ht="12.75">
      <c r="A11" s="8" t="s">
        <v>8</v>
      </c>
      <c r="B11" s="9"/>
      <c r="C11" s="177" t="s">
        <v>172</v>
      </c>
      <c r="D11" s="10"/>
    </row>
    <row r="12" spans="1:8" ht="12.75">
      <c r="A12" s="8" t="s">
        <v>10</v>
      </c>
      <c r="B12" s="9"/>
      <c r="C12" s="177" t="s">
        <v>173</v>
      </c>
      <c r="D12" s="10"/>
      <c r="E12" s="132"/>
      <c r="F12" s="132"/>
      <c r="G12" s="132"/>
      <c r="H12" s="132"/>
    </row>
    <row r="13" spans="1:8" ht="12.75">
      <c r="A13" s="8" t="s">
        <v>12</v>
      </c>
      <c r="B13" s="9"/>
      <c r="C13" s="177" t="s">
        <v>174</v>
      </c>
      <c r="D13" s="10"/>
      <c r="E13" s="132"/>
      <c r="F13" s="132"/>
      <c r="G13" s="132"/>
      <c r="H13" s="132"/>
    </row>
    <row r="14" spans="1:8" ht="31.5" customHeight="1">
      <c r="A14" s="259" t="s">
        <v>14</v>
      </c>
      <c r="B14" s="259"/>
      <c r="C14" s="259"/>
      <c r="D14" s="259"/>
      <c r="E14" s="132"/>
      <c r="F14" s="132"/>
      <c r="G14" s="132"/>
      <c r="H14" s="132"/>
    </row>
    <row r="15" spans="1:8" ht="25.5">
      <c r="A15" s="11" t="s">
        <v>15</v>
      </c>
      <c r="B15" s="12" t="s">
        <v>16</v>
      </c>
      <c r="C15" s="13">
        <v>26672.07</v>
      </c>
      <c r="D15" s="14"/>
      <c r="E15" s="132"/>
      <c r="F15" s="132"/>
      <c r="G15" s="132"/>
      <c r="H15" s="132"/>
    </row>
    <row r="16" spans="1:8" ht="15">
      <c r="A16" s="8" t="s">
        <v>17</v>
      </c>
      <c r="B16" s="12" t="s">
        <v>16</v>
      </c>
      <c r="C16" s="13">
        <v>0</v>
      </c>
      <c r="D16" s="14"/>
      <c r="E16" s="132"/>
      <c r="F16" s="132"/>
      <c r="G16" s="132"/>
      <c r="H16" s="132"/>
    </row>
    <row r="17" spans="1:8" ht="15">
      <c r="A17" s="8" t="s">
        <v>18</v>
      </c>
      <c r="B17" s="12" t="s">
        <v>16</v>
      </c>
      <c r="C17" s="15">
        <v>17428.19</v>
      </c>
      <c r="D17" s="16"/>
      <c r="E17" s="132" t="e">
        <f>B17/12/1022.6</f>
        <v>#VALUE!</v>
      </c>
      <c r="F17" s="132"/>
      <c r="G17" s="132"/>
      <c r="H17" s="132"/>
    </row>
    <row r="18" spans="1:8" ht="31.5" customHeight="1">
      <c r="A18" s="17" t="s">
        <v>19</v>
      </c>
      <c r="B18" s="12" t="s">
        <v>16</v>
      </c>
      <c r="C18" s="15">
        <f>C19+C20+C21</f>
        <v>19362.85</v>
      </c>
      <c r="D18" s="16"/>
      <c r="E18" s="133">
        <f>C18-C20</f>
        <v>13446.789999999999</v>
      </c>
      <c r="F18" s="132"/>
      <c r="G18" s="132"/>
      <c r="H18" s="132"/>
    </row>
    <row r="19" spans="1:8" ht="15">
      <c r="A19" s="8" t="s">
        <v>20</v>
      </c>
      <c r="B19" s="12" t="s">
        <v>16</v>
      </c>
      <c r="C19" s="15">
        <f>4859.82+2086.81</f>
        <v>6946.629999999999</v>
      </c>
      <c r="D19" s="16"/>
      <c r="E19" s="133">
        <f>E18-E39</f>
        <v>0.004000000002633897</v>
      </c>
      <c r="F19" s="132"/>
      <c r="G19" s="132"/>
      <c r="H19" s="132"/>
    </row>
    <row r="20" spans="1:8" ht="15">
      <c r="A20" s="8" t="s">
        <v>21</v>
      </c>
      <c r="B20" s="12" t="s">
        <v>16</v>
      </c>
      <c r="C20" s="15">
        <f>(2.81+2.94)*6*111+2086.56</f>
        <v>5916.0599999999995</v>
      </c>
      <c r="D20" s="16"/>
      <c r="E20" s="134"/>
      <c r="F20" s="132"/>
      <c r="G20" s="132"/>
      <c r="H20" s="132"/>
    </row>
    <row r="21" spans="1:8" ht="15">
      <c r="A21" s="8" t="s">
        <v>22</v>
      </c>
      <c r="B21" s="12" t="s">
        <v>16</v>
      </c>
      <c r="C21" s="20">
        <f>111*4.88*12</f>
        <v>6500.16</v>
      </c>
      <c r="D21" s="16"/>
      <c r="E21" s="132"/>
      <c r="F21" s="132"/>
      <c r="G21" s="132"/>
      <c r="H21" s="132"/>
    </row>
    <row r="22" spans="1:8" ht="15">
      <c r="A22" s="21" t="s">
        <v>23</v>
      </c>
      <c r="B22" s="12" t="s">
        <v>16</v>
      </c>
      <c r="C22" s="15">
        <f>C23+C24+C25+C26+C27</f>
        <v>14965.546765</v>
      </c>
      <c r="D22" s="16" t="s">
        <v>24</v>
      </c>
      <c r="E22" s="133" t="e">
        <f>B24+B25+B26+B27+B28</f>
        <v>#VALUE!</v>
      </c>
      <c r="F22" s="132"/>
      <c r="G22" s="132"/>
      <c r="H22" s="132"/>
    </row>
    <row r="23" spans="1:8" ht="15">
      <c r="A23" s="8" t="s">
        <v>25</v>
      </c>
      <c r="B23" s="12" t="s">
        <v>16</v>
      </c>
      <c r="C23" s="15">
        <f>C18*0.7729</f>
        <v>14965.546765</v>
      </c>
      <c r="D23" s="16"/>
      <c r="E23" s="132"/>
      <c r="F23" s="132"/>
      <c r="G23" s="132"/>
      <c r="H23" s="132"/>
    </row>
    <row r="24" spans="1:8" ht="15">
      <c r="A24" s="8" t="s">
        <v>26</v>
      </c>
      <c r="B24" s="12" t="s">
        <v>16</v>
      </c>
      <c r="C24" s="15">
        <v>0</v>
      </c>
      <c r="D24" s="22">
        <v>65.21</v>
      </c>
      <c r="E24" s="134" t="e">
        <f>B24/#REF!*1</f>
        <v>#VALUE!</v>
      </c>
      <c r="F24" s="132"/>
      <c r="G24" s="132"/>
      <c r="H24" s="132" t="s">
        <v>27</v>
      </c>
    </row>
    <row r="25" spans="1:8" ht="15">
      <c r="A25" s="8" t="s">
        <v>28</v>
      </c>
      <c r="B25" s="12" t="s">
        <v>16</v>
      </c>
      <c r="C25" s="15">
        <v>0</v>
      </c>
      <c r="D25" s="22">
        <v>119.63</v>
      </c>
      <c r="E25" s="134" t="e">
        <f>B25/#REF!*1</f>
        <v>#VALUE!</v>
      </c>
      <c r="F25" s="132"/>
      <c r="G25" s="132"/>
      <c r="H25" s="132"/>
    </row>
    <row r="26" spans="1:8" ht="15">
      <c r="A26" s="9" t="s">
        <v>29</v>
      </c>
      <c r="B26" s="12" t="s">
        <v>16</v>
      </c>
      <c r="C26" s="15">
        <v>0</v>
      </c>
      <c r="D26" s="22"/>
      <c r="E26" s="134" t="e">
        <f>B26/#REF!*1</f>
        <v>#VALUE!</v>
      </c>
      <c r="F26" s="132"/>
      <c r="G26" s="132"/>
      <c r="H26" s="132"/>
    </row>
    <row r="27" spans="1:8" ht="16.5" customHeight="1">
      <c r="A27" s="116" t="s">
        <v>112</v>
      </c>
      <c r="B27" s="12" t="s">
        <v>16</v>
      </c>
      <c r="C27" s="15">
        <v>0</v>
      </c>
      <c r="D27" s="22">
        <v>139.18</v>
      </c>
      <c r="E27" s="134" t="e">
        <f>B27/#REF!*1</f>
        <v>#VALUE!</v>
      </c>
      <c r="F27" s="132"/>
      <c r="G27" s="132"/>
      <c r="H27" s="132"/>
    </row>
    <row r="28" spans="1:8" ht="15">
      <c r="A28" s="8" t="s">
        <v>31</v>
      </c>
      <c r="B28" s="12" t="s">
        <v>16</v>
      </c>
      <c r="C28" s="15">
        <f>C15+C22</f>
        <v>41637.616765</v>
      </c>
      <c r="D28" s="16" t="s">
        <v>32</v>
      </c>
      <c r="E28" s="134" t="e">
        <f>B28/#REF!*1</f>
        <v>#VALUE!</v>
      </c>
      <c r="F28" s="132"/>
      <c r="G28" s="132"/>
      <c r="H28" s="132"/>
    </row>
    <row r="29" spans="1:8" ht="35.25" customHeight="1">
      <c r="A29" s="260" t="s">
        <v>33</v>
      </c>
      <c r="B29" s="260"/>
      <c r="C29" s="260"/>
      <c r="D29" s="260"/>
      <c r="E29" s="132"/>
      <c r="F29" s="132"/>
      <c r="G29" s="132"/>
      <c r="H29" s="132"/>
    </row>
    <row r="30" spans="1:8" ht="60">
      <c r="A30" s="23" t="s">
        <v>34</v>
      </c>
      <c r="B30" s="24" t="s">
        <v>35</v>
      </c>
      <c r="C30" s="25" t="s">
        <v>36</v>
      </c>
      <c r="D30" s="26" t="s">
        <v>37</v>
      </c>
      <c r="E30" s="132"/>
      <c r="F30" s="132"/>
      <c r="G30" s="132"/>
      <c r="H30" s="132"/>
    </row>
    <row r="31" spans="1:8" ht="15">
      <c r="A31" s="27" t="s">
        <v>38</v>
      </c>
      <c r="B31" s="28" t="s">
        <v>39</v>
      </c>
      <c r="C31" s="29" t="s">
        <v>40</v>
      </c>
      <c r="D31" s="107">
        <f>(0.17+0.16)*6*111</f>
        <v>219.78</v>
      </c>
      <c r="E31" s="132"/>
      <c r="F31" s="132"/>
      <c r="G31" s="132"/>
      <c r="H31" s="132"/>
    </row>
    <row r="32" spans="1:8" ht="15">
      <c r="A32" s="31" t="s">
        <v>41</v>
      </c>
      <c r="B32" s="32" t="s">
        <v>42</v>
      </c>
      <c r="C32" s="33" t="s">
        <v>43</v>
      </c>
      <c r="D32" s="34">
        <f>(3.03+3)*6*111</f>
        <v>4015.979999999999</v>
      </c>
      <c r="E32" s="132"/>
      <c r="F32" s="132"/>
      <c r="G32" s="132"/>
      <c r="H32" s="132"/>
    </row>
    <row r="33" spans="1:8" ht="15">
      <c r="A33" s="31" t="s">
        <v>44</v>
      </c>
      <c r="B33" s="32" t="s">
        <v>39</v>
      </c>
      <c r="C33" s="33" t="s">
        <v>45</v>
      </c>
      <c r="D33" s="108">
        <f>(0.2+0.21)*6*111.1</f>
        <v>273.306</v>
      </c>
      <c r="E33" s="132"/>
      <c r="F33" s="132"/>
      <c r="G33" s="132"/>
      <c r="H33" s="132"/>
    </row>
    <row r="34" spans="1:8" ht="15">
      <c r="A34" s="31" t="s">
        <v>115</v>
      </c>
      <c r="B34" s="32" t="s">
        <v>39</v>
      </c>
      <c r="C34" s="33" t="s">
        <v>40</v>
      </c>
      <c r="D34" s="108">
        <f>(0.23+0.22)*6*111</f>
        <v>299.70000000000005</v>
      </c>
      <c r="E34" s="132"/>
      <c r="F34" s="132"/>
      <c r="G34" s="132"/>
      <c r="H34" s="132"/>
    </row>
    <row r="35" spans="1:8" ht="15">
      <c r="A35" s="31" t="s">
        <v>90</v>
      </c>
      <c r="B35" s="106" t="s">
        <v>91</v>
      </c>
      <c r="C35" s="33" t="s">
        <v>40</v>
      </c>
      <c r="D35" s="108">
        <f>(1.33+1.27)*6*111</f>
        <v>1731.6000000000001</v>
      </c>
      <c r="E35" s="132"/>
      <c r="F35" s="132"/>
      <c r="G35" s="132"/>
      <c r="H35" s="132"/>
    </row>
    <row r="36" spans="1:8" ht="15">
      <c r="A36" s="31" t="s">
        <v>46</v>
      </c>
      <c r="B36" s="32" t="s">
        <v>42</v>
      </c>
      <c r="C36" s="35" t="s">
        <v>47</v>
      </c>
      <c r="D36" s="108">
        <f>4.88*111*12</f>
        <v>6500.16</v>
      </c>
      <c r="E36" s="132"/>
      <c r="F36" s="132"/>
      <c r="G36" s="132"/>
      <c r="H36" s="132"/>
    </row>
    <row r="37" spans="1:14" s="1" customFormat="1" ht="45">
      <c r="A37" s="180" t="s">
        <v>243</v>
      </c>
      <c r="B37" s="37" t="s">
        <v>49</v>
      </c>
      <c r="C37" s="33" t="s">
        <v>244</v>
      </c>
      <c r="D37" s="39">
        <v>16330</v>
      </c>
      <c r="E37" s="208"/>
      <c r="F37" s="132"/>
      <c r="G37" s="132"/>
      <c r="H37" s="132"/>
      <c r="K37"/>
      <c r="L37"/>
      <c r="M37"/>
      <c r="N37"/>
    </row>
    <row r="38" spans="1:14" s="1" customFormat="1" ht="15">
      <c r="A38" s="109" t="s">
        <v>95</v>
      </c>
      <c r="B38" s="110" t="s">
        <v>96</v>
      </c>
      <c r="C38" s="111"/>
      <c r="D38" s="112">
        <f>111*6*0.61</f>
        <v>406.26</v>
      </c>
      <c r="E38" s="132"/>
      <c r="F38" s="132"/>
      <c r="G38" s="132"/>
      <c r="H38" s="132"/>
      <c r="K38"/>
      <c r="L38"/>
      <c r="M38"/>
      <c r="N38"/>
    </row>
    <row r="39" spans="1:14" s="1" customFormat="1" ht="15.75">
      <c r="A39" s="40" t="s">
        <v>50</v>
      </c>
      <c r="B39" s="41"/>
      <c r="C39" s="42"/>
      <c r="D39" s="113">
        <f>SUM(D31:D38)</f>
        <v>29776.785999999996</v>
      </c>
      <c r="E39" s="135">
        <f>D39-D37</f>
        <v>13446.785999999996</v>
      </c>
      <c r="F39" s="132"/>
      <c r="G39" s="132"/>
      <c r="H39" s="132"/>
      <c r="K39"/>
      <c r="L39"/>
      <c r="M39"/>
      <c r="N39"/>
    </row>
    <row r="40" spans="1:14" s="1" customFormat="1" ht="15">
      <c r="A40" s="43" t="s">
        <v>51</v>
      </c>
      <c r="B40" s="44" t="s">
        <v>16</v>
      </c>
      <c r="C40" s="45"/>
      <c r="D40" s="46">
        <f>C15+C20*0.7729-D37</f>
        <v>14914.592774</v>
      </c>
      <c r="E40" s="135"/>
      <c r="F40" s="132"/>
      <c r="G40" s="132"/>
      <c r="H40" s="132"/>
      <c r="K40"/>
      <c r="L40"/>
      <c r="M40"/>
      <c r="N40"/>
    </row>
    <row r="41" spans="1:14" s="1" customFormat="1" ht="15">
      <c r="A41" s="48" t="s">
        <v>17</v>
      </c>
      <c r="B41" s="49" t="s">
        <v>16</v>
      </c>
      <c r="C41" s="33"/>
      <c r="D41" s="14">
        <v>0</v>
      </c>
      <c r="E41" s="208"/>
      <c r="F41" s="132"/>
      <c r="G41" s="132"/>
      <c r="H41" s="132"/>
      <c r="K41"/>
      <c r="L41"/>
      <c r="M41"/>
      <c r="N41"/>
    </row>
    <row r="42" spans="1:14" s="1" customFormat="1" ht="15">
      <c r="A42" s="48" t="s">
        <v>18</v>
      </c>
      <c r="B42" s="49" t="s">
        <v>16</v>
      </c>
      <c r="C42" s="33"/>
      <c r="D42" s="14">
        <v>21302.17</v>
      </c>
      <c r="E42" s="132"/>
      <c r="F42" s="132"/>
      <c r="G42" s="132"/>
      <c r="H42" s="132"/>
      <c r="K42"/>
      <c r="L42"/>
      <c r="M42"/>
      <c r="N42"/>
    </row>
    <row r="43" spans="1:14" s="1" customFormat="1" ht="24" customHeight="1">
      <c r="A43" s="261" t="s">
        <v>52</v>
      </c>
      <c r="B43" s="261"/>
      <c r="C43" s="261"/>
      <c r="D43" s="261"/>
      <c r="E43" s="132"/>
      <c r="F43" s="132"/>
      <c r="G43" s="132"/>
      <c r="H43" s="132"/>
      <c r="K43"/>
      <c r="L43"/>
      <c r="M43"/>
      <c r="N43"/>
    </row>
    <row r="44" spans="1:14" s="1" customFormat="1" ht="15">
      <c r="A44" s="48" t="s">
        <v>53</v>
      </c>
      <c r="B44" s="32" t="s">
        <v>54</v>
      </c>
      <c r="C44" s="33">
        <v>0</v>
      </c>
      <c r="D44" s="14">
        <v>0</v>
      </c>
      <c r="E44" s="132"/>
      <c r="F44" s="132"/>
      <c r="G44" s="132"/>
      <c r="H44" s="132"/>
      <c r="K44"/>
      <c r="L44"/>
      <c r="M44"/>
      <c r="N44"/>
    </row>
    <row r="45" spans="1:14" s="1" customFormat="1" ht="15">
      <c r="A45" s="48" t="s">
        <v>55</v>
      </c>
      <c r="B45" s="32" t="s">
        <v>54</v>
      </c>
      <c r="C45" s="33">
        <v>0</v>
      </c>
      <c r="D45" s="14">
        <v>0</v>
      </c>
      <c r="E45" s="132"/>
      <c r="F45" s="132"/>
      <c r="G45" s="132"/>
      <c r="H45" s="132"/>
      <c r="K45"/>
      <c r="L45"/>
      <c r="M45"/>
      <c r="N45"/>
    </row>
    <row r="46" spans="1:14" s="1" customFormat="1" ht="15">
      <c r="A46" s="50" t="s">
        <v>56</v>
      </c>
      <c r="B46" s="32" t="s">
        <v>54</v>
      </c>
      <c r="C46" s="33">
        <v>0</v>
      </c>
      <c r="D46" s="14">
        <v>0</v>
      </c>
      <c r="E46" s="132"/>
      <c r="F46" s="132"/>
      <c r="G46" s="132"/>
      <c r="H46" s="132"/>
      <c r="K46"/>
      <c r="L46"/>
      <c r="M46"/>
      <c r="N46"/>
    </row>
    <row r="47" spans="1:14" s="1" customFormat="1" ht="15">
      <c r="A47" s="48" t="s">
        <v>57</v>
      </c>
      <c r="B47" s="32" t="s">
        <v>16</v>
      </c>
      <c r="C47" s="33">
        <v>0</v>
      </c>
      <c r="D47" s="14">
        <v>0</v>
      </c>
      <c r="E47" s="132"/>
      <c r="F47" s="132"/>
      <c r="G47" s="132"/>
      <c r="H47" s="132"/>
      <c r="K47"/>
      <c r="L47"/>
      <c r="M47"/>
      <c r="N47"/>
    </row>
    <row r="48" spans="1:8" ht="20.25" customHeight="1">
      <c r="A48" s="262" t="s">
        <v>58</v>
      </c>
      <c r="B48" s="262"/>
      <c r="C48" s="262"/>
      <c r="D48" s="262"/>
      <c r="E48" s="132"/>
      <c r="F48" s="132"/>
      <c r="G48" s="132"/>
      <c r="H48" s="132"/>
    </row>
    <row r="49" spans="1:8" ht="25.5">
      <c r="A49" s="50" t="s">
        <v>59</v>
      </c>
      <c r="B49" s="32" t="s">
        <v>16</v>
      </c>
      <c r="C49" s="33"/>
      <c r="D49" s="14">
        <v>0</v>
      </c>
      <c r="E49" s="132"/>
      <c r="F49" s="132"/>
      <c r="G49" s="132"/>
      <c r="H49" s="132"/>
    </row>
    <row r="50" spans="1:8" ht="15">
      <c r="A50" s="48" t="s">
        <v>17</v>
      </c>
      <c r="B50" s="32" t="s">
        <v>16</v>
      </c>
      <c r="C50" s="33"/>
      <c r="D50" s="14">
        <v>0</v>
      </c>
      <c r="E50" s="132"/>
      <c r="F50" s="132"/>
      <c r="G50" s="132"/>
      <c r="H50" s="132"/>
    </row>
    <row r="51" spans="1:8" ht="15">
      <c r="A51" s="48" t="s">
        <v>18</v>
      </c>
      <c r="B51" s="32" t="s">
        <v>16</v>
      </c>
      <c r="C51" s="33"/>
      <c r="D51" s="51">
        <f>D54-D57</f>
        <v>5642.709074</v>
      </c>
      <c r="E51" s="132"/>
      <c r="F51" s="132"/>
      <c r="G51" s="132"/>
      <c r="H51" s="136"/>
    </row>
    <row r="52" spans="1:8" ht="25.5">
      <c r="A52" s="53" t="s">
        <v>60</v>
      </c>
      <c r="B52" s="32" t="s">
        <v>16</v>
      </c>
      <c r="C52" s="54"/>
      <c r="D52" s="55">
        <v>0</v>
      </c>
      <c r="E52" s="132"/>
      <c r="F52" s="132"/>
      <c r="G52" s="132"/>
      <c r="H52" s="132"/>
    </row>
    <row r="53" spans="1:10" ht="17.25" customHeight="1">
      <c r="A53" s="56" t="s">
        <v>17</v>
      </c>
      <c r="B53" s="32" t="s">
        <v>16</v>
      </c>
      <c r="C53" s="57"/>
      <c r="D53" s="58">
        <v>0</v>
      </c>
      <c r="E53" s="132"/>
      <c r="F53" s="132"/>
      <c r="G53" s="132"/>
      <c r="H53" s="132"/>
      <c r="I53" s="52"/>
      <c r="J53" s="52"/>
    </row>
    <row r="54" spans="1:14" ht="15">
      <c r="A54" s="59" t="s">
        <v>18</v>
      </c>
      <c r="B54" s="32" t="s">
        <v>16</v>
      </c>
      <c r="C54" s="60"/>
      <c r="D54" s="61">
        <v>7110.47</v>
      </c>
      <c r="E54" s="132"/>
      <c r="F54" s="132"/>
      <c r="G54" s="132"/>
      <c r="H54" s="132" t="s">
        <v>32</v>
      </c>
      <c r="I54" s="63"/>
      <c r="J54" s="63"/>
      <c r="K54" s="64"/>
      <c r="L54" s="64"/>
      <c r="M54" s="64"/>
      <c r="N54" s="64"/>
    </row>
    <row r="55" spans="1:14" ht="18" customHeight="1">
      <c r="A55" s="263" t="s">
        <v>61</v>
      </c>
      <c r="B55" s="263"/>
      <c r="C55" s="263"/>
      <c r="D55" s="263"/>
      <c r="E55" s="137"/>
      <c r="F55" s="138"/>
      <c r="G55" s="139"/>
      <c r="H55" s="132"/>
      <c r="I55" s="68"/>
      <c r="J55" s="68"/>
      <c r="K55" s="69"/>
      <c r="L55" s="69"/>
      <c r="M55" s="69"/>
      <c r="N55" s="69"/>
    </row>
    <row r="56" spans="1:14" ht="47.25">
      <c r="A56" s="70" t="s">
        <v>62</v>
      </c>
      <c r="B56" s="71" t="s">
        <v>63</v>
      </c>
      <c r="C56" s="72" t="s">
        <v>64</v>
      </c>
      <c r="D56" s="73" t="s">
        <v>65</v>
      </c>
      <c r="E56" s="137"/>
      <c r="F56" s="138"/>
      <c r="G56" s="139"/>
      <c r="H56" s="132"/>
      <c r="I56" s="68"/>
      <c r="J56" s="74"/>
      <c r="K56" s="69"/>
      <c r="L56" s="69"/>
      <c r="M56" s="69"/>
      <c r="N56" s="69"/>
    </row>
    <row r="57" spans="1:14" ht="15">
      <c r="A57" s="75" t="s">
        <v>66</v>
      </c>
      <c r="B57" s="117">
        <v>6463.06</v>
      </c>
      <c r="C57" s="118">
        <f>B57*0.7729</f>
        <v>4995.2990740000005</v>
      </c>
      <c r="D57" s="119">
        <f>B57-C57</f>
        <v>1467.760926</v>
      </c>
      <c r="E57" s="140"/>
      <c r="F57" s="138"/>
      <c r="G57" s="139"/>
      <c r="H57" s="132"/>
      <c r="I57" s="68"/>
      <c r="J57" s="68"/>
      <c r="K57" s="69"/>
      <c r="L57" s="69"/>
      <c r="M57" s="69"/>
      <c r="N57" s="69"/>
    </row>
    <row r="58" spans="1:14" ht="15">
      <c r="A58" s="75" t="s">
        <v>67</v>
      </c>
      <c r="B58" s="117">
        <v>0</v>
      </c>
      <c r="C58" s="118">
        <f>B58*1.1615</f>
        <v>0</v>
      </c>
      <c r="D58" s="119">
        <f>B58-C58</f>
        <v>0</v>
      </c>
      <c r="E58" s="137"/>
      <c r="F58" s="138"/>
      <c r="G58" s="139"/>
      <c r="H58" s="132"/>
      <c r="I58" s="68"/>
      <c r="J58" s="68"/>
      <c r="K58" s="69"/>
      <c r="L58" s="69"/>
      <c r="M58" s="69"/>
      <c r="N58" s="69"/>
    </row>
    <row r="59" spans="1:14" ht="15">
      <c r="A59" s="75" t="s">
        <v>68</v>
      </c>
      <c r="B59" s="120">
        <v>0</v>
      </c>
      <c r="C59" s="118">
        <f>B59*1.1615</f>
        <v>0</v>
      </c>
      <c r="D59" s="119">
        <f>B59-C59</f>
        <v>0</v>
      </c>
      <c r="E59" s="137">
        <f>(2.07+1.8)*6*2301.2-0.37*2301.2*6</f>
        <v>48325.2</v>
      </c>
      <c r="F59" s="141"/>
      <c r="G59" s="142"/>
      <c r="H59" s="137"/>
      <c r="I59" s="68"/>
      <c r="J59" s="68"/>
      <c r="K59" s="69"/>
      <c r="L59" s="69"/>
      <c r="M59" s="69"/>
      <c r="N59" s="69"/>
    </row>
    <row r="60" spans="1:14" ht="15.75" thickBot="1">
      <c r="A60" s="150" t="s">
        <v>69</v>
      </c>
      <c r="B60" s="151">
        <v>0</v>
      </c>
      <c r="C60" s="152">
        <f>B60*1.1615</f>
        <v>0</v>
      </c>
      <c r="D60" s="153">
        <f>B60-C60</f>
        <v>0</v>
      </c>
      <c r="E60" s="137"/>
      <c r="F60" s="141"/>
      <c r="G60" s="142"/>
      <c r="H60" s="132"/>
      <c r="I60" s="68"/>
      <c r="J60" s="68"/>
      <c r="K60" s="69"/>
      <c r="L60" s="69"/>
      <c r="M60" s="69"/>
      <c r="N60" s="69"/>
    </row>
    <row r="61" spans="1:14" ht="63">
      <c r="A61" s="154" t="s">
        <v>70</v>
      </c>
      <c r="B61" s="155" t="s">
        <v>71</v>
      </c>
      <c r="C61" s="156" t="s">
        <v>72</v>
      </c>
      <c r="D61" s="157" t="s">
        <v>73</v>
      </c>
      <c r="E61" s="137"/>
      <c r="F61" s="141"/>
      <c r="G61" s="132"/>
      <c r="H61" s="143"/>
      <c r="I61" s="68"/>
      <c r="J61" s="68"/>
      <c r="K61" s="69"/>
      <c r="L61" s="69"/>
      <c r="M61" s="69"/>
      <c r="N61" s="69"/>
    </row>
    <row r="62" spans="1:14" ht="15">
      <c r="A62" s="158" t="s">
        <v>66</v>
      </c>
      <c r="B62" s="124">
        <f>B57</f>
        <v>6463.06</v>
      </c>
      <c r="C62" s="125">
        <f>B62*0.9623</f>
        <v>6219.4026380000005</v>
      </c>
      <c r="D62" s="159">
        <f>B62-C62</f>
        <v>243.65736199999992</v>
      </c>
      <c r="E62" s="137"/>
      <c r="F62" s="141"/>
      <c r="G62" s="132"/>
      <c r="H62" s="143"/>
      <c r="I62" s="68"/>
      <c r="J62" s="68" t="s">
        <v>32</v>
      </c>
      <c r="K62" s="69"/>
      <c r="L62" s="69"/>
      <c r="M62" s="69"/>
      <c r="N62" s="69"/>
    </row>
    <row r="63" spans="1:14" ht="15">
      <c r="A63" s="158" t="s">
        <v>67</v>
      </c>
      <c r="B63" s="124">
        <v>0</v>
      </c>
      <c r="C63" s="125">
        <v>0</v>
      </c>
      <c r="D63" s="159">
        <f>B63-C63</f>
        <v>0</v>
      </c>
      <c r="E63" s="137"/>
      <c r="F63" s="141"/>
      <c r="G63" s="132"/>
      <c r="H63" s="143"/>
      <c r="I63" s="68"/>
      <c r="J63" s="68"/>
      <c r="K63" s="69"/>
      <c r="L63" s="69"/>
      <c r="M63" s="69"/>
      <c r="N63" s="69"/>
    </row>
    <row r="64" spans="1:14" ht="15">
      <c r="A64" s="158" t="s">
        <v>68</v>
      </c>
      <c r="B64" s="124">
        <v>0</v>
      </c>
      <c r="C64" s="125">
        <v>0</v>
      </c>
      <c r="D64" s="159">
        <f>B64-C64</f>
        <v>0</v>
      </c>
      <c r="E64" s="137"/>
      <c r="F64" s="141"/>
      <c r="G64" s="132"/>
      <c r="H64" s="143"/>
      <c r="I64" s="68"/>
      <c r="J64" s="68"/>
      <c r="K64" s="69"/>
      <c r="L64" s="69"/>
      <c r="M64" s="69"/>
      <c r="N64" s="69"/>
    </row>
    <row r="65" spans="1:14" ht="15">
      <c r="A65" s="158" t="s">
        <v>74</v>
      </c>
      <c r="B65" s="124">
        <v>0</v>
      </c>
      <c r="C65" s="125">
        <v>0</v>
      </c>
      <c r="D65" s="159">
        <f>B65-C65</f>
        <v>0</v>
      </c>
      <c r="E65" s="137"/>
      <c r="F65" s="141"/>
      <c r="G65" s="132"/>
      <c r="H65" s="143"/>
      <c r="I65" s="68"/>
      <c r="J65" s="68"/>
      <c r="K65" s="69"/>
      <c r="L65" s="69"/>
      <c r="M65" s="69"/>
      <c r="N65" s="69"/>
    </row>
    <row r="66" spans="1:14" ht="15.75" thickBot="1">
      <c r="A66" s="160" t="s">
        <v>69</v>
      </c>
      <c r="B66" s="161">
        <v>0</v>
      </c>
      <c r="C66" s="162">
        <v>0</v>
      </c>
      <c r="D66" s="163">
        <f>B66-C66</f>
        <v>0</v>
      </c>
      <c r="E66" s="137"/>
      <c r="F66" s="141"/>
      <c r="G66" s="132"/>
      <c r="H66" s="143" t="s">
        <v>32</v>
      </c>
      <c r="I66" s="68"/>
      <c r="J66" s="68"/>
      <c r="K66" s="69"/>
      <c r="L66" s="69"/>
      <c r="M66" s="69"/>
      <c r="N66" s="69"/>
    </row>
    <row r="67" spans="1:14" ht="15">
      <c r="A67" s="91"/>
      <c r="B67" s="87"/>
      <c r="C67" s="92"/>
      <c r="D67" s="93"/>
      <c r="E67" s="137"/>
      <c r="F67" s="141"/>
      <c r="G67" s="132"/>
      <c r="H67" s="143"/>
      <c r="I67" s="68"/>
      <c r="J67" s="68"/>
      <c r="K67" s="69"/>
      <c r="L67" s="69"/>
      <c r="M67" s="69"/>
      <c r="N67" s="69"/>
    </row>
    <row r="68" spans="1:14" ht="25.5">
      <c r="A68" s="94" t="s">
        <v>75</v>
      </c>
      <c r="B68" s="87" t="s">
        <v>16</v>
      </c>
      <c r="C68" s="95"/>
      <c r="D68" s="96">
        <v>0</v>
      </c>
      <c r="E68" s="137"/>
      <c r="F68" s="141"/>
      <c r="G68" s="132"/>
      <c r="H68" s="143"/>
      <c r="I68" s="68"/>
      <c r="J68" s="68" t="s">
        <v>32</v>
      </c>
      <c r="K68" s="69"/>
      <c r="L68" s="69"/>
      <c r="M68" s="69"/>
      <c r="N68" s="69"/>
    </row>
    <row r="69" spans="1:14" ht="17.25" customHeight="1">
      <c r="A69" s="264" t="s">
        <v>76</v>
      </c>
      <c r="B69" s="264"/>
      <c r="C69" s="264"/>
      <c r="D69" s="264"/>
      <c r="E69" s="144" t="e">
        <f>D69+B19</f>
        <v>#VALUE!</v>
      </c>
      <c r="F69" s="143"/>
      <c r="G69" s="132"/>
      <c r="H69" s="145" t="e">
        <f>E69-B18</f>
        <v>#VALUE!</v>
      </c>
      <c r="I69" s="68"/>
      <c r="J69" s="68"/>
      <c r="K69" s="69"/>
      <c r="L69" s="69"/>
      <c r="M69" s="69"/>
      <c r="N69" s="69"/>
    </row>
    <row r="70" spans="1:5" ht="21" customHeight="1">
      <c r="A70" s="99" t="s">
        <v>53</v>
      </c>
      <c r="B70" s="99" t="s">
        <v>54</v>
      </c>
      <c r="C70" s="100">
        <v>0</v>
      </c>
      <c r="D70" s="101"/>
      <c r="E70" s="102"/>
    </row>
    <row r="71" spans="1:5" ht="21" customHeight="1">
      <c r="A71" s="99" t="s">
        <v>55</v>
      </c>
      <c r="B71" s="99" t="s">
        <v>54</v>
      </c>
      <c r="C71" s="99">
        <v>0</v>
      </c>
      <c r="D71" s="101"/>
      <c r="E71" s="102"/>
    </row>
    <row r="72" spans="1:5" ht="18" customHeight="1">
      <c r="A72" s="99" t="s">
        <v>56</v>
      </c>
      <c r="B72" s="99" t="s">
        <v>54</v>
      </c>
      <c r="C72" s="99">
        <v>0</v>
      </c>
      <c r="D72" s="101"/>
      <c r="E72" s="102"/>
    </row>
    <row r="73" spans="1:5" ht="16.5" customHeight="1">
      <c r="A73" s="99" t="s">
        <v>57</v>
      </c>
      <c r="B73" s="99" t="s">
        <v>16</v>
      </c>
      <c r="C73" s="99">
        <v>0</v>
      </c>
      <c r="D73" s="101"/>
      <c r="E73" s="102"/>
    </row>
    <row r="74" spans="1:5" ht="15.75" customHeight="1">
      <c r="A74" s="258" t="s">
        <v>77</v>
      </c>
      <c r="B74" s="258"/>
      <c r="C74" s="258"/>
      <c r="D74" s="258"/>
      <c r="E74" s="102"/>
    </row>
    <row r="75" spans="1:5" ht="18.75" customHeight="1">
      <c r="A75" s="99" t="s">
        <v>78</v>
      </c>
      <c r="B75" s="99" t="s">
        <v>54</v>
      </c>
      <c r="C75" s="99">
        <v>0</v>
      </c>
      <c r="D75" s="101"/>
      <c r="E75" s="102"/>
    </row>
    <row r="76" spans="1:5" ht="21.75" customHeight="1">
      <c r="A76" s="99" t="s">
        <v>79</v>
      </c>
      <c r="B76" s="56" t="s">
        <v>54</v>
      </c>
      <c r="C76" s="56">
        <v>0</v>
      </c>
      <c r="D76" s="101"/>
      <c r="E76" s="102"/>
    </row>
    <row r="77" spans="1:5" ht="36" customHeight="1">
      <c r="A77" s="103" t="s">
        <v>80</v>
      </c>
      <c r="B77" s="99" t="s">
        <v>16</v>
      </c>
      <c r="C77" s="99">
        <v>226</v>
      </c>
      <c r="D77" s="101"/>
      <c r="E77" s="102"/>
    </row>
    <row r="78" spans="1:4" ht="15">
      <c r="A78" s="69"/>
      <c r="B78" s="69"/>
      <c r="C78" s="69"/>
      <c r="D78" s="104"/>
    </row>
    <row r="79" spans="1:14" s="1" customFormat="1" ht="12.75">
      <c r="A79"/>
      <c r="B79"/>
      <c r="C79"/>
      <c r="D79"/>
      <c r="H79" s="1" t="s">
        <v>32</v>
      </c>
      <c r="K79"/>
      <c r="L79"/>
      <c r="M79"/>
      <c r="N79"/>
    </row>
    <row r="80" spans="1:14" s="1" customFormat="1" ht="12.75">
      <c r="A80" t="s">
        <v>81</v>
      </c>
      <c r="B80"/>
      <c r="C80"/>
      <c r="D80"/>
      <c r="K80"/>
      <c r="L80"/>
      <c r="M80"/>
      <c r="N80"/>
    </row>
    <row r="81" spans="1:14" s="1" customFormat="1" ht="12.75">
      <c r="A81"/>
      <c r="B81"/>
      <c r="C81"/>
      <c r="D81"/>
      <c r="H81" s="1" t="s">
        <v>32</v>
      </c>
      <c r="K81"/>
      <c r="L81"/>
      <c r="M81"/>
      <c r="N81"/>
    </row>
    <row r="82" spans="1:14" s="1" customFormat="1" ht="12.75">
      <c r="A82" t="s">
        <v>82</v>
      </c>
      <c r="B82"/>
      <c r="C82"/>
      <c r="D82"/>
      <c r="K82"/>
      <c r="L82"/>
      <c r="M82"/>
      <c r="N82"/>
    </row>
    <row r="86" spans="1:14" s="1" customFormat="1" ht="12.75">
      <c r="A86"/>
      <c r="B86"/>
      <c r="C86"/>
      <c r="D86"/>
      <c r="E86" s="1" t="s">
        <v>32</v>
      </c>
      <c r="K86"/>
      <c r="L86"/>
      <c r="M86"/>
      <c r="N86"/>
    </row>
  </sheetData>
  <sheetProtection selectLockedCells="1" selectUnlockedCells="1"/>
  <mergeCells count="13">
    <mergeCell ref="A1:D1"/>
    <mergeCell ref="A2:D2"/>
    <mergeCell ref="A3:D3"/>
    <mergeCell ref="A4:D4"/>
    <mergeCell ref="A5:D5"/>
    <mergeCell ref="A7:D7"/>
    <mergeCell ref="A74:D74"/>
    <mergeCell ref="A14:D14"/>
    <mergeCell ref="A29:D29"/>
    <mergeCell ref="A43:D43"/>
    <mergeCell ref="A48:D48"/>
    <mergeCell ref="A55:D55"/>
    <mergeCell ref="A69:D69"/>
  </mergeCells>
  <printOptions/>
  <pageMargins left="0.5597222222222222" right="0.7875" top="0.34097222222222223" bottom="0.7875" header="0.5118055555555555" footer="0.5118055555555555"/>
  <pageSetup fitToHeight="3" fitToWidth="2" horizontalDpi="300" verticalDpi="300" orientation="landscape" paperSize="12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6"/>
  <sheetViews>
    <sheetView zoomScale="80" zoomScaleNormal="80" zoomScalePageLayoutView="0" workbookViewId="0" topLeftCell="A16">
      <selection activeCell="E18" sqref="E18:E24"/>
    </sheetView>
  </sheetViews>
  <sheetFormatPr defaultColWidth="11.57421875" defaultRowHeight="12.75"/>
  <cols>
    <col min="1" max="1" width="63.28125" style="0" customWidth="1"/>
    <col min="2" max="2" width="20.28125" style="0" customWidth="1"/>
    <col min="3" max="3" width="31.421875" style="0" customWidth="1"/>
    <col min="4" max="4" width="27.57421875" style="0" customWidth="1"/>
    <col min="5" max="5" width="16.8515625" style="1" customWidth="1"/>
    <col min="6" max="7" width="0" style="1" hidden="1" customWidth="1"/>
    <col min="8" max="8" width="11.57421875" style="1" customWidth="1"/>
    <col min="9" max="9" width="5.28125" style="1" customWidth="1"/>
    <col min="10" max="10" width="30.00390625" style="1" customWidth="1"/>
    <col min="11" max="12" width="23.28125" style="0" customWidth="1"/>
    <col min="13" max="13" width="6.57421875" style="0" customWidth="1"/>
    <col min="14" max="14" width="7.00390625" style="0" customWidth="1"/>
  </cols>
  <sheetData>
    <row r="1" spans="1:4" ht="18">
      <c r="A1" s="265" t="s">
        <v>0</v>
      </c>
      <c r="B1" s="265"/>
      <c r="C1" s="265"/>
      <c r="D1" s="265"/>
    </row>
    <row r="2" spans="1:4" ht="15.75">
      <c r="A2" s="266" t="s">
        <v>1</v>
      </c>
      <c r="B2" s="266"/>
      <c r="C2" s="266"/>
      <c r="D2" s="266"/>
    </row>
    <row r="3" spans="1:4" ht="15.75">
      <c r="A3" s="266" t="s">
        <v>2</v>
      </c>
      <c r="B3" s="266"/>
      <c r="C3" s="266"/>
      <c r="D3" s="266"/>
    </row>
    <row r="4" spans="1:4" ht="12.75">
      <c r="A4" s="267" t="s">
        <v>130</v>
      </c>
      <c r="B4" s="267"/>
      <c r="C4" s="267"/>
      <c r="D4" s="267"/>
    </row>
    <row r="5" spans="1:4" ht="12.75">
      <c r="A5" s="268" t="s">
        <v>171</v>
      </c>
      <c r="B5" s="267"/>
      <c r="C5" s="267"/>
      <c r="D5" s="267"/>
    </row>
    <row r="6" ht="9" customHeight="1">
      <c r="A6" s="2"/>
    </row>
    <row r="7" spans="1:4" ht="18" customHeight="1">
      <c r="A7" s="269" t="s">
        <v>4</v>
      </c>
      <c r="B7" s="269"/>
      <c r="C7" s="269"/>
      <c r="D7" s="269"/>
    </row>
    <row r="8" spans="1:3" ht="12.75">
      <c r="A8" s="2" t="s">
        <v>245</v>
      </c>
      <c r="C8" s="3"/>
    </row>
    <row r="9" spans="1:4" ht="12.75">
      <c r="A9" s="4" t="s">
        <v>5</v>
      </c>
      <c r="B9" s="4" t="s">
        <v>6</v>
      </c>
      <c r="C9" s="4" t="s">
        <v>7</v>
      </c>
      <c r="D9" s="5"/>
    </row>
    <row r="10" spans="1:4" ht="12.75">
      <c r="A10" s="6">
        <v>1</v>
      </c>
      <c r="B10" s="6">
        <v>2</v>
      </c>
      <c r="C10" s="6">
        <v>3</v>
      </c>
      <c r="D10" s="7">
        <v>4</v>
      </c>
    </row>
    <row r="11" spans="1:8" ht="12.75">
      <c r="A11" s="8" t="s">
        <v>8</v>
      </c>
      <c r="B11" s="9"/>
      <c r="C11" s="177" t="s">
        <v>172</v>
      </c>
      <c r="D11" s="10"/>
      <c r="E11" s="132"/>
      <c r="F11" s="132"/>
      <c r="G11" s="132"/>
      <c r="H11" s="132"/>
    </row>
    <row r="12" spans="1:8" ht="12.75">
      <c r="A12" s="8" t="s">
        <v>10</v>
      </c>
      <c r="B12" s="9"/>
      <c r="C12" s="177" t="s">
        <v>173</v>
      </c>
      <c r="D12" s="10"/>
      <c r="E12" s="132"/>
      <c r="F12" s="132"/>
      <c r="G12" s="132"/>
      <c r="H12" s="132"/>
    </row>
    <row r="13" spans="1:8" ht="12.75">
      <c r="A13" s="8" t="s">
        <v>12</v>
      </c>
      <c r="B13" s="9"/>
      <c r="C13" s="177" t="s">
        <v>174</v>
      </c>
      <c r="D13" s="10"/>
      <c r="E13" s="132"/>
      <c r="F13" s="132"/>
      <c r="G13" s="132"/>
      <c r="H13" s="132"/>
    </row>
    <row r="14" spans="1:8" ht="31.5" customHeight="1">
      <c r="A14" s="259" t="s">
        <v>14</v>
      </c>
      <c r="B14" s="259"/>
      <c r="C14" s="259"/>
      <c r="D14" s="259"/>
      <c r="E14" s="132"/>
      <c r="F14" s="132"/>
      <c r="G14" s="132"/>
      <c r="H14" s="132"/>
    </row>
    <row r="15" spans="1:8" ht="25.5">
      <c r="A15" s="11" t="s">
        <v>15</v>
      </c>
      <c r="B15" s="12" t="s">
        <v>16</v>
      </c>
      <c r="C15" s="13">
        <v>9903.66</v>
      </c>
      <c r="D15" s="14"/>
      <c r="E15" s="132"/>
      <c r="F15" s="132"/>
      <c r="G15" s="132"/>
      <c r="H15" s="132"/>
    </row>
    <row r="16" spans="1:8" ht="15">
      <c r="A16" s="8" t="s">
        <v>17</v>
      </c>
      <c r="B16" s="12" t="s">
        <v>16</v>
      </c>
      <c r="C16" s="13">
        <v>0</v>
      </c>
      <c r="D16" s="14"/>
      <c r="E16" s="132"/>
      <c r="F16" s="132"/>
      <c r="G16" s="132"/>
      <c r="H16" s="132"/>
    </row>
    <row r="17" spans="1:8" ht="15">
      <c r="A17" s="8" t="s">
        <v>18</v>
      </c>
      <c r="B17" s="12" t="s">
        <v>16</v>
      </c>
      <c r="C17" s="15">
        <v>4992.37</v>
      </c>
      <c r="D17" s="16"/>
      <c r="E17" s="132" t="e">
        <f>B17/12/1022.6</f>
        <v>#VALUE!</v>
      </c>
      <c r="F17" s="132"/>
      <c r="G17" s="132"/>
      <c r="H17" s="132"/>
    </row>
    <row r="18" spans="1:8" ht="31.5" customHeight="1">
      <c r="A18" s="17" t="s">
        <v>19</v>
      </c>
      <c r="B18" s="12" t="s">
        <v>16</v>
      </c>
      <c r="C18" s="15">
        <f>C19+C20+C21</f>
        <v>9260.804</v>
      </c>
      <c r="D18" s="16"/>
      <c r="E18" s="133">
        <f>C18-C20</f>
        <v>6115.466</v>
      </c>
      <c r="F18" s="132"/>
      <c r="G18" s="132"/>
      <c r="H18" s="132"/>
    </row>
    <row r="19" spans="1:8" ht="15">
      <c r="A19" s="8" t="s">
        <v>20</v>
      </c>
      <c r="B19" s="12" t="s">
        <v>16</v>
      </c>
      <c r="C19" s="15">
        <f>1831.26+1526.03</f>
        <v>3357.29</v>
      </c>
      <c r="D19" s="16"/>
      <c r="E19" s="133">
        <f>E18-E39</f>
        <v>0.001999999999497959</v>
      </c>
      <c r="F19" s="132"/>
      <c r="G19" s="132"/>
      <c r="H19" s="132"/>
    </row>
    <row r="20" spans="1:8" ht="15">
      <c r="A20" s="8" t="s">
        <v>21</v>
      </c>
      <c r="B20" s="12" t="s">
        <v>16</v>
      </c>
      <c r="C20" s="15">
        <f>(2.09+3.64)*6*47.1+1526.04</f>
        <v>3145.338</v>
      </c>
      <c r="D20" s="16"/>
      <c r="E20" s="134"/>
      <c r="F20" s="132"/>
      <c r="G20" s="132"/>
      <c r="H20" s="132"/>
    </row>
    <row r="21" spans="1:8" ht="15">
      <c r="A21" s="8" t="s">
        <v>22</v>
      </c>
      <c r="B21" s="12" t="s">
        <v>16</v>
      </c>
      <c r="C21" s="20">
        <f>47.1*4.88*12</f>
        <v>2758.1760000000004</v>
      </c>
      <c r="D21" s="16"/>
      <c r="E21" s="132"/>
      <c r="F21" s="132"/>
      <c r="G21" s="132"/>
      <c r="H21" s="132"/>
    </row>
    <row r="22" spans="1:8" ht="15">
      <c r="A22" s="21" t="s">
        <v>23</v>
      </c>
      <c r="B22" s="12" t="s">
        <v>16</v>
      </c>
      <c r="C22" s="15">
        <f>C23+C24+C25+C26+C27</f>
        <v>592.691456</v>
      </c>
      <c r="D22" s="16" t="s">
        <v>24</v>
      </c>
      <c r="E22" s="133" t="e">
        <f>B24+B25+B26+B27+B28</f>
        <v>#VALUE!</v>
      </c>
      <c r="F22" s="132"/>
      <c r="G22" s="132"/>
      <c r="H22" s="132"/>
    </row>
    <row r="23" spans="1:8" ht="15">
      <c r="A23" s="8" t="s">
        <v>25</v>
      </c>
      <c r="B23" s="12" t="s">
        <v>16</v>
      </c>
      <c r="C23" s="15">
        <f>C18*0.064</f>
        <v>592.691456</v>
      </c>
      <c r="D23" s="16"/>
      <c r="E23" s="132"/>
      <c r="F23" s="132"/>
      <c r="G23" s="132"/>
      <c r="H23" s="132"/>
    </row>
    <row r="24" spans="1:8" ht="15">
      <c r="A24" s="8" t="s">
        <v>26</v>
      </c>
      <c r="B24" s="12" t="s">
        <v>16</v>
      </c>
      <c r="C24" s="15">
        <v>0</v>
      </c>
      <c r="D24" s="22">
        <v>65.21</v>
      </c>
      <c r="E24" s="134" t="e">
        <f>B24/#REF!*1</f>
        <v>#VALUE!</v>
      </c>
      <c r="F24" s="132"/>
      <c r="G24" s="132"/>
      <c r="H24" s="132" t="s">
        <v>27</v>
      </c>
    </row>
    <row r="25" spans="1:8" ht="15">
      <c r="A25" s="8" t="s">
        <v>28</v>
      </c>
      <c r="B25" s="12" t="s">
        <v>16</v>
      </c>
      <c r="C25" s="15">
        <v>0</v>
      </c>
      <c r="D25" s="22">
        <v>119.63</v>
      </c>
      <c r="E25" s="134" t="e">
        <f>B25/#REF!*1</f>
        <v>#VALUE!</v>
      </c>
      <c r="F25" s="132"/>
      <c r="G25" s="132"/>
      <c r="H25" s="132"/>
    </row>
    <row r="26" spans="1:8" ht="15">
      <c r="A26" s="9" t="s">
        <v>29</v>
      </c>
      <c r="B26" s="12" t="s">
        <v>16</v>
      </c>
      <c r="C26" s="15">
        <v>0</v>
      </c>
      <c r="D26" s="22"/>
      <c r="E26" s="134" t="e">
        <f>B26/#REF!*1</f>
        <v>#VALUE!</v>
      </c>
      <c r="F26" s="132"/>
      <c r="G26" s="132"/>
      <c r="H26" s="132"/>
    </row>
    <row r="27" spans="1:8" ht="16.5" customHeight="1">
      <c r="A27" s="116" t="s">
        <v>112</v>
      </c>
      <c r="B27" s="12" t="s">
        <v>16</v>
      </c>
      <c r="C27" s="15">
        <v>0</v>
      </c>
      <c r="D27" s="22">
        <v>139.18</v>
      </c>
      <c r="E27" s="134" t="e">
        <f>B27/#REF!*1</f>
        <v>#VALUE!</v>
      </c>
      <c r="F27" s="132"/>
      <c r="G27" s="132"/>
      <c r="H27" s="132"/>
    </row>
    <row r="28" spans="1:8" ht="15">
      <c r="A28" s="8" t="s">
        <v>31</v>
      </c>
      <c r="B28" s="12" t="s">
        <v>16</v>
      </c>
      <c r="C28" s="15">
        <f>C15+C22</f>
        <v>10496.351456</v>
      </c>
      <c r="D28" s="16" t="s">
        <v>32</v>
      </c>
      <c r="E28" s="134" t="e">
        <f>B28/#REF!*1</f>
        <v>#VALUE!</v>
      </c>
      <c r="F28" s="132"/>
      <c r="G28" s="132"/>
      <c r="H28" s="132"/>
    </row>
    <row r="29" spans="1:8" ht="35.25" customHeight="1">
      <c r="A29" s="260" t="s">
        <v>33</v>
      </c>
      <c r="B29" s="260"/>
      <c r="C29" s="260"/>
      <c r="D29" s="260"/>
      <c r="E29" s="132"/>
      <c r="F29" s="132"/>
      <c r="G29" s="132"/>
      <c r="H29" s="132"/>
    </row>
    <row r="30" spans="1:8" ht="60">
      <c r="A30" s="23" t="s">
        <v>34</v>
      </c>
      <c r="B30" s="24" t="s">
        <v>35</v>
      </c>
      <c r="C30" s="25" t="s">
        <v>36</v>
      </c>
      <c r="D30" s="26" t="s">
        <v>37</v>
      </c>
      <c r="E30" s="132"/>
      <c r="F30" s="132"/>
      <c r="G30" s="132"/>
      <c r="H30" s="132"/>
    </row>
    <row r="31" spans="1:8" ht="15">
      <c r="A31" s="27" t="s">
        <v>38</v>
      </c>
      <c r="B31" s="28" t="s">
        <v>39</v>
      </c>
      <c r="C31" s="29" t="s">
        <v>40</v>
      </c>
      <c r="D31" s="107">
        <f>(0.17+0.16)*6*47.1</f>
        <v>93.258</v>
      </c>
      <c r="E31" s="132"/>
      <c r="F31" s="132"/>
      <c r="G31" s="132"/>
      <c r="H31" s="132"/>
    </row>
    <row r="32" spans="1:8" ht="15">
      <c r="A32" s="31" t="s">
        <v>41</v>
      </c>
      <c r="B32" s="32" t="s">
        <v>42</v>
      </c>
      <c r="C32" s="33" t="s">
        <v>43</v>
      </c>
      <c r="D32" s="34">
        <f>(3.03+3)*6*47.1</f>
        <v>1704.0779999999997</v>
      </c>
      <c r="E32" s="132"/>
      <c r="F32" s="132"/>
      <c r="G32" s="132"/>
      <c r="H32" s="132"/>
    </row>
    <row r="33" spans="1:8" ht="15">
      <c r="A33" s="31" t="s">
        <v>44</v>
      </c>
      <c r="B33" s="32" t="s">
        <v>39</v>
      </c>
      <c r="C33" s="33" t="s">
        <v>45</v>
      </c>
      <c r="D33" s="108">
        <f>(0.2+0.21)*6*47.1</f>
        <v>115.866</v>
      </c>
      <c r="E33" s="132"/>
      <c r="F33" s="132"/>
      <c r="G33" s="132"/>
      <c r="H33" s="132"/>
    </row>
    <row r="34" spans="1:8" ht="15">
      <c r="A34" s="204" t="s">
        <v>246</v>
      </c>
      <c r="B34" s="32" t="s">
        <v>39</v>
      </c>
      <c r="C34" s="33" t="s">
        <v>40</v>
      </c>
      <c r="D34" s="108">
        <f>(0.23+0.22)*6*47.1</f>
        <v>127.17000000000002</v>
      </c>
      <c r="E34" s="132"/>
      <c r="F34" s="132"/>
      <c r="G34" s="132"/>
      <c r="H34" s="132"/>
    </row>
    <row r="35" spans="1:8" ht="15">
      <c r="A35" s="31" t="s">
        <v>90</v>
      </c>
      <c r="B35" s="106" t="s">
        <v>91</v>
      </c>
      <c r="C35" s="33" t="s">
        <v>40</v>
      </c>
      <c r="D35" s="108">
        <f>(1.33+1.27)*6*47.1</f>
        <v>734.7600000000001</v>
      </c>
      <c r="E35" s="132"/>
      <c r="F35" s="132"/>
      <c r="G35" s="132"/>
      <c r="H35" s="132"/>
    </row>
    <row r="36" spans="1:8" ht="15">
      <c r="A36" s="31" t="s">
        <v>46</v>
      </c>
      <c r="B36" s="32" t="s">
        <v>42</v>
      </c>
      <c r="C36" s="35" t="s">
        <v>47</v>
      </c>
      <c r="D36" s="108">
        <f>4.88*47.1*12</f>
        <v>2758.1760000000004</v>
      </c>
      <c r="E36" s="132"/>
      <c r="F36" s="132"/>
      <c r="G36" s="132"/>
      <c r="H36" s="132"/>
    </row>
    <row r="37" spans="1:14" s="1" customFormat="1" ht="45">
      <c r="A37" s="36" t="s">
        <v>48</v>
      </c>
      <c r="B37" s="37" t="s">
        <v>49</v>
      </c>
      <c r="C37" s="38"/>
      <c r="D37" s="39">
        <v>0</v>
      </c>
      <c r="E37" s="132"/>
      <c r="F37" s="132"/>
      <c r="G37" s="132"/>
      <c r="H37" s="132"/>
      <c r="K37"/>
      <c r="L37"/>
      <c r="M37"/>
      <c r="N37"/>
    </row>
    <row r="38" spans="1:14" s="1" customFormat="1" ht="15">
      <c r="A38" s="109" t="s">
        <v>95</v>
      </c>
      <c r="B38" s="110" t="s">
        <v>96</v>
      </c>
      <c r="C38" s="111"/>
      <c r="D38" s="112">
        <f>47.1*6*2.06</f>
        <v>582.1560000000001</v>
      </c>
      <c r="E38" s="132"/>
      <c r="F38" s="132"/>
      <c r="G38" s="132"/>
      <c r="H38" s="132"/>
      <c r="K38"/>
      <c r="L38"/>
      <c r="M38"/>
      <c r="N38"/>
    </row>
    <row r="39" spans="1:14" s="1" customFormat="1" ht="15.75">
      <c r="A39" s="40" t="s">
        <v>50</v>
      </c>
      <c r="B39" s="41"/>
      <c r="C39" s="42"/>
      <c r="D39" s="113">
        <f>SUM(D31:D38)</f>
        <v>6115.464000000001</v>
      </c>
      <c r="E39" s="135">
        <f>D39-D37</f>
        <v>6115.464000000001</v>
      </c>
      <c r="F39" s="132"/>
      <c r="G39" s="132"/>
      <c r="H39" s="132"/>
      <c r="K39"/>
      <c r="L39"/>
      <c r="M39"/>
      <c r="N39"/>
    </row>
    <row r="40" spans="1:14" s="1" customFormat="1" ht="15">
      <c r="A40" s="43" t="s">
        <v>51</v>
      </c>
      <c r="B40" s="44" t="s">
        <v>16</v>
      </c>
      <c r="C40" s="45"/>
      <c r="D40" s="46">
        <f>C15+C20*0.064-D37</f>
        <v>10104.961632</v>
      </c>
      <c r="E40" s="209"/>
      <c r="F40" s="132"/>
      <c r="G40" s="132"/>
      <c r="H40" s="132"/>
      <c r="K40"/>
      <c r="L40"/>
      <c r="M40"/>
      <c r="N40"/>
    </row>
    <row r="41" spans="1:14" s="1" customFormat="1" ht="15">
      <c r="A41" s="48" t="s">
        <v>17</v>
      </c>
      <c r="B41" s="49" t="s">
        <v>16</v>
      </c>
      <c r="C41" s="33"/>
      <c r="D41" s="14">
        <v>0</v>
      </c>
      <c r="E41" s="208"/>
      <c r="F41" s="132"/>
      <c r="G41" s="132"/>
      <c r="H41" s="132"/>
      <c r="K41"/>
      <c r="L41"/>
      <c r="M41"/>
      <c r="N41"/>
    </row>
    <row r="42" spans="1:14" s="1" customFormat="1" ht="15">
      <c r="A42" s="48" t="s">
        <v>18</v>
      </c>
      <c r="B42" s="49" t="s">
        <v>16</v>
      </c>
      <c r="C42" s="33"/>
      <c r="D42" s="14">
        <v>14300.78</v>
      </c>
      <c r="E42" s="208"/>
      <c r="F42" s="132"/>
      <c r="G42" s="132"/>
      <c r="H42" s="132"/>
      <c r="K42"/>
      <c r="L42"/>
      <c r="M42"/>
      <c r="N42"/>
    </row>
    <row r="43" spans="1:14" s="1" customFormat="1" ht="24" customHeight="1">
      <c r="A43" s="261" t="s">
        <v>52</v>
      </c>
      <c r="B43" s="261"/>
      <c r="C43" s="261"/>
      <c r="D43" s="261"/>
      <c r="E43" s="132"/>
      <c r="F43" s="132"/>
      <c r="G43" s="132"/>
      <c r="H43" s="132"/>
      <c r="K43"/>
      <c r="L43"/>
      <c r="M43"/>
      <c r="N43"/>
    </row>
    <row r="44" spans="1:14" s="1" customFormat="1" ht="15">
      <c r="A44" s="48" t="s">
        <v>53</v>
      </c>
      <c r="B44" s="32" t="s">
        <v>54</v>
      </c>
      <c r="C44" s="33">
        <v>0</v>
      </c>
      <c r="D44" s="14">
        <v>0</v>
      </c>
      <c r="E44" s="132"/>
      <c r="F44" s="132"/>
      <c r="G44" s="132"/>
      <c r="H44" s="132"/>
      <c r="K44"/>
      <c r="L44"/>
      <c r="M44"/>
      <c r="N44"/>
    </row>
    <row r="45" spans="1:14" s="1" customFormat="1" ht="15">
      <c r="A45" s="48" t="s">
        <v>55</v>
      </c>
      <c r="B45" s="32" t="s">
        <v>54</v>
      </c>
      <c r="C45" s="33">
        <v>0</v>
      </c>
      <c r="D45" s="14">
        <v>0</v>
      </c>
      <c r="E45" s="132"/>
      <c r="F45" s="132"/>
      <c r="G45" s="132"/>
      <c r="H45" s="132"/>
      <c r="K45"/>
      <c r="L45"/>
      <c r="M45"/>
      <c r="N45"/>
    </row>
    <row r="46" spans="1:14" s="1" customFormat="1" ht="15">
      <c r="A46" s="50" t="s">
        <v>56</v>
      </c>
      <c r="B46" s="32" t="s">
        <v>54</v>
      </c>
      <c r="C46" s="33">
        <v>0</v>
      </c>
      <c r="D46" s="14">
        <v>0</v>
      </c>
      <c r="E46" s="132"/>
      <c r="F46" s="132"/>
      <c r="G46" s="132"/>
      <c r="H46" s="132"/>
      <c r="K46"/>
      <c r="L46"/>
      <c r="M46"/>
      <c r="N46"/>
    </row>
    <row r="47" spans="1:14" s="1" customFormat="1" ht="15">
      <c r="A47" s="48" t="s">
        <v>57</v>
      </c>
      <c r="B47" s="32" t="s">
        <v>16</v>
      </c>
      <c r="C47" s="33">
        <v>0</v>
      </c>
      <c r="D47" s="14">
        <v>0</v>
      </c>
      <c r="E47" s="132"/>
      <c r="F47" s="132"/>
      <c r="G47" s="132"/>
      <c r="H47" s="132"/>
      <c r="K47"/>
      <c r="L47"/>
      <c r="M47"/>
      <c r="N47"/>
    </row>
    <row r="48" spans="1:8" ht="20.25" customHeight="1">
      <c r="A48" s="262" t="s">
        <v>58</v>
      </c>
      <c r="B48" s="262"/>
      <c r="C48" s="262"/>
      <c r="D48" s="262"/>
      <c r="E48" s="132"/>
      <c r="F48" s="132"/>
      <c r="G48" s="132"/>
      <c r="H48" s="132"/>
    </row>
    <row r="49" spans="1:8" ht="25.5">
      <c r="A49" s="50" t="s">
        <v>59</v>
      </c>
      <c r="B49" s="32" t="s">
        <v>16</v>
      </c>
      <c r="C49" s="33"/>
      <c r="D49" s="14">
        <v>0</v>
      </c>
      <c r="E49" s="132"/>
      <c r="F49" s="132"/>
      <c r="G49" s="132"/>
      <c r="H49" s="132"/>
    </row>
    <row r="50" spans="1:8" ht="15">
      <c r="A50" s="48" t="s">
        <v>17</v>
      </c>
      <c r="B50" s="32" t="s">
        <v>16</v>
      </c>
      <c r="C50" s="33"/>
      <c r="D50" s="14">
        <v>0</v>
      </c>
      <c r="E50" s="132"/>
      <c r="F50" s="132"/>
      <c r="G50" s="132"/>
      <c r="H50" s="132"/>
    </row>
    <row r="51" spans="1:8" ht="15">
      <c r="A51" s="48" t="s">
        <v>18</v>
      </c>
      <c r="B51" s="32" t="s">
        <v>16</v>
      </c>
      <c r="C51" s="33"/>
      <c r="D51" s="51">
        <f>D54-D57-D58-D59</f>
        <v>724.6170400000001</v>
      </c>
      <c r="E51" s="132"/>
      <c r="F51" s="132"/>
      <c r="G51" s="132"/>
      <c r="H51" s="136"/>
    </row>
    <row r="52" spans="1:8" ht="25.5">
      <c r="A52" s="53" t="s">
        <v>60</v>
      </c>
      <c r="B52" s="32" t="s">
        <v>16</v>
      </c>
      <c r="C52" s="54"/>
      <c r="D52" s="55">
        <v>0</v>
      </c>
      <c r="E52" s="132"/>
      <c r="F52" s="132"/>
      <c r="G52" s="132"/>
      <c r="H52" s="132"/>
    </row>
    <row r="53" spans="1:10" ht="17.25" customHeight="1">
      <c r="A53" s="56" t="s">
        <v>17</v>
      </c>
      <c r="B53" s="32" t="s">
        <v>16</v>
      </c>
      <c r="C53" s="57"/>
      <c r="D53" s="58">
        <v>0</v>
      </c>
      <c r="E53" s="132"/>
      <c r="F53" s="132"/>
      <c r="G53" s="132"/>
      <c r="H53" s="132"/>
      <c r="I53" s="52"/>
      <c r="J53" s="52"/>
    </row>
    <row r="54" spans="1:14" ht="15">
      <c r="A54" s="59" t="s">
        <v>18</v>
      </c>
      <c r="B54" s="32" t="s">
        <v>16</v>
      </c>
      <c r="C54" s="60"/>
      <c r="D54" s="61">
        <v>1839.73</v>
      </c>
      <c r="E54" s="132"/>
      <c r="F54" s="132"/>
      <c r="G54" s="132"/>
      <c r="H54" s="132" t="s">
        <v>32</v>
      </c>
      <c r="I54" s="63"/>
      <c r="J54" s="63"/>
      <c r="K54" s="64"/>
      <c r="L54" s="64"/>
      <c r="M54" s="64"/>
      <c r="N54" s="64"/>
    </row>
    <row r="55" spans="1:14" ht="18" customHeight="1" thickBot="1">
      <c r="A55" s="263" t="s">
        <v>61</v>
      </c>
      <c r="B55" s="263"/>
      <c r="C55" s="263"/>
      <c r="D55" s="263"/>
      <c r="E55" s="137"/>
      <c r="F55" s="138"/>
      <c r="G55" s="139"/>
      <c r="H55" s="132"/>
      <c r="I55" s="68"/>
      <c r="J55" s="68"/>
      <c r="K55" s="69"/>
      <c r="L55" s="69"/>
      <c r="M55" s="69"/>
      <c r="N55" s="69"/>
    </row>
    <row r="56" spans="1:14" ht="47.25">
      <c r="A56" s="70" t="s">
        <v>62</v>
      </c>
      <c r="B56" s="71" t="s">
        <v>63</v>
      </c>
      <c r="C56" s="72" t="s">
        <v>64</v>
      </c>
      <c r="D56" s="73" t="s">
        <v>65</v>
      </c>
      <c r="E56" s="137"/>
      <c r="F56" s="138"/>
      <c r="G56" s="139"/>
      <c r="H56" s="132"/>
      <c r="I56" s="68"/>
      <c r="J56" s="74"/>
      <c r="K56" s="69"/>
      <c r="L56" s="69"/>
      <c r="M56" s="69"/>
      <c r="N56" s="69"/>
    </row>
    <row r="57" spans="1:14" ht="15">
      <c r="A57" s="75" t="s">
        <v>66</v>
      </c>
      <c r="B57" s="117">
        <v>1191.36</v>
      </c>
      <c r="C57" s="118">
        <f>B57*0.064</f>
        <v>76.24704</v>
      </c>
      <c r="D57" s="119">
        <f>B57-C57</f>
        <v>1115.11296</v>
      </c>
      <c r="E57" s="140"/>
      <c r="F57" s="138"/>
      <c r="G57" s="139"/>
      <c r="H57" s="132"/>
      <c r="I57" s="68"/>
      <c r="J57" s="68"/>
      <c r="K57" s="69"/>
      <c r="L57" s="69"/>
      <c r="M57" s="69"/>
      <c r="N57" s="69"/>
    </row>
    <row r="58" spans="1:14" ht="15">
      <c r="A58" s="75" t="s">
        <v>67</v>
      </c>
      <c r="B58" s="117">
        <v>0</v>
      </c>
      <c r="C58" s="118">
        <f>B58*1.1615</f>
        <v>0</v>
      </c>
      <c r="D58" s="119">
        <f>B58-C58</f>
        <v>0</v>
      </c>
      <c r="E58" s="137"/>
      <c r="F58" s="138"/>
      <c r="G58" s="139"/>
      <c r="H58" s="132"/>
      <c r="I58" s="68"/>
      <c r="J58" s="68"/>
      <c r="K58" s="69"/>
      <c r="L58" s="69"/>
      <c r="M58" s="69"/>
      <c r="N58" s="69"/>
    </row>
    <row r="59" spans="1:14" ht="15">
      <c r="A59" s="75" t="s">
        <v>68</v>
      </c>
      <c r="B59" s="120">
        <v>0</v>
      </c>
      <c r="C59" s="118">
        <f>B59*1.1615</f>
        <v>0</v>
      </c>
      <c r="D59" s="119">
        <f>B59-C59</f>
        <v>0</v>
      </c>
      <c r="E59" s="65">
        <f>(2.07+1.8)*6*2301.2-0.37*2301.2*6</f>
        <v>48325.2</v>
      </c>
      <c r="F59" s="81"/>
      <c r="G59" s="82"/>
      <c r="H59" s="65"/>
      <c r="I59" s="68"/>
      <c r="J59" s="68"/>
      <c r="K59" s="69"/>
      <c r="L59" s="69"/>
      <c r="M59" s="69"/>
      <c r="N59" s="69"/>
    </row>
    <row r="60" spans="1:14" ht="15.75" thickBot="1">
      <c r="A60" s="150" t="s">
        <v>69</v>
      </c>
      <c r="B60" s="151">
        <v>0</v>
      </c>
      <c r="C60" s="152">
        <f>B60*1.1615</f>
        <v>0</v>
      </c>
      <c r="D60" s="153">
        <f>B60-C60</f>
        <v>0</v>
      </c>
      <c r="E60" s="65"/>
      <c r="F60" s="81"/>
      <c r="G60" s="82"/>
      <c r="I60" s="68"/>
      <c r="J60" s="68"/>
      <c r="K60" s="69"/>
      <c r="L60" s="69"/>
      <c r="M60" s="69"/>
      <c r="N60" s="69"/>
    </row>
    <row r="61" spans="1:14" ht="63">
      <c r="A61" s="154" t="s">
        <v>70</v>
      </c>
      <c r="B61" s="155" t="s">
        <v>71</v>
      </c>
      <c r="C61" s="156" t="s">
        <v>72</v>
      </c>
      <c r="D61" s="157" t="s">
        <v>73</v>
      </c>
      <c r="E61" s="65"/>
      <c r="F61" s="81"/>
      <c r="H61" s="68"/>
      <c r="I61" s="68"/>
      <c r="J61" s="68"/>
      <c r="K61" s="69"/>
      <c r="L61" s="69"/>
      <c r="M61" s="69"/>
      <c r="N61" s="69"/>
    </row>
    <row r="62" spans="1:14" ht="15">
      <c r="A62" s="158" t="s">
        <v>66</v>
      </c>
      <c r="B62" s="124">
        <f>B57</f>
        <v>1191.36</v>
      </c>
      <c r="C62" s="125">
        <f>B62*0.9623</f>
        <v>1146.445728</v>
      </c>
      <c r="D62" s="159">
        <f>B62-C62</f>
        <v>44.91427199999998</v>
      </c>
      <c r="E62" s="65"/>
      <c r="F62" s="81"/>
      <c r="H62" s="68"/>
      <c r="I62" s="68"/>
      <c r="J62" s="68" t="s">
        <v>32</v>
      </c>
      <c r="K62" s="69"/>
      <c r="L62" s="69"/>
      <c r="M62" s="69"/>
      <c r="N62" s="69"/>
    </row>
    <row r="63" spans="1:14" ht="15">
      <c r="A63" s="158" t="s">
        <v>67</v>
      </c>
      <c r="B63" s="124">
        <v>0</v>
      </c>
      <c r="C63" s="125">
        <v>0</v>
      </c>
      <c r="D63" s="159">
        <f>B63-C63</f>
        <v>0</v>
      </c>
      <c r="E63" s="65"/>
      <c r="F63" s="81"/>
      <c r="H63" s="68"/>
      <c r="I63" s="68"/>
      <c r="J63" s="68"/>
      <c r="K63" s="69"/>
      <c r="L63" s="69"/>
      <c r="M63" s="69"/>
      <c r="N63" s="69"/>
    </row>
    <row r="64" spans="1:14" ht="15">
      <c r="A64" s="158" t="s">
        <v>68</v>
      </c>
      <c r="B64" s="124">
        <v>0</v>
      </c>
      <c r="C64" s="125">
        <v>0</v>
      </c>
      <c r="D64" s="159">
        <f>B64-C64</f>
        <v>0</v>
      </c>
      <c r="E64" s="65"/>
      <c r="F64" s="81"/>
      <c r="H64" s="68"/>
      <c r="I64" s="68"/>
      <c r="J64" s="68"/>
      <c r="K64" s="69"/>
      <c r="L64" s="69"/>
      <c r="M64" s="69"/>
      <c r="N64" s="69"/>
    </row>
    <row r="65" spans="1:14" ht="15">
      <c r="A65" s="158" t="s">
        <v>74</v>
      </c>
      <c r="B65" s="124">
        <v>0</v>
      </c>
      <c r="C65" s="125">
        <v>0</v>
      </c>
      <c r="D65" s="159">
        <f>B65-C65</f>
        <v>0</v>
      </c>
      <c r="E65" s="65"/>
      <c r="F65" s="81"/>
      <c r="H65" s="68"/>
      <c r="I65" s="68"/>
      <c r="J65" s="68"/>
      <c r="K65" s="69"/>
      <c r="L65" s="69"/>
      <c r="M65" s="69"/>
      <c r="N65" s="69"/>
    </row>
    <row r="66" spans="1:14" ht="15.75" thickBot="1">
      <c r="A66" s="160" t="s">
        <v>69</v>
      </c>
      <c r="B66" s="161">
        <v>0</v>
      </c>
      <c r="C66" s="162">
        <v>0</v>
      </c>
      <c r="D66" s="163">
        <f>B66-C66</f>
        <v>0</v>
      </c>
      <c r="E66" s="65"/>
      <c r="F66" s="81"/>
      <c r="H66" s="68" t="s">
        <v>32</v>
      </c>
      <c r="I66" s="68"/>
      <c r="J66" s="68"/>
      <c r="K66" s="69"/>
      <c r="L66" s="69"/>
      <c r="M66" s="69"/>
      <c r="N66" s="69"/>
    </row>
    <row r="67" spans="1:14" ht="15">
      <c r="A67" s="91"/>
      <c r="B67" s="87"/>
      <c r="C67" s="92"/>
      <c r="D67" s="93"/>
      <c r="E67" s="65"/>
      <c r="F67" s="81"/>
      <c r="H67" s="68"/>
      <c r="I67" s="68"/>
      <c r="J67" s="68"/>
      <c r="K67" s="69"/>
      <c r="L67" s="69"/>
      <c r="M67" s="69"/>
      <c r="N67" s="69"/>
    </row>
    <row r="68" spans="1:14" ht="25.5">
      <c r="A68" s="94" t="s">
        <v>75</v>
      </c>
      <c r="B68" s="87" t="s">
        <v>16</v>
      </c>
      <c r="C68" s="95"/>
      <c r="D68" s="96"/>
      <c r="E68" s="65"/>
      <c r="F68" s="81"/>
      <c r="H68" s="68"/>
      <c r="I68" s="68"/>
      <c r="J68" s="68" t="s">
        <v>32</v>
      </c>
      <c r="K68" s="69"/>
      <c r="L68" s="69"/>
      <c r="M68" s="69"/>
      <c r="N68" s="69"/>
    </row>
    <row r="69" spans="1:14" ht="17.25" customHeight="1">
      <c r="A69" s="264" t="s">
        <v>76</v>
      </c>
      <c r="B69" s="264"/>
      <c r="C69" s="264"/>
      <c r="D69" s="264"/>
      <c r="E69" s="97" t="e">
        <f>D69+B19</f>
        <v>#VALUE!</v>
      </c>
      <c r="F69" s="68"/>
      <c r="H69" s="98" t="e">
        <f>E69-B18</f>
        <v>#VALUE!</v>
      </c>
      <c r="I69" s="68"/>
      <c r="J69" s="68"/>
      <c r="K69" s="69"/>
      <c r="L69" s="69"/>
      <c r="M69" s="69"/>
      <c r="N69" s="69"/>
    </row>
    <row r="70" spans="1:5" ht="21" customHeight="1">
      <c r="A70" s="99" t="s">
        <v>53</v>
      </c>
      <c r="B70" s="99" t="s">
        <v>54</v>
      </c>
      <c r="C70" s="100">
        <v>0</v>
      </c>
      <c r="D70" s="101"/>
      <c r="E70" s="102"/>
    </row>
    <row r="71" spans="1:5" ht="21" customHeight="1">
      <c r="A71" s="99" t="s">
        <v>55</v>
      </c>
      <c r="B71" s="99" t="s">
        <v>54</v>
      </c>
      <c r="C71" s="99">
        <v>0</v>
      </c>
      <c r="D71" s="101"/>
      <c r="E71" s="102"/>
    </row>
    <row r="72" spans="1:5" ht="18" customHeight="1">
      <c r="A72" s="99" t="s">
        <v>56</v>
      </c>
      <c r="B72" s="99" t="s">
        <v>54</v>
      </c>
      <c r="C72" s="99">
        <v>0</v>
      </c>
      <c r="D72" s="101"/>
      <c r="E72" s="102"/>
    </row>
    <row r="73" spans="1:5" ht="16.5" customHeight="1">
      <c r="A73" s="99" t="s">
        <v>57</v>
      </c>
      <c r="B73" s="99" t="s">
        <v>16</v>
      </c>
      <c r="C73" s="99">
        <v>0</v>
      </c>
      <c r="D73" s="101"/>
      <c r="E73" s="102"/>
    </row>
    <row r="74" spans="1:5" ht="15.75" customHeight="1">
      <c r="A74" s="258" t="s">
        <v>77</v>
      </c>
      <c r="B74" s="258"/>
      <c r="C74" s="258"/>
      <c r="D74" s="258"/>
      <c r="E74" s="102"/>
    </row>
    <row r="75" spans="1:5" ht="18.75" customHeight="1">
      <c r="A75" s="99" t="s">
        <v>78</v>
      </c>
      <c r="B75" s="99" t="s">
        <v>54</v>
      </c>
      <c r="C75" s="99">
        <v>0</v>
      </c>
      <c r="D75" s="101"/>
      <c r="E75" s="102"/>
    </row>
    <row r="76" spans="1:5" ht="21.75" customHeight="1">
      <c r="A76" s="99" t="s">
        <v>79</v>
      </c>
      <c r="B76" s="56" t="s">
        <v>54</v>
      </c>
      <c r="C76" s="56">
        <v>0</v>
      </c>
      <c r="D76" s="101"/>
      <c r="E76" s="102"/>
    </row>
    <row r="77" spans="1:5" ht="36" customHeight="1">
      <c r="A77" s="103" t="s">
        <v>80</v>
      </c>
      <c r="B77" s="99" t="s">
        <v>16</v>
      </c>
      <c r="C77" s="99">
        <v>0</v>
      </c>
      <c r="D77" s="101"/>
      <c r="E77" s="102"/>
    </row>
    <row r="78" spans="1:4" ht="15">
      <c r="A78" s="69"/>
      <c r="B78" s="69"/>
      <c r="C78" s="69"/>
      <c r="D78" s="104"/>
    </row>
    <row r="79" spans="1:14" s="1" customFormat="1" ht="12.75">
      <c r="A79"/>
      <c r="B79"/>
      <c r="C79"/>
      <c r="D79"/>
      <c r="H79" s="1" t="s">
        <v>32</v>
      </c>
      <c r="K79"/>
      <c r="L79"/>
      <c r="M79"/>
      <c r="N79"/>
    </row>
    <row r="80" spans="1:14" s="1" customFormat="1" ht="12.75">
      <c r="A80" t="s">
        <v>81</v>
      </c>
      <c r="B80"/>
      <c r="C80"/>
      <c r="D80"/>
      <c r="K80"/>
      <c r="L80"/>
      <c r="M80"/>
      <c r="N80"/>
    </row>
    <row r="81" spans="1:14" s="1" customFormat="1" ht="12.75">
      <c r="A81"/>
      <c r="B81"/>
      <c r="C81"/>
      <c r="D81"/>
      <c r="H81" s="1" t="s">
        <v>32</v>
      </c>
      <c r="K81"/>
      <c r="L81"/>
      <c r="M81"/>
      <c r="N81"/>
    </row>
    <row r="82" spans="1:14" s="1" customFormat="1" ht="12.75">
      <c r="A82" t="s">
        <v>82</v>
      </c>
      <c r="B82"/>
      <c r="C82"/>
      <c r="D82"/>
      <c r="K82"/>
      <c r="L82"/>
      <c r="M82"/>
      <c r="N82"/>
    </row>
    <row r="86" spans="1:14" s="1" customFormat="1" ht="12.75">
      <c r="A86"/>
      <c r="B86"/>
      <c r="C86"/>
      <c r="D86"/>
      <c r="E86" s="1" t="s">
        <v>32</v>
      </c>
      <c r="K86"/>
      <c r="L86"/>
      <c r="M86"/>
      <c r="N86"/>
    </row>
  </sheetData>
  <sheetProtection selectLockedCells="1" selectUnlockedCells="1"/>
  <mergeCells count="13">
    <mergeCell ref="A1:D1"/>
    <mergeCell ref="A2:D2"/>
    <mergeCell ref="A3:D3"/>
    <mergeCell ref="A4:D4"/>
    <mergeCell ref="A5:D5"/>
    <mergeCell ref="A7:D7"/>
    <mergeCell ref="A74:D74"/>
    <mergeCell ref="A14:D14"/>
    <mergeCell ref="A29:D29"/>
    <mergeCell ref="A43:D43"/>
    <mergeCell ref="A48:D48"/>
    <mergeCell ref="A55:D55"/>
    <mergeCell ref="A69:D69"/>
  </mergeCells>
  <printOptions/>
  <pageMargins left="0.5597222222222222" right="0.7875" top="0.34097222222222223" bottom="0.7875" header="0.5118055555555555" footer="0.5118055555555555"/>
  <pageSetup fitToHeight="3" fitToWidth="2" horizontalDpi="300" verticalDpi="300" orientation="landscape" paperSize="12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5"/>
  <sheetViews>
    <sheetView zoomScale="80" zoomScaleNormal="80" zoomScalePageLayoutView="0" workbookViewId="0" topLeftCell="A48">
      <selection activeCell="E17" sqref="E17:E20"/>
    </sheetView>
  </sheetViews>
  <sheetFormatPr defaultColWidth="11.57421875" defaultRowHeight="12.75"/>
  <cols>
    <col min="1" max="1" width="63.28125" style="0" customWidth="1"/>
    <col min="2" max="2" width="20.28125" style="0" customWidth="1"/>
    <col min="3" max="3" width="31.421875" style="0" customWidth="1"/>
    <col min="4" max="4" width="27.57421875" style="0" customWidth="1"/>
    <col min="5" max="5" width="16.8515625" style="1" customWidth="1"/>
    <col min="6" max="7" width="0" style="1" hidden="1" customWidth="1"/>
    <col min="8" max="8" width="11.57421875" style="1" customWidth="1"/>
    <col min="9" max="9" width="5.28125" style="1" customWidth="1"/>
    <col min="10" max="10" width="30.00390625" style="1" customWidth="1"/>
    <col min="11" max="12" width="23.28125" style="0" customWidth="1"/>
    <col min="13" max="13" width="6.57421875" style="0" customWidth="1"/>
    <col min="14" max="14" width="7.00390625" style="0" customWidth="1"/>
  </cols>
  <sheetData>
    <row r="1" spans="1:4" ht="18">
      <c r="A1" s="265" t="s">
        <v>0</v>
      </c>
      <c r="B1" s="265"/>
      <c r="C1" s="265"/>
      <c r="D1" s="265"/>
    </row>
    <row r="2" spans="1:4" ht="15.75">
      <c r="A2" s="266" t="s">
        <v>1</v>
      </c>
      <c r="B2" s="266"/>
      <c r="C2" s="266"/>
      <c r="D2" s="266"/>
    </row>
    <row r="3" spans="1:4" ht="15.75">
      <c r="A3" s="266" t="s">
        <v>2</v>
      </c>
      <c r="B3" s="266"/>
      <c r="C3" s="266"/>
      <c r="D3" s="266"/>
    </row>
    <row r="4" spans="1:4" ht="12.75">
      <c r="A4" s="267" t="s">
        <v>131</v>
      </c>
      <c r="B4" s="267"/>
      <c r="C4" s="267"/>
      <c r="D4" s="267"/>
    </row>
    <row r="5" spans="1:4" ht="12.75">
      <c r="A5" s="268" t="s">
        <v>171</v>
      </c>
      <c r="B5" s="267"/>
      <c r="C5" s="267"/>
      <c r="D5" s="267"/>
    </row>
    <row r="6" ht="9" customHeight="1">
      <c r="A6" s="2"/>
    </row>
    <row r="7" spans="1:4" ht="18" customHeight="1">
      <c r="A7" s="269" t="s">
        <v>4</v>
      </c>
      <c r="B7" s="269"/>
      <c r="C7" s="269"/>
      <c r="D7" s="269"/>
    </row>
    <row r="8" spans="1:3" ht="12.75">
      <c r="A8" s="2" t="s">
        <v>247</v>
      </c>
      <c r="C8" s="3"/>
    </row>
    <row r="9" spans="1:5" ht="12.75">
      <c r="A9" s="4" t="s">
        <v>5</v>
      </c>
      <c r="B9" s="4" t="s">
        <v>6</v>
      </c>
      <c r="C9" s="4" t="s">
        <v>7</v>
      </c>
      <c r="D9" s="5"/>
      <c r="E9" s="132"/>
    </row>
    <row r="10" spans="1:5" ht="12.75">
      <c r="A10" s="6">
        <v>1</v>
      </c>
      <c r="B10" s="6">
        <v>2</v>
      </c>
      <c r="C10" s="6">
        <v>3</v>
      </c>
      <c r="D10" s="7">
        <v>4</v>
      </c>
      <c r="E10" s="132"/>
    </row>
    <row r="11" spans="1:5" ht="12.75">
      <c r="A11" s="8" t="s">
        <v>8</v>
      </c>
      <c r="B11" s="9"/>
      <c r="C11" s="177" t="s">
        <v>172</v>
      </c>
      <c r="D11" s="10"/>
      <c r="E11" s="132"/>
    </row>
    <row r="12" spans="1:5" ht="12.75">
      <c r="A12" s="8" t="s">
        <v>10</v>
      </c>
      <c r="B12" s="9"/>
      <c r="C12" s="177" t="s">
        <v>173</v>
      </c>
      <c r="D12" s="10"/>
      <c r="E12" s="132"/>
    </row>
    <row r="13" spans="1:5" ht="12.75">
      <c r="A13" s="8" t="s">
        <v>12</v>
      </c>
      <c r="B13" s="9"/>
      <c r="C13" s="177" t="s">
        <v>174</v>
      </c>
      <c r="D13" s="10"/>
      <c r="E13" s="132"/>
    </row>
    <row r="14" spans="1:5" ht="31.5" customHeight="1">
      <c r="A14" s="259" t="s">
        <v>14</v>
      </c>
      <c r="B14" s="259"/>
      <c r="C14" s="259"/>
      <c r="D14" s="259"/>
      <c r="E14" s="132"/>
    </row>
    <row r="15" spans="1:5" ht="25.5">
      <c r="A15" s="11" t="s">
        <v>15</v>
      </c>
      <c r="B15" s="12" t="s">
        <v>16</v>
      </c>
      <c r="C15" s="13">
        <v>8097</v>
      </c>
      <c r="D15" s="14"/>
      <c r="E15" s="132"/>
    </row>
    <row r="16" spans="1:5" ht="15">
      <c r="A16" s="8" t="s">
        <v>17</v>
      </c>
      <c r="B16" s="12" t="s">
        <v>16</v>
      </c>
      <c r="C16" s="13">
        <v>0</v>
      </c>
      <c r="D16" s="14"/>
      <c r="E16" s="132"/>
    </row>
    <row r="17" spans="1:5" ht="15">
      <c r="A17" s="8" t="s">
        <v>18</v>
      </c>
      <c r="B17" s="12" t="s">
        <v>16</v>
      </c>
      <c r="C17" s="15">
        <v>2366.56</v>
      </c>
      <c r="D17" s="16"/>
      <c r="E17" s="132" t="e">
        <f>B17/12/1022.6</f>
        <v>#VALUE!</v>
      </c>
    </row>
    <row r="18" spans="1:5" ht="31.5" customHeight="1">
      <c r="A18" s="17" t="s">
        <v>19</v>
      </c>
      <c r="B18" s="12" t="s">
        <v>16</v>
      </c>
      <c r="C18" s="15">
        <f>C19+C20+C21</f>
        <v>28750.936</v>
      </c>
      <c r="D18" s="16"/>
      <c r="E18" s="133">
        <f>C18-C20</f>
        <v>19629.076</v>
      </c>
    </row>
    <row r="19" spans="1:5" ht="15">
      <c r="A19" s="8" t="s">
        <v>20</v>
      </c>
      <c r="B19" s="12" t="s">
        <v>16</v>
      </c>
      <c r="C19" s="15">
        <f>4839.02+5268.2</f>
        <v>10107.220000000001</v>
      </c>
      <c r="D19" s="16"/>
      <c r="E19" s="133">
        <f>E18-E38</f>
        <v>0.004000000000814907</v>
      </c>
    </row>
    <row r="20" spans="1:5" ht="15">
      <c r="A20" s="8" t="s">
        <v>21</v>
      </c>
      <c r="B20" s="12" t="s">
        <v>16</v>
      </c>
      <c r="C20" s="15">
        <f>(2.18+1.77)*6*162.6+5268.24</f>
        <v>9121.86</v>
      </c>
      <c r="D20" s="16"/>
      <c r="E20" s="134"/>
    </row>
    <row r="21" spans="1:5" ht="15">
      <c r="A21" s="8" t="s">
        <v>22</v>
      </c>
      <c r="B21" s="12" t="s">
        <v>16</v>
      </c>
      <c r="C21" s="20">
        <f>162.6*4.88*12</f>
        <v>9521.856</v>
      </c>
      <c r="D21" s="16"/>
      <c r="E21" s="208"/>
    </row>
    <row r="22" spans="1:5" ht="15">
      <c r="A22" s="21" t="s">
        <v>23</v>
      </c>
      <c r="B22" s="12" t="s">
        <v>16</v>
      </c>
      <c r="C22" s="15">
        <f>C23+C24+C25+C26+C27</f>
        <v>29320.204532800002</v>
      </c>
      <c r="D22" s="16" t="s">
        <v>24</v>
      </c>
      <c r="E22" s="206"/>
    </row>
    <row r="23" spans="1:5" ht="15">
      <c r="A23" s="8" t="s">
        <v>25</v>
      </c>
      <c r="B23" s="12" t="s">
        <v>16</v>
      </c>
      <c r="C23" s="15">
        <f>C18*1.0198</f>
        <v>29320.204532800002</v>
      </c>
      <c r="D23" s="16"/>
      <c r="E23" s="208"/>
    </row>
    <row r="24" spans="1:8" ht="15">
      <c r="A24" s="8" t="s">
        <v>26</v>
      </c>
      <c r="B24" s="12" t="s">
        <v>16</v>
      </c>
      <c r="C24" s="15">
        <v>0</v>
      </c>
      <c r="D24" s="22">
        <v>65.21</v>
      </c>
      <c r="E24" s="207"/>
      <c r="H24" s="1" t="s">
        <v>27</v>
      </c>
    </row>
    <row r="25" spans="1:5" ht="15">
      <c r="A25" s="8" t="s">
        <v>28</v>
      </c>
      <c r="B25" s="12" t="s">
        <v>16</v>
      </c>
      <c r="C25" s="15">
        <v>0</v>
      </c>
      <c r="D25" s="22">
        <v>119.63</v>
      </c>
      <c r="E25" s="134" t="e">
        <f>B25/#REF!*1</f>
        <v>#VALUE!</v>
      </c>
    </row>
    <row r="26" spans="1:5" ht="15">
      <c r="A26" s="9" t="s">
        <v>29</v>
      </c>
      <c r="B26" s="12" t="s">
        <v>16</v>
      </c>
      <c r="C26" s="15">
        <v>0</v>
      </c>
      <c r="D26" s="22"/>
      <c r="E26" s="134" t="e">
        <f>B26/#REF!*1</f>
        <v>#VALUE!</v>
      </c>
    </row>
    <row r="27" spans="1:5" ht="16.5" customHeight="1">
      <c r="A27" s="116" t="s">
        <v>112</v>
      </c>
      <c r="B27" s="12" t="s">
        <v>16</v>
      </c>
      <c r="C27" s="15">
        <v>0</v>
      </c>
      <c r="D27" s="22">
        <v>139.18</v>
      </c>
      <c r="E27" s="134" t="e">
        <f>B27/#REF!*1</f>
        <v>#VALUE!</v>
      </c>
    </row>
    <row r="28" spans="1:5" ht="15">
      <c r="A28" s="8" t="s">
        <v>31</v>
      </c>
      <c r="B28" s="12" t="s">
        <v>16</v>
      </c>
      <c r="C28" s="15">
        <f>C15+C22</f>
        <v>37417.2045328</v>
      </c>
      <c r="D28" s="16" t="s">
        <v>32</v>
      </c>
      <c r="E28" s="134" t="e">
        <f>B28/#REF!*1</f>
        <v>#VALUE!</v>
      </c>
    </row>
    <row r="29" spans="1:5" ht="35.25" customHeight="1">
      <c r="A29" s="260" t="s">
        <v>33</v>
      </c>
      <c r="B29" s="260"/>
      <c r="C29" s="260"/>
      <c r="D29" s="260"/>
      <c r="E29" s="132"/>
    </row>
    <row r="30" spans="1:5" ht="60">
      <c r="A30" s="23" t="s">
        <v>34</v>
      </c>
      <c r="B30" s="24" t="s">
        <v>35</v>
      </c>
      <c r="C30" s="25" t="s">
        <v>36</v>
      </c>
      <c r="D30" s="26" t="s">
        <v>37</v>
      </c>
      <c r="E30" s="132"/>
    </row>
    <row r="31" spans="1:5" ht="15">
      <c r="A31" s="27" t="s">
        <v>38</v>
      </c>
      <c r="B31" s="28" t="s">
        <v>39</v>
      </c>
      <c r="C31" s="29" t="s">
        <v>40</v>
      </c>
      <c r="D31" s="107">
        <f>(0.17+0.16)*6*162.6</f>
        <v>321.948</v>
      </c>
      <c r="E31" s="132"/>
    </row>
    <row r="32" spans="1:5" ht="15">
      <c r="A32" s="31" t="s">
        <v>41</v>
      </c>
      <c r="B32" s="32" t="s">
        <v>42</v>
      </c>
      <c r="C32" s="33" t="s">
        <v>43</v>
      </c>
      <c r="D32" s="34">
        <f>(3.03+3)*6*162.6</f>
        <v>5882.867999999999</v>
      </c>
      <c r="E32" s="132"/>
    </row>
    <row r="33" spans="1:5" ht="15">
      <c r="A33" s="31" t="s">
        <v>44</v>
      </c>
      <c r="B33" s="32" t="s">
        <v>87</v>
      </c>
      <c r="C33" s="33" t="s">
        <v>45</v>
      </c>
      <c r="D33" s="108">
        <f>(0.42+0.4)*6*162.6</f>
        <v>799.992</v>
      </c>
      <c r="E33" s="132"/>
    </row>
    <row r="34" spans="1:5" ht="15">
      <c r="A34" s="204" t="s">
        <v>249</v>
      </c>
      <c r="B34" s="32" t="s">
        <v>39</v>
      </c>
      <c r="C34" s="33" t="s">
        <v>40</v>
      </c>
      <c r="D34" s="108">
        <f>(0.3+0.28)*6*162.6</f>
        <v>565.8480000000001</v>
      </c>
      <c r="E34" s="132"/>
    </row>
    <row r="35" spans="1:5" ht="15">
      <c r="A35" s="31" t="s">
        <v>90</v>
      </c>
      <c r="B35" s="106" t="s">
        <v>91</v>
      </c>
      <c r="C35" s="33" t="s">
        <v>40</v>
      </c>
      <c r="D35" s="108">
        <f>(1.33+1.27)*6*162.6</f>
        <v>2536.56</v>
      </c>
      <c r="E35" s="132"/>
    </row>
    <row r="36" spans="1:5" ht="15">
      <c r="A36" s="31" t="s">
        <v>46</v>
      </c>
      <c r="B36" s="32" t="s">
        <v>42</v>
      </c>
      <c r="C36" s="35" t="s">
        <v>47</v>
      </c>
      <c r="D36" s="108">
        <f>4.88*162.6*12</f>
        <v>9521.856</v>
      </c>
      <c r="E36" s="132"/>
    </row>
    <row r="37" spans="1:14" s="1" customFormat="1" ht="45">
      <c r="A37" s="180" t="s">
        <v>248</v>
      </c>
      <c r="B37" s="37" t="s">
        <v>49</v>
      </c>
      <c r="C37" s="33" t="s">
        <v>40</v>
      </c>
      <c r="D37" s="39">
        <v>3599</v>
      </c>
      <c r="E37" s="132"/>
      <c r="K37"/>
      <c r="L37"/>
      <c r="M37"/>
      <c r="N37"/>
    </row>
    <row r="38" spans="1:14" s="1" customFormat="1" ht="15.75">
      <c r="A38" s="40" t="s">
        <v>50</v>
      </c>
      <c r="B38" s="41"/>
      <c r="C38" s="42"/>
      <c r="D38" s="113">
        <f>SUM(D31:D37)</f>
        <v>23228.072</v>
      </c>
      <c r="E38" s="135">
        <f>D38-D37</f>
        <v>19629.072</v>
      </c>
      <c r="K38"/>
      <c r="L38"/>
      <c r="M38"/>
      <c r="N38"/>
    </row>
    <row r="39" spans="1:14" s="1" customFormat="1" ht="15">
      <c r="A39" s="43" t="s">
        <v>51</v>
      </c>
      <c r="B39" s="44" t="s">
        <v>16</v>
      </c>
      <c r="C39" s="45"/>
      <c r="D39" s="46">
        <f>C15+C20*1-D37</f>
        <v>13619.86</v>
      </c>
      <c r="E39" s="135"/>
      <c r="K39"/>
      <c r="L39"/>
      <c r="M39"/>
      <c r="N39"/>
    </row>
    <row r="40" spans="1:14" s="1" customFormat="1" ht="15">
      <c r="A40" s="48" t="s">
        <v>17</v>
      </c>
      <c r="B40" s="49" t="s">
        <v>16</v>
      </c>
      <c r="C40" s="33"/>
      <c r="D40" s="14">
        <v>0</v>
      </c>
      <c r="E40" s="132"/>
      <c r="K40"/>
      <c r="L40"/>
      <c r="M40"/>
      <c r="N40"/>
    </row>
    <row r="41" spans="1:14" s="1" customFormat="1" ht="15">
      <c r="A41" s="48" t="s">
        <v>18</v>
      </c>
      <c r="B41" s="49" t="s">
        <v>16</v>
      </c>
      <c r="C41" s="33"/>
      <c r="D41" s="14">
        <v>0</v>
      </c>
      <c r="E41" s="132"/>
      <c r="K41"/>
      <c r="L41"/>
      <c r="M41"/>
      <c r="N41"/>
    </row>
    <row r="42" spans="1:14" s="1" customFormat="1" ht="24" customHeight="1">
      <c r="A42" s="261" t="s">
        <v>52</v>
      </c>
      <c r="B42" s="261"/>
      <c r="C42" s="261"/>
      <c r="D42" s="261"/>
      <c r="E42" s="132"/>
      <c r="K42"/>
      <c r="L42"/>
      <c r="M42"/>
      <c r="N42"/>
    </row>
    <row r="43" spans="1:14" s="1" customFormat="1" ht="15">
      <c r="A43" s="48" t="s">
        <v>53</v>
      </c>
      <c r="B43" s="32" t="s">
        <v>54</v>
      </c>
      <c r="C43" s="33">
        <v>0</v>
      </c>
      <c r="D43" s="14">
        <v>0</v>
      </c>
      <c r="E43" s="132"/>
      <c r="K43"/>
      <c r="L43"/>
      <c r="M43"/>
      <c r="N43"/>
    </row>
    <row r="44" spans="1:14" s="1" customFormat="1" ht="15">
      <c r="A44" s="48" t="s">
        <v>55</v>
      </c>
      <c r="B44" s="32" t="s">
        <v>54</v>
      </c>
      <c r="C44" s="33">
        <v>0</v>
      </c>
      <c r="D44" s="14">
        <v>0</v>
      </c>
      <c r="E44" s="132"/>
      <c r="K44"/>
      <c r="L44"/>
      <c r="M44"/>
      <c r="N44"/>
    </row>
    <row r="45" spans="1:14" s="1" customFormat="1" ht="15">
      <c r="A45" s="50" t="s">
        <v>56</v>
      </c>
      <c r="B45" s="32" t="s">
        <v>54</v>
      </c>
      <c r="C45" s="33">
        <v>0</v>
      </c>
      <c r="D45" s="14">
        <v>0</v>
      </c>
      <c r="E45" s="132"/>
      <c r="K45"/>
      <c r="L45"/>
      <c r="M45"/>
      <c r="N45"/>
    </row>
    <row r="46" spans="1:14" s="1" customFormat="1" ht="15">
      <c r="A46" s="48" t="s">
        <v>57</v>
      </c>
      <c r="B46" s="32" t="s">
        <v>16</v>
      </c>
      <c r="C46" s="33">
        <v>0</v>
      </c>
      <c r="D46" s="14">
        <v>0</v>
      </c>
      <c r="E46" s="132"/>
      <c r="K46"/>
      <c r="L46"/>
      <c r="M46"/>
      <c r="N46"/>
    </row>
    <row r="47" spans="1:5" ht="20.25" customHeight="1">
      <c r="A47" s="262" t="s">
        <v>58</v>
      </c>
      <c r="B47" s="262"/>
      <c r="C47" s="262"/>
      <c r="D47" s="262"/>
      <c r="E47" s="132"/>
    </row>
    <row r="48" spans="1:5" ht="25.5">
      <c r="A48" s="50" t="s">
        <v>59</v>
      </c>
      <c r="B48" s="32" t="s">
        <v>16</v>
      </c>
      <c r="C48" s="33"/>
      <c r="D48" s="14">
        <v>0</v>
      </c>
      <c r="E48" s="132"/>
    </row>
    <row r="49" spans="1:5" ht="15">
      <c r="A49" s="48" t="s">
        <v>17</v>
      </c>
      <c r="B49" s="32" t="s">
        <v>16</v>
      </c>
      <c r="C49" s="33"/>
      <c r="D49" s="14">
        <v>0</v>
      </c>
      <c r="E49" s="132"/>
    </row>
    <row r="50" spans="1:8" ht="15">
      <c r="A50" s="48" t="s">
        <v>18</v>
      </c>
      <c r="B50" s="32" t="s">
        <v>16</v>
      </c>
      <c r="C50" s="33"/>
      <c r="D50" s="51">
        <v>6931.5</v>
      </c>
      <c r="E50" s="132"/>
      <c r="H50" s="52"/>
    </row>
    <row r="51" spans="1:5" ht="25.5">
      <c r="A51" s="53" t="s">
        <v>60</v>
      </c>
      <c r="B51" s="32" t="s">
        <v>16</v>
      </c>
      <c r="C51" s="54"/>
      <c r="D51" s="55">
        <v>0</v>
      </c>
      <c r="E51" s="132"/>
    </row>
    <row r="52" spans="1:10" ht="17.25" customHeight="1">
      <c r="A52" s="56" t="s">
        <v>17</v>
      </c>
      <c r="B52" s="32" t="s">
        <v>16</v>
      </c>
      <c r="C52" s="33"/>
      <c r="D52" s="14">
        <v>0</v>
      </c>
      <c r="E52" s="132"/>
      <c r="I52" s="52"/>
      <c r="J52" s="52"/>
    </row>
    <row r="53" spans="1:14" ht="15">
      <c r="A53" s="59" t="s">
        <v>18</v>
      </c>
      <c r="B53" s="32" t="s">
        <v>16</v>
      </c>
      <c r="C53" s="60"/>
      <c r="D53" s="61">
        <v>0</v>
      </c>
      <c r="E53" s="132"/>
      <c r="H53" s="1" t="s">
        <v>32</v>
      </c>
      <c r="I53" s="63"/>
      <c r="J53" s="63"/>
      <c r="K53" s="64"/>
      <c r="L53" s="64"/>
      <c r="M53" s="64"/>
      <c r="N53" s="64"/>
    </row>
    <row r="54" spans="1:14" ht="18" customHeight="1">
      <c r="A54" s="263" t="s">
        <v>61</v>
      </c>
      <c r="B54" s="263"/>
      <c r="C54" s="263"/>
      <c r="D54" s="263"/>
      <c r="E54" s="137"/>
      <c r="F54" s="66"/>
      <c r="G54" s="67"/>
      <c r="I54" s="68"/>
      <c r="J54" s="68"/>
      <c r="K54" s="69"/>
      <c r="L54" s="69"/>
      <c r="M54" s="69"/>
      <c r="N54" s="69"/>
    </row>
    <row r="55" spans="1:14" ht="47.25">
      <c r="A55" s="70" t="s">
        <v>62</v>
      </c>
      <c r="B55" s="71" t="s">
        <v>63</v>
      </c>
      <c r="C55" s="72" t="s">
        <v>64</v>
      </c>
      <c r="D55" s="73" t="s">
        <v>65</v>
      </c>
      <c r="E55" s="137"/>
      <c r="F55" s="66"/>
      <c r="G55" s="67"/>
      <c r="I55" s="68"/>
      <c r="J55" s="74"/>
      <c r="K55" s="69"/>
      <c r="L55" s="69"/>
      <c r="M55" s="69"/>
      <c r="N55" s="69"/>
    </row>
    <row r="56" spans="1:14" ht="15">
      <c r="A56" s="75" t="s">
        <v>66</v>
      </c>
      <c r="B56" s="117">
        <v>8720.78</v>
      </c>
      <c r="C56" s="118">
        <f>B56*1</f>
        <v>8720.78</v>
      </c>
      <c r="D56" s="119">
        <f>B56-C56</f>
        <v>0</v>
      </c>
      <c r="E56" s="140"/>
      <c r="F56" s="66"/>
      <c r="G56" s="67"/>
      <c r="I56" s="68"/>
      <c r="J56" s="68"/>
      <c r="K56" s="69"/>
      <c r="L56" s="69"/>
      <c r="M56" s="69"/>
      <c r="N56" s="69"/>
    </row>
    <row r="57" spans="1:14" ht="15">
      <c r="A57" s="75" t="s">
        <v>67</v>
      </c>
      <c r="B57" s="117">
        <v>9997.35</v>
      </c>
      <c r="C57" s="118">
        <f>B57*1</f>
        <v>9997.35</v>
      </c>
      <c r="D57" s="119">
        <f>B57-C57</f>
        <v>0</v>
      </c>
      <c r="E57" s="137"/>
      <c r="F57" s="66"/>
      <c r="G57" s="67"/>
      <c r="I57" s="68"/>
      <c r="J57" s="68"/>
      <c r="K57" s="69"/>
      <c r="L57" s="69"/>
      <c r="M57" s="69"/>
      <c r="N57" s="69"/>
    </row>
    <row r="58" spans="1:14" ht="15">
      <c r="A58" s="75" t="s">
        <v>68</v>
      </c>
      <c r="B58" s="120">
        <v>67927.68</v>
      </c>
      <c r="C58" s="118">
        <f>B58*1</f>
        <v>67927.68</v>
      </c>
      <c r="D58" s="119">
        <f>B58-C58</f>
        <v>0</v>
      </c>
      <c r="E58" s="137">
        <f>(2.07+1.8)*6*2301.2-0.37*2301.2*6</f>
        <v>48325.2</v>
      </c>
      <c r="F58" s="81"/>
      <c r="G58" s="82"/>
      <c r="H58" s="65"/>
      <c r="I58" s="68"/>
      <c r="J58" s="68"/>
      <c r="K58" s="69"/>
      <c r="L58" s="69"/>
      <c r="M58" s="69"/>
      <c r="N58" s="69"/>
    </row>
    <row r="59" spans="1:14" ht="15.75" thickBot="1">
      <c r="A59" s="150" t="s">
        <v>69</v>
      </c>
      <c r="B59" s="151">
        <v>0</v>
      </c>
      <c r="C59" s="152">
        <f>B59*1.0198</f>
        <v>0</v>
      </c>
      <c r="D59" s="153">
        <f>B59-C59</f>
        <v>0</v>
      </c>
      <c r="E59" s="137"/>
      <c r="F59" s="81"/>
      <c r="G59" s="82"/>
      <c r="I59" s="68"/>
      <c r="J59" s="68"/>
      <c r="K59" s="69"/>
      <c r="L59" s="69"/>
      <c r="M59" s="69"/>
      <c r="N59" s="69"/>
    </row>
    <row r="60" spans="1:14" ht="63">
      <c r="A60" s="154" t="s">
        <v>70</v>
      </c>
      <c r="B60" s="155" t="s">
        <v>71</v>
      </c>
      <c r="C60" s="156" t="s">
        <v>72</v>
      </c>
      <c r="D60" s="157" t="s">
        <v>73</v>
      </c>
      <c r="E60" s="137"/>
      <c r="F60" s="81"/>
      <c r="H60" s="68"/>
      <c r="I60" s="68"/>
      <c r="J60" s="68"/>
      <c r="K60" s="69"/>
      <c r="L60" s="69"/>
      <c r="M60" s="69"/>
      <c r="N60" s="69"/>
    </row>
    <row r="61" spans="1:14" ht="15">
      <c r="A61" s="158" t="s">
        <v>66</v>
      </c>
      <c r="B61" s="124">
        <f aca="true" t="shared" si="0" ref="B61:C63">B56</f>
        <v>8720.78</v>
      </c>
      <c r="C61" s="125">
        <f t="shared" si="0"/>
        <v>8720.78</v>
      </c>
      <c r="D61" s="159">
        <f>B61-C61</f>
        <v>0</v>
      </c>
      <c r="E61" s="137"/>
      <c r="F61" s="81"/>
      <c r="H61" s="68"/>
      <c r="I61" s="68"/>
      <c r="J61" s="68" t="s">
        <v>32</v>
      </c>
      <c r="K61" s="69"/>
      <c r="L61" s="69"/>
      <c r="M61" s="69"/>
      <c r="N61" s="69"/>
    </row>
    <row r="62" spans="1:14" ht="15">
      <c r="A62" s="158" t="s">
        <v>67</v>
      </c>
      <c r="B62" s="124">
        <f t="shared" si="0"/>
        <v>9997.35</v>
      </c>
      <c r="C62" s="125">
        <f t="shared" si="0"/>
        <v>9997.35</v>
      </c>
      <c r="D62" s="159">
        <f>B62-C62</f>
        <v>0</v>
      </c>
      <c r="E62" s="137"/>
      <c r="F62" s="81"/>
      <c r="H62" s="68"/>
      <c r="I62" s="68"/>
      <c r="J62" s="68"/>
      <c r="K62" s="69"/>
      <c r="L62" s="69"/>
      <c r="M62" s="69"/>
      <c r="N62" s="69"/>
    </row>
    <row r="63" spans="1:14" ht="15">
      <c r="A63" s="158" t="s">
        <v>68</v>
      </c>
      <c r="B63" s="124">
        <f t="shared" si="0"/>
        <v>67927.68</v>
      </c>
      <c r="C63" s="125">
        <f t="shared" si="0"/>
        <v>67927.68</v>
      </c>
      <c r="D63" s="159">
        <f>B63-C63</f>
        <v>0</v>
      </c>
      <c r="E63" s="137"/>
      <c r="F63" s="81"/>
      <c r="H63" s="68"/>
      <c r="I63" s="68"/>
      <c r="J63" s="68"/>
      <c r="K63" s="69"/>
      <c r="L63" s="69"/>
      <c r="M63" s="69"/>
      <c r="N63" s="69"/>
    </row>
    <row r="64" spans="1:14" ht="15">
      <c r="A64" s="158" t="s">
        <v>74</v>
      </c>
      <c r="B64" s="124">
        <v>0</v>
      </c>
      <c r="C64" s="125">
        <v>0</v>
      </c>
      <c r="D64" s="159">
        <f>B64-C64</f>
        <v>0</v>
      </c>
      <c r="E64" s="65"/>
      <c r="F64" s="81"/>
      <c r="H64" s="68"/>
      <c r="I64" s="68"/>
      <c r="J64" s="68"/>
      <c r="K64" s="69"/>
      <c r="L64" s="69"/>
      <c r="M64" s="69"/>
      <c r="N64" s="69"/>
    </row>
    <row r="65" spans="1:14" ht="15.75" thickBot="1">
      <c r="A65" s="160" t="s">
        <v>69</v>
      </c>
      <c r="B65" s="161">
        <v>0</v>
      </c>
      <c r="C65" s="162">
        <v>0</v>
      </c>
      <c r="D65" s="163">
        <f>B65-C65</f>
        <v>0</v>
      </c>
      <c r="E65" s="65"/>
      <c r="F65" s="81"/>
      <c r="H65" s="68" t="s">
        <v>32</v>
      </c>
      <c r="I65" s="68"/>
      <c r="J65" s="68"/>
      <c r="K65" s="69"/>
      <c r="L65" s="69"/>
      <c r="M65" s="69"/>
      <c r="N65" s="69"/>
    </row>
    <row r="66" spans="1:14" ht="15">
      <c r="A66" s="91"/>
      <c r="B66" s="87"/>
      <c r="C66" s="92"/>
      <c r="D66" s="93"/>
      <c r="E66" s="65"/>
      <c r="F66" s="81"/>
      <c r="H66" s="68"/>
      <c r="I66" s="68"/>
      <c r="J66" s="68"/>
      <c r="K66" s="69"/>
      <c r="L66" s="69"/>
      <c r="M66" s="69"/>
      <c r="N66" s="69"/>
    </row>
    <row r="67" spans="1:14" ht="25.5">
      <c r="A67" s="94" t="s">
        <v>75</v>
      </c>
      <c r="B67" s="87" t="s">
        <v>16</v>
      </c>
      <c r="C67" s="95"/>
      <c r="D67" s="96"/>
      <c r="E67" s="65"/>
      <c r="F67" s="81"/>
      <c r="H67" s="68"/>
      <c r="I67" s="68"/>
      <c r="J67" s="68" t="s">
        <v>32</v>
      </c>
      <c r="K67" s="69"/>
      <c r="L67" s="69"/>
      <c r="M67" s="69"/>
      <c r="N67" s="69"/>
    </row>
    <row r="68" spans="1:14" ht="17.25" customHeight="1">
      <c r="A68" s="264" t="s">
        <v>76</v>
      </c>
      <c r="B68" s="264"/>
      <c r="C68" s="264"/>
      <c r="D68" s="264"/>
      <c r="E68" s="97" t="e">
        <f>D68+B19</f>
        <v>#VALUE!</v>
      </c>
      <c r="F68" s="68"/>
      <c r="H68" s="98" t="e">
        <f>E68-B18</f>
        <v>#VALUE!</v>
      </c>
      <c r="I68" s="68"/>
      <c r="J68" s="68"/>
      <c r="K68" s="69"/>
      <c r="L68" s="69"/>
      <c r="M68" s="69"/>
      <c r="N68" s="69"/>
    </row>
    <row r="69" spans="1:5" ht="21" customHeight="1">
      <c r="A69" s="99" t="s">
        <v>53</v>
      </c>
      <c r="B69" s="99" t="s">
        <v>54</v>
      </c>
      <c r="C69" s="100">
        <v>0</v>
      </c>
      <c r="D69" s="101"/>
      <c r="E69" s="102"/>
    </row>
    <row r="70" spans="1:5" ht="21" customHeight="1">
      <c r="A70" s="99" t="s">
        <v>55</v>
      </c>
      <c r="B70" s="99" t="s">
        <v>54</v>
      </c>
      <c r="C70" s="99">
        <v>0</v>
      </c>
      <c r="D70" s="101"/>
      <c r="E70" s="102"/>
    </row>
    <row r="71" spans="1:5" ht="18" customHeight="1">
      <c r="A71" s="99" t="s">
        <v>56</v>
      </c>
      <c r="B71" s="99" t="s">
        <v>54</v>
      </c>
      <c r="C71" s="99">
        <v>0</v>
      </c>
      <c r="D71" s="101"/>
      <c r="E71" s="102"/>
    </row>
    <row r="72" spans="1:5" ht="16.5" customHeight="1">
      <c r="A72" s="99" t="s">
        <v>57</v>
      </c>
      <c r="B72" s="99" t="s">
        <v>16</v>
      </c>
      <c r="C72" s="99">
        <v>0</v>
      </c>
      <c r="D72" s="101"/>
      <c r="E72" s="102"/>
    </row>
    <row r="73" spans="1:5" ht="15.75" customHeight="1">
      <c r="A73" s="258" t="s">
        <v>77</v>
      </c>
      <c r="B73" s="258"/>
      <c r="C73" s="258"/>
      <c r="D73" s="258"/>
      <c r="E73" s="102"/>
    </row>
    <row r="74" spans="1:5" ht="18.75" customHeight="1">
      <c r="A74" s="99" t="s">
        <v>78</v>
      </c>
      <c r="B74" s="99" t="s">
        <v>54</v>
      </c>
      <c r="C74" s="99">
        <v>0</v>
      </c>
      <c r="D74" s="101"/>
      <c r="E74" s="102"/>
    </row>
    <row r="75" spans="1:5" ht="21.75" customHeight="1">
      <c r="A75" s="99" t="s">
        <v>79</v>
      </c>
      <c r="B75" s="56" t="s">
        <v>54</v>
      </c>
      <c r="C75" s="56">
        <v>0</v>
      </c>
      <c r="D75" s="101"/>
      <c r="E75" s="102"/>
    </row>
    <row r="76" spans="1:5" ht="36" customHeight="1">
      <c r="A76" s="103" t="s">
        <v>80</v>
      </c>
      <c r="B76" s="99" t="s">
        <v>16</v>
      </c>
      <c r="C76" s="99">
        <v>0</v>
      </c>
      <c r="D76" s="101"/>
      <c r="E76" s="102"/>
    </row>
    <row r="77" spans="1:4" ht="15">
      <c r="A77" s="69"/>
      <c r="B77" s="69"/>
      <c r="C77" s="69"/>
      <c r="D77" s="104"/>
    </row>
    <row r="78" spans="1:14" s="1" customFormat="1" ht="12.75">
      <c r="A78"/>
      <c r="B78"/>
      <c r="C78"/>
      <c r="D78"/>
      <c r="H78" s="1" t="s">
        <v>32</v>
      </c>
      <c r="K78"/>
      <c r="L78"/>
      <c r="M78"/>
      <c r="N78"/>
    </row>
    <row r="79" spans="1:14" s="1" customFormat="1" ht="12.75">
      <c r="A79" t="s">
        <v>81</v>
      </c>
      <c r="B79"/>
      <c r="C79" t="s">
        <v>170</v>
      </c>
      <c r="D79"/>
      <c r="K79"/>
      <c r="L79"/>
      <c r="M79"/>
      <c r="N79"/>
    </row>
    <row r="80" spans="1:14" s="1" customFormat="1" ht="12.75">
      <c r="A80"/>
      <c r="B80"/>
      <c r="C80"/>
      <c r="D80"/>
      <c r="H80" s="1" t="s">
        <v>32</v>
      </c>
      <c r="K80"/>
      <c r="L80"/>
      <c r="M80"/>
      <c r="N80"/>
    </row>
    <row r="81" spans="1:14" s="1" customFormat="1" ht="12.75">
      <c r="A81" t="s">
        <v>82</v>
      </c>
      <c r="B81"/>
      <c r="C81"/>
      <c r="D81"/>
      <c r="K81"/>
      <c r="L81"/>
      <c r="M81"/>
      <c r="N81"/>
    </row>
    <row r="85" spans="1:14" s="1" customFormat="1" ht="12.75">
      <c r="A85"/>
      <c r="B85"/>
      <c r="C85"/>
      <c r="D85"/>
      <c r="E85" s="1" t="s">
        <v>32</v>
      </c>
      <c r="K85"/>
      <c r="L85"/>
      <c r="M85"/>
      <c r="N85"/>
    </row>
  </sheetData>
  <sheetProtection selectLockedCells="1" selectUnlockedCells="1"/>
  <mergeCells count="13">
    <mergeCell ref="A1:D1"/>
    <mergeCell ref="A2:D2"/>
    <mergeCell ref="A3:D3"/>
    <mergeCell ref="A4:D4"/>
    <mergeCell ref="A5:D5"/>
    <mergeCell ref="A7:D7"/>
    <mergeCell ref="A73:D73"/>
    <mergeCell ref="A14:D14"/>
    <mergeCell ref="A29:D29"/>
    <mergeCell ref="A42:D42"/>
    <mergeCell ref="A47:D47"/>
    <mergeCell ref="A54:D54"/>
    <mergeCell ref="A68:D68"/>
  </mergeCells>
  <printOptions/>
  <pageMargins left="0.5597222222222222" right="0.7875" top="0.34097222222222223" bottom="0.7875" header="0.5118055555555555" footer="0.5118055555555555"/>
  <pageSetup fitToHeight="3" fitToWidth="2" horizontalDpi="300" verticalDpi="300" orientation="landscape" paperSize="1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8"/>
  <sheetViews>
    <sheetView zoomScale="80" zoomScaleNormal="80" zoomScalePageLayoutView="0" workbookViewId="0" topLeftCell="A55">
      <selection activeCell="A30" sqref="A30:D30"/>
    </sheetView>
  </sheetViews>
  <sheetFormatPr defaultColWidth="11.57421875" defaultRowHeight="12.75"/>
  <cols>
    <col min="1" max="1" width="54.8515625" style="0" customWidth="1"/>
    <col min="2" max="2" width="16.7109375" style="0" customWidth="1"/>
    <col min="3" max="3" width="23.7109375" style="0" customWidth="1"/>
    <col min="4" max="4" width="17.421875" style="0" customWidth="1"/>
    <col min="5" max="5" width="16.8515625" style="1" customWidth="1"/>
    <col min="6" max="7" width="0" style="1" hidden="1" customWidth="1"/>
    <col min="8" max="8" width="11.57421875" style="1" customWidth="1"/>
    <col min="9" max="9" width="5.28125" style="1" customWidth="1"/>
    <col min="10" max="10" width="30.00390625" style="1" customWidth="1"/>
    <col min="11" max="12" width="23.28125" style="0" customWidth="1"/>
    <col min="13" max="13" width="6.57421875" style="0" customWidth="1"/>
    <col min="14" max="14" width="7.00390625" style="0" customWidth="1"/>
  </cols>
  <sheetData>
    <row r="1" spans="1:4" ht="18">
      <c r="A1" s="265" t="s">
        <v>0</v>
      </c>
      <c r="B1" s="265"/>
      <c r="C1" s="265"/>
      <c r="D1" s="265"/>
    </row>
    <row r="2" spans="1:4" ht="15.75">
      <c r="A2" s="266" t="s">
        <v>1</v>
      </c>
      <c r="B2" s="266"/>
      <c r="C2" s="266"/>
      <c r="D2" s="266"/>
    </row>
    <row r="3" spans="1:4" ht="15.75">
      <c r="A3" s="266" t="s">
        <v>2</v>
      </c>
      <c r="B3" s="266"/>
      <c r="C3" s="266"/>
      <c r="D3" s="266"/>
    </row>
    <row r="4" spans="1:4" ht="12.75">
      <c r="A4" s="267" t="s">
        <v>169</v>
      </c>
      <c r="B4" s="267"/>
      <c r="C4" s="267"/>
      <c r="D4" s="267"/>
    </row>
    <row r="5" spans="1:4" ht="21" customHeight="1">
      <c r="A5" s="268" t="s">
        <v>171</v>
      </c>
      <c r="B5" s="267"/>
      <c r="C5" s="267"/>
      <c r="D5" s="267"/>
    </row>
    <row r="6" ht="13.5" customHeight="1">
      <c r="A6" s="2" t="s">
        <v>187</v>
      </c>
    </row>
    <row r="7" spans="1:4" ht="36.75" customHeight="1">
      <c r="A7" s="269" t="s">
        <v>4</v>
      </c>
      <c r="B7" s="269"/>
      <c r="C7" s="269"/>
      <c r="D7" s="269"/>
    </row>
    <row r="8" spans="1:3" ht="12.75">
      <c r="A8" s="2"/>
      <c r="C8" s="3"/>
    </row>
    <row r="9" spans="1:4" ht="12.75">
      <c r="A9" s="4" t="s">
        <v>5</v>
      </c>
      <c r="B9" s="4" t="s">
        <v>6</v>
      </c>
      <c r="C9" s="4" t="s">
        <v>7</v>
      </c>
      <c r="D9" s="5"/>
    </row>
    <row r="10" spans="1:4" ht="12.75">
      <c r="A10" s="6">
        <v>1</v>
      </c>
      <c r="B10" s="6">
        <v>2</v>
      </c>
      <c r="C10" s="6">
        <v>3</v>
      </c>
      <c r="D10" s="7">
        <v>4</v>
      </c>
    </row>
    <row r="11" spans="1:8" ht="12.75">
      <c r="A11" s="8" t="s">
        <v>8</v>
      </c>
      <c r="B11" s="9"/>
      <c r="C11" s="177" t="s">
        <v>172</v>
      </c>
      <c r="D11" s="10"/>
      <c r="E11" s="132"/>
      <c r="F11" s="132"/>
      <c r="G11" s="132"/>
      <c r="H11" s="132"/>
    </row>
    <row r="12" spans="1:8" ht="12.75">
      <c r="A12" s="8" t="s">
        <v>10</v>
      </c>
      <c r="B12" s="9"/>
      <c r="C12" s="177" t="s">
        <v>173</v>
      </c>
      <c r="D12" s="10"/>
      <c r="E12" s="132"/>
      <c r="F12" s="132"/>
      <c r="G12" s="132"/>
      <c r="H12" s="132"/>
    </row>
    <row r="13" spans="1:8" ht="12.75">
      <c r="A13" s="8" t="s">
        <v>12</v>
      </c>
      <c r="B13" s="9"/>
      <c r="C13" s="177" t="s">
        <v>174</v>
      </c>
      <c r="D13" s="10"/>
      <c r="E13" s="132"/>
      <c r="F13" s="132"/>
      <c r="G13" s="132"/>
      <c r="H13" s="132"/>
    </row>
    <row r="14" spans="1:8" ht="31.5" customHeight="1">
      <c r="A14" s="259" t="s">
        <v>14</v>
      </c>
      <c r="B14" s="259"/>
      <c r="C14" s="259"/>
      <c r="D14" s="259"/>
      <c r="E14" s="132"/>
      <c r="F14" s="132"/>
      <c r="G14" s="132"/>
      <c r="H14" s="132"/>
    </row>
    <row r="15" spans="1:8" ht="25.5">
      <c r="A15" s="11" t="s">
        <v>15</v>
      </c>
      <c r="B15" s="12" t="s">
        <v>16</v>
      </c>
      <c r="C15" s="13">
        <v>15015.56</v>
      </c>
      <c r="D15" s="14"/>
      <c r="E15" s="132"/>
      <c r="F15" s="132"/>
      <c r="G15" s="132"/>
      <c r="H15" s="132"/>
    </row>
    <row r="16" spans="1:8" ht="15">
      <c r="A16" s="8" t="s">
        <v>17</v>
      </c>
      <c r="B16" s="12" t="s">
        <v>16</v>
      </c>
      <c r="C16" s="13">
        <v>0</v>
      </c>
      <c r="D16" s="14"/>
      <c r="E16" s="132"/>
      <c r="F16" s="132"/>
      <c r="G16" s="132"/>
      <c r="H16" s="132"/>
    </row>
    <row r="17" spans="1:8" ht="15">
      <c r="A17" s="8" t="s">
        <v>18</v>
      </c>
      <c r="B17" s="12" t="s">
        <v>16</v>
      </c>
      <c r="C17" s="15">
        <v>41074.9</v>
      </c>
      <c r="D17" s="16"/>
      <c r="E17" s="132" t="e">
        <f>B17/12/1022.6</f>
        <v>#VALUE!</v>
      </c>
      <c r="F17" s="132"/>
      <c r="G17" s="132"/>
      <c r="H17" s="132"/>
    </row>
    <row r="18" spans="1:8" ht="31.5" customHeight="1">
      <c r="A18" s="17" t="s">
        <v>19</v>
      </c>
      <c r="B18" s="12" t="s">
        <v>16</v>
      </c>
      <c r="C18" s="15">
        <f>C19+C20+C21</f>
        <v>72000.488</v>
      </c>
      <c r="D18" s="16"/>
      <c r="E18" s="133">
        <f>C18-C20+4685.07</f>
        <v>62787.943999999996</v>
      </c>
      <c r="F18" s="132"/>
      <c r="G18" s="132"/>
      <c r="H18" s="132"/>
    </row>
    <row r="19" spans="1:8" ht="15">
      <c r="A19" s="8" t="s">
        <v>20</v>
      </c>
      <c r="B19" s="12" t="s">
        <v>16</v>
      </c>
      <c r="C19" s="15">
        <v>35680.25</v>
      </c>
      <c r="D19" s="16"/>
      <c r="E19" s="133">
        <f>E18-E41</f>
        <v>0.0020000000004074536</v>
      </c>
      <c r="F19" s="132"/>
      <c r="G19" s="132"/>
      <c r="H19" s="132"/>
    </row>
    <row r="20" spans="1:8" ht="15">
      <c r="A20" s="8" t="s">
        <v>21</v>
      </c>
      <c r="B20" s="12" t="s">
        <v>16</v>
      </c>
      <c r="C20" s="15">
        <f>(2+2.01)*6*382.9+4685.04</f>
        <v>13897.613999999998</v>
      </c>
      <c r="D20" s="16"/>
      <c r="E20" s="134"/>
      <c r="F20" s="132"/>
      <c r="G20" s="132"/>
      <c r="H20" s="132"/>
    </row>
    <row r="21" spans="1:8" ht="15">
      <c r="A21" s="8" t="s">
        <v>22</v>
      </c>
      <c r="B21" s="12" t="s">
        <v>16</v>
      </c>
      <c r="C21" s="20">
        <f>382.9*4.88*12</f>
        <v>22422.624</v>
      </c>
      <c r="D21" s="16"/>
      <c r="E21" s="132"/>
      <c r="F21" s="132"/>
      <c r="G21" s="132"/>
      <c r="H21" s="132"/>
    </row>
    <row r="22" spans="1:8" ht="15">
      <c r="A22" s="21" t="s">
        <v>23</v>
      </c>
      <c r="B22" s="12" t="s">
        <v>16</v>
      </c>
      <c r="C22" s="15">
        <f>C23+C24+C25+C26+C27</f>
        <v>72554.8917576</v>
      </c>
      <c r="D22" s="16" t="s">
        <v>24</v>
      </c>
      <c r="E22" s="133" t="e">
        <f>B24+B25+B26+B27+B28</f>
        <v>#VALUE!</v>
      </c>
      <c r="F22" s="132"/>
      <c r="G22" s="132"/>
      <c r="H22" s="132"/>
    </row>
    <row r="23" spans="1:8" ht="15">
      <c r="A23" s="8" t="s">
        <v>25</v>
      </c>
      <c r="B23" s="12" t="s">
        <v>16</v>
      </c>
      <c r="C23" s="15">
        <f>C18*1.0077</f>
        <v>72554.8917576</v>
      </c>
      <c r="D23" s="16"/>
      <c r="E23" s="132"/>
      <c r="F23" s="132"/>
      <c r="G23" s="132"/>
      <c r="H23" s="132"/>
    </row>
    <row r="24" spans="1:8" ht="15">
      <c r="A24" s="8" t="s">
        <v>26</v>
      </c>
      <c r="B24" s="12" t="s">
        <v>16</v>
      </c>
      <c r="C24" s="15">
        <v>0</v>
      </c>
      <c r="D24" s="22">
        <v>65.21</v>
      </c>
      <c r="E24" s="134" t="e">
        <f>B24/#REF!*1</f>
        <v>#VALUE!</v>
      </c>
      <c r="F24" s="132"/>
      <c r="G24" s="132"/>
      <c r="H24" s="132" t="s">
        <v>27</v>
      </c>
    </row>
    <row r="25" spans="1:8" ht="15">
      <c r="A25" s="8" t="s">
        <v>28</v>
      </c>
      <c r="B25" s="12" t="s">
        <v>16</v>
      </c>
      <c r="C25" s="15">
        <v>0</v>
      </c>
      <c r="D25" s="22">
        <v>119.63</v>
      </c>
      <c r="E25" s="134" t="e">
        <f>B25/#REF!*1</f>
        <v>#VALUE!</v>
      </c>
      <c r="F25" s="132"/>
      <c r="G25" s="132"/>
      <c r="H25" s="132"/>
    </row>
    <row r="26" spans="1:8" ht="15">
      <c r="A26" s="9" t="s">
        <v>29</v>
      </c>
      <c r="B26" s="12" t="s">
        <v>16</v>
      </c>
      <c r="C26" s="15">
        <v>0</v>
      </c>
      <c r="D26" s="22"/>
      <c r="E26" s="134" t="e">
        <f>B26/#REF!*1</f>
        <v>#VALUE!</v>
      </c>
      <c r="F26" s="132"/>
      <c r="G26" s="132"/>
      <c r="H26" s="132"/>
    </row>
    <row r="27" spans="1:8" ht="15">
      <c r="A27" s="9" t="s">
        <v>30</v>
      </c>
      <c r="B27" s="12" t="s">
        <v>16</v>
      </c>
      <c r="C27" s="15">
        <v>0</v>
      </c>
      <c r="D27" s="22">
        <v>139.18</v>
      </c>
      <c r="E27" s="134" t="e">
        <f>B27/#REF!*1</f>
        <v>#VALUE!</v>
      </c>
      <c r="F27" s="132"/>
      <c r="G27" s="132"/>
      <c r="H27" s="132"/>
    </row>
    <row r="28" spans="1:8" ht="15">
      <c r="A28" s="8" t="s">
        <v>31</v>
      </c>
      <c r="B28" s="12" t="s">
        <v>16</v>
      </c>
      <c r="C28" s="15">
        <f>C15+C22</f>
        <v>87570.45175759999</v>
      </c>
      <c r="D28" s="16" t="s">
        <v>32</v>
      </c>
      <c r="E28" s="134" t="e">
        <f>B28/#REF!*1</f>
        <v>#VALUE!</v>
      </c>
      <c r="F28" s="132"/>
      <c r="G28" s="132"/>
      <c r="H28" s="132"/>
    </row>
    <row r="29" spans="1:8" ht="35.25" customHeight="1">
      <c r="A29" s="260" t="s">
        <v>33</v>
      </c>
      <c r="B29" s="260"/>
      <c r="C29" s="260"/>
      <c r="D29" s="260"/>
      <c r="E29" s="132"/>
      <c r="F29" s="132"/>
      <c r="G29" s="132"/>
      <c r="H29" s="132"/>
    </row>
    <row r="30" spans="1:8" ht="51">
      <c r="A30" s="218" t="s">
        <v>34</v>
      </c>
      <c r="B30" s="221" t="s">
        <v>35</v>
      </c>
      <c r="C30" s="216" t="s">
        <v>36</v>
      </c>
      <c r="D30" s="222" t="s">
        <v>37</v>
      </c>
      <c r="E30" s="132"/>
      <c r="F30" s="132"/>
      <c r="G30" s="132"/>
      <c r="H30" s="132"/>
    </row>
    <row r="31" spans="1:8" ht="15">
      <c r="A31" s="27" t="s">
        <v>38</v>
      </c>
      <c r="B31" s="28" t="s">
        <v>39</v>
      </c>
      <c r="C31" s="29" t="s">
        <v>40</v>
      </c>
      <c r="D31" s="107">
        <f>(0.17+0.16)*6*382.9</f>
        <v>758.1419999999999</v>
      </c>
      <c r="E31" s="132"/>
      <c r="F31" s="132"/>
      <c r="G31" s="132"/>
      <c r="H31" s="132"/>
    </row>
    <row r="32" spans="1:8" ht="15">
      <c r="A32" s="31" t="s">
        <v>84</v>
      </c>
      <c r="B32" s="32" t="s">
        <v>85</v>
      </c>
      <c r="C32" s="33" t="s">
        <v>86</v>
      </c>
      <c r="D32" s="108">
        <f>(2.45+2.34)*6*382.9</f>
        <v>11004.546</v>
      </c>
      <c r="E32" s="132"/>
      <c r="F32" s="132"/>
      <c r="G32" s="132"/>
      <c r="H32" s="132"/>
    </row>
    <row r="33" spans="1:8" ht="15">
      <c r="A33" s="31" t="s">
        <v>41</v>
      </c>
      <c r="B33" s="32" t="s">
        <v>42</v>
      </c>
      <c r="C33" s="33" t="s">
        <v>43</v>
      </c>
      <c r="D33" s="34">
        <f>(3.03+3)*6*382.9</f>
        <v>13853.321999999996</v>
      </c>
      <c r="E33" s="132"/>
      <c r="F33" s="132"/>
      <c r="G33" s="132"/>
      <c r="H33" s="132"/>
    </row>
    <row r="34" spans="1:8" ht="15">
      <c r="A34" s="31" t="s">
        <v>44</v>
      </c>
      <c r="B34" s="32" t="s">
        <v>39</v>
      </c>
      <c r="C34" s="33" t="s">
        <v>45</v>
      </c>
      <c r="D34" s="108">
        <f>(0.21+0.2)*6*382.9</f>
        <v>941.934</v>
      </c>
      <c r="E34" s="132"/>
      <c r="F34" s="132"/>
      <c r="G34" s="132"/>
      <c r="H34" s="132"/>
    </row>
    <row r="35" spans="1:8" ht="15">
      <c r="A35" s="31" t="s">
        <v>88</v>
      </c>
      <c r="B35" s="105" t="s">
        <v>87</v>
      </c>
      <c r="C35" s="33" t="s">
        <v>40</v>
      </c>
      <c r="D35" s="108">
        <f>(0.71+0.68)*6*382.9</f>
        <v>3193.386</v>
      </c>
      <c r="E35" s="132"/>
      <c r="F35" s="132"/>
      <c r="G35" s="132"/>
      <c r="H35" s="132"/>
    </row>
    <row r="36" spans="1:8" ht="15">
      <c r="A36" s="31" t="s">
        <v>89</v>
      </c>
      <c r="B36" s="32" t="s">
        <v>39</v>
      </c>
      <c r="C36" s="33" t="s">
        <v>40</v>
      </c>
      <c r="D36" s="34">
        <f>(0.81+0.77)*6*382.9</f>
        <v>3629.892</v>
      </c>
      <c r="E36" s="132"/>
      <c r="F36" s="132"/>
      <c r="G36" s="132"/>
      <c r="H36" s="132"/>
    </row>
    <row r="37" spans="1:8" ht="15">
      <c r="A37" s="31" t="s">
        <v>90</v>
      </c>
      <c r="B37" s="106" t="s">
        <v>91</v>
      </c>
      <c r="C37" s="33" t="s">
        <v>40</v>
      </c>
      <c r="D37" s="108">
        <f>(1.33+1.27)*6*382.9</f>
        <v>5973.24</v>
      </c>
      <c r="E37" s="132"/>
      <c r="F37" s="132"/>
      <c r="G37" s="132"/>
      <c r="H37" s="132"/>
    </row>
    <row r="38" spans="1:8" ht="15">
      <c r="A38" s="31" t="s">
        <v>46</v>
      </c>
      <c r="B38" s="32" t="s">
        <v>42</v>
      </c>
      <c r="C38" s="35" t="s">
        <v>47</v>
      </c>
      <c r="D38" s="108">
        <f>4.88*382.9*12</f>
        <v>22422.624</v>
      </c>
      <c r="E38" s="132"/>
      <c r="F38" s="132"/>
      <c r="G38" s="132"/>
      <c r="H38" s="132"/>
    </row>
    <row r="39" spans="1:8" ht="49.5" customHeight="1">
      <c r="A39" s="31" t="s">
        <v>95</v>
      </c>
      <c r="B39" s="32" t="s">
        <v>96</v>
      </c>
      <c r="C39" s="183" t="s">
        <v>97</v>
      </c>
      <c r="D39" s="108">
        <v>1010.8559999999999</v>
      </c>
      <c r="E39" s="132"/>
      <c r="F39" s="132"/>
      <c r="G39" s="132"/>
      <c r="H39" s="132"/>
    </row>
    <row r="40" spans="1:14" s="1" customFormat="1" ht="45">
      <c r="A40" s="180" t="s">
        <v>303</v>
      </c>
      <c r="B40" s="37" t="s">
        <v>49</v>
      </c>
      <c r="C40" s="38" t="s">
        <v>109</v>
      </c>
      <c r="D40" s="39">
        <v>0</v>
      </c>
      <c r="E40" s="132"/>
      <c r="F40" s="132"/>
      <c r="G40" s="132"/>
      <c r="H40" s="132"/>
      <c r="K40"/>
      <c r="L40"/>
      <c r="M40"/>
      <c r="N40"/>
    </row>
    <row r="41" spans="1:14" s="1" customFormat="1" ht="15.75">
      <c r="A41" s="40" t="s">
        <v>50</v>
      </c>
      <c r="B41" s="41"/>
      <c r="C41" s="42"/>
      <c r="D41" s="113">
        <f>SUM(D31:D40)</f>
        <v>62787.941999999995</v>
      </c>
      <c r="E41" s="135">
        <f>D41-D40</f>
        <v>62787.941999999995</v>
      </c>
      <c r="F41" s="132"/>
      <c r="G41" s="132"/>
      <c r="H41" s="132"/>
      <c r="K41"/>
      <c r="L41"/>
      <c r="M41"/>
      <c r="N41"/>
    </row>
    <row r="42" spans="1:14" s="1" customFormat="1" ht="15">
      <c r="A42" s="43" t="s">
        <v>51</v>
      </c>
      <c r="B42" s="44" t="s">
        <v>16</v>
      </c>
      <c r="C42" s="45"/>
      <c r="D42" s="46">
        <f>C15+C20*1.0077-D40</f>
        <v>29020.185627799998</v>
      </c>
      <c r="E42" s="135"/>
      <c r="F42" s="132"/>
      <c r="G42" s="132"/>
      <c r="H42" s="132"/>
      <c r="K42"/>
      <c r="L42"/>
      <c r="M42"/>
      <c r="N42"/>
    </row>
    <row r="43" spans="1:14" s="1" customFormat="1" ht="15">
      <c r="A43" s="48" t="s">
        <v>17</v>
      </c>
      <c r="B43" s="49" t="s">
        <v>16</v>
      </c>
      <c r="C43" s="33"/>
      <c r="D43" s="14">
        <v>0</v>
      </c>
      <c r="E43" s="132"/>
      <c r="F43" s="132"/>
      <c r="G43" s="132"/>
      <c r="H43" s="132"/>
      <c r="K43"/>
      <c r="L43"/>
      <c r="M43"/>
      <c r="N43"/>
    </row>
    <row r="44" spans="1:14" s="1" customFormat="1" ht="15">
      <c r="A44" s="48" t="s">
        <v>18</v>
      </c>
      <c r="B44" s="49" t="s">
        <v>16</v>
      </c>
      <c r="C44" s="33"/>
      <c r="D44" s="14">
        <v>40520.5</v>
      </c>
      <c r="E44" s="132"/>
      <c r="F44" s="132"/>
      <c r="G44" s="132"/>
      <c r="H44" s="132"/>
      <c r="K44"/>
      <c r="L44"/>
      <c r="M44"/>
      <c r="N44"/>
    </row>
    <row r="45" spans="1:14" s="1" customFormat="1" ht="24" customHeight="1">
      <c r="A45" s="261" t="s">
        <v>52</v>
      </c>
      <c r="B45" s="261"/>
      <c r="C45" s="261"/>
      <c r="D45" s="261"/>
      <c r="E45" s="132"/>
      <c r="F45" s="132"/>
      <c r="G45" s="132"/>
      <c r="H45" s="132"/>
      <c r="K45"/>
      <c r="L45"/>
      <c r="M45"/>
      <c r="N45"/>
    </row>
    <row r="46" spans="1:14" s="1" customFormat="1" ht="15">
      <c r="A46" s="48" t="s">
        <v>53</v>
      </c>
      <c r="B46" s="32" t="s">
        <v>54</v>
      </c>
      <c r="C46" s="33"/>
      <c r="D46" s="14">
        <v>0</v>
      </c>
      <c r="E46" s="132"/>
      <c r="F46" s="132"/>
      <c r="G46" s="132"/>
      <c r="H46" s="132"/>
      <c r="K46"/>
      <c r="L46"/>
      <c r="M46"/>
      <c r="N46"/>
    </row>
    <row r="47" spans="1:14" s="1" customFormat="1" ht="15">
      <c r="A47" s="48" t="s">
        <v>55</v>
      </c>
      <c r="B47" s="32" t="s">
        <v>54</v>
      </c>
      <c r="C47" s="33"/>
      <c r="D47" s="14">
        <v>0</v>
      </c>
      <c r="E47" s="132"/>
      <c r="F47" s="132"/>
      <c r="G47" s="132"/>
      <c r="H47" s="132"/>
      <c r="K47"/>
      <c r="L47"/>
      <c r="M47"/>
      <c r="N47"/>
    </row>
    <row r="48" spans="1:14" s="1" customFormat="1" ht="15">
      <c r="A48" s="50" t="s">
        <v>56</v>
      </c>
      <c r="B48" s="32" t="s">
        <v>54</v>
      </c>
      <c r="C48" s="33"/>
      <c r="D48" s="14">
        <v>0</v>
      </c>
      <c r="E48" s="132"/>
      <c r="F48" s="132"/>
      <c r="G48" s="132"/>
      <c r="H48" s="132"/>
      <c r="K48"/>
      <c r="L48"/>
      <c r="M48"/>
      <c r="N48"/>
    </row>
    <row r="49" spans="1:14" s="1" customFormat="1" ht="15">
      <c r="A49" s="48" t="s">
        <v>57</v>
      </c>
      <c r="B49" s="32" t="s">
        <v>16</v>
      </c>
      <c r="C49" s="33"/>
      <c r="D49" s="14">
        <v>0</v>
      </c>
      <c r="E49" s="132"/>
      <c r="F49" s="132"/>
      <c r="G49" s="132"/>
      <c r="H49" s="132"/>
      <c r="K49"/>
      <c r="L49"/>
      <c r="M49"/>
      <c r="N49"/>
    </row>
    <row r="50" spans="1:8" ht="20.25" customHeight="1">
      <c r="A50" s="262" t="s">
        <v>58</v>
      </c>
      <c r="B50" s="262"/>
      <c r="C50" s="262"/>
      <c r="D50" s="262"/>
      <c r="E50" s="132"/>
      <c r="F50" s="132"/>
      <c r="G50" s="132"/>
      <c r="H50" s="132"/>
    </row>
    <row r="51" spans="1:8" ht="25.5">
      <c r="A51" s="50" t="s">
        <v>59</v>
      </c>
      <c r="B51" s="32" t="s">
        <v>16</v>
      </c>
      <c r="C51" s="33"/>
      <c r="D51" s="14">
        <v>0</v>
      </c>
      <c r="E51" s="132"/>
      <c r="F51" s="132"/>
      <c r="G51" s="132"/>
      <c r="H51" s="132"/>
    </row>
    <row r="52" spans="1:8" ht="15">
      <c r="A52" s="48" t="s">
        <v>17</v>
      </c>
      <c r="B52" s="32" t="s">
        <v>16</v>
      </c>
      <c r="C52" s="33"/>
      <c r="D52" s="14">
        <v>0</v>
      </c>
      <c r="E52" s="132"/>
      <c r="F52" s="132"/>
      <c r="G52" s="132"/>
      <c r="H52" s="132"/>
    </row>
    <row r="53" spans="1:8" ht="15">
      <c r="A53" s="48" t="s">
        <v>18</v>
      </c>
      <c r="B53" s="32" t="s">
        <v>16</v>
      </c>
      <c r="C53" s="33"/>
      <c r="D53" s="51">
        <f>D56-D59-D60-D61</f>
        <v>113476.58862500002</v>
      </c>
      <c r="E53" s="132"/>
      <c r="F53" s="132"/>
      <c r="G53" s="132"/>
      <c r="H53" s="136"/>
    </row>
    <row r="54" spans="1:8" ht="25.5">
      <c r="A54" s="53" t="s">
        <v>60</v>
      </c>
      <c r="B54" s="32" t="s">
        <v>16</v>
      </c>
      <c r="C54" s="54"/>
      <c r="D54" s="55">
        <v>0</v>
      </c>
      <c r="E54" s="132"/>
      <c r="F54" s="132"/>
      <c r="G54" s="132"/>
      <c r="H54" s="132"/>
    </row>
    <row r="55" spans="1:10" ht="17.25" customHeight="1">
      <c r="A55" s="56" t="s">
        <v>17</v>
      </c>
      <c r="B55" s="32" t="s">
        <v>16</v>
      </c>
      <c r="C55" s="57"/>
      <c r="D55" s="58">
        <v>0</v>
      </c>
      <c r="E55" s="132"/>
      <c r="F55" s="132"/>
      <c r="G55" s="132"/>
      <c r="H55" s="132"/>
      <c r="I55" s="52"/>
      <c r="J55" s="52"/>
    </row>
    <row r="56" spans="1:14" ht="15">
      <c r="A56" s="59" t="s">
        <v>18</v>
      </c>
      <c r="B56" s="32" t="s">
        <v>16</v>
      </c>
      <c r="C56" s="60"/>
      <c r="D56" s="61">
        <v>111846.72</v>
      </c>
      <c r="E56" s="132"/>
      <c r="F56" s="132"/>
      <c r="G56" s="132"/>
      <c r="H56" s="132" t="s">
        <v>32</v>
      </c>
      <c r="I56" s="63"/>
      <c r="J56" s="63"/>
      <c r="K56" s="64"/>
      <c r="L56" s="64"/>
      <c r="M56" s="64"/>
      <c r="N56" s="64"/>
    </row>
    <row r="57" spans="1:14" ht="18" customHeight="1">
      <c r="A57" s="263" t="s">
        <v>61</v>
      </c>
      <c r="B57" s="263"/>
      <c r="C57" s="263"/>
      <c r="D57" s="263"/>
      <c r="E57" s="137"/>
      <c r="F57" s="138"/>
      <c r="G57" s="139"/>
      <c r="H57" s="132"/>
      <c r="I57" s="68"/>
      <c r="J57" s="68"/>
      <c r="K57" s="69"/>
      <c r="L57" s="69"/>
      <c r="M57" s="69"/>
      <c r="N57" s="69"/>
    </row>
    <row r="58" spans="1:14" ht="51">
      <c r="A58" s="70" t="s">
        <v>62</v>
      </c>
      <c r="B58" s="71" t="s">
        <v>63</v>
      </c>
      <c r="C58" s="212" t="s">
        <v>64</v>
      </c>
      <c r="D58" s="213" t="s">
        <v>65</v>
      </c>
      <c r="E58" s="137"/>
      <c r="F58" s="138"/>
      <c r="G58" s="139"/>
      <c r="H58" s="132"/>
      <c r="I58" s="68"/>
      <c r="J58" s="74"/>
      <c r="K58" s="69"/>
      <c r="L58" s="69"/>
      <c r="M58" s="69"/>
      <c r="N58" s="69"/>
    </row>
    <row r="59" spans="1:14" ht="15">
      <c r="A59" s="75" t="s">
        <v>66</v>
      </c>
      <c r="B59" s="117">
        <v>24291.84</v>
      </c>
      <c r="C59" s="118">
        <f>B59*1.0077</f>
        <v>24478.887168</v>
      </c>
      <c r="D59" s="119">
        <f>B59-C59</f>
        <v>-187.04716800000097</v>
      </c>
      <c r="E59" s="140"/>
      <c r="F59" s="138"/>
      <c r="G59" s="139"/>
      <c r="H59" s="132"/>
      <c r="I59" s="68"/>
      <c r="J59" s="68"/>
      <c r="K59" s="69"/>
      <c r="L59" s="69"/>
      <c r="M59" s="69"/>
      <c r="N59" s="69"/>
    </row>
    <row r="60" spans="1:14" ht="15">
      <c r="A60" s="75" t="s">
        <v>67</v>
      </c>
      <c r="B60" s="117">
        <v>27419.35</v>
      </c>
      <c r="C60" s="118">
        <f>B60*1.0077</f>
        <v>27630.478995</v>
      </c>
      <c r="D60" s="119">
        <f>B60-C60</f>
        <v>-211.12899500000276</v>
      </c>
      <c r="E60" s="137"/>
      <c r="F60" s="138"/>
      <c r="G60" s="139"/>
      <c r="H60" s="132"/>
      <c r="I60" s="68"/>
      <c r="J60" s="68"/>
      <c r="K60" s="69"/>
      <c r="L60" s="69"/>
      <c r="M60" s="69"/>
      <c r="N60" s="69"/>
    </row>
    <row r="61" spans="1:14" ht="15">
      <c r="A61" s="75" t="s">
        <v>68</v>
      </c>
      <c r="B61" s="120">
        <v>159960.06</v>
      </c>
      <c r="C61" s="118">
        <f>B61*1.0077</f>
        <v>161191.752462</v>
      </c>
      <c r="D61" s="119">
        <f>B61-C61</f>
        <v>-1231.6924620000063</v>
      </c>
      <c r="E61" s="137">
        <f>(2.07+1.8)*6*2301.2-0.37*2301.2*6</f>
        <v>48325.2</v>
      </c>
      <c r="F61" s="141"/>
      <c r="G61" s="142"/>
      <c r="H61" s="137"/>
      <c r="I61" s="68"/>
      <c r="J61" s="68"/>
      <c r="K61" s="69"/>
      <c r="L61" s="69"/>
      <c r="M61" s="69"/>
      <c r="N61" s="69"/>
    </row>
    <row r="62" spans="1:14" ht="15.75" thickBot="1">
      <c r="A62" s="150" t="s">
        <v>69</v>
      </c>
      <c r="B62" s="151">
        <v>0</v>
      </c>
      <c r="C62" s="152">
        <f>B62*1.0099</f>
        <v>0</v>
      </c>
      <c r="D62" s="153">
        <f>B62-C62</f>
        <v>0</v>
      </c>
      <c r="E62" s="137"/>
      <c r="F62" s="141"/>
      <c r="G62" s="142"/>
      <c r="H62" s="132"/>
      <c r="I62" s="68"/>
      <c r="J62" s="68"/>
      <c r="K62" s="69"/>
      <c r="L62" s="69"/>
      <c r="M62" s="69"/>
      <c r="N62" s="69"/>
    </row>
    <row r="63" spans="1:14" ht="76.5">
      <c r="A63" s="154" t="s">
        <v>70</v>
      </c>
      <c r="B63" s="155" t="s">
        <v>71</v>
      </c>
      <c r="C63" s="155" t="s">
        <v>72</v>
      </c>
      <c r="D63" s="270" t="s">
        <v>73</v>
      </c>
      <c r="E63" s="137"/>
      <c r="F63" s="141"/>
      <c r="G63" s="132"/>
      <c r="H63" s="143"/>
      <c r="I63" s="68"/>
      <c r="J63" s="68"/>
      <c r="K63" s="69"/>
      <c r="L63" s="69"/>
      <c r="M63" s="69"/>
      <c r="N63" s="69"/>
    </row>
    <row r="64" spans="1:14" ht="15">
      <c r="A64" s="158" t="s">
        <v>66</v>
      </c>
      <c r="B64" s="124">
        <f>B59</f>
        <v>24291.84</v>
      </c>
      <c r="C64" s="125">
        <v>24478.89</v>
      </c>
      <c r="D64" s="159">
        <f>B64-C64</f>
        <v>-187.04999999999927</v>
      </c>
      <c r="E64" s="137"/>
      <c r="F64" s="141"/>
      <c r="G64" s="132"/>
      <c r="H64" s="143"/>
      <c r="I64" s="68"/>
      <c r="J64" s="68" t="s">
        <v>32</v>
      </c>
      <c r="K64" s="69"/>
      <c r="L64" s="69"/>
      <c r="M64" s="69"/>
      <c r="N64" s="69"/>
    </row>
    <row r="65" spans="1:14" ht="15">
      <c r="A65" s="158" t="s">
        <v>67</v>
      </c>
      <c r="B65" s="124">
        <f>B60</f>
        <v>27419.35</v>
      </c>
      <c r="C65" s="125">
        <v>27630.48</v>
      </c>
      <c r="D65" s="159">
        <f>B65-C65</f>
        <v>-211.13000000000102</v>
      </c>
      <c r="E65" s="137"/>
      <c r="F65" s="141"/>
      <c r="G65" s="132"/>
      <c r="H65" s="143"/>
      <c r="I65" s="68"/>
      <c r="J65" s="68"/>
      <c r="K65" s="69"/>
      <c r="L65" s="69"/>
      <c r="M65" s="69"/>
      <c r="N65" s="69"/>
    </row>
    <row r="66" spans="1:14" ht="15">
      <c r="A66" s="158" t="s">
        <v>68</v>
      </c>
      <c r="B66" s="124">
        <f>B61</f>
        <v>159960.06</v>
      </c>
      <c r="C66" s="125">
        <v>161191.75</v>
      </c>
      <c r="D66" s="159">
        <f>B66-C66</f>
        <v>-1231.6900000000023</v>
      </c>
      <c r="E66" s="137"/>
      <c r="F66" s="141"/>
      <c r="G66" s="132"/>
      <c r="H66" s="143"/>
      <c r="I66" s="68"/>
      <c r="J66" s="68"/>
      <c r="K66" s="69"/>
      <c r="L66" s="69"/>
      <c r="M66" s="69"/>
      <c r="N66" s="69"/>
    </row>
    <row r="67" spans="1:14" ht="15">
      <c r="A67" s="158" t="s">
        <v>74</v>
      </c>
      <c r="B67" s="124">
        <v>0</v>
      </c>
      <c r="C67" s="125">
        <v>0</v>
      </c>
      <c r="D67" s="159">
        <f>B67-C67</f>
        <v>0</v>
      </c>
      <c r="E67" s="65"/>
      <c r="F67" s="81"/>
      <c r="H67" s="68"/>
      <c r="I67" s="68"/>
      <c r="J67" s="68"/>
      <c r="K67" s="69"/>
      <c r="L67" s="69"/>
      <c r="M67" s="69"/>
      <c r="N67" s="69"/>
    </row>
    <row r="68" spans="1:14" ht="15.75" thickBot="1">
      <c r="A68" s="160" t="s">
        <v>69</v>
      </c>
      <c r="B68" s="161">
        <v>0</v>
      </c>
      <c r="C68" s="162">
        <v>0</v>
      </c>
      <c r="D68" s="163">
        <f>B68-C68</f>
        <v>0</v>
      </c>
      <c r="E68" s="65"/>
      <c r="F68" s="81"/>
      <c r="H68" s="68" t="s">
        <v>32</v>
      </c>
      <c r="I68" s="68"/>
      <c r="J68" s="68"/>
      <c r="K68" s="69"/>
      <c r="L68" s="69"/>
      <c r="M68" s="69"/>
      <c r="N68" s="69"/>
    </row>
    <row r="69" spans="1:14" ht="15">
      <c r="A69" s="91"/>
      <c r="B69" s="87"/>
      <c r="C69" s="92"/>
      <c r="D69" s="93"/>
      <c r="E69" s="65"/>
      <c r="F69" s="81"/>
      <c r="H69" s="68"/>
      <c r="I69" s="68"/>
      <c r="J69" s="68"/>
      <c r="K69" s="69"/>
      <c r="L69" s="69"/>
      <c r="M69" s="69"/>
      <c r="N69" s="69"/>
    </row>
    <row r="70" spans="1:14" ht="25.5">
      <c r="A70" s="94" t="s">
        <v>75</v>
      </c>
      <c r="B70" s="87" t="s">
        <v>16</v>
      </c>
      <c r="C70" s="95"/>
      <c r="D70" s="96">
        <v>0</v>
      </c>
      <c r="E70" s="65"/>
      <c r="F70" s="81"/>
      <c r="H70" s="68"/>
      <c r="I70" s="68"/>
      <c r="J70" s="68" t="s">
        <v>32</v>
      </c>
      <c r="K70" s="69"/>
      <c r="L70" s="69"/>
      <c r="M70" s="69"/>
      <c r="N70" s="69"/>
    </row>
    <row r="71" spans="1:14" ht="17.25" customHeight="1">
      <c r="A71" s="264" t="s">
        <v>76</v>
      </c>
      <c r="B71" s="264"/>
      <c r="C71" s="264"/>
      <c r="D71" s="264"/>
      <c r="E71" s="97" t="e">
        <f>D71+B19</f>
        <v>#VALUE!</v>
      </c>
      <c r="F71" s="68"/>
      <c r="H71" s="98" t="e">
        <f>E71-B18</f>
        <v>#VALUE!</v>
      </c>
      <c r="I71" s="68"/>
      <c r="J71" s="68"/>
      <c r="K71" s="69"/>
      <c r="L71" s="69"/>
      <c r="M71" s="69"/>
      <c r="N71" s="69"/>
    </row>
    <row r="72" spans="1:5" ht="21" customHeight="1">
      <c r="A72" s="99" t="s">
        <v>53</v>
      </c>
      <c r="B72" s="99" t="s">
        <v>54</v>
      </c>
      <c r="C72" s="100">
        <v>0</v>
      </c>
      <c r="D72" s="101"/>
      <c r="E72" s="102"/>
    </row>
    <row r="73" spans="1:5" ht="21" customHeight="1">
      <c r="A73" s="99" t="s">
        <v>55</v>
      </c>
      <c r="B73" s="99" t="s">
        <v>54</v>
      </c>
      <c r="C73" s="99">
        <v>0</v>
      </c>
      <c r="D73" s="101"/>
      <c r="E73" s="102"/>
    </row>
    <row r="74" spans="1:5" ht="18" customHeight="1">
      <c r="A74" s="99" t="s">
        <v>56</v>
      </c>
      <c r="B74" s="99" t="s">
        <v>54</v>
      </c>
      <c r="C74" s="99">
        <v>0</v>
      </c>
      <c r="D74" s="101"/>
      <c r="E74" s="102"/>
    </row>
    <row r="75" spans="1:5" ht="16.5" customHeight="1">
      <c r="A75" s="99" t="s">
        <v>57</v>
      </c>
      <c r="B75" s="99" t="s">
        <v>16</v>
      </c>
      <c r="C75" s="99">
        <v>0</v>
      </c>
      <c r="D75" s="101"/>
      <c r="E75" s="102"/>
    </row>
    <row r="76" spans="1:5" ht="15.75" customHeight="1">
      <c r="A76" s="258" t="s">
        <v>77</v>
      </c>
      <c r="B76" s="258"/>
      <c r="C76" s="258"/>
      <c r="D76" s="258"/>
      <c r="E76" s="102"/>
    </row>
    <row r="77" spans="1:5" ht="18.75" customHeight="1">
      <c r="A77" s="99" t="s">
        <v>78</v>
      </c>
      <c r="B77" s="99" t="s">
        <v>54</v>
      </c>
      <c r="C77" s="99">
        <v>0</v>
      </c>
      <c r="D77" s="101"/>
      <c r="E77" s="102"/>
    </row>
    <row r="78" spans="1:5" ht="21.75" customHeight="1">
      <c r="A78" s="99" t="s">
        <v>79</v>
      </c>
      <c r="B78" s="56" t="s">
        <v>54</v>
      </c>
      <c r="C78" s="56">
        <v>0</v>
      </c>
      <c r="D78" s="101"/>
      <c r="E78" s="102"/>
    </row>
    <row r="79" spans="1:5" ht="36" customHeight="1">
      <c r="A79" s="103" t="s">
        <v>80</v>
      </c>
      <c r="B79" s="99" t="s">
        <v>16</v>
      </c>
      <c r="C79" s="99">
        <v>0</v>
      </c>
      <c r="D79" s="101"/>
      <c r="E79" s="102"/>
    </row>
    <row r="80" spans="1:4" ht="15">
      <c r="A80" s="69"/>
      <c r="B80" s="69"/>
      <c r="C80" s="69"/>
      <c r="D80" s="104"/>
    </row>
    <row r="81" spans="1:14" s="1" customFormat="1" ht="12.75">
      <c r="A81"/>
      <c r="B81"/>
      <c r="C81"/>
      <c r="D81"/>
      <c r="H81" s="1" t="s">
        <v>32</v>
      </c>
      <c r="K81"/>
      <c r="L81"/>
      <c r="M81"/>
      <c r="N81"/>
    </row>
    <row r="82" spans="1:14" s="1" customFormat="1" ht="12.75">
      <c r="A82" t="s">
        <v>81</v>
      </c>
      <c r="B82"/>
      <c r="C82" t="s">
        <v>170</v>
      </c>
      <c r="D82"/>
      <c r="K82"/>
      <c r="L82"/>
      <c r="M82"/>
      <c r="N82"/>
    </row>
    <row r="83" spans="1:14" s="1" customFormat="1" ht="12.75">
      <c r="A83"/>
      <c r="B83"/>
      <c r="C83"/>
      <c r="D83"/>
      <c r="H83" s="1" t="s">
        <v>32</v>
      </c>
      <c r="K83"/>
      <c r="L83"/>
      <c r="M83"/>
      <c r="N83"/>
    </row>
    <row r="84" spans="1:14" s="1" customFormat="1" ht="12.75">
      <c r="A84" t="s">
        <v>82</v>
      </c>
      <c r="B84"/>
      <c r="C84"/>
      <c r="D84"/>
      <c r="K84"/>
      <c r="L84"/>
      <c r="M84"/>
      <c r="N84"/>
    </row>
    <row r="88" spans="1:14" s="1" customFormat="1" ht="12.75">
      <c r="A88"/>
      <c r="B88"/>
      <c r="C88"/>
      <c r="D88"/>
      <c r="E88" s="1" t="s">
        <v>32</v>
      </c>
      <c r="K88"/>
      <c r="L88"/>
      <c r="M88"/>
      <c r="N88"/>
    </row>
  </sheetData>
  <sheetProtection selectLockedCells="1" selectUnlockedCells="1"/>
  <mergeCells count="13">
    <mergeCell ref="A1:D1"/>
    <mergeCell ref="A2:D2"/>
    <mergeCell ref="A3:D3"/>
    <mergeCell ref="A4:D4"/>
    <mergeCell ref="A5:D5"/>
    <mergeCell ref="A7:D7"/>
    <mergeCell ref="A76:D76"/>
    <mergeCell ref="A14:D14"/>
    <mergeCell ref="A29:D29"/>
    <mergeCell ref="A45:D45"/>
    <mergeCell ref="A50:D50"/>
    <mergeCell ref="A57:D57"/>
    <mergeCell ref="A71:D71"/>
  </mergeCells>
  <printOptions/>
  <pageMargins left="0.5597222222222222" right="0.7875" top="0.34097222222222223" bottom="0.7875" header="0.5118055555555555" footer="0.5118055555555555"/>
  <pageSetup fitToHeight="3" fitToWidth="2" horizontalDpi="600" verticalDpi="600" orientation="portrait" paperSize="12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6"/>
  <sheetViews>
    <sheetView zoomScale="80" zoomScaleNormal="80" zoomScalePageLayoutView="0" workbookViewId="0" topLeftCell="A62">
      <selection activeCell="E38" sqref="E38:E41"/>
    </sheetView>
  </sheetViews>
  <sheetFormatPr defaultColWidth="11.57421875" defaultRowHeight="12.75"/>
  <cols>
    <col min="1" max="1" width="63.28125" style="0" customWidth="1"/>
    <col min="2" max="2" width="20.28125" style="0" customWidth="1"/>
    <col min="3" max="3" width="31.421875" style="0" customWidth="1"/>
    <col min="4" max="4" width="27.57421875" style="0" customWidth="1"/>
    <col min="5" max="5" width="16.8515625" style="1" customWidth="1"/>
    <col min="6" max="7" width="0" style="1" hidden="1" customWidth="1"/>
    <col min="8" max="8" width="11.57421875" style="1" customWidth="1"/>
    <col min="9" max="9" width="5.28125" style="1" customWidth="1"/>
    <col min="10" max="10" width="30.00390625" style="1" customWidth="1"/>
    <col min="11" max="12" width="23.28125" style="0" customWidth="1"/>
    <col min="13" max="13" width="6.57421875" style="0" customWidth="1"/>
    <col min="14" max="14" width="7.00390625" style="0" customWidth="1"/>
  </cols>
  <sheetData>
    <row r="1" spans="1:4" ht="18">
      <c r="A1" s="265" t="s">
        <v>0</v>
      </c>
      <c r="B1" s="265"/>
      <c r="C1" s="265"/>
      <c r="D1" s="265"/>
    </row>
    <row r="2" spans="1:4" ht="15.75">
      <c r="A2" s="266" t="s">
        <v>1</v>
      </c>
      <c r="B2" s="266"/>
      <c r="C2" s="266"/>
      <c r="D2" s="266"/>
    </row>
    <row r="3" spans="1:4" ht="15.75">
      <c r="A3" s="266" t="s">
        <v>2</v>
      </c>
      <c r="B3" s="266"/>
      <c r="C3" s="266"/>
      <c r="D3" s="266"/>
    </row>
    <row r="4" spans="1:4" ht="12.75">
      <c r="A4" s="267" t="s">
        <v>132</v>
      </c>
      <c r="B4" s="267"/>
      <c r="C4" s="267"/>
      <c r="D4" s="267"/>
    </row>
    <row r="5" spans="1:4" ht="12.75">
      <c r="A5" s="268" t="s">
        <v>171</v>
      </c>
      <c r="B5" s="267"/>
      <c r="C5" s="267"/>
      <c r="D5" s="267"/>
    </row>
    <row r="6" ht="9" customHeight="1">
      <c r="A6" s="2"/>
    </row>
    <row r="7" spans="1:4" ht="18" customHeight="1">
      <c r="A7" s="269" t="s">
        <v>4</v>
      </c>
      <c r="B7" s="269"/>
      <c r="C7" s="269"/>
      <c r="D7" s="269"/>
    </row>
    <row r="8" spans="1:3" ht="12.75">
      <c r="A8" s="2" t="s">
        <v>250</v>
      </c>
      <c r="C8" s="3"/>
    </row>
    <row r="9" spans="1:4" ht="12.75">
      <c r="A9" s="4" t="s">
        <v>5</v>
      </c>
      <c r="B9" s="4" t="s">
        <v>6</v>
      </c>
      <c r="C9" s="4" t="s">
        <v>7</v>
      </c>
      <c r="D9" s="5"/>
    </row>
    <row r="10" spans="1:4" ht="12.75">
      <c r="A10" s="6">
        <v>1</v>
      </c>
      <c r="B10" s="6">
        <v>2</v>
      </c>
      <c r="C10" s="6">
        <v>3</v>
      </c>
      <c r="D10" s="7">
        <v>4</v>
      </c>
    </row>
    <row r="11" spans="1:4" ht="12.75">
      <c r="A11" s="8" t="s">
        <v>8</v>
      </c>
      <c r="B11" s="9"/>
      <c r="C11" s="177" t="s">
        <v>172</v>
      </c>
      <c r="D11" s="10"/>
    </row>
    <row r="12" spans="1:4" ht="12.75">
      <c r="A12" s="8" t="s">
        <v>10</v>
      </c>
      <c r="B12" s="9"/>
      <c r="C12" s="177" t="s">
        <v>173</v>
      </c>
      <c r="D12" s="10"/>
    </row>
    <row r="13" spans="1:4" ht="12.75">
      <c r="A13" s="8" t="s">
        <v>12</v>
      </c>
      <c r="B13" s="9"/>
      <c r="C13" s="177" t="s">
        <v>174</v>
      </c>
      <c r="D13" s="10"/>
    </row>
    <row r="14" spans="1:5" ht="31.5" customHeight="1">
      <c r="A14" s="259" t="s">
        <v>14</v>
      </c>
      <c r="B14" s="259"/>
      <c r="C14" s="259"/>
      <c r="D14" s="259"/>
      <c r="E14" s="132"/>
    </row>
    <row r="15" spans="1:5" ht="25.5">
      <c r="A15" s="11" t="s">
        <v>15</v>
      </c>
      <c r="B15" s="12" t="s">
        <v>16</v>
      </c>
      <c r="C15" s="13">
        <v>6467.19</v>
      </c>
      <c r="D15" s="14"/>
      <c r="E15" s="62"/>
    </row>
    <row r="16" spans="1:5" ht="15">
      <c r="A16" s="8" t="s">
        <v>17</v>
      </c>
      <c r="B16" s="12" t="s">
        <v>16</v>
      </c>
      <c r="C16" s="13">
        <v>0</v>
      </c>
      <c r="D16" s="14"/>
      <c r="E16" s="62"/>
    </row>
    <row r="17" spans="1:5" ht="15">
      <c r="A17" s="8" t="s">
        <v>18</v>
      </c>
      <c r="B17" s="12" t="s">
        <v>16</v>
      </c>
      <c r="C17" s="15">
        <v>2374.47</v>
      </c>
      <c r="D17" s="16"/>
      <c r="E17" s="62" t="e">
        <f>B17/12/1022.6</f>
        <v>#VALUE!</v>
      </c>
    </row>
    <row r="18" spans="1:5" ht="31.5" customHeight="1">
      <c r="A18" s="17" t="s">
        <v>19</v>
      </c>
      <c r="B18" s="12" t="s">
        <v>16</v>
      </c>
      <c r="C18" s="15">
        <f>C19+C20+C21</f>
        <v>28890.449999999997</v>
      </c>
      <c r="D18" s="16"/>
      <c r="E18" s="18">
        <f>C18-C20</f>
        <v>19737.719999999998</v>
      </c>
    </row>
    <row r="19" spans="1:5" ht="15">
      <c r="A19" s="8" t="s">
        <v>20</v>
      </c>
      <c r="B19" s="12" t="s">
        <v>16</v>
      </c>
      <c r="C19" s="15">
        <f>4865.73+5297.43</f>
        <v>10163.16</v>
      </c>
      <c r="D19" s="16"/>
      <c r="E19" s="18">
        <f>E18-E39</f>
        <v>0</v>
      </c>
    </row>
    <row r="20" spans="1:5" ht="15">
      <c r="A20" s="8" t="s">
        <v>21</v>
      </c>
      <c r="B20" s="12" t="s">
        <v>16</v>
      </c>
      <c r="C20" s="15">
        <f>(2.17+1.76)*6*163.5+5297.4</f>
        <v>9152.73</v>
      </c>
      <c r="D20" s="16"/>
      <c r="E20" s="185"/>
    </row>
    <row r="21" spans="1:5" ht="15">
      <c r="A21" s="8" t="s">
        <v>22</v>
      </c>
      <c r="B21" s="12" t="s">
        <v>16</v>
      </c>
      <c r="C21" s="20">
        <f>163.5*4.88*12</f>
        <v>9574.56</v>
      </c>
      <c r="D21" s="16"/>
      <c r="E21" s="62"/>
    </row>
    <row r="22" spans="1:5" ht="15">
      <c r="A22" s="21" t="s">
        <v>23</v>
      </c>
      <c r="B22" s="12" t="s">
        <v>16</v>
      </c>
      <c r="C22" s="15">
        <f>C23+C24+C25+C26+C27</f>
        <v>28890.449999999997</v>
      </c>
      <c r="D22" s="16" t="s">
        <v>24</v>
      </c>
      <c r="E22" s="133" t="e">
        <f>B24+B25+B26+B27+B28</f>
        <v>#VALUE!</v>
      </c>
    </row>
    <row r="23" spans="1:5" ht="15">
      <c r="A23" s="8" t="s">
        <v>25</v>
      </c>
      <c r="B23" s="12" t="s">
        <v>16</v>
      </c>
      <c r="C23" s="15">
        <f>C18*1</f>
        <v>28890.449999999997</v>
      </c>
      <c r="D23" s="16"/>
      <c r="E23" s="132"/>
    </row>
    <row r="24" spans="1:8" ht="15">
      <c r="A24" s="8" t="s">
        <v>26</v>
      </c>
      <c r="B24" s="12" t="s">
        <v>16</v>
      </c>
      <c r="C24" s="15">
        <v>0</v>
      </c>
      <c r="D24" s="22">
        <v>65.21</v>
      </c>
      <c r="E24" s="134" t="e">
        <f>B24/#REF!*1</f>
        <v>#VALUE!</v>
      </c>
      <c r="H24" s="1" t="s">
        <v>27</v>
      </c>
    </row>
    <row r="25" spans="1:5" ht="15">
      <c r="A25" s="8" t="s">
        <v>28</v>
      </c>
      <c r="B25" s="12" t="s">
        <v>16</v>
      </c>
      <c r="C25" s="15">
        <v>0</v>
      </c>
      <c r="D25" s="22">
        <v>119.63</v>
      </c>
      <c r="E25" s="134" t="e">
        <f>B25/#REF!*1</f>
        <v>#VALUE!</v>
      </c>
    </row>
    <row r="26" spans="1:5" ht="15">
      <c r="A26" s="9" t="s">
        <v>29</v>
      </c>
      <c r="B26" s="12" t="s">
        <v>16</v>
      </c>
      <c r="C26" s="15">
        <v>0</v>
      </c>
      <c r="D26" s="22"/>
      <c r="E26" s="134" t="e">
        <f>B26/#REF!*1</f>
        <v>#VALUE!</v>
      </c>
    </row>
    <row r="27" spans="1:5" ht="16.5" customHeight="1">
      <c r="A27" s="116" t="s">
        <v>112</v>
      </c>
      <c r="B27" s="12" t="s">
        <v>16</v>
      </c>
      <c r="C27" s="15">
        <v>0</v>
      </c>
      <c r="D27" s="22">
        <v>139.18</v>
      </c>
      <c r="E27" s="134" t="e">
        <f>B27/#REF!*1</f>
        <v>#VALUE!</v>
      </c>
    </row>
    <row r="28" spans="1:5" ht="15">
      <c r="A28" s="8" t="s">
        <v>31</v>
      </c>
      <c r="B28" s="12" t="s">
        <v>16</v>
      </c>
      <c r="C28" s="15">
        <f>C15+C22</f>
        <v>35357.64</v>
      </c>
      <c r="D28" s="16" t="s">
        <v>32</v>
      </c>
      <c r="E28" s="134" t="e">
        <f>B28/#REF!*1</f>
        <v>#VALUE!</v>
      </c>
    </row>
    <row r="29" spans="1:5" ht="35.25" customHeight="1">
      <c r="A29" s="260" t="s">
        <v>33</v>
      </c>
      <c r="B29" s="260"/>
      <c r="C29" s="260"/>
      <c r="D29" s="260"/>
      <c r="E29" s="132"/>
    </row>
    <row r="30" spans="1:5" ht="60">
      <c r="A30" s="23" t="s">
        <v>34</v>
      </c>
      <c r="B30" s="24" t="s">
        <v>35</v>
      </c>
      <c r="C30" s="25" t="s">
        <v>36</v>
      </c>
      <c r="D30" s="26" t="s">
        <v>37</v>
      </c>
      <c r="E30" s="132"/>
    </row>
    <row r="31" spans="1:5" ht="15">
      <c r="A31" s="27" t="s">
        <v>38</v>
      </c>
      <c r="B31" s="28" t="s">
        <v>39</v>
      </c>
      <c r="C31" s="29" t="s">
        <v>40</v>
      </c>
      <c r="D31" s="107">
        <f>(0.17+0.16)*6*163.5</f>
        <v>323.73</v>
      </c>
      <c r="E31" s="132"/>
    </row>
    <row r="32" spans="1:5" ht="15">
      <c r="A32" s="31" t="s">
        <v>41</v>
      </c>
      <c r="B32" s="32" t="s">
        <v>42</v>
      </c>
      <c r="C32" s="33" t="s">
        <v>43</v>
      </c>
      <c r="D32" s="34">
        <f>(3.03+3)*6*163.5</f>
        <v>5915.4299999999985</v>
      </c>
      <c r="E32" s="132"/>
    </row>
    <row r="33" spans="1:5" ht="15">
      <c r="A33" s="31" t="s">
        <v>44</v>
      </c>
      <c r="B33" s="32" t="s">
        <v>87</v>
      </c>
      <c r="C33" s="33" t="s">
        <v>45</v>
      </c>
      <c r="D33" s="108">
        <f>(0.42+0.4)*6*163.5</f>
        <v>804.42</v>
      </c>
      <c r="E33" s="132"/>
    </row>
    <row r="34" spans="1:5" ht="15">
      <c r="A34" s="31" t="s">
        <v>123</v>
      </c>
      <c r="B34" s="32" t="s">
        <v>39</v>
      </c>
      <c r="C34" s="33" t="s">
        <v>40</v>
      </c>
      <c r="D34" s="108">
        <f>(0.3+0.28)*6*163.5</f>
        <v>568.98</v>
      </c>
      <c r="E34" s="132"/>
    </row>
    <row r="35" spans="1:5" ht="15">
      <c r="A35" s="31" t="s">
        <v>90</v>
      </c>
      <c r="B35" s="106" t="s">
        <v>91</v>
      </c>
      <c r="C35" s="33" t="s">
        <v>40</v>
      </c>
      <c r="D35" s="108">
        <f>(1.33+1.27)*6*163.5</f>
        <v>2550.6000000000004</v>
      </c>
      <c r="E35" s="132"/>
    </row>
    <row r="36" spans="1:5" ht="15">
      <c r="A36" s="31" t="s">
        <v>46</v>
      </c>
      <c r="B36" s="32" t="s">
        <v>42</v>
      </c>
      <c r="C36" s="35" t="s">
        <v>47</v>
      </c>
      <c r="D36" s="108">
        <f>4.88*163.5*12</f>
        <v>9574.56</v>
      </c>
      <c r="E36" s="132"/>
    </row>
    <row r="37" spans="1:14" s="1" customFormat="1" ht="45">
      <c r="A37" s="180" t="s">
        <v>251</v>
      </c>
      <c r="B37" s="37" t="s">
        <v>49</v>
      </c>
      <c r="C37" s="130" t="s">
        <v>40</v>
      </c>
      <c r="D37" s="39">
        <v>3482.12</v>
      </c>
      <c r="E37" s="62"/>
      <c r="K37"/>
      <c r="L37"/>
      <c r="M37"/>
      <c r="N37"/>
    </row>
    <row r="38" spans="1:14" s="1" customFormat="1" ht="15">
      <c r="A38" s="109" t="s">
        <v>95</v>
      </c>
      <c r="B38" s="110" t="s">
        <v>96</v>
      </c>
      <c r="C38" s="111"/>
      <c r="D38" s="112">
        <v>0</v>
      </c>
      <c r="E38" s="132"/>
      <c r="K38"/>
      <c r="L38"/>
      <c r="M38"/>
      <c r="N38"/>
    </row>
    <row r="39" spans="1:14" s="1" customFormat="1" ht="15.75">
      <c r="A39" s="40" t="s">
        <v>50</v>
      </c>
      <c r="B39" s="41"/>
      <c r="C39" s="42"/>
      <c r="D39" s="113">
        <f>SUM(D31:D38)</f>
        <v>23219.839999999997</v>
      </c>
      <c r="E39" s="135">
        <f>D39-D37</f>
        <v>19737.719999999998</v>
      </c>
      <c r="K39"/>
      <c r="L39"/>
      <c r="M39"/>
      <c r="N39"/>
    </row>
    <row r="40" spans="1:14" s="1" customFormat="1" ht="15">
      <c r="A40" s="43" t="s">
        <v>51</v>
      </c>
      <c r="B40" s="44" t="s">
        <v>16</v>
      </c>
      <c r="C40" s="45"/>
      <c r="D40" s="46">
        <f>C15+C20*1-D37</f>
        <v>12137.8</v>
      </c>
      <c r="E40" s="135"/>
      <c r="K40"/>
      <c r="L40"/>
      <c r="M40"/>
      <c r="N40"/>
    </row>
    <row r="41" spans="1:14" s="1" customFormat="1" ht="15">
      <c r="A41" s="48" t="s">
        <v>17</v>
      </c>
      <c r="B41" s="49" t="s">
        <v>16</v>
      </c>
      <c r="C41" s="33"/>
      <c r="D41" s="14"/>
      <c r="E41" s="132"/>
      <c r="K41"/>
      <c r="L41"/>
      <c r="M41"/>
      <c r="N41"/>
    </row>
    <row r="42" spans="1:14" s="1" customFormat="1" ht="15">
      <c r="A42" s="48" t="s">
        <v>18</v>
      </c>
      <c r="B42" s="49" t="s">
        <v>16</v>
      </c>
      <c r="C42" s="33"/>
      <c r="D42" s="14">
        <v>0</v>
      </c>
      <c r="E42" s="62"/>
      <c r="K42"/>
      <c r="L42"/>
      <c r="M42"/>
      <c r="N42"/>
    </row>
    <row r="43" spans="1:14" s="1" customFormat="1" ht="24" customHeight="1">
      <c r="A43" s="261" t="s">
        <v>52</v>
      </c>
      <c r="B43" s="261"/>
      <c r="C43" s="261"/>
      <c r="D43" s="261"/>
      <c r="E43" s="132"/>
      <c r="K43"/>
      <c r="L43"/>
      <c r="M43"/>
      <c r="N43"/>
    </row>
    <row r="44" spans="1:14" s="1" customFormat="1" ht="15">
      <c r="A44" s="48" t="s">
        <v>53</v>
      </c>
      <c r="B44" s="32" t="s">
        <v>54</v>
      </c>
      <c r="C44" s="33">
        <v>0</v>
      </c>
      <c r="D44" s="14">
        <v>0</v>
      </c>
      <c r="E44" s="132"/>
      <c r="K44"/>
      <c r="L44"/>
      <c r="M44"/>
      <c r="N44"/>
    </row>
    <row r="45" spans="1:14" s="1" customFormat="1" ht="15">
      <c r="A45" s="48" t="s">
        <v>55</v>
      </c>
      <c r="B45" s="32" t="s">
        <v>54</v>
      </c>
      <c r="C45" s="33">
        <v>0</v>
      </c>
      <c r="D45" s="14">
        <v>0</v>
      </c>
      <c r="E45" s="132"/>
      <c r="K45"/>
      <c r="L45"/>
      <c r="M45"/>
      <c r="N45"/>
    </row>
    <row r="46" spans="1:14" s="1" customFormat="1" ht="15">
      <c r="A46" s="50" t="s">
        <v>56</v>
      </c>
      <c r="B46" s="32" t="s">
        <v>54</v>
      </c>
      <c r="C46" s="33">
        <v>0</v>
      </c>
      <c r="D46" s="14">
        <v>0</v>
      </c>
      <c r="E46" s="132"/>
      <c r="K46"/>
      <c r="L46"/>
      <c r="M46"/>
      <c r="N46"/>
    </row>
    <row r="47" spans="1:14" s="1" customFormat="1" ht="15">
      <c r="A47" s="48" t="s">
        <v>57</v>
      </c>
      <c r="B47" s="32" t="s">
        <v>16</v>
      </c>
      <c r="C47" s="33">
        <v>0</v>
      </c>
      <c r="D47" s="14">
        <v>0</v>
      </c>
      <c r="E47" s="132"/>
      <c r="K47"/>
      <c r="L47"/>
      <c r="M47"/>
      <c r="N47"/>
    </row>
    <row r="48" spans="1:5" ht="20.25" customHeight="1">
      <c r="A48" s="262" t="s">
        <v>58</v>
      </c>
      <c r="B48" s="262"/>
      <c r="C48" s="262"/>
      <c r="D48" s="262"/>
      <c r="E48" s="132"/>
    </row>
    <row r="49" spans="1:5" ht="25.5">
      <c r="A49" s="50" t="s">
        <v>59</v>
      </c>
      <c r="B49" s="32" t="s">
        <v>16</v>
      </c>
      <c r="C49" s="33"/>
      <c r="D49" s="14">
        <v>0</v>
      </c>
      <c r="E49" s="132"/>
    </row>
    <row r="50" spans="1:5" ht="15">
      <c r="A50" s="48" t="s">
        <v>17</v>
      </c>
      <c r="B50" s="32" t="s">
        <v>16</v>
      </c>
      <c r="C50" s="33"/>
      <c r="D50" s="14">
        <v>0</v>
      </c>
      <c r="E50" s="132"/>
    </row>
    <row r="51" spans="1:8" ht="15">
      <c r="A51" s="48" t="s">
        <v>18</v>
      </c>
      <c r="B51" s="32" t="s">
        <v>16</v>
      </c>
      <c r="C51" s="33"/>
      <c r="D51" s="51">
        <v>6931</v>
      </c>
      <c r="E51" s="132"/>
      <c r="H51" s="52"/>
    </row>
    <row r="52" spans="1:5" ht="25.5">
      <c r="A52" s="53" t="s">
        <v>60</v>
      </c>
      <c r="B52" s="32" t="s">
        <v>16</v>
      </c>
      <c r="C52" s="54"/>
      <c r="D52" s="55">
        <v>0</v>
      </c>
      <c r="E52" s="132"/>
    </row>
    <row r="53" spans="1:10" ht="17.25" customHeight="1">
      <c r="A53" s="56" t="s">
        <v>17</v>
      </c>
      <c r="B53" s="32" t="s">
        <v>16</v>
      </c>
      <c r="C53" s="33"/>
      <c r="D53" s="14">
        <v>0</v>
      </c>
      <c r="E53" s="132"/>
      <c r="I53" s="52"/>
      <c r="J53" s="52"/>
    </row>
    <row r="54" spans="1:14" ht="15">
      <c r="A54" s="59" t="s">
        <v>18</v>
      </c>
      <c r="B54" s="32" t="s">
        <v>16</v>
      </c>
      <c r="C54" s="60"/>
      <c r="D54" s="61">
        <v>0</v>
      </c>
      <c r="E54" s="132"/>
      <c r="H54" s="1" t="s">
        <v>32</v>
      </c>
      <c r="I54" s="63"/>
      <c r="J54" s="63"/>
      <c r="K54" s="64"/>
      <c r="L54" s="64"/>
      <c r="M54" s="64"/>
      <c r="N54" s="64"/>
    </row>
    <row r="55" spans="1:14" ht="18" customHeight="1">
      <c r="A55" s="263" t="s">
        <v>61</v>
      </c>
      <c r="B55" s="263"/>
      <c r="C55" s="263"/>
      <c r="D55" s="263"/>
      <c r="E55" s="137"/>
      <c r="F55" s="66"/>
      <c r="G55" s="67"/>
      <c r="I55" s="68"/>
      <c r="J55" s="68"/>
      <c r="K55" s="69"/>
      <c r="L55" s="69"/>
      <c r="M55" s="69"/>
      <c r="N55" s="69"/>
    </row>
    <row r="56" spans="1:14" ht="47.25">
      <c r="A56" s="70" t="s">
        <v>62</v>
      </c>
      <c r="B56" s="71" t="s">
        <v>63</v>
      </c>
      <c r="C56" s="72" t="s">
        <v>64</v>
      </c>
      <c r="D56" s="73" t="s">
        <v>65</v>
      </c>
      <c r="E56" s="137"/>
      <c r="F56" s="66"/>
      <c r="G56" s="67"/>
      <c r="I56" s="68"/>
      <c r="J56" s="74"/>
      <c r="K56" s="69"/>
      <c r="L56" s="69"/>
      <c r="M56" s="69"/>
      <c r="N56" s="69"/>
    </row>
    <row r="57" spans="1:14" ht="15">
      <c r="A57" s="75" t="s">
        <v>66</v>
      </c>
      <c r="B57" s="117">
        <v>8756.19</v>
      </c>
      <c r="C57" s="118">
        <f>B57*1</f>
        <v>8756.19</v>
      </c>
      <c r="D57" s="119">
        <f>B57-C57</f>
        <v>0</v>
      </c>
      <c r="E57" s="140"/>
      <c r="F57" s="66"/>
      <c r="G57" s="67"/>
      <c r="I57" s="68"/>
      <c r="J57" s="68"/>
      <c r="K57" s="69"/>
      <c r="L57" s="69"/>
      <c r="M57" s="69"/>
      <c r="N57" s="69"/>
    </row>
    <row r="58" spans="1:14" ht="15">
      <c r="A58" s="75" t="s">
        <v>67</v>
      </c>
      <c r="B58" s="117">
        <v>10038</v>
      </c>
      <c r="C58" s="118">
        <f>B58*1</f>
        <v>10038</v>
      </c>
      <c r="D58" s="119">
        <f>B58-C58</f>
        <v>0</v>
      </c>
      <c r="E58" s="137"/>
      <c r="F58" s="66"/>
      <c r="G58" s="67"/>
      <c r="I58" s="68"/>
      <c r="J58" s="68"/>
      <c r="K58" s="69"/>
      <c r="L58" s="69"/>
      <c r="M58" s="69"/>
      <c r="N58" s="69"/>
    </row>
    <row r="59" spans="1:14" ht="15">
      <c r="A59" s="75" t="s">
        <v>68</v>
      </c>
      <c r="B59" s="120">
        <v>68303.64</v>
      </c>
      <c r="C59" s="118">
        <f>B59*1</f>
        <v>68303.64</v>
      </c>
      <c r="D59" s="119">
        <f>B59-C59</f>
        <v>0</v>
      </c>
      <c r="E59" s="137">
        <f>(2.07+1.8)*6*2301.2-0.37*2301.2*6</f>
        <v>48325.2</v>
      </c>
      <c r="F59" s="81"/>
      <c r="G59" s="82"/>
      <c r="H59" s="65"/>
      <c r="I59" s="68"/>
      <c r="J59" s="68"/>
      <c r="K59" s="69"/>
      <c r="L59" s="69"/>
      <c r="M59" s="69"/>
      <c r="N59" s="69"/>
    </row>
    <row r="60" spans="1:14" ht="15.75" thickBot="1">
      <c r="A60" s="150" t="s">
        <v>69</v>
      </c>
      <c r="B60" s="151">
        <v>0</v>
      </c>
      <c r="C60" s="152">
        <f>B60*0.9999</f>
        <v>0</v>
      </c>
      <c r="D60" s="153">
        <f>B60-C60</f>
        <v>0</v>
      </c>
      <c r="E60" s="137"/>
      <c r="F60" s="81"/>
      <c r="G60" s="82"/>
      <c r="I60" s="68"/>
      <c r="J60" s="68"/>
      <c r="K60" s="69"/>
      <c r="L60" s="69"/>
      <c r="M60" s="69"/>
      <c r="N60" s="69"/>
    </row>
    <row r="61" spans="1:14" ht="63">
      <c r="A61" s="154" t="s">
        <v>70</v>
      </c>
      <c r="B61" s="155" t="s">
        <v>71</v>
      </c>
      <c r="C61" s="156" t="s">
        <v>72</v>
      </c>
      <c r="D61" s="157" t="s">
        <v>73</v>
      </c>
      <c r="E61" s="137"/>
      <c r="F61" s="81"/>
      <c r="H61" s="68"/>
      <c r="I61" s="68"/>
      <c r="J61" s="68"/>
      <c r="K61" s="69"/>
      <c r="L61" s="69"/>
      <c r="M61" s="69"/>
      <c r="N61" s="69"/>
    </row>
    <row r="62" spans="1:14" ht="15">
      <c r="A62" s="158" t="s">
        <v>66</v>
      </c>
      <c r="B62" s="124">
        <f aca="true" t="shared" si="0" ref="B62:C64">B57</f>
        <v>8756.19</v>
      </c>
      <c r="C62" s="125">
        <f t="shared" si="0"/>
        <v>8756.19</v>
      </c>
      <c r="D62" s="159">
        <f>B62-C62</f>
        <v>0</v>
      </c>
      <c r="E62" s="137"/>
      <c r="F62" s="81"/>
      <c r="H62" s="68"/>
      <c r="I62" s="68"/>
      <c r="J62" s="68" t="s">
        <v>32</v>
      </c>
      <c r="K62" s="69"/>
      <c r="L62" s="69"/>
      <c r="M62" s="69"/>
      <c r="N62" s="69"/>
    </row>
    <row r="63" spans="1:14" ht="15">
      <c r="A63" s="158" t="s">
        <v>67</v>
      </c>
      <c r="B63" s="124">
        <f t="shared" si="0"/>
        <v>10038</v>
      </c>
      <c r="C63" s="125">
        <f t="shared" si="0"/>
        <v>10038</v>
      </c>
      <c r="D63" s="159">
        <f>B63-C63</f>
        <v>0</v>
      </c>
      <c r="E63" s="65"/>
      <c r="F63" s="81"/>
      <c r="H63" s="68"/>
      <c r="I63" s="68"/>
      <c r="J63" s="68"/>
      <c r="K63" s="69"/>
      <c r="L63" s="69"/>
      <c r="M63" s="69"/>
      <c r="N63" s="69"/>
    </row>
    <row r="64" spans="1:14" ht="15">
      <c r="A64" s="158" t="s">
        <v>68</v>
      </c>
      <c r="B64" s="124">
        <f t="shared" si="0"/>
        <v>68303.64</v>
      </c>
      <c r="C64" s="125">
        <f t="shared" si="0"/>
        <v>68303.64</v>
      </c>
      <c r="D64" s="159">
        <f>B64-C64</f>
        <v>0</v>
      </c>
      <c r="E64" s="65"/>
      <c r="F64" s="81"/>
      <c r="H64" s="68"/>
      <c r="I64" s="68"/>
      <c r="J64" s="68"/>
      <c r="K64" s="69"/>
      <c r="L64" s="69"/>
      <c r="M64" s="69"/>
      <c r="N64" s="69"/>
    </row>
    <row r="65" spans="1:14" ht="15">
      <c r="A65" s="158" t="s">
        <v>74</v>
      </c>
      <c r="B65" s="124">
        <v>0</v>
      </c>
      <c r="C65" s="125">
        <v>0</v>
      </c>
      <c r="D65" s="159">
        <f>B65-C65</f>
        <v>0</v>
      </c>
      <c r="E65" s="65"/>
      <c r="F65" s="81"/>
      <c r="H65" s="68"/>
      <c r="I65" s="68"/>
      <c r="J65" s="68"/>
      <c r="K65" s="69"/>
      <c r="L65" s="69"/>
      <c r="M65" s="69"/>
      <c r="N65" s="69"/>
    </row>
    <row r="66" spans="1:14" ht="15.75" thickBot="1">
      <c r="A66" s="160" t="s">
        <v>69</v>
      </c>
      <c r="B66" s="161">
        <v>0</v>
      </c>
      <c r="C66" s="162">
        <v>0</v>
      </c>
      <c r="D66" s="163">
        <f>B66-C66</f>
        <v>0</v>
      </c>
      <c r="E66" s="65"/>
      <c r="F66" s="81"/>
      <c r="H66" s="68" t="s">
        <v>32</v>
      </c>
      <c r="I66" s="68"/>
      <c r="J66" s="68"/>
      <c r="K66" s="69"/>
      <c r="L66" s="69"/>
      <c r="M66" s="69"/>
      <c r="N66" s="69"/>
    </row>
    <row r="67" spans="1:14" ht="15">
      <c r="A67" s="91"/>
      <c r="B67" s="87"/>
      <c r="C67" s="92"/>
      <c r="D67" s="93"/>
      <c r="E67" s="65"/>
      <c r="F67" s="81"/>
      <c r="H67" s="68"/>
      <c r="I67" s="68"/>
      <c r="J67" s="68"/>
      <c r="K67" s="69"/>
      <c r="L67" s="69"/>
      <c r="M67" s="69"/>
      <c r="N67" s="69"/>
    </row>
    <row r="68" spans="1:14" ht="25.5">
      <c r="A68" s="94" t="s">
        <v>75</v>
      </c>
      <c r="B68" s="87" t="s">
        <v>16</v>
      </c>
      <c r="C68" s="95"/>
      <c r="D68" s="96"/>
      <c r="E68" s="65"/>
      <c r="F68" s="81"/>
      <c r="H68" s="68"/>
      <c r="I68" s="68"/>
      <c r="J68" s="68" t="s">
        <v>32</v>
      </c>
      <c r="K68" s="69"/>
      <c r="L68" s="69"/>
      <c r="M68" s="69"/>
      <c r="N68" s="69"/>
    </row>
    <row r="69" spans="1:14" ht="17.25" customHeight="1">
      <c r="A69" s="264" t="s">
        <v>76</v>
      </c>
      <c r="B69" s="264"/>
      <c r="C69" s="264"/>
      <c r="D69" s="264"/>
      <c r="E69" s="97" t="e">
        <f>D69+B19</f>
        <v>#VALUE!</v>
      </c>
      <c r="F69" s="68"/>
      <c r="H69" s="98" t="e">
        <f>E69-B18</f>
        <v>#VALUE!</v>
      </c>
      <c r="I69" s="68"/>
      <c r="J69" s="68"/>
      <c r="K69" s="69"/>
      <c r="L69" s="69"/>
      <c r="M69" s="69"/>
      <c r="N69" s="69"/>
    </row>
    <row r="70" spans="1:5" ht="21" customHeight="1">
      <c r="A70" s="99" t="s">
        <v>53</v>
      </c>
      <c r="B70" s="99" t="s">
        <v>54</v>
      </c>
      <c r="C70" s="100">
        <v>0</v>
      </c>
      <c r="D70" s="101"/>
      <c r="E70" s="102"/>
    </row>
    <row r="71" spans="1:5" ht="21" customHeight="1">
      <c r="A71" s="99" t="s">
        <v>55</v>
      </c>
      <c r="B71" s="99" t="s">
        <v>54</v>
      </c>
      <c r="C71" s="99">
        <v>0</v>
      </c>
      <c r="D71" s="101"/>
      <c r="E71" s="102"/>
    </row>
    <row r="72" spans="1:5" ht="18" customHeight="1">
      <c r="A72" s="99" t="s">
        <v>56</v>
      </c>
      <c r="B72" s="99" t="s">
        <v>54</v>
      </c>
      <c r="C72" s="99">
        <v>0</v>
      </c>
      <c r="D72" s="101"/>
      <c r="E72" s="102"/>
    </row>
    <row r="73" spans="1:5" ht="16.5" customHeight="1">
      <c r="A73" s="99" t="s">
        <v>57</v>
      </c>
      <c r="B73" s="99" t="s">
        <v>16</v>
      </c>
      <c r="C73" s="99">
        <v>0</v>
      </c>
      <c r="D73" s="101"/>
      <c r="E73" s="102"/>
    </row>
    <row r="74" spans="1:5" ht="15.75" customHeight="1">
      <c r="A74" s="258" t="s">
        <v>77</v>
      </c>
      <c r="B74" s="258"/>
      <c r="C74" s="258"/>
      <c r="D74" s="258"/>
      <c r="E74" s="102"/>
    </row>
    <row r="75" spans="1:5" ht="18.75" customHeight="1">
      <c r="A75" s="99" t="s">
        <v>78</v>
      </c>
      <c r="B75" s="99" t="s">
        <v>54</v>
      </c>
      <c r="C75" s="99">
        <v>0</v>
      </c>
      <c r="D75" s="101"/>
      <c r="E75" s="102"/>
    </row>
    <row r="76" spans="1:5" ht="21.75" customHeight="1">
      <c r="A76" s="99" t="s">
        <v>79</v>
      </c>
      <c r="B76" s="56" t="s">
        <v>54</v>
      </c>
      <c r="C76" s="56">
        <v>0</v>
      </c>
      <c r="D76" s="101"/>
      <c r="E76" s="102"/>
    </row>
    <row r="77" spans="1:5" ht="36" customHeight="1">
      <c r="A77" s="103" t="s">
        <v>80</v>
      </c>
      <c r="B77" s="99" t="s">
        <v>16</v>
      </c>
      <c r="C77" s="99">
        <v>0</v>
      </c>
      <c r="D77" s="101"/>
      <c r="E77" s="102"/>
    </row>
    <row r="78" spans="1:4" ht="15">
      <c r="A78" s="69"/>
      <c r="B78" s="69"/>
      <c r="C78" s="69"/>
      <c r="D78" s="104"/>
    </row>
    <row r="79" spans="1:14" s="1" customFormat="1" ht="12.75">
      <c r="A79"/>
      <c r="B79"/>
      <c r="C79"/>
      <c r="D79"/>
      <c r="H79" s="1" t="s">
        <v>32</v>
      </c>
      <c r="K79"/>
      <c r="L79"/>
      <c r="M79"/>
      <c r="N79"/>
    </row>
    <row r="80" spans="1:14" s="1" customFormat="1" ht="12.75">
      <c r="A80" t="s">
        <v>81</v>
      </c>
      <c r="B80"/>
      <c r="C80" t="s">
        <v>170</v>
      </c>
      <c r="D80"/>
      <c r="K80"/>
      <c r="L80"/>
      <c r="M80"/>
      <c r="N80"/>
    </row>
    <row r="81" spans="1:14" s="1" customFormat="1" ht="12.75">
      <c r="A81"/>
      <c r="B81"/>
      <c r="C81"/>
      <c r="D81"/>
      <c r="H81" s="1" t="s">
        <v>32</v>
      </c>
      <c r="K81"/>
      <c r="L81"/>
      <c r="M81"/>
      <c r="N81"/>
    </row>
    <row r="82" spans="1:14" s="1" customFormat="1" ht="12.75">
      <c r="A82" t="s">
        <v>82</v>
      </c>
      <c r="B82"/>
      <c r="C82"/>
      <c r="D82"/>
      <c r="K82"/>
      <c r="L82"/>
      <c r="M82"/>
      <c r="N82"/>
    </row>
    <row r="86" spans="1:14" s="1" customFormat="1" ht="12.75">
      <c r="A86"/>
      <c r="B86"/>
      <c r="C86"/>
      <c r="D86"/>
      <c r="E86" s="1" t="s">
        <v>32</v>
      </c>
      <c r="K86"/>
      <c r="L86"/>
      <c r="M86"/>
      <c r="N86"/>
    </row>
  </sheetData>
  <sheetProtection selectLockedCells="1" selectUnlockedCells="1"/>
  <mergeCells count="13">
    <mergeCell ref="A1:D1"/>
    <mergeCell ref="A2:D2"/>
    <mergeCell ref="A3:D3"/>
    <mergeCell ref="A4:D4"/>
    <mergeCell ref="A5:D5"/>
    <mergeCell ref="A7:D7"/>
    <mergeCell ref="A74:D74"/>
    <mergeCell ref="A14:D14"/>
    <mergeCell ref="A29:D29"/>
    <mergeCell ref="A43:D43"/>
    <mergeCell ref="A48:D48"/>
    <mergeCell ref="A55:D55"/>
    <mergeCell ref="A69:D69"/>
  </mergeCells>
  <printOptions/>
  <pageMargins left="0.5597222222222222" right="0.7875" top="0.34097222222222223" bottom="0.7875" header="0.5118055555555555" footer="0.5118055555555555"/>
  <pageSetup fitToHeight="3" fitToWidth="2" horizontalDpi="300" verticalDpi="300" orientation="landscape" paperSize="12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6"/>
  <sheetViews>
    <sheetView zoomScale="80" zoomScaleNormal="80" zoomScalePageLayoutView="0" workbookViewId="0" topLeftCell="A22">
      <selection activeCell="E38" sqref="E38:E41"/>
    </sheetView>
  </sheetViews>
  <sheetFormatPr defaultColWidth="11.57421875" defaultRowHeight="12.75"/>
  <cols>
    <col min="1" max="1" width="63.28125" style="0" customWidth="1"/>
    <col min="2" max="2" width="20.28125" style="0" customWidth="1"/>
    <col min="3" max="3" width="31.421875" style="0" customWidth="1"/>
    <col min="4" max="4" width="27.57421875" style="0" customWidth="1"/>
    <col min="5" max="5" width="16.8515625" style="1" customWidth="1"/>
    <col min="6" max="7" width="0" style="1" hidden="1" customWidth="1"/>
    <col min="8" max="8" width="11.57421875" style="1" customWidth="1"/>
    <col min="9" max="9" width="5.28125" style="1" customWidth="1"/>
    <col min="10" max="10" width="30.00390625" style="1" customWidth="1"/>
    <col min="11" max="12" width="23.28125" style="0" customWidth="1"/>
    <col min="13" max="13" width="6.57421875" style="0" customWidth="1"/>
    <col min="14" max="14" width="7.00390625" style="0" customWidth="1"/>
  </cols>
  <sheetData>
    <row r="1" spans="1:4" ht="18">
      <c r="A1" s="265" t="s">
        <v>0</v>
      </c>
      <c r="B1" s="265"/>
      <c r="C1" s="265"/>
      <c r="D1" s="265"/>
    </row>
    <row r="2" spans="1:4" ht="15.75">
      <c r="A2" s="266" t="s">
        <v>1</v>
      </c>
      <c r="B2" s="266"/>
      <c r="C2" s="266"/>
      <c r="D2" s="266"/>
    </row>
    <row r="3" spans="1:4" ht="15.75">
      <c r="A3" s="266" t="s">
        <v>2</v>
      </c>
      <c r="B3" s="266"/>
      <c r="C3" s="266"/>
      <c r="D3" s="266"/>
    </row>
    <row r="4" spans="1:4" ht="12.75">
      <c r="A4" s="267" t="s">
        <v>133</v>
      </c>
      <c r="B4" s="267"/>
      <c r="C4" s="267"/>
      <c r="D4" s="267"/>
    </row>
    <row r="5" spans="1:4" ht="12.75">
      <c r="A5" s="268" t="s">
        <v>171</v>
      </c>
      <c r="B5" s="267"/>
      <c r="C5" s="267"/>
      <c r="D5" s="267"/>
    </row>
    <row r="6" ht="9" customHeight="1">
      <c r="A6" s="2"/>
    </row>
    <row r="7" spans="1:4" ht="18" customHeight="1">
      <c r="A7" s="269" t="s">
        <v>4</v>
      </c>
      <c r="B7" s="269"/>
      <c r="C7" s="269"/>
      <c r="D7" s="269"/>
    </row>
    <row r="8" spans="1:3" ht="12.75">
      <c r="A8" s="2" t="s">
        <v>252</v>
      </c>
      <c r="C8" s="3"/>
    </row>
    <row r="9" spans="1:4" ht="12.75">
      <c r="A9" s="4" t="s">
        <v>5</v>
      </c>
      <c r="B9" s="4" t="s">
        <v>6</v>
      </c>
      <c r="C9" s="4" t="s">
        <v>7</v>
      </c>
      <c r="D9" s="5"/>
    </row>
    <row r="10" spans="1:5" ht="12.75">
      <c r="A10" s="6">
        <v>1</v>
      </c>
      <c r="B10" s="6">
        <v>2</v>
      </c>
      <c r="C10" s="6">
        <v>3</v>
      </c>
      <c r="D10" s="7">
        <v>4</v>
      </c>
      <c r="E10" s="132"/>
    </row>
    <row r="11" spans="1:5" ht="12.75">
      <c r="A11" s="8" t="s">
        <v>8</v>
      </c>
      <c r="B11" s="9"/>
      <c r="C11" s="177" t="s">
        <v>172</v>
      </c>
      <c r="D11" s="10"/>
      <c r="E11" s="132"/>
    </row>
    <row r="12" spans="1:5" ht="12.75">
      <c r="A12" s="8" t="s">
        <v>10</v>
      </c>
      <c r="B12" s="9"/>
      <c r="C12" s="177" t="s">
        <v>173</v>
      </c>
      <c r="D12" s="10"/>
      <c r="E12" s="132"/>
    </row>
    <row r="13" spans="1:5" ht="12.75">
      <c r="A13" s="8" t="s">
        <v>12</v>
      </c>
      <c r="B13" s="9"/>
      <c r="C13" s="177" t="s">
        <v>174</v>
      </c>
      <c r="D13" s="10"/>
      <c r="E13" s="132"/>
    </row>
    <row r="14" spans="1:5" ht="31.5" customHeight="1">
      <c r="A14" s="259" t="s">
        <v>14</v>
      </c>
      <c r="B14" s="259"/>
      <c r="C14" s="259"/>
      <c r="D14" s="259"/>
      <c r="E14" s="132"/>
    </row>
    <row r="15" spans="1:5" ht="25.5">
      <c r="A15" s="11" t="s">
        <v>15</v>
      </c>
      <c r="B15" s="12" t="s">
        <v>16</v>
      </c>
      <c r="C15" s="13">
        <v>25368.86</v>
      </c>
      <c r="D15" s="14"/>
      <c r="E15" s="132"/>
    </row>
    <row r="16" spans="1:5" ht="15">
      <c r="A16" s="8" t="s">
        <v>17</v>
      </c>
      <c r="B16" s="12" t="s">
        <v>16</v>
      </c>
      <c r="C16" s="13">
        <v>0</v>
      </c>
      <c r="D16" s="14"/>
      <c r="E16" s="132"/>
    </row>
    <row r="17" spans="1:5" ht="15">
      <c r="A17" s="8" t="s">
        <v>18</v>
      </c>
      <c r="B17" s="12" t="s">
        <v>16</v>
      </c>
      <c r="C17" s="15">
        <v>1456.78</v>
      </c>
      <c r="D17" s="16"/>
      <c r="E17" s="132" t="e">
        <f>B17/12/1022.6</f>
        <v>#VALUE!</v>
      </c>
    </row>
    <row r="18" spans="1:5" ht="31.5" customHeight="1">
      <c r="A18" s="17" t="s">
        <v>19</v>
      </c>
      <c r="B18" s="12" t="s">
        <v>16</v>
      </c>
      <c r="C18" s="15">
        <v>16955.88</v>
      </c>
      <c r="D18" s="16"/>
      <c r="E18" s="133">
        <f>C18-C20</f>
        <v>10506.768000000002</v>
      </c>
    </row>
    <row r="19" spans="1:5" ht="15">
      <c r="A19" s="8" t="s">
        <v>20</v>
      </c>
      <c r="B19" s="12" t="s">
        <v>16</v>
      </c>
      <c r="C19" s="15">
        <f>C18-C20-C21</f>
        <v>5376.912000000002</v>
      </c>
      <c r="D19" s="16"/>
      <c r="E19" s="133">
        <f>E18-E39</f>
        <v>0.004000000002633897</v>
      </c>
    </row>
    <row r="20" spans="1:5" ht="15">
      <c r="A20" s="8" t="s">
        <v>21</v>
      </c>
      <c r="B20" s="12" t="s">
        <v>16</v>
      </c>
      <c r="C20" s="15">
        <f>(3.19+3.68)*6*87.6+2838.24</f>
        <v>6449.111999999999</v>
      </c>
      <c r="D20" s="16"/>
      <c r="E20" s="134"/>
    </row>
    <row r="21" spans="1:5" ht="15">
      <c r="A21" s="8" t="s">
        <v>22</v>
      </c>
      <c r="B21" s="12" t="s">
        <v>16</v>
      </c>
      <c r="C21" s="20">
        <f>87.6*4.88*12</f>
        <v>5129.856</v>
      </c>
      <c r="D21" s="16"/>
      <c r="E21" s="132"/>
    </row>
    <row r="22" spans="1:5" ht="15">
      <c r="A22" s="21" t="s">
        <v>23</v>
      </c>
      <c r="B22" s="12" t="s">
        <v>16</v>
      </c>
      <c r="C22" s="15">
        <f>C23+C24+C25+C26+C27</f>
        <v>16971.140292</v>
      </c>
      <c r="D22" s="16" t="s">
        <v>24</v>
      </c>
      <c r="E22" s="18"/>
    </row>
    <row r="23" spans="1:5" ht="15">
      <c r="A23" s="8" t="s">
        <v>25</v>
      </c>
      <c r="B23" s="12" t="s">
        <v>16</v>
      </c>
      <c r="C23" s="15">
        <f>C18*1.0009</f>
        <v>16971.140292</v>
      </c>
      <c r="D23" s="16"/>
      <c r="E23" s="62"/>
    </row>
    <row r="24" spans="1:8" ht="15">
      <c r="A24" s="8" t="s">
        <v>26</v>
      </c>
      <c r="B24" s="12" t="s">
        <v>16</v>
      </c>
      <c r="C24" s="15">
        <v>0</v>
      </c>
      <c r="D24" s="22">
        <v>65.21</v>
      </c>
      <c r="E24" s="185"/>
      <c r="H24" s="1" t="s">
        <v>27</v>
      </c>
    </row>
    <row r="25" spans="1:5" ht="15">
      <c r="A25" s="8" t="s">
        <v>28</v>
      </c>
      <c r="B25" s="12" t="s">
        <v>16</v>
      </c>
      <c r="C25" s="15">
        <v>0</v>
      </c>
      <c r="D25" s="22">
        <v>119.63</v>
      </c>
      <c r="E25" s="185"/>
    </row>
    <row r="26" spans="1:5" ht="15">
      <c r="A26" s="9" t="s">
        <v>29</v>
      </c>
      <c r="B26" s="12" t="s">
        <v>16</v>
      </c>
      <c r="C26" s="15">
        <v>0</v>
      </c>
      <c r="D26" s="22"/>
      <c r="E26" s="134"/>
    </row>
    <row r="27" spans="1:5" ht="16.5" customHeight="1">
      <c r="A27" s="116" t="s">
        <v>112</v>
      </c>
      <c r="B27" s="12" t="s">
        <v>16</v>
      </c>
      <c r="C27" s="15">
        <v>0</v>
      </c>
      <c r="D27" s="22">
        <v>139.18</v>
      </c>
      <c r="E27" s="134"/>
    </row>
    <row r="28" spans="1:5" ht="15">
      <c r="A28" s="8" t="s">
        <v>31</v>
      </c>
      <c r="B28" s="12" t="s">
        <v>16</v>
      </c>
      <c r="C28" s="15">
        <f>C15+C22</f>
        <v>42340.000292</v>
      </c>
      <c r="D28" s="16" t="s">
        <v>32</v>
      </c>
      <c r="E28" s="134" t="e">
        <f>B28/#REF!*1</f>
        <v>#VALUE!</v>
      </c>
    </row>
    <row r="29" spans="1:5" ht="35.25" customHeight="1">
      <c r="A29" s="260" t="s">
        <v>33</v>
      </c>
      <c r="B29" s="260"/>
      <c r="C29" s="260"/>
      <c r="D29" s="260"/>
      <c r="E29" s="132"/>
    </row>
    <row r="30" spans="1:5" ht="60">
      <c r="A30" s="23" t="s">
        <v>34</v>
      </c>
      <c r="B30" s="24" t="s">
        <v>35</v>
      </c>
      <c r="C30" s="25" t="s">
        <v>36</v>
      </c>
      <c r="D30" s="26" t="s">
        <v>37</v>
      </c>
      <c r="E30" s="132"/>
    </row>
    <row r="31" spans="1:5" ht="15">
      <c r="A31" s="27" t="s">
        <v>38</v>
      </c>
      <c r="B31" s="28" t="s">
        <v>39</v>
      </c>
      <c r="C31" s="29" t="s">
        <v>40</v>
      </c>
      <c r="D31" s="107">
        <f>(0.17+0.16)*6*87.6</f>
        <v>173.44799999999998</v>
      </c>
      <c r="E31" s="132"/>
    </row>
    <row r="32" spans="1:5" ht="15">
      <c r="A32" s="31" t="s">
        <v>41</v>
      </c>
      <c r="B32" s="32" t="s">
        <v>42</v>
      </c>
      <c r="C32" s="33" t="s">
        <v>43</v>
      </c>
      <c r="D32" s="34">
        <f>(3.03+3)*6*87.6</f>
        <v>3169.367999999999</v>
      </c>
      <c r="E32" s="132"/>
    </row>
    <row r="33" spans="1:5" ht="15">
      <c r="A33" s="31" t="s">
        <v>44</v>
      </c>
      <c r="B33" s="32" t="s">
        <v>87</v>
      </c>
      <c r="C33" s="33" t="s">
        <v>45</v>
      </c>
      <c r="D33" s="108">
        <f>(0.42+0.4)*6*87.6</f>
        <v>430.99199999999996</v>
      </c>
      <c r="E33" s="132"/>
    </row>
    <row r="34" spans="1:5" ht="15">
      <c r="A34" s="204" t="s">
        <v>253</v>
      </c>
      <c r="B34" s="32" t="s">
        <v>39</v>
      </c>
      <c r="C34" s="33" t="s">
        <v>40</v>
      </c>
      <c r="D34" s="108">
        <v>236.54</v>
      </c>
      <c r="E34" s="132"/>
    </row>
    <row r="35" spans="1:5" ht="15">
      <c r="A35" s="31" t="s">
        <v>90</v>
      </c>
      <c r="B35" s="106" t="s">
        <v>91</v>
      </c>
      <c r="C35" s="33" t="s">
        <v>40</v>
      </c>
      <c r="D35" s="108">
        <f>(1.33+1.27)*6*87.6</f>
        <v>1366.56</v>
      </c>
      <c r="E35" s="132"/>
    </row>
    <row r="36" spans="1:5" ht="15">
      <c r="A36" s="31" t="s">
        <v>46</v>
      </c>
      <c r="B36" s="32" t="s">
        <v>42</v>
      </c>
      <c r="C36" s="35" t="s">
        <v>47</v>
      </c>
      <c r="D36" s="108">
        <f>4.88*87.6*12</f>
        <v>5129.856</v>
      </c>
      <c r="E36" s="132"/>
    </row>
    <row r="37" spans="1:14" s="1" customFormat="1" ht="45">
      <c r="A37" s="36" t="s">
        <v>48</v>
      </c>
      <c r="B37" s="37" t="s">
        <v>49</v>
      </c>
      <c r="C37" s="130"/>
      <c r="D37" s="39">
        <v>0</v>
      </c>
      <c r="E37" s="132"/>
      <c r="K37"/>
      <c r="L37"/>
      <c r="M37"/>
      <c r="N37"/>
    </row>
    <row r="38" spans="1:14" s="1" customFormat="1" ht="15">
      <c r="A38" s="109" t="s">
        <v>95</v>
      </c>
      <c r="B38" s="110" t="s">
        <v>96</v>
      </c>
      <c r="C38" s="111"/>
      <c r="D38" s="112">
        <v>0</v>
      </c>
      <c r="E38" s="132"/>
      <c r="K38"/>
      <c r="L38"/>
      <c r="M38"/>
      <c r="N38"/>
    </row>
    <row r="39" spans="1:14" s="1" customFormat="1" ht="15.75">
      <c r="A39" s="40" t="s">
        <v>50</v>
      </c>
      <c r="B39" s="41"/>
      <c r="C39" s="42"/>
      <c r="D39" s="113">
        <f>SUM(D31:D38)</f>
        <v>10506.764</v>
      </c>
      <c r="E39" s="135">
        <f>D39-D37</f>
        <v>10506.764</v>
      </c>
      <c r="K39"/>
      <c r="L39"/>
      <c r="M39"/>
      <c r="N39"/>
    </row>
    <row r="40" spans="1:14" s="1" customFormat="1" ht="15">
      <c r="A40" s="43" t="s">
        <v>51</v>
      </c>
      <c r="B40" s="44" t="s">
        <v>16</v>
      </c>
      <c r="C40" s="45"/>
      <c r="D40" s="46">
        <f>C15+C20*1.0009-D37</f>
        <v>31823.7762008</v>
      </c>
      <c r="E40" s="135"/>
      <c r="K40"/>
      <c r="L40"/>
      <c r="M40"/>
      <c r="N40"/>
    </row>
    <row r="41" spans="1:14" s="1" customFormat="1" ht="15">
      <c r="A41" s="48" t="s">
        <v>17</v>
      </c>
      <c r="B41" s="49" t="s">
        <v>16</v>
      </c>
      <c r="C41" s="33"/>
      <c r="D41" s="14"/>
      <c r="E41" s="132"/>
      <c r="K41"/>
      <c r="L41"/>
      <c r="M41"/>
      <c r="N41"/>
    </row>
    <row r="42" spans="1:14" s="1" customFormat="1" ht="15">
      <c r="A42" s="48" t="s">
        <v>18</v>
      </c>
      <c r="B42" s="49" t="s">
        <v>16</v>
      </c>
      <c r="C42" s="33"/>
      <c r="D42" s="14">
        <v>0</v>
      </c>
      <c r="E42" s="62"/>
      <c r="K42"/>
      <c r="L42"/>
      <c r="M42"/>
      <c r="N42"/>
    </row>
    <row r="43" spans="1:14" s="1" customFormat="1" ht="24" customHeight="1">
      <c r="A43" s="261" t="s">
        <v>52</v>
      </c>
      <c r="B43" s="261"/>
      <c r="C43" s="261"/>
      <c r="D43" s="261"/>
      <c r="E43" s="132"/>
      <c r="K43"/>
      <c r="L43"/>
      <c r="M43"/>
      <c r="N43"/>
    </row>
    <row r="44" spans="1:14" s="1" customFormat="1" ht="15">
      <c r="A44" s="48" t="s">
        <v>53</v>
      </c>
      <c r="B44" s="32" t="s">
        <v>54</v>
      </c>
      <c r="C44" s="33">
        <v>0</v>
      </c>
      <c r="D44" s="14">
        <v>0</v>
      </c>
      <c r="E44" s="132"/>
      <c r="K44"/>
      <c r="L44"/>
      <c r="M44"/>
      <c r="N44"/>
    </row>
    <row r="45" spans="1:14" s="1" customFormat="1" ht="15">
      <c r="A45" s="48" t="s">
        <v>55</v>
      </c>
      <c r="B45" s="32" t="s">
        <v>54</v>
      </c>
      <c r="C45" s="33">
        <v>0</v>
      </c>
      <c r="D45" s="14">
        <v>0</v>
      </c>
      <c r="E45" s="132"/>
      <c r="K45"/>
      <c r="L45"/>
      <c r="M45"/>
      <c r="N45"/>
    </row>
    <row r="46" spans="1:14" s="1" customFormat="1" ht="15">
      <c r="A46" s="50" t="s">
        <v>56</v>
      </c>
      <c r="B46" s="32" t="s">
        <v>54</v>
      </c>
      <c r="C46" s="33">
        <v>0</v>
      </c>
      <c r="D46" s="14">
        <v>0</v>
      </c>
      <c r="E46" s="132"/>
      <c r="K46"/>
      <c r="L46"/>
      <c r="M46"/>
      <c r="N46"/>
    </row>
    <row r="47" spans="1:14" s="1" customFormat="1" ht="15">
      <c r="A47" s="48" t="s">
        <v>57</v>
      </c>
      <c r="B47" s="32" t="s">
        <v>16</v>
      </c>
      <c r="C47" s="33">
        <v>0</v>
      </c>
      <c r="D47" s="14">
        <v>0</v>
      </c>
      <c r="E47" s="132"/>
      <c r="K47"/>
      <c r="L47"/>
      <c r="M47"/>
      <c r="N47"/>
    </row>
    <row r="48" spans="1:5" ht="20.25" customHeight="1">
      <c r="A48" s="262" t="s">
        <v>58</v>
      </c>
      <c r="B48" s="262"/>
      <c r="C48" s="262"/>
      <c r="D48" s="262"/>
      <c r="E48" s="132"/>
    </row>
    <row r="49" spans="1:5" ht="25.5">
      <c r="A49" s="50" t="s">
        <v>59</v>
      </c>
      <c r="B49" s="32" t="s">
        <v>16</v>
      </c>
      <c r="C49" s="33"/>
      <c r="D49" s="14">
        <v>0</v>
      </c>
      <c r="E49" s="132"/>
    </row>
    <row r="50" spans="1:5" ht="15">
      <c r="A50" s="48" t="s">
        <v>17</v>
      </c>
      <c r="B50" s="32" t="s">
        <v>16</v>
      </c>
      <c r="C50" s="33"/>
      <c r="D50" s="14">
        <v>0</v>
      </c>
      <c r="E50" s="132"/>
    </row>
    <row r="51" spans="1:8" ht="15">
      <c r="A51" s="48" t="s">
        <v>18</v>
      </c>
      <c r="B51" s="32" t="s">
        <v>16</v>
      </c>
      <c r="C51" s="33"/>
      <c r="D51" s="51">
        <v>3361.77</v>
      </c>
      <c r="E51" s="132"/>
      <c r="H51" s="52"/>
    </row>
    <row r="52" spans="1:5" ht="25.5">
      <c r="A52" s="53" t="s">
        <v>60</v>
      </c>
      <c r="B52" s="32" t="s">
        <v>16</v>
      </c>
      <c r="C52" s="54"/>
      <c r="D52" s="55">
        <v>0</v>
      </c>
      <c r="E52" s="132"/>
    </row>
    <row r="53" spans="1:10" ht="17.25" customHeight="1">
      <c r="A53" s="56" t="s">
        <v>17</v>
      </c>
      <c r="B53" s="32" t="s">
        <v>16</v>
      </c>
      <c r="C53" s="33"/>
      <c r="D53" s="14">
        <v>0</v>
      </c>
      <c r="E53" s="132"/>
      <c r="I53" s="52"/>
      <c r="J53" s="52"/>
    </row>
    <row r="54" spans="1:14" ht="15">
      <c r="A54" s="59" t="s">
        <v>18</v>
      </c>
      <c r="B54" s="32" t="s">
        <v>16</v>
      </c>
      <c r="C54" s="60"/>
      <c r="D54" s="61">
        <v>0</v>
      </c>
      <c r="E54" s="132"/>
      <c r="H54" s="1" t="s">
        <v>32</v>
      </c>
      <c r="I54" s="63"/>
      <c r="J54" s="63"/>
      <c r="K54" s="64"/>
      <c r="L54" s="64"/>
      <c r="M54" s="64"/>
      <c r="N54" s="64"/>
    </row>
    <row r="55" spans="1:14" ht="18" customHeight="1">
      <c r="A55" s="263" t="s">
        <v>61</v>
      </c>
      <c r="B55" s="263"/>
      <c r="C55" s="263"/>
      <c r="D55" s="263"/>
      <c r="E55" s="137"/>
      <c r="F55" s="66"/>
      <c r="G55" s="67"/>
      <c r="I55" s="68"/>
      <c r="J55" s="68"/>
      <c r="K55" s="69"/>
      <c r="L55" s="69"/>
      <c r="M55" s="69"/>
      <c r="N55" s="69"/>
    </row>
    <row r="56" spans="1:14" ht="47.25">
      <c r="A56" s="70" t="s">
        <v>62</v>
      </c>
      <c r="B56" s="71" t="s">
        <v>63</v>
      </c>
      <c r="C56" s="72" t="s">
        <v>64</v>
      </c>
      <c r="D56" s="73" t="s">
        <v>65</v>
      </c>
      <c r="E56" s="137"/>
      <c r="F56" s="66"/>
      <c r="G56" s="67"/>
      <c r="I56" s="68"/>
      <c r="J56" s="74"/>
      <c r="K56" s="69"/>
      <c r="L56" s="69"/>
      <c r="M56" s="69"/>
      <c r="N56" s="69"/>
    </row>
    <row r="57" spans="1:14" ht="15">
      <c r="A57" s="75" t="s">
        <v>66</v>
      </c>
      <c r="B57" s="117">
        <v>1617.52</v>
      </c>
      <c r="C57" s="118">
        <f>B57*1.0009</f>
        <v>1618.9757679999998</v>
      </c>
      <c r="D57" s="119">
        <f>B57-C57</f>
        <v>-1.4557679999998072</v>
      </c>
      <c r="E57" s="140"/>
      <c r="F57" s="66"/>
      <c r="G57" s="67"/>
      <c r="I57" s="68"/>
      <c r="J57" s="68"/>
      <c r="K57" s="69"/>
      <c r="L57" s="69"/>
      <c r="M57" s="69"/>
      <c r="N57" s="69"/>
    </row>
    <row r="58" spans="1:14" ht="15">
      <c r="A58" s="75" t="s">
        <v>67</v>
      </c>
      <c r="B58" s="117">
        <v>1854.24</v>
      </c>
      <c r="C58" s="118">
        <f>B58*1.0009</f>
        <v>1855.908816</v>
      </c>
      <c r="D58" s="119">
        <f>B58-C58</f>
        <v>-1.6688159999998788</v>
      </c>
      <c r="E58" s="137"/>
      <c r="F58" s="66"/>
      <c r="G58" s="67"/>
      <c r="I58" s="68"/>
      <c r="J58" s="68"/>
      <c r="K58" s="69"/>
      <c r="L58" s="69"/>
      <c r="M58" s="69"/>
      <c r="N58" s="69"/>
    </row>
    <row r="59" spans="1:14" ht="15">
      <c r="A59" s="75" t="s">
        <v>68</v>
      </c>
      <c r="B59" s="120">
        <v>15601.18</v>
      </c>
      <c r="C59" s="118">
        <f>B59*1.0009</f>
        <v>15615.221061999999</v>
      </c>
      <c r="D59" s="119">
        <f>B59-C59</f>
        <v>-14.04106199999842</v>
      </c>
      <c r="E59" s="137">
        <f>(2.07+1.8)*6*2301.2-0.37*2301.2*6</f>
        <v>48325.2</v>
      </c>
      <c r="F59" s="81"/>
      <c r="G59" s="82"/>
      <c r="H59" s="65"/>
      <c r="I59" s="68"/>
      <c r="J59" s="68"/>
      <c r="K59" s="69"/>
      <c r="L59" s="69"/>
      <c r="M59" s="69"/>
      <c r="N59" s="69"/>
    </row>
    <row r="60" spans="1:14" ht="15.75" thickBot="1">
      <c r="A60" s="150" t="s">
        <v>69</v>
      </c>
      <c r="B60" s="151">
        <v>0</v>
      </c>
      <c r="C60" s="152">
        <f>B60*1.0495</f>
        <v>0</v>
      </c>
      <c r="D60" s="153">
        <f>B60-C60</f>
        <v>0</v>
      </c>
      <c r="E60" s="137"/>
      <c r="F60" s="81"/>
      <c r="G60" s="82"/>
      <c r="I60" s="68"/>
      <c r="J60" s="68"/>
      <c r="K60" s="69"/>
      <c r="L60" s="69"/>
      <c r="M60" s="69"/>
      <c r="N60" s="69"/>
    </row>
    <row r="61" spans="1:14" ht="63">
      <c r="A61" s="154" t="s">
        <v>70</v>
      </c>
      <c r="B61" s="155" t="s">
        <v>71</v>
      </c>
      <c r="C61" s="156" t="s">
        <v>72</v>
      </c>
      <c r="D61" s="157" t="s">
        <v>73</v>
      </c>
      <c r="E61" s="137"/>
      <c r="F61" s="81"/>
      <c r="H61" s="68"/>
      <c r="I61" s="68"/>
      <c r="J61" s="68"/>
      <c r="K61" s="69"/>
      <c r="L61" s="69"/>
      <c r="M61" s="69"/>
      <c r="N61" s="69"/>
    </row>
    <row r="62" spans="1:14" ht="15">
      <c r="A62" s="158" t="s">
        <v>66</v>
      </c>
      <c r="B62" s="124">
        <f aca="true" t="shared" si="0" ref="B62:C64">B57</f>
        <v>1617.52</v>
      </c>
      <c r="C62" s="125">
        <f t="shared" si="0"/>
        <v>1618.9757679999998</v>
      </c>
      <c r="D62" s="159">
        <f>B62-C62</f>
        <v>-1.4557679999998072</v>
      </c>
      <c r="E62" s="137"/>
      <c r="F62" s="81"/>
      <c r="H62" s="68"/>
      <c r="I62" s="68"/>
      <c r="J62" s="68" t="s">
        <v>32</v>
      </c>
      <c r="K62" s="69"/>
      <c r="L62" s="69"/>
      <c r="M62" s="69"/>
      <c r="N62" s="69"/>
    </row>
    <row r="63" spans="1:14" ht="15">
      <c r="A63" s="158" t="s">
        <v>67</v>
      </c>
      <c r="B63" s="124">
        <f t="shared" si="0"/>
        <v>1854.24</v>
      </c>
      <c r="C63" s="125">
        <f t="shared" si="0"/>
        <v>1855.908816</v>
      </c>
      <c r="D63" s="159">
        <f>B63-C63</f>
        <v>-1.6688159999998788</v>
      </c>
      <c r="E63" s="137"/>
      <c r="F63" s="81"/>
      <c r="H63" s="68"/>
      <c r="I63" s="68"/>
      <c r="J63" s="68"/>
      <c r="K63" s="69"/>
      <c r="L63" s="69"/>
      <c r="M63" s="69"/>
      <c r="N63" s="69"/>
    </row>
    <row r="64" spans="1:14" ht="15">
      <c r="A64" s="158" t="s">
        <v>68</v>
      </c>
      <c r="B64" s="124">
        <f t="shared" si="0"/>
        <v>15601.18</v>
      </c>
      <c r="C64" s="125">
        <f t="shared" si="0"/>
        <v>15615.221061999999</v>
      </c>
      <c r="D64" s="159">
        <f>B64-C64</f>
        <v>-14.04106199999842</v>
      </c>
      <c r="E64" s="137"/>
      <c r="F64" s="81"/>
      <c r="H64" s="68"/>
      <c r="I64" s="68"/>
      <c r="J64" s="68"/>
      <c r="K64" s="69"/>
      <c r="L64" s="69"/>
      <c r="M64" s="69"/>
      <c r="N64" s="69"/>
    </row>
    <row r="65" spans="1:14" ht="15">
      <c r="A65" s="158" t="s">
        <v>74</v>
      </c>
      <c r="B65" s="124">
        <v>0</v>
      </c>
      <c r="C65" s="125">
        <f>C60*1.0063</f>
        <v>0</v>
      </c>
      <c r="D65" s="159">
        <f>B65-C65</f>
        <v>0</v>
      </c>
      <c r="E65" s="137"/>
      <c r="F65" s="81"/>
      <c r="H65" s="68"/>
      <c r="I65" s="68"/>
      <c r="J65" s="68"/>
      <c r="K65" s="69"/>
      <c r="L65" s="69"/>
      <c r="M65" s="69"/>
      <c r="N65" s="69"/>
    </row>
    <row r="66" spans="1:14" ht="15.75" thickBot="1">
      <c r="A66" s="160" t="s">
        <v>69</v>
      </c>
      <c r="B66" s="161">
        <v>0</v>
      </c>
      <c r="C66" s="162">
        <v>0</v>
      </c>
      <c r="D66" s="163">
        <f>B66-C66</f>
        <v>0</v>
      </c>
      <c r="E66" s="137"/>
      <c r="F66" s="81"/>
      <c r="H66" s="68" t="s">
        <v>32</v>
      </c>
      <c r="I66" s="68"/>
      <c r="J66" s="68"/>
      <c r="K66" s="69"/>
      <c r="L66" s="69"/>
      <c r="M66" s="69"/>
      <c r="N66" s="69"/>
    </row>
    <row r="67" spans="1:14" ht="15">
      <c r="A67" s="91"/>
      <c r="B67" s="87"/>
      <c r="C67" s="92"/>
      <c r="D67" s="93"/>
      <c r="E67" s="65"/>
      <c r="F67" s="81"/>
      <c r="H67" s="68"/>
      <c r="I67" s="68"/>
      <c r="J67" s="68"/>
      <c r="K67" s="69"/>
      <c r="L67" s="69"/>
      <c r="M67" s="69"/>
      <c r="N67" s="69"/>
    </row>
    <row r="68" spans="1:14" ht="25.5">
      <c r="A68" s="94" t="s">
        <v>75</v>
      </c>
      <c r="B68" s="87" t="s">
        <v>16</v>
      </c>
      <c r="C68" s="95"/>
      <c r="D68" s="96"/>
      <c r="E68" s="65"/>
      <c r="F68" s="81"/>
      <c r="H68" s="68"/>
      <c r="I68" s="68"/>
      <c r="J68" s="68" t="s">
        <v>32</v>
      </c>
      <c r="K68" s="69"/>
      <c r="L68" s="69"/>
      <c r="M68" s="69"/>
      <c r="N68" s="69"/>
    </row>
    <row r="69" spans="1:14" ht="17.25" customHeight="1">
      <c r="A69" s="264" t="s">
        <v>76</v>
      </c>
      <c r="B69" s="264"/>
      <c r="C69" s="264"/>
      <c r="D69" s="264"/>
      <c r="E69" s="97" t="e">
        <f>D69+B19</f>
        <v>#VALUE!</v>
      </c>
      <c r="F69" s="68"/>
      <c r="H69" s="98" t="e">
        <f>E69-B18</f>
        <v>#VALUE!</v>
      </c>
      <c r="I69" s="68"/>
      <c r="J69" s="68"/>
      <c r="K69" s="69"/>
      <c r="L69" s="69"/>
      <c r="M69" s="69"/>
      <c r="N69" s="69"/>
    </row>
    <row r="70" spans="1:5" ht="21" customHeight="1">
      <c r="A70" s="99" t="s">
        <v>53</v>
      </c>
      <c r="B70" s="99" t="s">
        <v>54</v>
      </c>
      <c r="C70" s="100">
        <v>0</v>
      </c>
      <c r="D70" s="101"/>
      <c r="E70" s="102"/>
    </row>
    <row r="71" spans="1:5" ht="21" customHeight="1">
      <c r="A71" s="99" t="s">
        <v>55</v>
      </c>
      <c r="B71" s="99" t="s">
        <v>54</v>
      </c>
      <c r="C71" s="99">
        <v>0</v>
      </c>
      <c r="D71" s="101"/>
      <c r="E71" s="102"/>
    </row>
    <row r="72" spans="1:5" ht="18" customHeight="1">
      <c r="A72" s="99" t="s">
        <v>56</v>
      </c>
      <c r="B72" s="99" t="s">
        <v>54</v>
      </c>
      <c r="C72" s="99">
        <v>0</v>
      </c>
      <c r="D72" s="101"/>
      <c r="E72" s="102"/>
    </row>
    <row r="73" spans="1:5" ht="16.5" customHeight="1">
      <c r="A73" s="99" t="s">
        <v>57</v>
      </c>
      <c r="B73" s="99" t="s">
        <v>16</v>
      </c>
      <c r="C73" s="99">
        <v>0</v>
      </c>
      <c r="D73" s="101"/>
      <c r="E73" s="102"/>
    </row>
    <row r="74" spans="1:5" ht="15.75" customHeight="1">
      <c r="A74" s="258" t="s">
        <v>77</v>
      </c>
      <c r="B74" s="258"/>
      <c r="C74" s="258"/>
      <c r="D74" s="258"/>
      <c r="E74" s="102"/>
    </row>
    <row r="75" spans="1:5" ht="18.75" customHeight="1">
      <c r="A75" s="99" t="s">
        <v>78</v>
      </c>
      <c r="B75" s="99" t="s">
        <v>54</v>
      </c>
      <c r="C75" s="99">
        <v>0</v>
      </c>
      <c r="D75" s="101"/>
      <c r="E75" s="102"/>
    </row>
    <row r="76" spans="1:5" ht="21.75" customHeight="1">
      <c r="A76" s="99" t="s">
        <v>79</v>
      </c>
      <c r="B76" s="56" t="s">
        <v>54</v>
      </c>
      <c r="C76" s="56">
        <v>0</v>
      </c>
      <c r="D76" s="101"/>
      <c r="E76" s="102"/>
    </row>
    <row r="77" spans="1:5" ht="36" customHeight="1">
      <c r="A77" s="103" t="s">
        <v>80</v>
      </c>
      <c r="B77" s="99" t="s">
        <v>16</v>
      </c>
      <c r="C77" s="99">
        <v>0</v>
      </c>
      <c r="D77" s="101"/>
      <c r="E77" s="102"/>
    </row>
    <row r="78" spans="1:4" ht="15">
      <c r="A78" s="69"/>
      <c r="B78" s="69"/>
      <c r="C78" s="69"/>
      <c r="D78" s="104"/>
    </row>
    <row r="79" spans="1:14" s="1" customFormat="1" ht="12.75">
      <c r="A79"/>
      <c r="B79"/>
      <c r="C79"/>
      <c r="D79"/>
      <c r="H79" s="1" t="s">
        <v>32</v>
      </c>
      <c r="K79"/>
      <c r="L79"/>
      <c r="M79"/>
      <c r="N79"/>
    </row>
    <row r="80" spans="1:14" s="1" customFormat="1" ht="12.75">
      <c r="A80" t="s">
        <v>81</v>
      </c>
      <c r="B80"/>
      <c r="C80" t="s">
        <v>170</v>
      </c>
      <c r="D80"/>
      <c r="K80"/>
      <c r="L80"/>
      <c r="M80"/>
      <c r="N80"/>
    </row>
    <row r="81" spans="1:14" s="1" customFormat="1" ht="12.75">
      <c r="A81"/>
      <c r="B81"/>
      <c r="C81"/>
      <c r="D81"/>
      <c r="H81" s="1" t="s">
        <v>32</v>
      </c>
      <c r="K81"/>
      <c r="L81"/>
      <c r="M81"/>
      <c r="N81"/>
    </row>
    <row r="82" spans="1:14" s="1" customFormat="1" ht="12.75">
      <c r="A82" t="s">
        <v>82</v>
      </c>
      <c r="B82"/>
      <c r="C82"/>
      <c r="D82"/>
      <c r="K82"/>
      <c r="L82"/>
      <c r="M82"/>
      <c r="N82"/>
    </row>
    <row r="86" spans="1:14" s="1" customFormat="1" ht="12.75">
      <c r="A86"/>
      <c r="B86"/>
      <c r="C86"/>
      <c r="D86"/>
      <c r="E86" s="1" t="s">
        <v>32</v>
      </c>
      <c r="K86"/>
      <c r="L86"/>
      <c r="M86"/>
      <c r="N86"/>
    </row>
  </sheetData>
  <sheetProtection selectLockedCells="1" selectUnlockedCells="1"/>
  <mergeCells count="13">
    <mergeCell ref="A1:D1"/>
    <mergeCell ref="A2:D2"/>
    <mergeCell ref="A3:D3"/>
    <mergeCell ref="A4:D4"/>
    <mergeCell ref="A5:D5"/>
    <mergeCell ref="A7:D7"/>
    <mergeCell ref="A74:D74"/>
    <mergeCell ref="A14:D14"/>
    <mergeCell ref="A29:D29"/>
    <mergeCell ref="A43:D43"/>
    <mergeCell ref="A48:D48"/>
    <mergeCell ref="A55:D55"/>
    <mergeCell ref="A69:D69"/>
  </mergeCells>
  <printOptions/>
  <pageMargins left="0.5597222222222222" right="0.7875" top="0.34097222222222223" bottom="0.7875" header="0.5118055555555555" footer="0.5118055555555555"/>
  <pageSetup fitToHeight="3" fitToWidth="2" horizontalDpi="300" verticalDpi="300" orientation="landscape" paperSize="12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7"/>
  <sheetViews>
    <sheetView tabSelected="1" zoomScale="80" zoomScaleNormal="80" zoomScalePageLayoutView="0" workbookViewId="0" topLeftCell="A1">
      <selection activeCell="E15" sqref="E15:E25"/>
    </sheetView>
  </sheetViews>
  <sheetFormatPr defaultColWidth="11.57421875" defaultRowHeight="12.75"/>
  <cols>
    <col min="1" max="1" width="54.7109375" style="0" customWidth="1"/>
    <col min="2" max="2" width="17.7109375" style="0" customWidth="1"/>
    <col min="3" max="3" width="21.00390625" style="0" customWidth="1"/>
    <col min="4" max="4" width="18.28125" style="0" customWidth="1"/>
    <col min="5" max="5" width="16.8515625" style="1" customWidth="1"/>
    <col min="6" max="7" width="0" style="1" hidden="1" customWidth="1"/>
    <col min="8" max="8" width="11.57421875" style="1" customWidth="1"/>
    <col min="9" max="9" width="5.28125" style="1" customWidth="1"/>
    <col min="10" max="10" width="30.00390625" style="1" customWidth="1"/>
    <col min="11" max="12" width="23.28125" style="0" customWidth="1"/>
    <col min="13" max="13" width="6.57421875" style="0" customWidth="1"/>
    <col min="14" max="14" width="7.00390625" style="0" customWidth="1"/>
  </cols>
  <sheetData>
    <row r="1" spans="1:4" ht="18">
      <c r="A1" s="265" t="s">
        <v>0</v>
      </c>
      <c r="B1" s="265"/>
      <c r="C1" s="265"/>
      <c r="D1" s="265"/>
    </row>
    <row r="2" spans="1:4" ht="15.75">
      <c r="A2" s="266" t="s">
        <v>1</v>
      </c>
      <c r="B2" s="266"/>
      <c r="C2" s="266"/>
      <c r="D2" s="266"/>
    </row>
    <row r="3" spans="1:4" ht="15.75">
      <c r="A3" s="266" t="s">
        <v>2</v>
      </c>
      <c r="B3" s="266"/>
      <c r="C3" s="266"/>
      <c r="D3" s="266"/>
    </row>
    <row r="4" spans="1:4" ht="12.75">
      <c r="A4" s="267" t="s">
        <v>134</v>
      </c>
      <c r="B4" s="267"/>
      <c r="C4" s="267"/>
      <c r="D4" s="267"/>
    </row>
    <row r="5" spans="1:4" ht="12.75">
      <c r="A5" s="268" t="s">
        <v>171</v>
      </c>
      <c r="B5" s="267"/>
      <c r="C5" s="267"/>
      <c r="D5" s="267"/>
    </row>
    <row r="6" ht="9" customHeight="1">
      <c r="A6" s="2"/>
    </row>
    <row r="7" spans="1:4" ht="28.5" customHeight="1">
      <c r="A7" s="269" t="s">
        <v>4</v>
      </c>
      <c r="B7" s="269"/>
      <c r="C7" s="269"/>
      <c r="D7" s="269"/>
    </row>
    <row r="8" spans="1:3" ht="12.75">
      <c r="A8" s="2" t="s">
        <v>239</v>
      </c>
      <c r="C8" s="3"/>
    </row>
    <row r="9" spans="1:4" ht="12.75">
      <c r="A9" s="4" t="s">
        <v>5</v>
      </c>
      <c r="B9" s="4" t="s">
        <v>6</v>
      </c>
      <c r="C9" s="4" t="s">
        <v>7</v>
      </c>
      <c r="D9" s="5"/>
    </row>
    <row r="10" spans="1:4" ht="12.75">
      <c r="A10" s="6">
        <v>1</v>
      </c>
      <c r="B10" s="6">
        <v>2</v>
      </c>
      <c r="C10" s="6">
        <v>3</v>
      </c>
      <c r="D10" s="7">
        <v>4</v>
      </c>
    </row>
    <row r="11" spans="1:5" ht="12.75">
      <c r="A11" s="8" t="s">
        <v>8</v>
      </c>
      <c r="B11" s="9"/>
      <c r="C11" s="177" t="s">
        <v>172</v>
      </c>
      <c r="D11" s="10"/>
      <c r="E11" s="132"/>
    </row>
    <row r="12" spans="1:5" ht="12.75">
      <c r="A12" s="8" t="s">
        <v>10</v>
      </c>
      <c r="B12" s="9"/>
      <c r="C12" s="177" t="s">
        <v>173</v>
      </c>
      <c r="D12" s="10"/>
      <c r="E12" s="132"/>
    </row>
    <row r="13" spans="1:5" ht="12.75">
      <c r="A13" s="8" t="s">
        <v>12</v>
      </c>
      <c r="B13" s="9"/>
      <c r="C13" s="177" t="s">
        <v>174</v>
      </c>
      <c r="D13" s="10"/>
      <c r="E13" s="132"/>
    </row>
    <row r="14" spans="1:5" ht="31.5" customHeight="1">
      <c r="A14" s="259" t="s">
        <v>14</v>
      </c>
      <c r="B14" s="259"/>
      <c r="C14" s="259"/>
      <c r="D14" s="259"/>
      <c r="E14" s="132"/>
    </row>
    <row r="15" spans="1:5" ht="25.5">
      <c r="A15" s="11" t="s">
        <v>15</v>
      </c>
      <c r="B15" s="12" t="s">
        <v>16</v>
      </c>
      <c r="C15" s="13">
        <v>-7745.37</v>
      </c>
      <c r="D15" s="14"/>
      <c r="E15" s="132"/>
    </row>
    <row r="16" spans="1:5" ht="15">
      <c r="A16" s="8" t="s">
        <v>17</v>
      </c>
      <c r="B16" s="12" t="s">
        <v>16</v>
      </c>
      <c r="C16" s="13">
        <v>0</v>
      </c>
      <c r="D16" s="14"/>
      <c r="E16" s="132"/>
    </row>
    <row r="17" spans="1:5" ht="15">
      <c r="A17" s="8" t="s">
        <v>18</v>
      </c>
      <c r="B17" s="12" t="s">
        <v>16</v>
      </c>
      <c r="C17" s="15">
        <v>5294.05</v>
      </c>
      <c r="D17" s="16"/>
      <c r="E17" s="132" t="e">
        <f>B17/12/1022.6</f>
        <v>#VALUE!</v>
      </c>
    </row>
    <row r="18" spans="1:5" ht="31.5" customHeight="1">
      <c r="A18" s="17" t="s">
        <v>19</v>
      </c>
      <c r="B18" s="12" t="s">
        <v>16</v>
      </c>
      <c r="C18" s="15">
        <f>C19+C20+C21</f>
        <v>176100.598</v>
      </c>
      <c r="D18" s="16"/>
      <c r="E18" s="133">
        <f>C18-C20</f>
        <v>167207.932</v>
      </c>
    </row>
    <row r="19" spans="1:5" ht="15">
      <c r="A19" s="8" t="s">
        <v>20</v>
      </c>
      <c r="B19" s="12" t="s">
        <v>16</v>
      </c>
      <c r="C19" s="15">
        <v>110480.86</v>
      </c>
      <c r="D19" s="16"/>
      <c r="E19" s="133">
        <f>E18-E40</f>
        <v>-0.0020000000076834112</v>
      </c>
    </row>
    <row r="20" spans="1:5" ht="15">
      <c r="A20" s="8" t="s">
        <v>21</v>
      </c>
      <c r="B20" s="12" t="s">
        <v>16</v>
      </c>
      <c r="C20" s="15">
        <f>(0.94+0.59)*6*968.7</f>
        <v>8892.666</v>
      </c>
      <c r="D20" s="16"/>
      <c r="E20" s="134"/>
    </row>
    <row r="21" spans="1:5" ht="15">
      <c r="A21" s="8" t="s">
        <v>22</v>
      </c>
      <c r="B21" s="12" t="s">
        <v>16</v>
      </c>
      <c r="C21" s="20">
        <f>968.7*4.88*12</f>
        <v>56727.072</v>
      </c>
      <c r="D21" s="16"/>
      <c r="E21" s="132"/>
    </row>
    <row r="22" spans="1:5" ht="15">
      <c r="A22" s="21" t="s">
        <v>23</v>
      </c>
      <c r="B22" s="12" t="s">
        <v>16</v>
      </c>
      <c r="C22" s="15">
        <f>C23+C24+C25+C26+C27</f>
        <v>177050.55871760004</v>
      </c>
      <c r="D22" s="16" t="s">
        <v>24</v>
      </c>
      <c r="E22" s="133" t="e">
        <f>B24+B25+B26+B27+B28</f>
        <v>#VALUE!</v>
      </c>
    </row>
    <row r="23" spans="1:5" ht="15">
      <c r="A23" s="8" t="s">
        <v>25</v>
      </c>
      <c r="B23" s="12" t="s">
        <v>16</v>
      </c>
      <c r="C23" s="15">
        <f>C18*1.0012</f>
        <v>176311.91871760003</v>
      </c>
      <c r="D23" s="16"/>
      <c r="E23" s="132"/>
    </row>
    <row r="24" spans="1:8" ht="15">
      <c r="A24" s="8" t="s">
        <v>26</v>
      </c>
      <c r="B24" s="12" t="s">
        <v>16</v>
      </c>
      <c r="C24" s="15">
        <v>0</v>
      </c>
      <c r="D24" s="22">
        <v>65.21</v>
      </c>
      <c r="E24" s="134" t="e">
        <f>B24/#REF!*1</f>
        <v>#VALUE!</v>
      </c>
      <c r="H24" s="1" t="s">
        <v>27</v>
      </c>
    </row>
    <row r="25" spans="1:5" ht="15">
      <c r="A25" s="8" t="s">
        <v>28</v>
      </c>
      <c r="B25" s="12" t="s">
        <v>16</v>
      </c>
      <c r="C25" s="15">
        <v>0</v>
      </c>
      <c r="D25" s="22">
        <v>119.63</v>
      </c>
      <c r="E25" s="134" t="e">
        <f>B25/#REF!*1</f>
        <v>#VALUE!</v>
      </c>
    </row>
    <row r="26" spans="1:5" ht="15">
      <c r="A26" s="9" t="s">
        <v>29</v>
      </c>
      <c r="B26" s="12" t="s">
        <v>16</v>
      </c>
      <c r="C26" s="15">
        <v>0</v>
      </c>
      <c r="D26" s="22"/>
      <c r="E26" s="134" t="e">
        <f>B26/#REF!*1</f>
        <v>#VALUE!</v>
      </c>
    </row>
    <row r="27" spans="1:5" ht="16.5" customHeight="1">
      <c r="A27" s="116" t="s">
        <v>112</v>
      </c>
      <c r="B27" s="12" t="s">
        <v>16</v>
      </c>
      <c r="C27" s="15">
        <v>738.64</v>
      </c>
      <c r="D27" s="22">
        <v>139.18</v>
      </c>
      <c r="E27" s="134" t="e">
        <f>B27/#REF!*1</f>
        <v>#VALUE!</v>
      </c>
    </row>
    <row r="28" spans="1:5" ht="15">
      <c r="A28" s="8" t="s">
        <v>31</v>
      </c>
      <c r="B28" s="12" t="s">
        <v>16</v>
      </c>
      <c r="C28" s="15">
        <f>C15+C22</f>
        <v>169305.18871760005</v>
      </c>
      <c r="D28" s="16" t="s">
        <v>32</v>
      </c>
      <c r="E28" s="134" t="e">
        <f>B28/#REF!*1</f>
        <v>#VALUE!</v>
      </c>
    </row>
    <row r="29" spans="1:5" ht="35.25" customHeight="1">
      <c r="A29" s="260" t="s">
        <v>33</v>
      </c>
      <c r="B29" s="260"/>
      <c r="C29" s="260"/>
      <c r="D29" s="260"/>
      <c r="E29" s="132"/>
    </row>
    <row r="30" spans="1:5" ht="51">
      <c r="A30" s="218" t="s">
        <v>34</v>
      </c>
      <c r="B30" s="221" t="s">
        <v>35</v>
      </c>
      <c r="C30" s="216" t="s">
        <v>36</v>
      </c>
      <c r="D30" s="222" t="s">
        <v>37</v>
      </c>
      <c r="E30" s="132"/>
    </row>
    <row r="31" spans="1:5" ht="30">
      <c r="A31" s="27" t="s">
        <v>38</v>
      </c>
      <c r="B31" s="28" t="s">
        <v>39</v>
      </c>
      <c r="C31" s="29" t="s">
        <v>40</v>
      </c>
      <c r="D31" s="107">
        <f>(0.4+0.38)*6*968.7</f>
        <v>4533.516</v>
      </c>
      <c r="E31" s="132"/>
    </row>
    <row r="32" spans="1:5" ht="15">
      <c r="A32" s="31" t="s">
        <v>84</v>
      </c>
      <c r="B32" s="32" t="s">
        <v>85</v>
      </c>
      <c r="C32" s="33" t="s">
        <v>86</v>
      </c>
      <c r="D32" s="108">
        <f>(2.45+2.34)*6*968.7</f>
        <v>27840.438000000002</v>
      </c>
      <c r="E32" s="132"/>
    </row>
    <row r="33" spans="1:5" ht="15">
      <c r="A33" s="31" t="s">
        <v>41</v>
      </c>
      <c r="B33" s="32" t="s">
        <v>42</v>
      </c>
      <c r="C33" s="33" t="s">
        <v>43</v>
      </c>
      <c r="D33" s="34">
        <f>(3.03+3)*6*968.7</f>
        <v>35047.56599999999</v>
      </c>
      <c r="E33" s="132"/>
    </row>
    <row r="34" spans="1:5" ht="15">
      <c r="A34" s="31" t="s">
        <v>44</v>
      </c>
      <c r="B34" s="32" t="s">
        <v>87</v>
      </c>
      <c r="C34" s="33" t="s">
        <v>45</v>
      </c>
      <c r="D34" s="108">
        <f>(0.42+0.4)*6*968.7</f>
        <v>4766.004</v>
      </c>
      <c r="E34" s="132"/>
    </row>
    <row r="35" spans="1:5" ht="15">
      <c r="A35" s="31" t="s">
        <v>88</v>
      </c>
      <c r="B35" s="105" t="s">
        <v>87</v>
      </c>
      <c r="C35" s="33" t="s">
        <v>40</v>
      </c>
      <c r="D35" s="108">
        <f>(0.61+0.58)*6*968.7</f>
        <v>6916.518</v>
      </c>
      <c r="E35" s="132"/>
    </row>
    <row r="36" spans="1:5" ht="15">
      <c r="A36" s="31" t="s">
        <v>123</v>
      </c>
      <c r="B36" s="32" t="s">
        <v>39</v>
      </c>
      <c r="C36" s="33" t="s">
        <v>40</v>
      </c>
      <c r="D36" s="108">
        <v>16950.82</v>
      </c>
      <c r="E36" s="132"/>
    </row>
    <row r="37" spans="1:5" ht="15">
      <c r="A37" s="31" t="s">
        <v>90</v>
      </c>
      <c r="B37" s="106" t="s">
        <v>91</v>
      </c>
      <c r="C37" s="33" t="s">
        <v>40</v>
      </c>
      <c r="D37" s="108">
        <v>14426</v>
      </c>
      <c r="E37" s="132"/>
    </row>
    <row r="38" spans="1:5" ht="15">
      <c r="A38" s="31" t="s">
        <v>46</v>
      </c>
      <c r="B38" s="32" t="s">
        <v>42</v>
      </c>
      <c r="C38" s="35" t="s">
        <v>47</v>
      </c>
      <c r="D38" s="108">
        <f>4.88*968.7*12</f>
        <v>56727.072</v>
      </c>
      <c r="E38" s="132"/>
    </row>
    <row r="39" spans="1:14" s="1" customFormat="1" ht="60">
      <c r="A39" s="248" t="s">
        <v>299</v>
      </c>
      <c r="B39" s="37" t="s">
        <v>49</v>
      </c>
      <c r="C39" s="29"/>
      <c r="D39" s="39">
        <v>0</v>
      </c>
      <c r="E39" s="132"/>
      <c r="K39"/>
      <c r="L39"/>
      <c r="M39"/>
      <c r="N39"/>
    </row>
    <row r="40" spans="1:14" s="1" customFormat="1" ht="15.75">
      <c r="A40" s="40" t="s">
        <v>50</v>
      </c>
      <c r="B40" s="41"/>
      <c r="C40" s="42"/>
      <c r="D40" s="113">
        <f>SUM(D31:D39)</f>
        <v>167207.934</v>
      </c>
      <c r="E40" s="135">
        <f>D40-D39</f>
        <v>167207.934</v>
      </c>
      <c r="K40"/>
      <c r="L40"/>
      <c r="M40"/>
      <c r="N40"/>
    </row>
    <row r="41" spans="1:14" s="1" customFormat="1" ht="15">
      <c r="A41" s="43" t="s">
        <v>51</v>
      </c>
      <c r="B41" s="44" t="s">
        <v>16</v>
      </c>
      <c r="C41" s="45"/>
      <c r="D41" s="46">
        <f>C15+C20*1.0012+C27-D39</f>
        <v>1896.6071991999993</v>
      </c>
      <c r="E41" s="135"/>
      <c r="K41"/>
      <c r="L41"/>
      <c r="M41"/>
      <c r="N41"/>
    </row>
    <row r="42" spans="1:14" s="1" customFormat="1" ht="15">
      <c r="A42" s="48" t="s">
        <v>17</v>
      </c>
      <c r="B42" s="49" t="s">
        <v>16</v>
      </c>
      <c r="C42" s="33"/>
      <c r="D42" s="14"/>
      <c r="E42" s="132"/>
      <c r="K42"/>
      <c r="L42"/>
      <c r="M42"/>
      <c r="N42"/>
    </row>
    <row r="43" spans="1:14" s="1" customFormat="1" ht="15">
      <c r="A43" s="48" t="s">
        <v>18</v>
      </c>
      <c r="B43" s="49" t="s">
        <v>16</v>
      </c>
      <c r="C43" s="33"/>
      <c r="D43" s="14">
        <v>5082.73</v>
      </c>
      <c r="E43" s="132"/>
      <c r="K43"/>
      <c r="L43"/>
      <c r="M43"/>
      <c r="N43"/>
    </row>
    <row r="44" spans="1:14" s="1" customFormat="1" ht="24" customHeight="1">
      <c r="A44" s="261" t="s">
        <v>52</v>
      </c>
      <c r="B44" s="261"/>
      <c r="C44" s="261"/>
      <c r="D44" s="261"/>
      <c r="E44" s="132"/>
      <c r="K44"/>
      <c r="L44"/>
      <c r="M44"/>
      <c r="N44"/>
    </row>
    <row r="45" spans="1:14" s="1" customFormat="1" ht="15">
      <c r="A45" s="48" t="s">
        <v>53</v>
      </c>
      <c r="B45" s="32" t="s">
        <v>54</v>
      </c>
      <c r="C45" s="33">
        <v>0</v>
      </c>
      <c r="D45" s="14">
        <v>0</v>
      </c>
      <c r="E45" s="132"/>
      <c r="K45"/>
      <c r="L45"/>
      <c r="M45"/>
      <c r="N45"/>
    </row>
    <row r="46" spans="1:14" s="1" customFormat="1" ht="15">
      <c r="A46" s="48" t="s">
        <v>55</v>
      </c>
      <c r="B46" s="32" t="s">
        <v>54</v>
      </c>
      <c r="C46" s="33">
        <v>0</v>
      </c>
      <c r="D46" s="14">
        <v>0</v>
      </c>
      <c r="E46" s="132"/>
      <c r="K46"/>
      <c r="L46"/>
      <c r="M46"/>
      <c r="N46"/>
    </row>
    <row r="47" spans="1:14" s="1" customFormat="1" ht="15">
      <c r="A47" s="50" t="s">
        <v>56</v>
      </c>
      <c r="B47" s="32" t="s">
        <v>54</v>
      </c>
      <c r="C47" s="33">
        <v>0</v>
      </c>
      <c r="D47" s="14">
        <v>0</v>
      </c>
      <c r="E47" s="132"/>
      <c r="K47"/>
      <c r="L47"/>
      <c r="M47"/>
      <c r="N47"/>
    </row>
    <row r="48" spans="1:14" s="1" customFormat="1" ht="15">
      <c r="A48" s="48" t="s">
        <v>57</v>
      </c>
      <c r="B48" s="32" t="s">
        <v>16</v>
      </c>
      <c r="C48" s="33">
        <v>0</v>
      </c>
      <c r="D48" s="14">
        <v>0</v>
      </c>
      <c r="E48" s="132"/>
      <c r="K48"/>
      <c r="L48"/>
      <c r="M48"/>
      <c r="N48"/>
    </row>
    <row r="49" spans="1:5" ht="20.25" customHeight="1">
      <c r="A49" s="262" t="s">
        <v>58</v>
      </c>
      <c r="B49" s="262"/>
      <c r="C49" s="262"/>
      <c r="D49" s="262"/>
      <c r="E49" s="132"/>
    </row>
    <row r="50" spans="1:5" ht="25.5">
      <c r="A50" s="50" t="s">
        <v>59</v>
      </c>
      <c r="B50" s="32" t="s">
        <v>16</v>
      </c>
      <c r="C50" s="33"/>
      <c r="D50" s="14">
        <v>0</v>
      </c>
      <c r="E50" s="132"/>
    </row>
    <row r="51" spans="1:5" ht="15">
      <c r="A51" s="48" t="s">
        <v>17</v>
      </c>
      <c r="B51" s="32" t="s">
        <v>16</v>
      </c>
      <c r="C51" s="33"/>
      <c r="D51" s="14">
        <v>0</v>
      </c>
      <c r="E51" s="132"/>
    </row>
    <row r="52" spans="1:8" ht="15">
      <c r="A52" s="48" t="s">
        <v>18</v>
      </c>
      <c r="B52" s="32" t="s">
        <v>16</v>
      </c>
      <c r="C52" s="33"/>
      <c r="D52" s="51">
        <f>D55-D58-D59-D60</f>
        <v>15501.560316000076</v>
      </c>
      <c r="E52" s="132"/>
      <c r="H52" s="52"/>
    </row>
    <row r="53" spans="1:5" ht="25.5">
      <c r="A53" s="53" t="s">
        <v>60</v>
      </c>
      <c r="B53" s="32" t="s">
        <v>16</v>
      </c>
      <c r="C53" s="54"/>
      <c r="D53" s="55">
        <v>0</v>
      </c>
      <c r="E53" s="132"/>
    </row>
    <row r="54" spans="1:10" ht="17.25" customHeight="1">
      <c r="A54" s="56" t="s">
        <v>17</v>
      </c>
      <c r="B54" s="32" t="s">
        <v>16</v>
      </c>
      <c r="C54" s="33"/>
      <c r="D54" s="14">
        <v>0</v>
      </c>
      <c r="E54" s="132"/>
      <c r="I54" s="52"/>
      <c r="J54" s="52"/>
    </row>
    <row r="55" spans="1:14" ht="15">
      <c r="A55" s="59" t="s">
        <v>18</v>
      </c>
      <c r="B55" s="32" t="s">
        <v>16</v>
      </c>
      <c r="C55" s="60"/>
      <c r="D55" s="61">
        <v>14882.79</v>
      </c>
      <c r="E55" s="132"/>
      <c r="H55" s="1" t="s">
        <v>32</v>
      </c>
      <c r="I55" s="63"/>
      <c r="J55" s="63"/>
      <c r="K55" s="64"/>
      <c r="L55" s="64"/>
      <c r="M55" s="64"/>
      <c r="N55" s="64"/>
    </row>
    <row r="56" spans="1:14" ht="18" customHeight="1">
      <c r="A56" s="263" t="s">
        <v>61</v>
      </c>
      <c r="B56" s="263"/>
      <c r="C56" s="263"/>
      <c r="D56" s="263"/>
      <c r="E56" s="137"/>
      <c r="F56" s="66"/>
      <c r="G56" s="67"/>
      <c r="I56" s="68"/>
      <c r="J56" s="68"/>
      <c r="K56" s="69"/>
      <c r="L56" s="69"/>
      <c r="M56" s="69"/>
      <c r="N56" s="69"/>
    </row>
    <row r="57" spans="1:14" ht="38.25">
      <c r="A57" s="70" t="s">
        <v>62</v>
      </c>
      <c r="B57" s="71" t="s">
        <v>63</v>
      </c>
      <c r="C57" s="212" t="s">
        <v>64</v>
      </c>
      <c r="D57" s="213" t="s">
        <v>65</v>
      </c>
      <c r="E57" s="137"/>
      <c r="F57" s="66"/>
      <c r="G57" s="67"/>
      <c r="I57" s="68"/>
      <c r="J57" s="74"/>
      <c r="K57" s="69"/>
      <c r="L57" s="69"/>
      <c r="M57" s="69"/>
      <c r="N57" s="69"/>
    </row>
    <row r="58" spans="1:14" ht="15">
      <c r="A58" s="75" t="s">
        <v>66</v>
      </c>
      <c r="B58" s="117">
        <v>56851.02</v>
      </c>
      <c r="C58" s="118">
        <f>B58*1.0012</f>
        <v>56919.241224000005</v>
      </c>
      <c r="D58" s="119">
        <f>B58-C58</f>
        <v>-68.22122400000808</v>
      </c>
      <c r="E58" s="140"/>
      <c r="F58" s="66"/>
      <c r="G58" s="67"/>
      <c r="I58" s="68"/>
      <c r="J58" s="68"/>
      <c r="K58" s="69"/>
      <c r="L58" s="69"/>
      <c r="M58" s="69"/>
      <c r="N58" s="69"/>
    </row>
    <row r="59" spans="1:14" ht="15">
      <c r="A59" s="75" t="s">
        <v>67</v>
      </c>
      <c r="B59" s="117">
        <v>60930.11</v>
      </c>
      <c r="C59" s="118">
        <f>B59*1.0012</f>
        <v>61003.226132</v>
      </c>
      <c r="D59" s="119">
        <f>B59-C59</f>
        <v>-73.11613200000284</v>
      </c>
      <c r="E59" s="137"/>
      <c r="F59" s="66"/>
      <c r="G59" s="67"/>
      <c r="I59" s="68"/>
      <c r="J59" s="68"/>
      <c r="K59" s="69"/>
      <c r="L59" s="69"/>
      <c r="M59" s="69"/>
      <c r="N59" s="69"/>
    </row>
    <row r="60" spans="1:14" ht="15">
      <c r="A60" s="75" t="s">
        <v>68</v>
      </c>
      <c r="B60" s="120">
        <v>397860.8</v>
      </c>
      <c r="C60" s="118">
        <f>B60*1.0012</f>
        <v>398338.23296000005</v>
      </c>
      <c r="D60" s="119">
        <f>B60-C60</f>
        <v>-477.43296000006376</v>
      </c>
      <c r="E60" s="137">
        <f>(2.07+1.8)*6*2301.2-0.37*2301.2*6</f>
        <v>48325.2</v>
      </c>
      <c r="F60" s="81"/>
      <c r="G60" s="82"/>
      <c r="H60" s="65"/>
      <c r="I60" s="68"/>
      <c r="J60" s="68"/>
      <c r="K60" s="69"/>
      <c r="L60" s="69"/>
      <c r="M60" s="69"/>
      <c r="N60" s="69"/>
    </row>
    <row r="61" spans="1:14" ht="15.75" thickBot="1">
      <c r="A61" s="150" t="s">
        <v>69</v>
      </c>
      <c r="B61" s="151">
        <v>0</v>
      </c>
      <c r="C61" s="152">
        <f>B61*1.0141</f>
        <v>0</v>
      </c>
      <c r="D61" s="153">
        <f>B61-C61</f>
        <v>0</v>
      </c>
      <c r="E61" s="137"/>
      <c r="F61" s="81"/>
      <c r="G61" s="82"/>
      <c r="I61" s="68"/>
      <c r="J61" s="68"/>
      <c r="K61" s="69"/>
      <c r="L61" s="69"/>
      <c r="M61" s="69"/>
      <c r="N61" s="69"/>
    </row>
    <row r="62" spans="1:14" ht="63.75">
      <c r="A62" s="154" t="s">
        <v>70</v>
      </c>
      <c r="B62" s="155" t="s">
        <v>71</v>
      </c>
      <c r="C62" s="155" t="s">
        <v>72</v>
      </c>
      <c r="D62" s="214" t="s">
        <v>73</v>
      </c>
      <c r="E62" s="137"/>
      <c r="F62" s="81"/>
      <c r="H62" s="68"/>
      <c r="I62" s="68"/>
      <c r="J62" s="68"/>
      <c r="K62" s="69"/>
      <c r="L62" s="69"/>
      <c r="M62" s="69"/>
      <c r="N62" s="69"/>
    </row>
    <row r="63" spans="1:14" ht="15">
      <c r="A63" s="158" t="s">
        <v>66</v>
      </c>
      <c r="B63" s="124">
        <f>B58</f>
        <v>56851.02</v>
      </c>
      <c r="C63" s="125">
        <v>56919.24</v>
      </c>
      <c r="D63" s="159">
        <f>B63-C63</f>
        <v>-68.22000000000116</v>
      </c>
      <c r="E63" s="137"/>
      <c r="F63" s="81"/>
      <c r="H63" s="68"/>
      <c r="I63" s="68"/>
      <c r="J63" s="68" t="s">
        <v>32</v>
      </c>
      <c r="K63" s="69"/>
      <c r="L63" s="69"/>
      <c r="M63" s="69"/>
      <c r="N63" s="69"/>
    </row>
    <row r="64" spans="1:14" ht="15">
      <c r="A64" s="158" t="s">
        <v>67</v>
      </c>
      <c r="B64" s="124">
        <f>B59</f>
        <v>60930.11</v>
      </c>
      <c r="C64" s="125">
        <v>61003.23</v>
      </c>
      <c r="D64" s="159">
        <f>B64-C64</f>
        <v>-73.12000000000262</v>
      </c>
      <c r="E64" s="137"/>
      <c r="F64" s="81"/>
      <c r="H64" s="68"/>
      <c r="I64" s="68"/>
      <c r="J64" s="68"/>
      <c r="K64" s="69"/>
      <c r="L64" s="69"/>
      <c r="M64" s="69"/>
      <c r="N64" s="69"/>
    </row>
    <row r="65" spans="1:14" ht="15">
      <c r="A65" s="158" t="s">
        <v>68</v>
      </c>
      <c r="B65" s="124">
        <v>417965.08</v>
      </c>
      <c r="C65" s="125">
        <v>398338.23</v>
      </c>
      <c r="D65" s="159">
        <f>B65-C65</f>
        <v>19626.850000000035</v>
      </c>
      <c r="E65" s="137"/>
      <c r="F65" s="81"/>
      <c r="H65" s="68"/>
      <c r="I65" s="68"/>
      <c r="J65" s="68"/>
      <c r="K65" s="69"/>
      <c r="L65" s="69"/>
      <c r="M65" s="69"/>
      <c r="N65" s="69"/>
    </row>
    <row r="66" spans="1:14" ht="15">
      <c r="A66" s="158" t="s">
        <v>74</v>
      </c>
      <c r="B66" s="124">
        <v>0</v>
      </c>
      <c r="C66" s="125">
        <f>B66*1.0063</f>
        <v>0</v>
      </c>
      <c r="D66" s="159">
        <f>B66-C66</f>
        <v>0</v>
      </c>
      <c r="E66" s="137"/>
      <c r="F66" s="81"/>
      <c r="H66" s="68"/>
      <c r="I66" s="68"/>
      <c r="J66" s="68"/>
      <c r="K66" s="69"/>
      <c r="L66" s="69"/>
      <c r="M66" s="69"/>
      <c r="N66" s="69"/>
    </row>
    <row r="67" spans="1:14" ht="15.75" thickBot="1">
      <c r="A67" s="160" t="s">
        <v>69</v>
      </c>
      <c r="B67" s="161">
        <v>0</v>
      </c>
      <c r="C67" s="167">
        <f>B67*1.0063</f>
        <v>0</v>
      </c>
      <c r="D67" s="163">
        <f>B67-C67</f>
        <v>0</v>
      </c>
      <c r="E67" s="137"/>
      <c r="F67" s="81"/>
      <c r="H67" s="68" t="s">
        <v>32</v>
      </c>
      <c r="I67" s="68"/>
      <c r="J67" s="68"/>
      <c r="K67" s="69"/>
      <c r="L67" s="69"/>
      <c r="M67" s="69"/>
      <c r="N67" s="69"/>
    </row>
    <row r="68" spans="1:14" ht="15">
      <c r="A68" s="91"/>
      <c r="B68" s="87"/>
      <c r="C68" s="92"/>
      <c r="D68" s="93"/>
      <c r="E68" s="65"/>
      <c r="F68" s="81"/>
      <c r="H68" s="68"/>
      <c r="I68" s="68"/>
      <c r="J68" s="68"/>
      <c r="K68" s="69"/>
      <c r="L68" s="69"/>
      <c r="M68" s="69"/>
      <c r="N68" s="69"/>
    </row>
    <row r="69" spans="1:14" ht="25.5">
      <c r="A69" s="94" t="s">
        <v>75</v>
      </c>
      <c r="B69" s="87" t="s">
        <v>16</v>
      </c>
      <c r="C69" s="95"/>
      <c r="D69" s="96">
        <v>0</v>
      </c>
      <c r="E69" s="65"/>
      <c r="F69" s="81"/>
      <c r="H69" s="68"/>
      <c r="I69" s="68"/>
      <c r="J69" s="68" t="s">
        <v>32</v>
      </c>
      <c r="K69" s="69"/>
      <c r="L69" s="69"/>
      <c r="M69" s="69"/>
      <c r="N69" s="69"/>
    </row>
    <row r="70" spans="1:14" ht="17.25" customHeight="1">
      <c r="A70" s="264" t="s">
        <v>76</v>
      </c>
      <c r="B70" s="264"/>
      <c r="C70" s="264"/>
      <c r="D70" s="264"/>
      <c r="E70" s="97" t="e">
        <f>D70+B19</f>
        <v>#VALUE!</v>
      </c>
      <c r="F70" s="68"/>
      <c r="H70" s="98" t="e">
        <f>E70-B18</f>
        <v>#VALUE!</v>
      </c>
      <c r="I70" s="68"/>
      <c r="J70" s="68"/>
      <c r="K70" s="69"/>
      <c r="L70" s="69"/>
      <c r="M70" s="69"/>
      <c r="N70" s="69"/>
    </row>
    <row r="71" spans="1:5" ht="21" customHeight="1">
      <c r="A71" s="99" t="s">
        <v>53</v>
      </c>
      <c r="B71" s="99" t="s">
        <v>54</v>
      </c>
      <c r="C71" s="100">
        <v>0</v>
      </c>
      <c r="D71" s="101"/>
      <c r="E71" s="102"/>
    </row>
    <row r="72" spans="1:5" ht="21" customHeight="1">
      <c r="A72" s="99" t="s">
        <v>55</v>
      </c>
      <c r="B72" s="99" t="s">
        <v>54</v>
      </c>
      <c r="C72" s="99">
        <v>0</v>
      </c>
      <c r="D72" s="101"/>
      <c r="E72" s="102"/>
    </row>
    <row r="73" spans="1:5" ht="18" customHeight="1">
      <c r="A73" s="99" t="s">
        <v>56</v>
      </c>
      <c r="B73" s="99" t="s">
        <v>54</v>
      </c>
      <c r="C73" s="99">
        <v>0</v>
      </c>
      <c r="D73" s="101"/>
      <c r="E73" s="102"/>
    </row>
    <row r="74" spans="1:5" ht="16.5" customHeight="1">
      <c r="A74" s="99" t="s">
        <v>57</v>
      </c>
      <c r="B74" s="99" t="s">
        <v>16</v>
      </c>
      <c r="C74" s="99">
        <v>0</v>
      </c>
      <c r="D74" s="101"/>
      <c r="E74" s="102"/>
    </row>
    <row r="75" spans="1:5" ht="15.75" customHeight="1">
      <c r="A75" s="258" t="s">
        <v>77</v>
      </c>
      <c r="B75" s="258"/>
      <c r="C75" s="258"/>
      <c r="D75" s="258"/>
      <c r="E75" s="102"/>
    </row>
    <row r="76" spans="1:5" ht="18.75" customHeight="1">
      <c r="A76" s="99" t="s">
        <v>78</v>
      </c>
      <c r="B76" s="99" t="s">
        <v>54</v>
      </c>
      <c r="C76" s="99">
        <v>2</v>
      </c>
      <c r="D76" s="101"/>
      <c r="E76" s="102"/>
    </row>
    <row r="77" spans="1:5" ht="21.75" customHeight="1">
      <c r="A77" s="99" t="s">
        <v>79</v>
      </c>
      <c r="B77" s="56" t="s">
        <v>54</v>
      </c>
      <c r="C77" s="56">
        <v>1</v>
      </c>
      <c r="D77" s="101"/>
      <c r="E77" s="102"/>
    </row>
    <row r="78" spans="1:5" ht="36" customHeight="1">
      <c r="A78" s="103" t="s">
        <v>80</v>
      </c>
      <c r="B78" s="99" t="s">
        <v>16</v>
      </c>
      <c r="C78" s="99">
        <v>0</v>
      </c>
      <c r="D78" s="101"/>
      <c r="E78" s="102"/>
    </row>
    <row r="79" spans="1:4" ht="15">
      <c r="A79" s="69"/>
      <c r="B79" s="69"/>
      <c r="C79" s="69"/>
      <c r="D79" s="104"/>
    </row>
    <row r="80" spans="1:14" s="1" customFormat="1" ht="12.75">
      <c r="A80"/>
      <c r="B80"/>
      <c r="C80"/>
      <c r="D80"/>
      <c r="H80" s="1" t="s">
        <v>32</v>
      </c>
      <c r="K80"/>
      <c r="L80"/>
      <c r="M80"/>
      <c r="N80"/>
    </row>
    <row r="81" spans="1:14" s="1" customFormat="1" ht="12.75">
      <c r="A81" t="s">
        <v>81</v>
      </c>
      <c r="B81"/>
      <c r="C81" t="s">
        <v>170</v>
      </c>
      <c r="D81"/>
      <c r="K81"/>
      <c r="L81"/>
      <c r="M81"/>
      <c r="N81"/>
    </row>
    <row r="82" spans="1:14" s="1" customFormat="1" ht="12.75">
      <c r="A82"/>
      <c r="B82"/>
      <c r="C82"/>
      <c r="D82"/>
      <c r="H82" s="1" t="s">
        <v>32</v>
      </c>
      <c r="K82"/>
      <c r="L82"/>
      <c r="M82"/>
      <c r="N82"/>
    </row>
    <row r="83" spans="1:14" s="1" customFormat="1" ht="12.75">
      <c r="A83" t="s">
        <v>82</v>
      </c>
      <c r="B83"/>
      <c r="C83"/>
      <c r="D83"/>
      <c r="K83"/>
      <c r="L83"/>
      <c r="M83"/>
      <c r="N83"/>
    </row>
    <row r="87" spans="1:14" s="1" customFormat="1" ht="12.75">
      <c r="A87"/>
      <c r="B87"/>
      <c r="C87"/>
      <c r="D87"/>
      <c r="E87" s="1" t="s">
        <v>32</v>
      </c>
      <c r="K87"/>
      <c r="L87"/>
      <c r="M87"/>
      <c r="N87"/>
    </row>
  </sheetData>
  <sheetProtection selectLockedCells="1" selectUnlockedCells="1"/>
  <mergeCells count="13">
    <mergeCell ref="A1:D1"/>
    <mergeCell ref="A2:D2"/>
    <mergeCell ref="A3:D3"/>
    <mergeCell ref="A4:D4"/>
    <mergeCell ref="A5:D5"/>
    <mergeCell ref="A7:D7"/>
    <mergeCell ref="A75:D75"/>
    <mergeCell ref="A14:D14"/>
    <mergeCell ref="A29:D29"/>
    <mergeCell ref="A44:D44"/>
    <mergeCell ref="A49:D49"/>
    <mergeCell ref="A56:D56"/>
    <mergeCell ref="A70:D70"/>
  </mergeCells>
  <printOptions/>
  <pageMargins left="0.5597222222222222" right="0.7875" top="0.34097222222222223" bottom="0.7875" header="0.5118055555555555" footer="0.5118055555555555"/>
  <pageSetup fitToHeight="3" fitToWidth="2" horizontalDpi="600" verticalDpi="600" orientation="portrait" paperSize="12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6"/>
  <sheetViews>
    <sheetView zoomScale="80" zoomScaleNormal="80" zoomScalePageLayoutView="0" workbookViewId="0" topLeftCell="A28">
      <selection activeCell="E38" sqref="E38:E42"/>
    </sheetView>
  </sheetViews>
  <sheetFormatPr defaultColWidth="11.57421875" defaultRowHeight="12.75"/>
  <cols>
    <col min="1" max="1" width="63.28125" style="0" customWidth="1"/>
    <col min="2" max="2" width="20.28125" style="0" customWidth="1"/>
    <col min="3" max="3" width="31.421875" style="0" customWidth="1"/>
    <col min="4" max="4" width="27.57421875" style="0" customWidth="1"/>
    <col min="5" max="5" width="16.8515625" style="1" customWidth="1"/>
    <col min="6" max="7" width="0" style="1" hidden="1" customWidth="1"/>
    <col min="8" max="8" width="11.57421875" style="1" customWidth="1"/>
    <col min="9" max="9" width="5.28125" style="1" customWidth="1"/>
    <col min="10" max="10" width="30.00390625" style="1" customWidth="1"/>
    <col min="11" max="12" width="23.28125" style="0" customWidth="1"/>
    <col min="13" max="13" width="6.57421875" style="0" customWidth="1"/>
    <col min="14" max="14" width="7.00390625" style="0" customWidth="1"/>
  </cols>
  <sheetData>
    <row r="1" spans="1:4" ht="18">
      <c r="A1" s="265" t="s">
        <v>0</v>
      </c>
      <c r="B1" s="265"/>
      <c r="C1" s="265"/>
      <c r="D1" s="265"/>
    </row>
    <row r="2" spans="1:4" ht="15.75">
      <c r="A2" s="266" t="s">
        <v>1</v>
      </c>
      <c r="B2" s="266"/>
      <c r="C2" s="266"/>
      <c r="D2" s="266"/>
    </row>
    <row r="3" spans="1:4" ht="15.75">
      <c r="A3" s="266" t="s">
        <v>2</v>
      </c>
      <c r="B3" s="266"/>
      <c r="C3" s="266"/>
      <c r="D3" s="266"/>
    </row>
    <row r="4" spans="1:4" ht="12.75">
      <c r="A4" s="267" t="s">
        <v>135</v>
      </c>
      <c r="B4" s="267"/>
      <c r="C4" s="267"/>
      <c r="D4" s="267"/>
    </row>
    <row r="5" spans="1:4" ht="12.75">
      <c r="A5" s="268" t="s">
        <v>171</v>
      </c>
      <c r="B5" s="267"/>
      <c r="C5" s="267"/>
      <c r="D5" s="267"/>
    </row>
    <row r="6" ht="9" customHeight="1">
      <c r="A6" s="2"/>
    </row>
    <row r="7" spans="1:4" ht="18" customHeight="1">
      <c r="A7" s="269" t="s">
        <v>4</v>
      </c>
      <c r="B7" s="269"/>
      <c r="C7" s="269"/>
      <c r="D7" s="269"/>
    </row>
    <row r="8" spans="1:3" ht="12.75">
      <c r="A8" s="2" t="s">
        <v>254</v>
      </c>
      <c r="C8" s="3"/>
    </row>
    <row r="9" spans="1:4" ht="12.75">
      <c r="A9" s="4" t="s">
        <v>5</v>
      </c>
      <c r="B9" s="4" t="s">
        <v>6</v>
      </c>
      <c r="C9" s="4" t="s">
        <v>7</v>
      </c>
      <c r="D9" s="5"/>
    </row>
    <row r="10" spans="1:4" ht="12.75">
      <c r="A10" s="6">
        <v>1</v>
      </c>
      <c r="B10" s="6">
        <v>2</v>
      </c>
      <c r="C10" s="6">
        <v>3</v>
      </c>
      <c r="D10" s="7">
        <v>4</v>
      </c>
    </row>
    <row r="11" spans="1:4" ht="12.75">
      <c r="A11" s="8" t="s">
        <v>8</v>
      </c>
      <c r="B11" s="9"/>
      <c r="C11" s="177" t="s">
        <v>172</v>
      </c>
      <c r="D11" s="10"/>
    </row>
    <row r="12" spans="1:4" ht="12.75">
      <c r="A12" s="8" t="s">
        <v>10</v>
      </c>
      <c r="B12" s="9"/>
      <c r="C12" s="177" t="s">
        <v>173</v>
      </c>
      <c r="D12" s="10"/>
    </row>
    <row r="13" spans="1:4" ht="12.75">
      <c r="A13" s="8" t="s">
        <v>12</v>
      </c>
      <c r="B13" s="9"/>
      <c r="C13" s="177" t="s">
        <v>174</v>
      </c>
      <c r="D13" s="10"/>
    </row>
    <row r="14" spans="1:4" ht="31.5" customHeight="1">
      <c r="A14" s="259" t="s">
        <v>14</v>
      </c>
      <c r="B14" s="259"/>
      <c r="C14" s="259"/>
      <c r="D14" s="259"/>
    </row>
    <row r="15" spans="1:4" ht="25.5">
      <c r="A15" s="11" t="s">
        <v>15</v>
      </c>
      <c r="B15" s="12" t="s">
        <v>16</v>
      </c>
      <c r="C15" s="13">
        <v>1439.6</v>
      </c>
      <c r="D15" s="14"/>
    </row>
    <row r="16" spans="1:4" ht="15">
      <c r="A16" s="8" t="s">
        <v>17</v>
      </c>
      <c r="B16" s="12" t="s">
        <v>16</v>
      </c>
      <c r="C16" s="13">
        <v>0</v>
      </c>
      <c r="D16" s="14"/>
    </row>
    <row r="17" spans="1:5" ht="15">
      <c r="A17" s="8" t="s">
        <v>18</v>
      </c>
      <c r="B17" s="12" t="s">
        <v>16</v>
      </c>
      <c r="C17" s="15">
        <v>1164</v>
      </c>
      <c r="D17" s="16"/>
      <c r="E17" s="132" t="e">
        <f>B17/12/1022.6</f>
        <v>#VALUE!</v>
      </c>
    </row>
    <row r="18" spans="1:5" ht="31.5" customHeight="1">
      <c r="A18" s="17" t="s">
        <v>19</v>
      </c>
      <c r="B18" s="12" t="s">
        <v>16</v>
      </c>
      <c r="C18" s="15">
        <v>18284.76</v>
      </c>
      <c r="D18" s="16"/>
      <c r="E18" s="133">
        <f>C18-C20</f>
        <v>13778.099999999999</v>
      </c>
    </row>
    <row r="19" spans="1:5" ht="15">
      <c r="A19" s="8" t="s">
        <v>20</v>
      </c>
      <c r="B19" s="12" t="s">
        <v>16</v>
      </c>
      <c r="C19" s="15">
        <f>C18-C20-C21</f>
        <v>7629.299999999999</v>
      </c>
      <c r="D19" s="16"/>
      <c r="E19" s="133">
        <f>E18-E39</f>
        <v>0</v>
      </c>
    </row>
    <row r="20" spans="1:5" ht="15">
      <c r="A20" s="8" t="s">
        <v>21</v>
      </c>
      <c r="B20" s="12" t="s">
        <v>16</v>
      </c>
      <c r="C20" s="15">
        <f>(1.66+2.49)*6*105+1892.16</f>
        <v>4506.66</v>
      </c>
      <c r="D20" s="16"/>
      <c r="E20" s="134"/>
    </row>
    <row r="21" spans="1:5" ht="15">
      <c r="A21" s="8" t="s">
        <v>22</v>
      </c>
      <c r="B21" s="12" t="s">
        <v>16</v>
      </c>
      <c r="C21" s="20">
        <f>105*4.88*12</f>
        <v>6148.799999999999</v>
      </c>
      <c r="D21" s="16"/>
      <c r="E21" s="132"/>
    </row>
    <row r="22" spans="1:5" ht="15">
      <c r="A22" s="21" t="s">
        <v>23</v>
      </c>
      <c r="B22" s="12" t="s">
        <v>16</v>
      </c>
      <c r="C22" s="15">
        <f>C23+C24+C25+C26+C27</f>
        <v>18310.358664</v>
      </c>
      <c r="D22" s="16" t="s">
        <v>24</v>
      </c>
      <c r="E22" s="133" t="e">
        <f>B24+B25+B26+B27+B28</f>
        <v>#VALUE!</v>
      </c>
    </row>
    <row r="23" spans="1:5" ht="15">
      <c r="A23" s="8" t="s">
        <v>25</v>
      </c>
      <c r="B23" s="12" t="s">
        <v>16</v>
      </c>
      <c r="C23" s="15">
        <f>C18*1.0014</f>
        <v>18310.358664</v>
      </c>
      <c r="D23" s="16"/>
      <c r="E23" s="132"/>
    </row>
    <row r="24" spans="1:8" ht="15">
      <c r="A24" s="8" t="s">
        <v>26</v>
      </c>
      <c r="B24" s="12" t="s">
        <v>16</v>
      </c>
      <c r="C24" s="15">
        <v>0</v>
      </c>
      <c r="D24" s="22">
        <v>65.21</v>
      </c>
      <c r="E24" s="134" t="e">
        <f>B24/#REF!*1</f>
        <v>#VALUE!</v>
      </c>
      <c r="H24" s="1" t="s">
        <v>27</v>
      </c>
    </row>
    <row r="25" spans="1:5" ht="15">
      <c r="A25" s="8" t="s">
        <v>28</v>
      </c>
      <c r="B25" s="12" t="s">
        <v>16</v>
      </c>
      <c r="C25" s="15">
        <v>0</v>
      </c>
      <c r="D25" s="22">
        <v>119.63</v>
      </c>
      <c r="E25" s="134" t="e">
        <f>B25/#REF!*1</f>
        <v>#VALUE!</v>
      </c>
    </row>
    <row r="26" spans="1:5" ht="15">
      <c r="A26" s="9" t="s">
        <v>29</v>
      </c>
      <c r="B26" s="12" t="s">
        <v>16</v>
      </c>
      <c r="C26" s="15">
        <v>0</v>
      </c>
      <c r="D26" s="22"/>
      <c r="E26" s="134" t="e">
        <f>B26/#REF!*1</f>
        <v>#VALUE!</v>
      </c>
    </row>
    <row r="27" spans="1:5" ht="16.5" customHeight="1">
      <c r="A27" s="116" t="s">
        <v>112</v>
      </c>
      <c r="B27" s="12" t="s">
        <v>16</v>
      </c>
      <c r="C27" s="15">
        <v>0</v>
      </c>
      <c r="D27" s="22">
        <v>139.18</v>
      </c>
      <c r="E27" s="134" t="e">
        <f>B27/#REF!*1</f>
        <v>#VALUE!</v>
      </c>
    </row>
    <row r="28" spans="1:5" ht="15">
      <c r="A28" s="8" t="s">
        <v>31</v>
      </c>
      <c r="B28" s="12" t="s">
        <v>16</v>
      </c>
      <c r="C28" s="15">
        <f>C15+C22</f>
        <v>19749.958663999998</v>
      </c>
      <c r="D28" s="16" t="s">
        <v>32</v>
      </c>
      <c r="E28" s="134" t="e">
        <f>B28/#REF!*1</f>
        <v>#VALUE!</v>
      </c>
    </row>
    <row r="29" spans="1:5" ht="35.25" customHeight="1">
      <c r="A29" s="260" t="s">
        <v>33</v>
      </c>
      <c r="B29" s="260"/>
      <c r="C29" s="260"/>
      <c r="D29" s="260"/>
      <c r="E29" s="132"/>
    </row>
    <row r="30" spans="1:5" ht="60">
      <c r="A30" s="23" t="s">
        <v>34</v>
      </c>
      <c r="B30" s="24" t="s">
        <v>35</v>
      </c>
      <c r="C30" s="25" t="s">
        <v>36</v>
      </c>
      <c r="D30" s="26" t="s">
        <v>37</v>
      </c>
      <c r="E30" s="132"/>
    </row>
    <row r="31" spans="1:5" ht="15">
      <c r="A31" s="27" t="s">
        <v>38</v>
      </c>
      <c r="B31" s="28" t="s">
        <v>39</v>
      </c>
      <c r="C31" s="29" t="s">
        <v>40</v>
      </c>
      <c r="D31" s="107">
        <f>(0.17+0.16)*6*105</f>
        <v>207.9</v>
      </c>
      <c r="E31" s="132"/>
    </row>
    <row r="32" spans="1:5" ht="15">
      <c r="A32" s="31" t="s">
        <v>41</v>
      </c>
      <c r="B32" s="32" t="s">
        <v>42</v>
      </c>
      <c r="C32" s="33" t="s">
        <v>43</v>
      </c>
      <c r="D32" s="34">
        <f>(3.03+3)*6*105</f>
        <v>3798.899999999999</v>
      </c>
      <c r="E32" s="132"/>
    </row>
    <row r="33" spans="1:5" ht="15">
      <c r="A33" s="31" t="s">
        <v>44</v>
      </c>
      <c r="B33" s="32" t="s">
        <v>39</v>
      </c>
      <c r="C33" s="33" t="s">
        <v>45</v>
      </c>
      <c r="D33" s="108">
        <f>(0.2+0.21)*6*105</f>
        <v>258.3</v>
      </c>
      <c r="E33" s="132"/>
    </row>
    <row r="34" spans="1:5" ht="15">
      <c r="A34" s="31" t="s">
        <v>123</v>
      </c>
      <c r="B34" s="32" t="s">
        <v>39</v>
      </c>
      <c r="C34" s="33" t="s">
        <v>40</v>
      </c>
      <c r="D34" s="108">
        <f>(0.74+0.71)*6*105</f>
        <v>913.4999999999999</v>
      </c>
      <c r="E34" s="132"/>
    </row>
    <row r="35" spans="1:5" ht="15">
      <c r="A35" s="31" t="s">
        <v>90</v>
      </c>
      <c r="B35" s="106" t="s">
        <v>91</v>
      </c>
      <c r="C35" s="33" t="s">
        <v>40</v>
      </c>
      <c r="D35" s="108">
        <f>(1.33+1.27)*6*105</f>
        <v>1638.0000000000002</v>
      </c>
      <c r="E35" s="132"/>
    </row>
    <row r="36" spans="1:5" ht="15">
      <c r="A36" s="31" t="s">
        <v>46</v>
      </c>
      <c r="B36" s="32" t="s">
        <v>42</v>
      </c>
      <c r="C36" s="35" t="s">
        <v>47</v>
      </c>
      <c r="D36" s="108">
        <f>4.88*105*12</f>
        <v>6148.799999999999</v>
      </c>
      <c r="E36" s="132"/>
    </row>
    <row r="37" spans="1:14" s="1" customFormat="1" ht="45">
      <c r="A37" s="36" t="s">
        <v>48</v>
      </c>
      <c r="B37" s="37" t="s">
        <v>49</v>
      </c>
      <c r="C37" s="33" t="s">
        <v>40</v>
      </c>
      <c r="D37" s="39">
        <v>0</v>
      </c>
      <c r="E37" s="62"/>
      <c r="K37"/>
      <c r="L37"/>
      <c r="M37"/>
      <c r="N37"/>
    </row>
    <row r="38" spans="1:14" s="1" customFormat="1" ht="45">
      <c r="A38" s="109" t="s">
        <v>95</v>
      </c>
      <c r="B38" s="110" t="s">
        <v>96</v>
      </c>
      <c r="C38" s="111" t="s">
        <v>97</v>
      </c>
      <c r="D38" s="112">
        <f>105*6*1.29</f>
        <v>812.7</v>
      </c>
      <c r="E38" s="132"/>
      <c r="K38"/>
      <c r="L38"/>
      <c r="M38"/>
      <c r="N38"/>
    </row>
    <row r="39" spans="1:14" s="1" customFormat="1" ht="15.75">
      <c r="A39" s="40" t="s">
        <v>50</v>
      </c>
      <c r="B39" s="41"/>
      <c r="C39" s="42"/>
      <c r="D39" s="113">
        <f>SUM(D31:D38)</f>
        <v>13778.099999999999</v>
      </c>
      <c r="E39" s="135">
        <f>D39-D37</f>
        <v>13778.099999999999</v>
      </c>
      <c r="K39"/>
      <c r="L39"/>
      <c r="M39"/>
      <c r="N39"/>
    </row>
    <row r="40" spans="1:14" s="1" customFormat="1" ht="15">
      <c r="A40" s="43" t="s">
        <v>51</v>
      </c>
      <c r="B40" s="44" t="s">
        <v>16</v>
      </c>
      <c r="C40" s="45"/>
      <c r="D40" s="46">
        <f>C15+C20*1.0014-D37</f>
        <v>5952.569324</v>
      </c>
      <c r="E40" s="135"/>
      <c r="K40"/>
      <c r="L40"/>
      <c r="M40"/>
      <c r="N40"/>
    </row>
    <row r="41" spans="1:14" s="1" customFormat="1" ht="15">
      <c r="A41" s="48" t="s">
        <v>17</v>
      </c>
      <c r="B41" s="49" t="s">
        <v>16</v>
      </c>
      <c r="C41" s="33"/>
      <c r="D41" s="14"/>
      <c r="E41" s="132"/>
      <c r="K41"/>
      <c r="L41"/>
      <c r="M41"/>
      <c r="N41"/>
    </row>
    <row r="42" spans="1:14" s="1" customFormat="1" ht="15">
      <c r="A42" s="48" t="s">
        <v>18</v>
      </c>
      <c r="B42" s="49" t="s">
        <v>16</v>
      </c>
      <c r="C42" s="33"/>
      <c r="D42" s="14">
        <v>1923.92</v>
      </c>
      <c r="E42" s="132"/>
      <c r="K42"/>
      <c r="L42"/>
      <c r="M42"/>
      <c r="N42"/>
    </row>
    <row r="43" spans="1:14" s="1" customFormat="1" ht="24" customHeight="1">
      <c r="A43" s="261" t="s">
        <v>52</v>
      </c>
      <c r="B43" s="261"/>
      <c r="C43" s="261"/>
      <c r="D43" s="261"/>
      <c r="E43" s="132"/>
      <c r="K43"/>
      <c r="L43"/>
      <c r="M43"/>
      <c r="N43"/>
    </row>
    <row r="44" spans="1:14" s="1" customFormat="1" ht="15">
      <c r="A44" s="48" t="s">
        <v>53</v>
      </c>
      <c r="B44" s="32" t="s">
        <v>54</v>
      </c>
      <c r="C44" s="33">
        <v>0</v>
      </c>
      <c r="D44" s="14">
        <v>0</v>
      </c>
      <c r="E44" s="132"/>
      <c r="K44"/>
      <c r="L44"/>
      <c r="M44"/>
      <c r="N44"/>
    </row>
    <row r="45" spans="1:14" s="1" customFormat="1" ht="15">
      <c r="A45" s="48" t="s">
        <v>55</v>
      </c>
      <c r="B45" s="32" t="s">
        <v>54</v>
      </c>
      <c r="C45" s="33">
        <v>0</v>
      </c>
      <c r="D45" s="14">
        <v>0</v>
      </c>
      <c r="E45" s="132"/>
      <c r="K45"/>
      <c r="L45"/>
      <c r="M45"/>
      <c r="N45"/>
    </row>
    <row r="46" spans="1:14" s="1" customFormat="1" ht="15">
      <c r="A46" s="50" t="s">
        <v>56</v>
      </c>
      <c r="B46" s="32" t="s">
        <v>54</v>
      </c>
      <c r="C46" s="33">
        <v>0</v>
      </c>
      <c r="D46" s="14">
        <v>0</v>
      </c>
      <c r="E46" s="132"/>
      <c r="K46"/>
      <c r="L46"/>
      <c r="M46"/>
      <c r="N46"/>
    </row>
    <row r="47" spans="1:14" s="1" customFormat="1" ht="15">
      <c r="A47" s="48" t="s">
        <v>57</v>
      </c>
      <c r="B47" s="32" t="s">
        <v>16</v>
      </c>
      <c r="C47" s="33">
        <v>0</v>
      </c>
      <c r="D47" s="14">
        <v>0</v>
      </c>
      <c r="E47" s="132"/>
      <c r="K47"/>
      <c r="L47"/>
      <c r="M47"/>
      <c r="N47"/>
    </row>
    <row r="48" spans="1:5" ht="20.25" customHeight="1">
      <c r="A48" s="262" t="s">
        <v>58</v>
      </c>
      <c r="B48" s="262"/>
      <c r="C48" s="262"/>
      <c r="D48" s="262"/>
      <c r="E48" s="132"/>
    </row>
    <row r="49" spans="1:5" ht="25.5">
      <c r="A49" s="50" t="s">
        <v>59</v>
      </c>
      <c r="B49" s="32" t="s">
        <v>16</v>
      </c>
      <c r="C49" s="33"/>
      <c r="D49" s="14">
        <v>0</v>
      </c>
      <c r="E49" s="132"/>
    </row>
    <row r="50" spans="1:5" ht="15">
      <c r="A50" s="48" t="s">
        <v>17</v>
      </c>
      <c r="B50" s="32" t="s">
        <v>16</v>
      </c>
      <c r="C50" s="33"/>
      <c r="D50" s="14">
        <v>0</v>
      </c>
      <c r="E50" s="132"/>
    </row>
    <row r="51" spans="1:8" ht="15">
      <c r="A51" s="48" t="s">
        <v>18</v>
      </c>
      <c r="B51" s="32" t="s">
        <v>16</v>
      </c>
      <c r="C51" s="33"/>
      <c r="D51" s="51">
        <f>D54-D57-D58-D59-D60</f>
        <v>5480.270252000001</v>
      </c>
      <c r="E51" s="132"/>
      <c r="H51" s="52"/>
    </row>
    <row r="52" spans="1:5" ht="25.5">
      <c r="A52" s="53" t="s">
        <v>60</v>
      </c>
      <c r="B52" s="32" t="s">
        <v>16</v>
      </c>
      <c r="C52" s="54"/>
      <c r="D52" s="55">
        <v>0</v>
      </c>
      <c r="E52" s="132"/>
    </row>
    <row r="53" spans="1:10" ht="17.25" customHeight="1">
      <c r="A53" s="56" t="s">
        <v>17</v>
      </c>
      <c r="B53" s="32" t="s">
        <v>16</v>
      </c>
      <c r="C53" s="33"/>
      <c r="D53" s="14">
        <v>0</v>
      </c>
      <c r="E53" s="132"/>
      <c r="I53" s="52"/>
      <c r="J53" s="52"/>
    </row>
    <row r="54" spans="1:14" ht="15">
      <c r="A54" s="59" t="s">
        <v>18</v>
      </c>
      <c r="B54" s="32" t="s">
        <v>16</v>
      </c>
      <c r="C54" s="60"/>
      <c r="D54" s="61">
        <v>5408.31</v>
      </c>
      <c r="E54" s="132"/>
      <c r="H54" s="1" t="s">
        <v>32</v>
      </c>
      <c r="I54" s="63"/>
      <c r="J54" s="63"/>
      <c r="K54" s="64"/>
      <c r="L54" s="64"/>
      <c r="M54" s="64"/>
      <c r="N54" s="64"/>
    </row>
    <row r="55" spans="1:14" ht="18" customHeight="1">
      <c r="A55" s="263" t="s">
        <v>61</v>
      </c>
      <c r="B55" s="263"/>
      <c r="C55" s="263"/>
      <c r="D55" s="263"/>
      <c r="E55" s="137"/>
      <c r="F55" s="66"/>
      <c r="G55" s="67"/>
      <c r="I55" s="68"/>
      <c r="J55" s="68"/>
      <c r="K55" s="69"/>
      <c r="L55" s="69"/>
      <c r="M55" s="69"/>
      <c r="N55" s="69"/>
    </row>
    <row r="56" spans="1:14" ht="47.25">
      <c r="A56" s="70" t="s">
        <v>62</v>
      </c>
      <c r="B56" s="71" t="s">
        <v>63</v>
      </c>
      <c r="C56" s="72" t="s">
        <v>64</v>
      </c>
      <c r="D56" s="73" t="s">
        <v>65</v>
      </c>
      <c r="E56" s="137"/>
      <c r="F56" s="66"/>
      <c r="G56" s="67"/>
      <c r="I56" s="68"/>
      <c r="J56" s="74"/>
      <c r="K56" s="69"/>
      <c r="L56" s="69"/>
      <c r="M56" s="69"/>
      <c r="N56" s="69"/>
    </row>
    <row r="57" spans="1:14" ht="15">
      <c r="A57" s="75" t="s">
        <v>66</v>
      </c>
      <c r="B57" s="117">
        <v>7535.38</v>
      </c>
      <c r="C57" s="118">
        <f>B57*1.0014</f>
        <v>7545.929532000001</v>
      </c>
      <c r="D57" s="119">
        <f>B57-C57</f>
        <v>-10.549532000000909</v>
      </c>
      <c r="E57" s="140"/>
      <c r="F57" s="66"/>
      <c r="G57" s="67"/>
      <c r="I57" s="68"/>
      <c r="J57" s="68"/>
      <c r="K57" s="69"/>
      <c r="L57" s="69"/>
      <c r="M57" s="69"/>
      <c r="N57" s="69"/>
    </row>
    <row r="58" spans="1:14" ht="15">
      <c r="A58" s="75" t="s">
        <v>67</v>
      </c>
      <c r="B58" s="117">
        <v>0</v>
      </c>
      <c r="C58" s="118">
        <f>B58*0.8884</f>
        <v>0</v>
      </c>
      <c r="D58" s="119">
        <f>B58-C58</f>
        <v>0</v>
      </c>
      <c r="E58" s="137"/>
      <c r="F58" s="66"/>
      <c r="G58" s="67"/>
      <c r="I58" s="68"/>
      <c r="J58" s="68"/>
      <c r="K58" s="69"/>
      <c r="L58" s="69"/>
      <c r="M58" s="69"/>
      <c r="N58" s="69"/>
    </row>
    <row r="59" spans="1:14" ht="15">
      <c r="A59" s="75" t="s">
        <v>68</v>
      </c>
      <c r="B59" s="120">
        <v>43864.8</v>
      </c>
      <c r="C59" s="118">
        <f>B59*1.0014</f>
        <v>43926.21072</v>
      </c>
      <c r="D59" s="119">
        <f>B59-C59</f>
        <v>-61.410719999999856</v>
      </c>
      <c r="E59" s="137">
        <f>(2.07+1.8)*6*2301.2-0.37*2301.2*6</f>
        <v>48325.2</v>
      </c>
      <c r="F59" s="81"/>
      <c r="G59" s="82"/>
      <c r="H59" s="65"/>
      <c r="I59" s="68"/>
      <c r="J59" s="68"/>
      <c r="K59" s="69"/>
      <c r="L59" s="69"/>
      <c r="M59" s="69"/>
      <c r="N59" s="69"/>
    </row>
    <row r="60" spans="1:14" ht="15.75" thickBot="1">
      <c r="A60" s="150" t="s">
        <v>69</v>
      </c>
      <c r="B60" s="151">
        <v>0</v>
      </c>
      <c r="C60" s="152">
        <f>B60*0.8884</f>
        <v>0</v>
      </c>
      <c r="D60" s="153">
        <f>B60-C60</f>
        <v>0</v>
      </c>
      <c r="E60" s="137"/>
      <c r="F60" s="81"/>
      <c r="G60" s="82"/>
      <c r="I60" s="68"/>
      <c r="J60" s="68"/>
      <c r="K60" s="69"/>
      <c r="L60" s="69"/>
      <c r="M60" s="69"/>
      <c r="N60" s="69"/>
    </row>
    <row r="61" spans="1:14" ht="63">
      <c r="A61" s="154" t="s">
        <v>70</v>
      </c>
      <c r="B61" s="155" t="s">
        <v>71</v>
      </c>
      <c r="C61" s="156" t="s">
        <v>72</v>
      </c>
      <c r="D61" s="157" t="s">
        <v>73</v>
      </c>
      <c r="E61" s="137"/>
      <c r="F61" s="81"/>
      <c r="H61" s="68"/>
      <c r="I61" s="68"/>
      <c r="J61" s="68"/>
      <c r="K61" s="69"/>
      <c r="L61" s="69"/>
      <c r="M61" s="69"/>
      <c r="N61" s="69"/>
    </row>
    <row r="62" spans="1:14" ht="15">
      <c r="A62" s="158" t="s">
        <v>66</v>
      </c>
      <c r="B62" s="124">
        <f>B57</f>
        <v>7535.38</v>
      </c>
      <c r="C62" s="125">
        <f>C57</f>
        <v>7545.929532000001</v>
      </c>
      <c r="D62" s="159">
        <f>B62-C62</f>
        <v>-10.549532000000909</v>
      </c>
      <c r="E62" s="137"/>
      <c r="F62" s="81"/>
      <c r="H62" s="68"/>
      <c r="I62" s="68"/>
      <c r="J62" s="68" t="s">
        <v>32</v>
      </c>
      <c r="K62" s="69"/>
      <c r="L62" s="69"/>
      <c r="M62" s="69"/>
      <c r="N62" s="69"/>
    </row>
    <row r="63" spans="1:14" ht="15">
      <c r="A63" s="158" t="s">
        <v>67</v>
      </c>
      <c r="B63" s="124">
        <f>B58</f>
        <v>0</v>
      </c>
      <c r="C63" s="125">
        <f>C58*1.0063</f>
        <v>0</v>
      </c>
      <c r="D63" s="159">
        <f>B63-C63</f>
        <v>0</v>
      </c>
      <c r="E63" s="137"/>
      <c r="F63" s="81"/>
      <c r="H63" s="68"/>
      <c r="I63" s="68"/>
      <c r="J63" s="68"/>
      <c r="K63" s="69"/>
      <c r="L63" s="69"/>
      <c r="M63" s="69"/>
      <c r="N63" s="69"/>
    </row>
    <row r="64" spans="1:14" ht="15">
      <c r="A64" s="158" t="s">
        <v>68</v>
      </c>
      <c r="B64" s="124">
        <f>B59</f>
        <v>43864.8</v>
      </c>
      <c r="C64" s="125">
        <f>C59</f>
        <v>43926.21072</v>
      </c>
      <c r="D64" s="159">
        <f>B64-C64</f>
        <v>-61.410719999999856</v>
      </c>
      <c r="E64" s="137"/>
      <c r="F64" s="81"/>
      <c r="H64" s="68"/>
      <c r="I64" s="68"/>
      <c r="J64" s="68"/>
      <c r="K64" s="69"/>
      <c r="L64" s="69"/>
      <c r="M64" s="69"/>
      <c r="N64" s="69"/>
    </row>
    <row r="65" spans="1:14" ht="15">
      <c r="A65" s="158" t="s">
        <v>74</v>
      </c>
      <c r="B65" s="124">
        <v>0</v>
      </c>
      <c r="C65" s="125">
        <f>C60*1.0063</f>
        <v>0</v>
      </c>
      <c r="D65" s="159">
        <f>B65-C65</f>
        <v>0</v>
      </c>
      <c r="E65" s="137"/>
      <c r="F65" s="81"/>
      <c r="H65" s="68"/>
      <c r="I65" s="68"/>
      <c r="J65" s="68"/>
      <c r="K65" s="69"/>
      <c r="L65" s="69"/>
      <c r="M65" s="69"/>
      <c r="N65" s="69"/>
    </row>
    <row r="66" spans="1:14" ht="15.75" thickBot="1">
      <c r="A66" s="160" t="s">
        <v>69</v>
      </c>
      <c r="B66" s="161">
        <v>0</v>
      </c>
      <c r="C66" s="162">
        <v>0</v>
      </c>
      <c r="D66" s="163">
        <f>B66-C66</f>
        <v>0</v>
      </c>
      <c r="E66" s="137"/>
      <c r="F66" s="81"/>
      <c r="H66" s="68" t="s">
        <v>32</v>
      </c>
      <c r="I66" s="68"/>
      <c r="J66" s="68"/>
      <c r="K66" s="69"/>
      <c r="L66" s="69"/>
      <c r="M66" s="69"/>
      <c r="N66" s="69"/>
    </row>
    <row r="67" spans="1:14" ht="15">
      <c r="A67" s="91"/>
      <c r="B67" s="87"/>
      <c r="C67" s="92"/>
      <c r="D67" s="93"/>
      <c r="E67" s="65"/>
      <c r="F67" s="81"/>
      <c r="H67" s="68"/>
      <c r="I67" s="68"/>
      <c r="J67" s="68"/>
      <c r="K67" s="69"/>
      <c r="L67" s="69"/>
      <c r="M67" s="69"/>
      <c r="N67" s="69"/>
    </row>
    <row r="68" spans="1:14" ht="25.5">
      <c r="A68" s="94" t="s">
        <v>75</v>
      </c>
      <c r="B68" s="87" t="s">
        <v>16</v>
      </c>
      <c r="C68" s="95"/>
      <c r="D68" s="96"/>
      <c r="E68" s="65"/>
      <c r="F68" s="81"/>
      <c r="H68" s="68"/>
      <c r="I68" s="68"/>
      <c r="J68" s="68" t="s">
        <v>32</v>
      </c>
      <c r="K68" s="69"/>
      <c r="L68" s="69"/>
      <c r="M68" s="69"/>
      <c r="N68" s="69"/>
    </row>
    <row r="69" spans="1:14" ht="17.25" customHeight="1">
      <c r="A69" s="264" t="s">
        <v>76</v>
      </c>
      <c r="B69" s="264"/>
      <c r="C69" s="264"/>
      <c r="D69" s="264"/>
      <c r="E69" s="97" t="e">
        <f>D69+B19</f>
        <v>#VALUE!</v>
      </c>
      <c r="F69" s="68"/>
      <c r="H69" s="98" t="e">
        <f>E69-B18</f>
        <v>#VALUE!</v>
      </c>
      <c r="I69" s="68"/>
      <c r="J69" s="68"/>
      <c r="K69" s="69"/>
      <c r="L69" s="69"/>
      <c r="M69" s="69"/>
      <c r="N69" s="69"/>
    </row>
    <row r="70" spans="1:5" ht="21" customHeight="1">
      <c r="A70" s="99" t="s">
        <v>53</v>
      </c>
      <c r="B70" s="99" t="s">
        <v>54</v>
      </c>
      <c r="C70" s="100">
        <v>0</v>
      </c>
      <c r="D70" s="101"/>
      <c r="E70" s="102"/>
    </row>
    <row r="71" spans="1:5" ht="21" customHeight="1">
      <c r="A71" s="99" t="s">
        <v>55</v>
      </c>
      <c r="B71" s="99" t="s">
        <v>54</v>
      </c>
      <c r="C71" s="99">
        <v>0</v>
      </c>
      <c r="D71" s="101"/>
      <c r="E71" s="102"/>
    </row>
    <row r="72" spans="1:5" ht="18" customHeight="1">
      <c r="A72" s="99" t="s">
        <v>56</v>
      </c>
      <c r="B72" s="99" t="s">
        <v>54</v>
      </c>
      <c r="C72" s="99">
        <v>0</v>
      </c>
      <c r="D72" s="101"/>
      <c r="E72" s="102"/>
    </row>
    <row r="73" spans="1:5" ht="16.5" customHeight="1">
      <c r="A73" s="99" t="s">
        <v>57</v>
      </c>
      <c r="B73" s="99" t="s">
        <v>16</v>
      </c>
      <c r="C73" s="99">
        <v>0</v>
      </c>
      <c r="D73" s="101"/>
      <c r="E73" s="102"/>
    </row>
    <row r="74" spans="1:5" ht="15.75" customHeight="1">
      <c r="A74" s="258" t="s">
        <v>77</v>
      </c>
      <c r="B74" s="258"/>
      <c r="C74" s="258"/>
      <c r="D74" s="258"/>
      <c r="E74" s="102"/>
    </row>
    <row r="75" spans="1:5" ht="18.75" customHeight="1">
      <c r="A75" s="99" t="s">
        <v>78</v>
      </c>
      <c r="B75" s="99" t="s">
        <v>54</v>
      </c>
      <c r="C75" s="99">
        <v>0</v>
      </c>
      <c r="D75" s="101"/>
      <c r="E75" s="102"/>
    </row>
    <row r="76" spans="1:5" ht="21.75" customHeight="1">
      <c r="A76" s="99" t="s">
        <v>79</v>
      </c>
      <c r="B76" s="56" t="s">
        <v>54</v>
      </c>
      <c r="C76" s="56">
        <v>0</v>
      </c>
      <c r="D76" s="101"/>
      <c r="E76" s="102"/>
    </row>
    <row r="77" spans="1:5" ht="36" customHeight="1">
      <c r="A77" s="103" t="s">
        <v>80</v>
      </c>
      <c r="B77" s="99" t="s">
        <v>16</v>
      </c>
      <c r="C77" s="99">
        <v>0</v>
      </c>
      <c r="D77" s="101"/>
      <c r="E77" s="102"/>
    </row>
    <row r="78" spans="1:4" ht="15">
      <c r="A78" s="69"/>
      <c r="B78" s="69"/>
      <c r="C78" s="69"/>
      <c r="D78" s="104"/>
    </row>
    <row r="79" spans="1:14" s="1" customFormat="1" ht="12.75">
      <c r="A79"/>
      <c r="B79"/>
      <c r="C79"/>
      <c r="D79"/>
      <c r="H79" s="1" t="s">
        <v>32</v>
      </c>
      <c r="K79"/>
      <c r="L79"/>
      <c r="M79"/>
      <c r="N79"/>
    </row>
    <row r="80" spans="1:14" s="1" customFormat="1" ht="12.75">
      <c r="A80" t="s">
        <v>81</v>
      </c>
      <c r="B80"/>
      <c r="C80"/>
      <c r="D80"/>
      <c r="K80"/>
      <c r="L80"/>
      <c r="M80"/>
      <c r="N80"/>
    </row>
    <row r="81" spans="1:14" s="1" customFormat="1" ht="12.75">
      <c r="A81"/>
      <c r="B81"/>
      <c r="C81"/>
      <c r="D81"/>
      <c r="H81" s="1" t="s">
        <v>32</v>
      </c>
      <c r="K81"/>
      <c r="L81"/>
      <c r="M81"/>
      <c r="N81"/>
    </row>
    <row r="82" spans="1:14" s="1" customFormat="1" ht="12.75">
      <c r="A82" t="s">
        <v>82</v>
      </c>
      <c r="B82"/>
      <c r="C82"/>
      <c r="D82"/>
      <c r="K82"/>
      <c r="L82"/>
      <c r="M82"/>
      <c r="N82"/>
    </row>
    <row r="86" spans="1:14" s="1" customFormat="1" ht="12.75">
      <c r="A86"/>
      <c r="B86"/>
      <c r="C86"/>
      <c r="D86"/>
      <c r="E86" s="1" t="s">
        <v>32</v>
      </c>
      <c r="K86"/>
      <c r="L86"/>
      <c r="M86"/>
      <c r="N86"/>
    </row>
  </sheetData>
  <sheetProtection selectLockedCells="1" selectUnlockedCells="1"/>
  <mergeCells count="13">
    <mergeCell ref="A1:D1"/>
    <mergeCell ref="A2:D2"/>
    <mergeCell ref="A3:D3"/>
    <mergeCell ref="A4:D4"/>
    <mergeCell ref="A5:D5"/>
    <mergeCell ref="A7:D7"/>
    <mergeCell ref="A74:D74"/>
    <mergeCell ref="A14:D14"/>
    <mergeCell ref="A29:D29"/>
    <mergeCell ref="A43:D43"/>
    <mergeCell ref="A48:D48"/>
    <mergeCell ref="A55:D55"/>
    <mergeCell ref="A69:D69"/>
  </mergeCells>
  <printOptions/>
  <pageMargins left="0.5597222222222222" right="0.7875" top="0.34097222222222223" bottom="0.7875" header="0.5118055555555555" footer="0.5118055555555555"/>
  <pageSetup fitToHeight="3" fitToWidth="2" horizontalDpi="300" verticalDpi="300" orientation="landscape" paperSize="12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6"/>
  <sheetViews>
    <sheetView zoomScale="80" zoomScaleNormal="80" zoomScalePageLayoutView="0" workbookViewId="0" topLeftCell="A16">
      <selection activeCell="E38" sqref="E38:E40"/>
    </sheetView>
  </sheetViews>
  <sheetFormatPr defaultColWidth="11.57421875" defaultRowHeight="12.75"/>
  <cols>
    <col min="1" max="1" width="63.28125" style="0" customWidth="1"/>
    <col min="2" max="2" width="20.28125" style="0" customWidth="1"/>
    <col min="3" max="3" width="31.421875" style="0" customWidth="1"/>
    <col min="4" max="4" width="27.57421875" style="0" customWidth="1"/>
    <col min="5" max="5" width="16.8515625" style="1" customWidth="1"/>
    <col min="6" max="7" width="0" style="1" hidden="1" customWidth="1"/>
    <col min="8" max="8" width="11.57421875" style="1" customWidth="1"/>
    <col min="9" max="9" width="5.28125" style="1" customWidth="1"/>
    <col min="10" max="10" width="30.00390625" style="1" customWidth="1"/>
    <col min="11" max="12" width="23.28125" style="0" customWidth="1"/>
    <col min="13" max="13" width="6.57421875" style="0" customWidth="1"/>
    <col min="14" max="14" width="7.00390625" style="0" customWidth="1"/>
  </cols>
  <sheetData>
    <row r="1" spans="1:4" ht="18">
      <c r="A1" s="265" t="s">
        <v>0</v>
      </c>
      <c r="B1" s="265"/>
      <c r="C1" s="265"/>
      <c r="D1" s="265"/>
    </row>
    <row r="2" spans="1:4" ht="15.75">
      <c r="A2" s="266" t="s">
        <v>1</v>
      </c>
      <c r="B2" s="266"/>
      <c r="C2" s="266"/>
      <c r="D2" s="266"/>
    </row>
    <row r="3" spans="1:4" ht="15.75">
      <c r="A3" s="266" t="s">
        <v>2</v>
      </c>
      <c r="B3" s="266"/>
      <c r="C3" s="266"/>
      <c r="D3" s="266"/>
    </row>
    <row r="4" spans="1:4" ht="12.75">
      <c r="A4" s="267" t="s">
        <v>136</v>
      </c>
      <c r="B4" s="267"/>
      <c r="C4" s="267"/>
      <c r="D4" s="267"/>
    </row>
    <row r="5" spans="1:4" ht="12.75">
      <c r="A5" s="268" t="s">
        <v>171</v>
      </c>
      <c r="B5" s="267"/>
      <c r="C5" s="267"/>
      <c r="D5" s="267"/>
    </row>
    <row r="6" ht="9" customHeight="1">
      <c r="A6" s="2"/>
    </row>
    <row r="7" spans="1:4" ht="18" customHeight="1">
      <c r="A7" s="269" t="s">
        <v>4</v>
      </c>
      <c r="B7" s="269"/>
      <c r="C7" s="269"/>
      <c r="D7" s="269"/>
    </row>
    <row r="8" spans="1:3" ht="12.75">
      <c r="A8" s="2" t="s">
        <v>252</v>
      </c>
      <c r="C8" s="3"/>
    </row>
    <row r="9" spans="1:4" ht="12.75">
      <c r="A9" s="4" t="s">
        <v>5</v>
      </c>
      <c r="B9" s="4" t="s">
        <v>6</v>
      </c>
      <c r="C9" s="4" t="s">
        <v>7</v>
      </c>
      <c r="D9" s="5"/>
    </row>
    <row r="10" spans="1:4" ht="12.75">
      <c r="A10" s="6">
        <v>1</v>
      </c>
      <c r="B10" s="6">
        <v>2</v>
      </c>
      <c r="C10" s="6">
        <v>3</v>
      </c>
      <c r="D10" s="7">
        <v>4</v>
      </c>
    </row>
    <row r="11" spans="1:4" ht="12.75">
      <c r="A11" s="8" t="s">
        <v>8</v>
      </c>
      <c r="B11" s="9"/>
      <c r="C11" s="177" t="s">
        <v>172</v>
      </c>
      <c r="D11" s="10"/>
    </row>
    <row r="12" spans="1:4" ht="12.75">
      <c r="A12" s="8" t="s">
        <v>10</v>
      </c>
      <c r="B12" s="9"/>
      <c r="C12" s="177" t="s">
        <v>173</v>
      </c>
      <c r="D12" s="10"/>
    </row>
    <row r="13" spans="1:4" ht="12.75">
      <c r="A13" s="8" t="s">
        <v>12</v>
      </c>
      <c r="B13" s="9"/>
      <c r="C13" s="177" t="s">
        <v>174</v>
      </c>
      <c r="D13" s="10"/>
    </row>
    <row r="14" spans="1:5" ht="31.5" customHeight="1">
      <c r="A14" s="259" t="s">
        <v>14</v>
      </c>
      <c r="B14" s="259"/>
      <c r="C14" s="259"/>
      <c r="D14" s="259"/>
      <c r="E14" s="132"/>
    </row>
    <row r="15" spans="1:5" ht="25.5">
      <c r="A15" s="11" t="s">
        <v>15</v>
      </c>
      <c r="B15" s="12" t="s">
        <v>16</v>
      </c>
      <c r="C15" s="13">
        <v>10346.8</v>
      </c>
      <c r="D15" s="14"/>
      <c r="E15" s="132"/>
    </row>
    <row r="16" spans="1:5" ht="15">
      <c r="A16" s="8" t="s">
        <v>17</v>
      </c>
      <c r="B16" s="12" t="s">
        <v>16</v>
      </c>
      <c r="C16" s="13">
        <v>0</v>
      </c>
      <c r="D16" s="14"/>
      <c r="E16" s="62"/>
    </row>
    <row r="17" spans="1:5" ht="15">
      <c r="A17" s="8" t="s">
        <v>18</v>
      </c>
      <c r="B17" s="12" t="s">
        <v>16</v>
      </c>
      <c r="C17" s="15">
        <v>1159.47</v>
      </c>
      <c r="D17" s="16"/>
      <c r="E17" s="62"/>
    </row>
    <row r="18" spans="1:5" ht="31.5" customHeight="1">
      <c r="A18" s="17" t="s">
        <v>19</v>
      </c>
      <c r="B18" s="12" t="s">
        <v>16</v>
      </c>
      <c r="C18" s="15">
        <v>16070.28</v>
      </c>
      <c r="D18" s="16"/>
      <c r="E18" s="133">
        <f>C18-C20</f>
        <v>10759.056</v>
      </c>
    </row>
    <row r="19" spans="1:5" ht="15">
      <c r="A19" s="8" t="s">
        <v>20</v>
      </c>
      <c r="B19" s="12" t="s">
        <v>16</v>
      </c>
      <c r="C19" s="15">
        <f>C18-C20-C21</f>
        <v>5629.200000000001</v>
      </c>
      <c r="D19" s="16"/>
      <c r="E19" s="133">
        <f>E18-E39</f>
        <v>-0.0019999999985884642</v>
      </c>
    </row>
    <row r="20" spans="1:5" ht="15">
      <c r="A20" s="8" t="s">
        <v>21</v>
      </c>
      <c r="B20" s="12" t="s">
        <v>16</v>
      </c>
      <c r="C20" s="15">
        <f>(3.38+3.76)*6*87.6+1558.44</f>
        <v>5311.224</v>
      </c>
      <c r="D20" s="16"/>
      <c r="E20" s="134"/>
    </row>
    <row r="21" spans="1:5" ht="15">
      <c r="A21" s="8" t="s">
        <v>22</v>
      </c>
      <c r="B21" s="12" t="s">
        <v>16</v>
      </c>
      <c r="C21" s="20">
        <f>87.6*4.88*12</f>
        <v>5129.856</v>
      </c>
      <c r="D21" s="16"/>
      <c r="E21" s="132"/>
    </row>
    <row r="22" spans="1:5" ht="15">
      <c r="A22" s="21" t="s">
        <v>23</v>
      </c>
      <c r="B22" s="12" t="s">
        <v>16</v>
      </c>
      <c r="C22" s="15">
        <f>C23+C24+C25+C26+C27</f>
        <v>13860.616500000002</v>
      </c>
      <c r="D22" s="16" t="s">
        <v>24</v>
      </c>
      <c r="E22" s="18"/>
    </row>
    <row r="23" spans="1:5" ht="15">
      <c r="A23" s="8" t="s">
        <v>25</v>
      </c>
      <c r="B23" s="12" t="s">
        <v>16</v>
      </c>
      <c r="C23" s="15">
        <f>C18*0.8625</f>
        <v>13860.616500000002</v>
      </c>
      <c r="D23" s="16"/>
      <c r="E23" s="132"/>
    </row>
    <row r="24" spans="1:8" ht="15">
      <c r="A24" s="8" t="s">
        <v>26</v>
      </c>
      <c r="B24" s="12" t="s">
        <v>16</v>
      </c>
      <c r="C24" s="15">
        <v>0</v>
      </c>
      <c r="D24" s="22">
        <v>65.21</v>
      </c>
      <c r="E24" s="134" t="e">
        <f>B24/#REF!*1</f>
        <v>#VALUE!</v>
      </c>
      <c r="H24" s="1" t="s">
        <v>27</v>
      </c>
    </row>
    <row r="25" spans="1:5" ht="15">
      <c r="A25" s="8" t="s">
        <v>28</v>
      </c>
      <c r="B25" s="12" t="s">
        <v>16</v>
      </c>
      <c r="C25" s="15">
        <v>0</v>
      </c>
      <c r="D25" s="22">
        <v>119.63</v>
      </c>
      <c r="E25" s="134" t="e">
        <f>B25/#REF!*1</f>
        <v>#VALUE!</v>
      </c>
    </row>
    <row r="26" spans="1:5" ht="15">
      <c r="A26" s="9" t="s">
        <v>29</v>
      </c>
      <c r="B26" s="12" t="s">
        <v>16</v>
      </c>
      <c r="C26" s="15">
        <v>0</v>
      </c>
      <c r="D26" s="22"/>
      <c r="E26" s="134" t="e">
        <f>B26/#REF!*1</f>
        <v>#VALUE!</v>
      </c>
    </row>
    <row r="27" spans="1:5" ht="16.5" customHeight="1">
      <c r="A27" s="116" t="s">
        <v>112</v>
      </c>
      <c r="B27" s="12" t="s">
        <v>16</v>
      </c>
      <c r="C27" s="15">
        <v>0</v>
      </c>
      <c r="D27" s="22">
        <v>139.18</v>
      </c>
      <c r="E27" s="134" t="e">
        <f>B27/#REF!*1</f>
        <v>#VALUE!</v>
      </c>
    </row>
    <row r="28" spans="1:5" ht="15">
      <c r="A28" s="8" t="s">
        <v>31</v>
      </c>
      <c r="B28" s="12" t="s">
        <v>16</v>
      </c>
      <c r="C28" s="15">
        <f>C15+C22</f>
        <v>24207.4165</v>
      </c>
      <c r="D28" s="16" t="s">
        <v>32</v>
      </c>
      <c r="E28" s="134" t="e">
        <f>B28/#REF!*1</f>
        <v>#VALUE!</v>
      </c>
    </row>
    <row r="29" spans="1:5" ht="35.25" customHeight="1">
      <c r="A29" s="260" t="s">
        <v>33</v>
      </c>
      <c r="B29" s="260"/>
      <c r="C29" s="260"/>
      <c r="D29" s="260"/>
      <c r="E29" s="132"/>
    </row>
    <row r="30" spans="1:5" ht="60">
      <c r="A30" s="23" t="s">
        <v>34</v>
      </c>
      <c r="B30" s="24" t="s">
        <v>35</v>
      </c>
      <c r="C30" s="25" t="s">
        <v>36</v>
      </c>
      <c r="D30" s="26" t="s">
        <v>37</v>
      </c>
      <c r="E30" s="132"/>
    </row>
    <row r="31" spans="1:5" ht="15">
      <c r="A31" s="27" t="s">
        <v>38</v>
      </c>
      <c r="B31" s="28" t="s">
        <v>39</v>
      </c>
      <c r="C31" s="29" t="s">
        <v>40</v>
      </c>
      <c r="D31" s="107">
        <f>(0.17+0.16)*6*87.6</f>
        <v>173.44799999999998</v>
      </c>
      <c r="E31" s="132"/>
    </row>
    <row r="32" spans="1:5" ht="15">
      <c r="A32" s="31" t="s">
        <v>41</v>
      </c>
      <c r="B32" s="32" t="s">
        <v>42</v>
      </c>
      <c r="C32" s="33" t="s">
        <v>43</v>
      </c>
      <c r="D32" s="34">
        <f>(3.03+3)*6*87.6</f>
        <v>3169.367999999999</v>
      </c>
      <c r="E32" s="132"/>
    </row>
    <row r="33" spans="1:5" ht="15">
      <c r="A33" s="31" t="s">
        <v>44</v>
      </c>
      <c r="B33" s="32" t="s">
        <v>39</v>
      </c>
      <c r="C33" s="33" t="s">
        <v>45</v>
      </c>
      <c r="D33" s="108">
        <f>(0.2+0.21)*6*87.6</f>
        <v>215.49599999999998</v>
      </c>
      <c r="E33" s="132"/>
    </row>
    <row r="34" spans="1:5" ht="15">
      <c r="A34" s="204" t="s">
        <v>255</v>
      </c>
      <c r="B34" s="32" t="s">
        <v>39</v>
      </c>
      <c r="C34" s="33" t="s">
        <v>40</v>
      </c>
      <c r="D34" s="108">
        <f>(0.23+0.22)*6*87.6</f>
        <v>236.52</v>
      </c>
      <c r="E34" s="132"/>
    </row>
    <row r="35" spans="1:5" ht="15">
      <c r="A35" s="31" t="s">
        <v>90</v>
      </c>
      <c r="B35" s="106" t="s">
        <v>91</v>
      </c>
      <c r="C35" s="33" t="s">
        <v>40</v>
      </c>
      <c r="D35" s="108">
        <f>(1.33+1.27)*6*87.6</f>
        <v>1366.56</v>
      </c>
      <c r="E35" s="132"/>
    </row>
    <row r="36" spans="1:5" ht="15">
      <c r="A36" s="31" t="s">
        <v>46</v>
      </c>
      <c r="B36" s="32" t="s">
        <v>42</v>
      </c>
      <c r="C36" s="35" t="s">
        <v>47</v>
      </c>
      <c r="D36" s="108">
        <f>4.88*87.6*12</f>
        <v>5129.856</v>
      </c>
      <c r="E36" s="132"/>
    </row>
    <row r="37" spans="1:14" s="1" customFormat="1" ht="45">
      <c r="A37" s="36" t="s">
        <v>48</v>
      </c>
      <c r="B37" s="37" t="s">
        <v>49</v>
      </c>
      <c r="C37" s="29"/>
      <c r="D37" s="39">
        <v>0</v>
      </c>
      <c r="E37" s="132"/>
      <c r="K37"/>
      <c r="L37"/>
      <c r="M37"/>
      <c r="N37"/>
    </row>
    <row r="38" spans="1:14" s="1" customFormat="1" ht="45">
      <c r="A38" s="109" t="s">
        <v>95</v>
      </c>
      <c r="B38" s="110" t="s">
        <v>96</v>
      </c>
      <c r="C38" s="29" t="s">
        <v>97</v>
      </c>
      <c r="D38" s="112">
        <v>467.81</v>
      </c>
      <c r="E38" s="132"/>
      <c r="K38"/>
      <c r="L38"/>
      <c r="M38"/>
      <c r="N38"/>
    </row>
    <row r="39" spans="1:14" s="1" customFormat="1" ht="15.75">
      <c r="A39" s="40" t="s">
        <v>50</v>
      </c>
      <c r="B39" s="41"/>
      <c r="C39" s="42"/>
      <c r="D39" s="113">
        <f>SUM(D31:D38)</f>
        <v>10759.057999999999</v>
      </c>
      <c r="E39" s="135">
        <f>D39-D37</f>
        <v>10759.057999999999</v>
      </c>
      <c r="K39"/>
      <c r="L39"/>
      <c r="M39"/>
      <c r="N39"/>
    </row>
    <row r="40" spans="1:14" s="1" customFormat="1" ht="15">
      <c r="A40" s="43" t="s">
        <v>51</v>
      </c>
      <c r="B40" s="44" t="s">
        <v>16</v>
      </c>
      <c r="C40" s="45"/>
      <c r="D40" s="46">
        <f>C15+C20*0.8625-D37</f>
        <v>14927.7307</v>
      </c>
      <c r="E40" s="135"/>
      <c r="K40"/>
      <c r="L40"/>
      <c r="M40"/>
      <c r="N40"/>
    </row>
    <row r="41" spans="1:14" s="1" customFormat="1" ht="15">
      <c r="A41" s="48" t="s">
        <v>17</v>
      </c>
      <c r="B41" s="49" t="s">
        <v>16</v>
      </c>
      <c r="C41" s="33"/>
      <c r="D41" s="14"/>
      <c r="E41" s="62"/>
      <c r="K41"/>
      <c r="L41"/>
      <c r="M41"/>
      <c r="N41"/>
    </row>
    <row r="42" spans="1:14" s="1" customFormat="1" ht="15">
      <c r="A42" s="48" t="s">
        <v>18</v>
      </c>
      <c r="B42" s="49" t="s">
        <v>16</v>
      </c>
      <c r="C42" s="33"/>
      <c r="D42" s="14">
        <v>2223.07</v>
      </c>
      <c r="E42" s="62"/>
      <c r="K42"/>
      <c r="L42"/>
      <c r="M42"/>
      <c r="N42"/>
    </row>
    <row r="43" spans="1:14" s="1" customFormat="1" ht="24" customHeight="1">
      <c r="A43" s="261" t="s">
        <v>52</v>
      </c>
      <c r="B43" s="261"/>
      <c r="C43" s="261"/>
      <c r="D43" s="261"/>
      <c r="E43" s="132"/>
      <c r="K43"/>
      <c r="L43"/>
      <c r="M43"/>
      <c r="N43"/>
    </row>
    <row r="44" spans="1:14" s="1" customFormat="1" ht="15">
      <c r="A44" s="48" t="s">
        <v>53</v>
      </c>
      <c r="B44" s="32" t="s">
        <v>54</v>
      </c>
      <c r="C44" s="33">
        <v>0</v>
      </c>
      <c r="D44" s="14">
        <v>0</v>
      </c>
      <c r="E44" s="132"/>
      <c r="K44"/>
      <c r="L44"/>
      <c r="M44"/>
      <c r="N44"/>
    </row>
    <row r="45" spans="1:14" s="1" customFormat="1" ht="15">
      <c r="A45" s="48" t="s">
        <v>55</v>
      </c>
      <c r="B45" s="32" t="s">
        <v>54</v>
      </c>
      <c r="C45" s="33">
        <v>0</v>
      </c>
      <c r="D45" s="14">
        <v>0</v>
      </c>
      <c r="E45" s="132"/>
      <c r="K45"/>
      <c r="L45"/>
      <c r="M45"/>
      <c r="N45"/>
    </row>
    <row r="46" spans="1:14" s="1" customFormat="1" ht="15">
      <c r="A46" s="50" t="s">
        <v>56</v>
      </c>
      <c r="B46" s="32" t="s">
        <v>54</v>
      </c>
      <c r="C46" s="33">
        <v>0</v>
      </c>
      <c r="D46" s="14">
        <v>0</v>
      </c>
      <c r="E46" s="132"/>
      <c r="K46"/>
      <c r="L46"/>
      <c r="M46"/>
      <c r="N46"/>
    </row>
    <row r="47" spans="1:14" s="1" customFormat="1" ht="15">
      <c r="A47" s="48" t="s">
        <v>57</v>
      </c>
      <c r="B47" s="32" t="s">
        <v>16</v>
      </c>
      <c r="C47" s="33">
        <v>0</v>
      </c>
      <c r="D47" s="14">
        <v>0</v>
      </c>
      <c r="E47" s="132"/>
      <c r="K47"/>
      <c r="L47"/>
      <c r="M47"/>
      <c r="N47"/>
    </row>
    <row r="48" spans="1:5" ht="20.25" customHeight="1">
      <c r="A48" s="262" t="s">
        <v>58</v>
      </c>
      <c r="B48" s="262"/>
      <c r="C48" s="262"/>
      <c r="D48" s="262"/>
      <c r="E48" s="132"/>
    </row>
    <row r="49" spans="1:5" ht="25.5">
      <c r="A49" s="50" t="s">
        <v>59</v>
      </c>
      <c r="B49" s="32" t="s">
        <v>16</v>
      </c>
      <c r="C49" s="33"/>
      <c r="D49" s="14">
        <v>0</v>
      </c>
      <c r="E49" s="132"/>
    </row>
    <row r="50" spans="1:5" ht="15">
      <c r="A50" s="48" t="s">
        <v>17</v>
      </c>
      <c r="B50" s="32" t="s">
        <v>16</v>
      </c>
      <c r="C50" s="33"/>
      <c r="D50" s="14">
        <v>0</v>
      </c>
      <c r="E50" s="132"/>
    </row>
    <row r="51" spans="1:8" ht="15">
      <c r="A51" s="48" t="s">
        <v>18</v>
      </c>
      <c r="B51" s="32" t="s">
        <v>16</v>
      </c>
      <c r="C51" s="33"/>
      <c r="D51" s="51">
        <v>615.67</v>
      </c>
      <c r="E51" s="132"/>
      <c r="H51" s="52"/>
    </row>
    <row r="52" spans="1:5" ht="25.5">
      <c r="A52" s="53" t="s">
        <v>60</v>
      </c>
      <c r="B52" s="32" t="s">
        <v>16</v>
      </c>
      <c r="C52" s="54"/>
      <c r="D52" s="55">
        <v>0</v>
      </c>
      <c r="E52" s="132"/>
    </row>
    <row r="53" spans="1:10" ht="17.25" customHeight="1">
      <c r="A53" s="56" t="s">
        <v>17</v>
      </c>
      <c r="B53" s="32" t="s">
        <v>16</v>
      </c>
      <c r="C53" s="33"/>
      <c r="D53" s="14">
        <v>0</v>
      </c>
      <c r="E53" s="132"/>
      <c r="I53" s="52"/>
      <c r="J53" s="52"/>
    </row>
    <row r="54" spans="1:14" ht="15">
      <c r="A54" s="59" t="s">
        <v>18</v>
      </c>
      <c r="B54" s="32" t="s">
        <v>16</v>
      </c>
      <c r="C54" s="60"/>
      <c r="D54" s="61">
        <f>D51+D57</f>
        <v>1761.9387499999993</v>
      </c>
      <c r="E54" s="132"/>
      <c r="H54" s="1" t="s">
        <v>32</v>
      </c>
      <c r="I54" s="63"/>
      <c r="J54" s="63"/>
      <c r="K54" s="64"/>
      <c r="L54" s="64"/>
      <c r="M54" s="64"/>
      <c r="N54" s="64"/>
    </row>
    <row r="55" spans="1:14" ht="18" customHeight="1">
      <c r="A55" s="263" t="s">
        <v>61</v>
      </c>
      <c r="B55" s="263"/>
      <c r="C55" s="263"/>
      <c r="D55" s="263"/>
      <c r="E55" s="137"/>
      <c r="F55" s="66"/>
      <c r="G55" s="67"/>
      <c r="I55" s="68"/>
      <c r="J55" s="68"/>
      <c r="K55" s="69"/>
      <c r="L55" s="69"/>
      <c r="M55" s="69"/>
      <c r="N55" s="69"/>
    </row>
    <row r="56" spans="1:14" ht="47.25">
      <c r="A56" s="70" t="s">
        <v>62</v>
      </c>
      <c r="B56" s="71" t="s">
        <v>63</v>
      </c>
      <c r="C56" s="72" t="s">
        <v>64</v>
      </c>
      <c r="D56" s="73" t="s">
        <v>65</v>
      </c>
      <c r="E56" s="137"/>
      <c r="F56" s="66"/>
      <c r="G56" s="67"/>
      <c r="I56" s="68"/>
      <c r="J56" s="74"/>
      <c r="K56" s="69"/>
      <c r="L56" s="69"/>
      <c r="M56" s="69"/>
      <c r="N56" s="69"/>
    </row>
    <row r="57" spans="1:14" ht="15">
      <c r="A57" s="75" t="s">
        <v>66</v>
      </c>
      <c r="B57" s="117">
        <v>8336.5</v>
      </c>
      <c r="C57" s="118">
        <f>B57*0.8625</f>
        <v>7190.231250000001</v>
      </c>
      <c r="D57" s="119">
        <f>B57-C57</f>
        <v>1146.2687499999993</v>
      </c>
      <c r="E57" s="140"/>
      <c r="F57" s="66"/>
      <c r="G57" s="67"/>
      <c r="I57" s="68"/>
      <c r="J57" s="68"/>
      <c r="K57" s="69"/>
      <c r="L57" s="69"/>
      <c r="M57" s="69"/>
      <c r="N57" s="69"/>
    </row>
    <row r="58" spans="1:14" ht="15">
      <c r="A58" s="75" t="s">
        <v>67</v>
      </c>
      <c r="B58" s="117">
        <v>0</v>
      </c>
      <c r="C58" s="118">
        <f>B58*0.8884</f>
        <v>0</v>
      </c>
      <c r="D58" s="119">
        <f>B58-C58</f>
        <v>0</v>
      </c>
      <c r="E58" s="137"/>
      <c r="F58" s="66"/>
      <c r="G58" s="67"/>
      <c r="I58" s="68"/>
      <c r="J58" s="68"/>
      <c r="K58" s="69"/>
      <c r="L58" s="69"/>
      <c r="M58" s="69"/>
      <c r="N58" s="69"/>
    </row>
    <row r="59" spans="1:14" ht="15">
      <c r="A59" s="75" t="s">
        <v>68</v>
      </c>
      <c r="B59" s="120">
        <v>0</v>
      </c>
      <c r="C59" s="118">
        <f>B59*0.8884</f>
        <v>0</v>
      </c>
      <c r="D59" s="119">
        <f>B59-C59</f>
        <v>0</v>
      </c>
      <c r="E59" s="137">
        <f>(2.07+1.8)*6*2301.2-0.37*2301.2*6</f>
        <v>48325.2</v>
      </c>
      <c r="F59" s="81"/>
      <c r="G59" s="82"/>
      <c r="H59" s="65"/>
      <c r="I59" s="68"/>
      <c r="J59" s="68"/>
      <c r="K59" s="69"/>
      <c r="L59" s="69"/>
      <c r="M59" s="69"/>
      <c r="N59" s="69"/>
    </row>
    <row r="60" spans="1:14" ht="15.75" thickBot="1">
      <c r="A60" s="150" t="s">
        <v>69</v>
      </c>
      <c r="B60" s="151">
        <v>0</v>
      </c>
      <c r="C60" s="152">
        <f>B60*0.8884</f>
        <v>0</v>
      </c>
      <c r="D60" s="153">
        <f>B60-C60</f>
        <v>0</v>
      </c>
      <c r="E60" s="137"/>
      <c r="F60" s="81"/>
      <c r="G60" s="82"/>
      <c r="I60" s="68"/>
      <c r="J60" s="68"/>
      <c r="K60" s="69"/>
      <c r="L60" s="69"/>
      <c r="M60" s="69"/>
      <c r="N60" s="69"/>
    </row>
    <row r="61" spans="1:14" ht="63">
      <c r="A61" s="154" t="s">
        <v>70</v>
      </c>
      <c r="B61" s="155" t="s">
        <v>71</v>
      </c>
      <c r="C61" s="156" t="s">
        <v>72</v>
      </c>
      <c r="D61" s="157" t="s">
        <v>73</v>
      </c>
      <c r="E61" s="137"/>
      <c r="F61" s="81"/>
      <c r="H61" s="68"/>
      <c r="I61" s="68"/>
      <c r="J61" s="68"/>
      <c r="K61" s="69"/>
      <c r="L61" s="69"/>
      <c r="M61" s="69"/>
      <c r="N61" s="69"/>
    </row>
    <row r="62" spans="1:14" ht="15">
      <c r="A62" s="158" t="s">
        <v>66</v>
      </c>
      <c r="B62" s="124">
        <f>B57</f>
        <v>8336.5</v>
      </c>
      <c r="C62" s="125">
        <f>B62*0.9623</f>
        <v>8022.21395</v>
      </c>
      <c r="D62" s="159">
        <f>B62-C62</f>
        <v>314.2860499999997</v>
      </c>
      <c r="E62" s="137"/>
      <c r="F62" s="81"/>
      <c r="H62" s="68"/>
      <c r="I62" s="68"/>
      <c r="J62" s="68" t="s">
        <v>32</v>
      </c>
      <c r="K62" s="69"/>
      <c r="L62" s="69"/>
      <c r="M62" s="69"/>
      <c r="N62" s="69"/>
    </row>
    <row r="63" spans="1:14" ht="15">
      <c r="A63" s="158" t="s">
        <v>67</v>
      </c>
      <c r="B63" s="124">
        <v>0</v>
      </c>
      <c r="C63" s="125">
        <f>C58*1.0063</f>
        <v>0</v>
      </c>
      <c r="D63" s="159">
        <f>B63-C63</f>
        <v>0</v>
      </c>
      <c r="E63" s="65"/>
      <c r="F63" s="81"/>
      <c r="H63" s="68"/>
      <c r="I63" s="68"/>
      <c r="J63" s="68"/>
      <c r="K63" s="69"/>
      <c r="L63" s="69"/>
      <c r="M63" s="69"/>
      <c r="N63" s="69"/>
    </row>
    <row r="64" spans="1:14" ht="15">
      <c r="A64" s="158" t="s">
        <v>68</v>
      </c>
      <c r="B64" s="124">
        <v>0</v>
      </c>
      <c r="C64" s="125">
        <f>C59*1.0063</f>
        <v>0</v>
      </c>
      <c r="D64" s="159">
        <f>B64-C64</f>
        <v>0</v>
      </c>
      <c r="E64" s="65"/>
      <c r="F64" s="81"/>
      <c r="H64" s="68"/>
      <c r="I64" s="68"/>
      <c r="J64" s="68"/>
      <c r="K64" s="69"/>
      <c r="L64" s="69"/>
      <c r="M64" s="69"/>
      <c r="N64" s="69"/>
    </row>
    <row r="65" spans="1:14" ht="15">
      <c r="A65" s="158" t="s">
        <v>74</v>
      </c>
      <c r="B65" s="124">
        <v>0</v>
      </c>
      <c r="C65" s="125">
        <v>0</v>
      </c>
      <c r="D65" s="159">
        <f>B65-C65</f>
        <v>0</v>
      </c>
      <c r="E65" s="65"/>
      <c r="F65" s="81"/>
      <c r="H65" s="68"/>
      <c r="I65" s="68"/>
      <c r="J65" s="68"/>
      <c r="K65" s="69"/>
      <c r="L65" s="69"/>
      <c r="M65" s="69"/>
      <c r="N65" s="69"/>
    </row>
    <row r="66" spans="1:14" ht="15.75" thickBot="1">
      <c r="A66" s="160" t="s">
        <v>69</v>
      </c>
      <c r="B66" s="161">
        <v>0</v>
      </c>
      <c r="C66" s="162">
        <v>0</v>
      </c>
      <c r="D66" s="163">
        <f>B66-C66</f>
        <v>0</v>
      </c>
      <c r="E66" s="65"/>
      <c r="F66" s="81"/>
      <c r="H66" s="68" t="s">
        <v>32</v>
      </c>
      <c r="I66" s="68"/>
      <c r="J66" s="68"/>
      <c r="K66" s="69"/>
      <c r="L66" s="69"/>
      <c r="M66" s="69"/>
      <c r="N66" s="69"/>
    </row>
    <row r="67" spans="1:14" ht="15">
      <c r="A67" s="91"/>
      <c r="B67" s="87"/>
      <c r="C67" s="92"/>
      <c r="D67" s="93"/>
      <c r="E67" s="65"/>
      <c r="F67" s="81"/>
      <c r="H67" s="68"/>
      <c r="I67" s="68"/>
      <c r="J67" s="68"/>
      <c r="K67" s="69"/>
      <c r="L67" s="69"/>
      <c r="M67" s="69"/>
      <c r="N67" s="69"/>
    </row>
    <row r="68" spans="1:14" ht="25.5">
      <c r="A68" s="94" t="s">
        <v>75</v>
      </c>
      <c r="B68" s="87" t="s">
        <v>16</v>
      </c>
      <c r="C68" s="95"/>
      <c r="D68" s="96"/>
      <c r="E68" s="65"/>
      <c r="F68" s="81"/>
      <c r="H68" s="68"/>
      <c r="I68" s="68"/>
      <c r="J68" s="68" t="s">
        <v>32</v>
      </c>
      <c r="K68" s="69"/>
      <c r="L68" s="69"/>
      <c r="M68" s="69"/>
      <c r="N68" s="69"/>
    </row>
    <row r="69" spans="1:14" ht="17.25" customHeight="1">
      <c r="A69" s="264" t="s">
        <v>76</v>
      </c>
      <c r="B69" s="264"/>
      <c r="C69" s="264"/>
      <c r="D69" s="264"/>
      <c r="E69" s="97" t="e">
        <f>D69+B19</f>
        <v>#VALUE!</v>
      </c>
      <c r="F69" s="68"/>
      <c r="H69" s="98" t="e">
        <f>E69-B18</f>
        <v>#VALUE!</v>
      </c>
      <c r="I69" s="68"/>
      <c r="J69" s="68"/>
      <c r="K69" s="69"/>
      <c r="L69" s="69"/>
      <c r="M69" s="69"/>
      <c r="N69" s="69"/>
    </row>
    <row r="70" spans="1:5" ht="21" customHeight="1">
      <c r="A70" s="99" t="s">
        <v>53</v>
      </c>
      <c r="B70" s="99" t="s">
        <v>54</v>
      </c>
      <c r="C70" s="100">
        <v>0</v>
      </c>
      <c r="D70" s="101"/>
      <c r="E70" s="102"/>
    </row>
    <row r="71" spans="1:5" ht="21" customHeight="1">
      <c r="A71" s="99" t="s">
        <v>55</v>
      </c>
      <c r="B71" s="99" t="s">
        <v>54</v>
      </c>
      <c r="C71" s="99">
        <v>0</v>
      </c>
      <c r="D71" s="101"/>
      <c r="E71" s="102"/>
    </row>
    <row r="72" spans="1:5" ht="18" customHeight="1">
      <c r="A72" s="99" t="s">
        <v>56</v>
      </c>
      <c r="B72" s="99" t="s">
        <v>54</v>
      </c>
      <c r="C72" s="99">
        <v>0</v>
      </c>
      <c r="D72" s="101"/>
      <c r="E72" s="102"/>
    </row>
    <row r="73" spans="1:5" ht="16.5" customHeight="1">
      <c r="A73" s="99" t="s">
        <v>57</v>
      </c>
      <c r="B73" s="99" t="s">
        <v>16</v>
      </c>
      <c r="C73" s="99">
        <v>0</v>
      </c>
      <c r="D73" s="101"/>
      <c r="E73" s="102"/>
    </row>
    <row r="74" spans="1:5" ht="15.75" customHeight="1">
      <c r="A74" s="258" t="s">
        <v>77</v>
      </c>
      <c r="B74" s="258"/>
      <c r="C74" s="258"/>
      <c r="D74" s="258"/>
      <c r="E74" s="102"/>
    </row>
    <row r="75" spans="1:5" ht="18.75" customHeight="1">
      <c r="A75" s="99" t="s">
        <v>78</v>
      </c>
      <c r="B75" s="99" t="s">
        <v>54</v>
      </c>
      <c r="C75" s="99">
        <v>0</v>
      </c>
      <c r="D75" s="101"/>
      <c r="E75" s="102"/>
    </row>
    <row r="76" spans="1:5" ht="21.75" customHeight="1">
      <c r="A76" s="99" t="s">
        <v>79</v>
      </c>
      <c r="B76" s="56" t="s">
        <v>54</v>
      </c>
      <c r="C76" s="56">
        <v>0</v>
      </c>
      <c r="D76" s="101"/>
      <c r="E76" s="102"/>
    </row>
    <row r="77" spans="1:5" ht="36" customHeight="1">
      <c r="A77" s="103" t="s">
        <v>80</v>
      </c>
      <c r="B77" s="99" t="s">
        <v>16</v>
      </c>
      <c r="C77" s="99">
        <v>0</v>
      </c>
      <c r="D77" s="101"/>
      <c r="E77" s="102"/>
    </row>
    <row r="78" spans="1:4" ht="15">
      <c r="A78" s="69"/>
      <c r="B78" s="69"/>
      <c r="C78" s="69"/>
      <c r="D78" s="104"/>
    </row>
    <row r="79" spans="1:14" s="1" customFormat="1" ht="12.75">
      <c r="A79"/>
      <c r="B79"/>
      <c r="C79"/>
      <c r="D79"/>
      <c r="H79" s="1" t="s">
        <v>32</v>
      </c>
      <c r="K79"/>
      <c r="L79"/>
      <c r="M79"/>
      <c r="N79"/>
    </row>
    <row r="80" spans="1:14" s="1" customFormat="1" ht="12.75">
      <c r="A80" t="s">
        <v>81</v>
      </c>
      <c r="B80"/>
      <c r="C80"/>
      <c r="D80"/>
      <c r="K80"/>
      <c r="L80"/>
      <c r="M80"/>
      <c r="N80"/>
    </row>
    <row r="81" spans="1:14" s="1" customFormat="1" ht="12.75">
      <c r="A81"/>
      <c r="B81"/>
      <c r="C81"/>
      <c r="D81"/>
      <c r="H81" s="1" t="s">
        <v>32</v>
      </c>
      <c r="K81"/>
      <c r="L81"/>
      <c r="M81"/>
      <c r="N81"/>
    </row>
    <row r="82" spans="1:14" s="1" customFormat="1" ht="12.75">
      <c r="A82" t="s">
        <v>82</v>
      </c>
      <c r="B82"/>
      <c r="C82"/>
      <c r="D82"/>
      <c r="K82"/>
      <c r="L82"/>
      <c r="M82"/>
      <c r="N82"/>
    </row>
    <row r="86" spans="1:14" s="1" customFormat="1" ht="12.75">
      <c r="A86"/>
      <c r="B86"/>
      <c r="C86"/>
      <c r="D86"/>
      <c r="E86" s="1" t="s">
        <v>32</v>
      </c>
      <c r="K86"/>
      <c r="L86"/>
      <c r="M86"/>
      <c r="N86"/>
    </row>
  </sheetData>
  <sheetProtection selectLockedCells="1" selectUnlockedCells="1"/>
  <mergeCells count="13">
    <mergeCell ref="A1:D1"/>
    <mergeCell ref="A2:D2"/>
    <mergeCell ref="A3:D3"/>
    <mergeCell ref="A4:D4"/>
    <mergeCell ref="A5:D5"/>
    <mergeCell ref="A7:D7"/>
    <mergeCell ref="A74:D74"/>
    <mergeCell ref="A14:D14"/>
    <mergeCell ref="A29:D29"/>
    <mergeCell ref="A43:D43"/>
    <mergeCell ref="A48:D48"/>
    <mergeCell ref="A55:D55"/>
    <mergeCell ref="A69:D69"/>
  </mergeCells>
  <printOptions/>
  <pageMargins left="0.5597222222222222" right="0.7875" top="0.34097222222222223" bottom="0.7875" header="0.5118055555555555" footer="0.5118055555555555"/>
  <pageSetup fitToHeight="3" fitToWidth="2" horizontalDpi="300" verticalDpi="300" orientation="landscape" paperSize="12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6"/>
  <sheetViews>
    <sheetView zoomScale="80" zoomScaleNormal="80" zoomScalePageLayoutView="0" workbookViewId="0" topLeftCell="A6">
      <selection activeCell="E16" sqref="E16:E25"/>
    </sheetView>
  </sheetViews>
  <sheetFormatPr defaultColWidth="11.57421875" defaultRowHeight="12.75"/>
  <cols>
    <col min="1" max="1" width="63.28125" style="0" customWidth="1"/>
    <col min="2" max="2" width="20.28125" style="0" customWidth="1"/>
    <col min="3" max="3" width="31.421875" style="0" customWidth="1"/>
    <col min="4" max="4" width="27.57421875" style="0" customWidth="1"/>
    <col min="5" max="5" width="16.8515625" style="1" customWidth="1"/>
    <col min="6" max="7" width="0" style="1" hidden="1" customWidth="1"/>
    <col min="8" max="8" width="11.57421875" style="1" customWidth="1"/>
    <col min="9" max="9" width="5.28125" style="1" customWidth="1"/>
    <col min="10" max="10" width="30.00390625" style="1" customWidth="1"/>
    <col min="11" max="12" width="23.28125" style="0" customWidth="1"/>
    <col min="13" max="13" width="6.57421875" style="0" customWidth="1"/>
    <col min="14" max="14" width="7.00390625" style="0" customWidth="1"/>
  </cols>
  <sheetData>
    <row r="1" spans="1:4" ht="18">
      <c r="A1" s="265" t="s">
        <v>0</v>
      </c>
      <c r="B1" s="265"/>
      <c r="C1" s="265"/>
      <c r="D1" s="265"/>
    </row>
    <row r="2" spans="1:4" ht="15.75">
      <c r="A2" s="266" t="s">
        <v>1</v>
      </c>
      <c r="B2" s="266"/>
      <c r="C2" s="266"/>
      <c r="D2" s="266"/>
    </row>
    <row r="3" spans="1:4" ht="15.75">
      <c r="A3" s="266" t="s">
        <v>2</v>
      </c>
      <c r="B3" s="266"/>
      <c r="C3" s="266"/>
      <c r="D3" s="266"/>
    </row>
    <row r="4" spans="1:4" ht="12.75">
      <c r="A4" s="267" t="s">
        <v>137</v>
      </c>
      <c r="B4" s="267"/>
      <c r="C4" s="267"/>
      <c r="D4" s="267"/>
    </row>
    <row r="5" spans="1:4" ht="12.75">
      <c r="A5" s="268" t="s">
        <v>171</v>
      </c>
      <c r="B5" s="267"/>
      <c r="C5" s="267"/>
      <c r="D5" s="267"/>
    </row>
    <row r="6" ht="9" customHeight="1">
      <c r="A6" s="2"/>
    </row>
    <row r="7" spans="1:4" ht="18" customHeight="1">
      <c r="A7" s="269" t="s">
        <v>4</v>
      </c>
      <c r="B7" s="269"/>
      <c r="C7" s="269"/>
      <c r="D7" s="269"/>
    </row>
    <row r="8" spans="1:3" ht="12.75">
      <c r="A8" s="2" t="s">
        <v>256</v>
      </c>
      <c r="C8" s="3"/>
    </row>
    <row r="9" spans="1:4" ht="12.75">
      <c r="A9" s="4" t="s">
        <v>5</v>
      </c>
      <c r="B9" s="4" t="s">
        <v>6</v>
      </c>
      <c r="C9" s="4" t="s">
        <v>7</v>
      </c>
      <c r="D9" s="5"/>
    </row>
    <row r="10" spans="1:4" ht="12.75">
      <c r="A10" s="6">
        <v>1</v>
      </c>
      <c r="B10" s="6">
        <v>2</v>
      </c>
      <c r="C10" s="6">
        <v>3</v>
      </c>
      <c r="D10" s="7">
        <v>4</v>
      </c>
    </row>
    <row r="11" spans="1:4" ht="12.75">
      <c r="A11" s="8" t="s">
        <v>8</v>
      </c>
      <c r="B11" s="9"/>
      <c r="C11" s="177" t="s">
        <v>172</v>
      </c>
      <c r="D11" s="10"/>
    </row>
    <row r="12" spans="1:5" ht="12.75">
      <c r="A12" s="8" t="s">
        <v>10</v>
      </c>
      <c r="B12" s="9"/>
      <c r="C12" s="177" t="s">
        <v>173</v>
      </c>
      <c r="D12" s="10"/>
      <c r="E12" s="132"/>
    </row>
    <row r="13" spans="1:5" ht="12.75">
      <c r="A13" s="8" t="s">
        <v>12</v>
      </c>
      <c r="B13" s="9"/>
      <c r="C13" s="177" t="s">
        <v>174</v>
      </c>
      <c r="D13" s="10"/>
      <c r="E13" s="132"/>
    </row>
    <row r="14" spans="1:5" ht="31.5" customHeight="1">
      <c r="A14" s="259" t="s">
        <v>14</v>
      </c>
      <c r="B14" s="259"/>
      <c r="C14" s="259"/>
      <c r="D14" s="259"/>
      <c r="E14" s="132"/>
    </row>
    <row r="15" spans="1:5" ht="25.5">
      <c r="A15" s="11" t="s">
        <v>15</v>
      </c>
      <c r="B15" s="12" t="s">
        <v>16</v>
      </c>
      <c r="C15" s="13">
        <v>6182.93</v>
      </c>
      <c r="D15" s="14"/>
      <c r="E15" s="132"/>
    </row>
    <row r="16" spans="1:5" ht="15">
      <c r="A16" s="8" t="s">
        <v>17</v>
      </c>
      <c r="B16" s="12" t="s">
        <v>16</v>
      </c>
      <c r="C16" s="13">
        <v>0</v>
      </c>
      <c r="D16" s="14"/>
      <c r="E16" s="132"/>
    </row>
    <row r="17" spans="1:5" ht="15">
      <c r="A17" s="8" t="s">
        <v>18</v>
      </c>
      <c r="B17" s="12" t="s">
        <v>16</v>
      </c>
      <c r="C17" s="15">
        <v>1259.56</v>
      </c>
      <c r="D17" s="16"/>
      <c r="E17" s="132" t="e">
        <f>B17/12/1022.6</f>
        <v>#VALUE!</v>
      </c>
    </row>
    <row r="18" spans="1:5" ht="31.5" customHeight="1">
      <c r="A18" s="17" t="s">
        <v>19</v>
      </c>
      <c r="B18" s="12" t="s">
        <v>16</v>
      </c>
      <c r="C18" s="15">
        <v>7668.3</v>
      </c>
      <c r="D18" s="16"/>
      <c r="E18" s="133">
        <f>C18-C20</f>
        <v>6172.716</v>
      </c>
    </row>
    <row r="19" spans="1:5" ht="15">
      <c r="A19" s="8" t="s">
        <v>20</v>
      </c>
      <c r="B19" s="12" t="s">
        <v>16</v>
      </c>
      <c r="C19" s="15">
        <f>C18-C20-C21</f>
        <v>2793.804</v>
      </c>
      <c r="D19" s="16"/>
      <c r="E19" s="133">
        <f>E18-E39</f>
        <v>0</v>
      </c>
    </row>
    <row r="20" spans="1:5" ht="15">
      <c r="A20" s="8" t="s">
        <v>21</v>
      </c>
      <c r="B20" s="12" t="s">
        <v>16</v>
      </c>
      <c r="C20" s="15">
        <f>(1.74+2.58)*6*57.7</f>
        <v>1495.584</v>
      </c>
      <c r="D20" s="16"/>
      <c r="E20" s="134"/>
    </row>
    <row r="21" spans="1:5" ht="15">
      <c r="A21" s="8" t="s">
        <v>22</v>
      </c>
      <c r="B21" s="12" t="s">
        <v>16</v>
      </c>
      <c r="C21" s="20">
        <f>57.7*4.88*12</f>
        <v>3378.9120000000003</v>
      </c>
      <c r="D21" s="16"/>
      <c r="E21" s="132"/>
    </row>
    <row r="22" spans="1:5" ht="15">
      <c r="A22" s="21" t="s">
        <v>23</v>
      </c>
      <c r="B22" s="12" t="s">
        <v>16</v>
      </c>
      <c r="C22" s="15">
        <f>C23+C24+C25+C26+C27</f>
        <v>7638.3936300000005</v>
      </c>
      <c r="D22" s="16" t="s">
        <v>24</v>
      </c>
      <c r="E22" s="133" t="e">
        <f>B24+B25+B26+B27+B28</f>
        <v>#VALUE!</v>
      </c>
    </row>
    <row r="23" spans="1:5" ht="15">
      <c r="A23" s="8" t="s">
        <v>25</v>
      </c>
      <c r="B23" s="12" t="s">
        <v>16</v>
      </c>
      <c r="C23" s="15">
        <f>C18*0.9961</f>
        <v>7638.3936300000005</v>
      </c>
      <c r="D23" s="16"/>
      <c r="E23" s="132"/>
    </row>
    <row r="24" spans="1:8" ht="15">
      <c r="A24" s="8" t="s">
        <v>26</v>
      </c>
      <c r="B24" s="12" t="s">
        <v>16</v>
      </c>
      <c r="C24" s="15">
        <v>0</v>
      </c>
      <c r="D24" s="22">
        <v>65.21</v>
      </c>
      <c r="E24" s="134" t="e">
        <f>B24/#REF!*1</f>
        <v>#VALUE!</v>
      </c>
      <c r="H24" s="1" t="s">
        <v>27</v>
      </c>
    </row>
    <row r="25" spans="1:5" ht="15">
      <c r="A25" s="8" t="s">
        <v>28</v>
      </c>
      <c r="B25" s="12" t="s">
        <v>16</v>
      </c>
      <c r="C25" s="15">
        <v>0</v>
      </c>
      <c r="D25" s="22">
        <v>119.63</v>
      </c>
      <c r="E25" s="134" t="e">
        <f>B25/#REF!*1</f>
        <v>#VALUE!</v>
      </c>
    </row>
    <row r="26" spans="1:5" ht="15">
      <c r="A26" s="9" t="s">
        <v>29</v>
      </c>
      <c r="B26" s="12" t="s">
        <v>16</v>
      </c>
      <c r="C26" s="15">
        <v>0</v>
      </c>
      <c r="D26" s="22"/>
      <c r="E26" s="134" t="e">
        <f>B26/#REF!*1</f>
        <v>#VALUE!</v>
      </c>
    </row>
    <row r="27" spans="1:5" ht="16.5" customHeight="1">
      <c r="A27" s="116" t="s">
        <v>112</v>
      </c>
      <c r="B27" s="12" t="s">
        <v>16</v>
      </c>
      <c r="C27" s="15">
        <v>0</v>
      </c>
      <c r="D27" s="22">
        <v>139.18</v>
      </c>
      <c r="E27" s="134" t="e">
        <f>B27/#REF!*1</f>
        <v>#VALUE!</v>
      </c>
    </row>
    <row r="28" spans="1:5" ht="15">
      <c r="A28" s="8" t="s">
        <v>31</v>
      </c>
      <c r="B28" s="12" t="s">
        <v>16</v>
      </c>
      <c r="C28" s="15">
        <f>C15+C22</f>
        <v>13821.32363</v>
      </c>
      <c r="D28" s="16" t="s">
        <v>32</v>
      </c>
      <c r="E28" s="134" t="e">
        <f>B28/#REF!*1</f>
        <v>#VALUE!</v>
      </c>
    </row>
    <row r="29" spans="1:5" ht="35.25" customHeight="1">
      <c r="A29" s="260" t="s">
        <v>33</v>
      </c>
      <c r="B29" s="260"/>
      <c r="C29" s="260"/>
      <c r="D29" s="260"/>
      <c r="E29" s="132"/>
    </row>
    <row r="30" spans="1:5" ht="60">
      <c r="A30" s="23" t="s">
        <v>34</v>
      </c>
      <c r="B30" s="24" t="s">
        <v>35</v>
      </c>
      <c r="C30" s="25" t="s">
        <v>36</v>
      </c>
      <c r="D30" s="26" t="s">
        <v>37</v>
      </c>
      <c r="E30" s="132"/>
    </row>
    <row r="31" spans="1:5" ht="15">
      <c r="A31" s="27" t="s">
        <v>38</v>
      </c>
      <c r="B31" s="28" t="s">
        <v>39</v>
      </c>
      <c r="C31" s="29" t="s">
        <v>40</v>
      </c>
      <c r="D31" s="107">
        <f>(0.17+0.16)*6*57.7</f>
        <v>114.24600000000001</v>
      </c>
      <c r="E31" s="132"/>
    </row>
    <row r="32" spans="1:5" ht="15">
      <c r="A32" s="31" t="s">
        <v>41</v>
      </c>
      <c r="B32" s="32" t="s">
        <v>42</v>
      </c>
      <c r="C32" s="33" t="s">
        <v>43</v>
      </c>
      <c r="D32" s="34">
        <f>(3.03+3)*6*57.7</f>
        <v>2087.586</v>
      </c>
      <c r="E32" s="132"/>
    </row>
    <row r="33" spans="1:5" ht="15">
      <c r="A33" s="31" t="s">
        <v>44</v>
      </c>
      <c r="B33" s="32" t="s">
        <v>39</v>
      </c>
      <c r="C33" s="33" t="s">
        <v>45</v>
      </c>
      <c r="D33" s="108">
        <f>(0.2+0.21)*6*57.7</f>
        <v>141.942</v>
      </c>
      <c r="E33" s="132"/>
    </row>
    <row r="34" spans="1:5" ht="15">
      <c r="A34" s="31" t="s">
        <v>123</v>
      </c>
      <c r="B34" s="32" t="s">
        <v>39</v>
      </c>
      <c r="C34" s="33" t="s">
        <v>40</v>
      </c>
      <c r="D34" s="108">
        <v>0</v>
      </c>
      <c r="E34" s="132"/>
    </row>
    <row r="35" spans="1:5" ht="15">
      <c r="A35" s="31" t="s">
        <v>90</v>
      </c>
      <c r="B35" s="106" t="s">
        <v>91</v>
      </c>
      <c r="C35" s="33" t="s">
        <v>40</v>
      </c>
      <c r="D35" s="108">
        <v>0</v>
      </c>
      <c r="E35" s="132"/>
    </row>
    <row r="36" spans="1:5" ht="15">
      <c r="A36" s="31" t="s">
        <v>46</v>
      </c>
      <c r="B36" s="32" t="s">
        <v>42</v>
      </c>
      <c r="C36" s="35" t="s">
        <v>47</v>
      </c>
      <c r="D36" s="108">
        <f>4.88*57.7*12</f>
        <v>3378.9120000000003</v>
      </c>
      <c r="E36" s="132"/>
    </row>
    <row r="37" spans="1:14" s="1" customFormat="1" ht="45">
      <c r="A37" s="36" t="s">
        <v>48</v>
      </c>
      <c r="B37" s="37" t="s">
        <v>49</v>
      </c>
      <c r="C37" s="29"/>
      <c r="D37" s="39">
        <v>0</v>
      </c>
      <c r="E37" s="132"/>
      <c r="K37"/>
      <c r="L37"/>
      <c r="M37"/>
      <c r="N37"/>
    </row>
    <row r="38" spans="1:14" s="1" customFormat="1" ht="45">
      <c r="A38" s="109" t="s">
        <v>95</v>
      </c>
      <c r="B38" s="110" t="s">
        <v>96</v>
      </c>
      <c r="C38" s="29" t="s">
        <v>97</v>
      </c>
      <c r="D38" s="112">
        <v>450.03</v>
      </c>
      <c r="E38" s="132"/>
      <c r="K38"/>
      <c r="L38"/>
      <c r="M38"/>
      <c r="N38"/>
    </row>
    <row r="39" spans="1:14" s="1" customFormat="1" ht="15.75">
      <c r="A39" s="40" t="s">
        <v>50</v>
      </c>
      <c r="B39" s="41"/>
      <c r="C39" s="42"/>
      <c r="D39" s="113">
        <f>SUM(D31:D38)</f>
        <v>6172.715999999999</v>
      </c>
      <c r="E39" s="135">
        <f>D39-D37</f>
        <v>6172.715999999999</v>
      </c>
      <c r="K39"/>
      <c r="L39"/>
      <c r="M39"/>
      <c r="N39"/>
    </row>
    <row r="40" spans="1:14" s="1" customFormat="1" ht="15">
      <c r="A40" s="43" t="s">
        <v>51</v>
      </c>
      <c r="B40" s="44" t="s">
        <v>16</v>
      </c>
      <c r="C40" s="45"/>
      <c r="D40" s="46">
        <f>C15+C20*0.9961-D37</f>
        <v>7672.6812224000005</v>
      </c>
      <c r="E40" s="135"/>
      <c r="K40"/>
      <c r="L40"/>
      <c r="M40"/>
      <c r="N40"/>
    </row>
    <row r="41" spans="1:14" s="1" customFormat="1" ht="15">
      <c r="A41" s="48" t="s">
        <v>17</v>
      </c>
      <c r="B41" s="49" t="s">
        <v>16</v>
      </c>
      <c r="C41" s="33"/>
      <c r="D41" s="14"/>
      <c r="E41" s="132"/>
      <c r="K41"/>
      <c r="L41"/>
      <c r="M41"/>
      <c r="N41"/>
    </row>
    <row r="42" spans="1:14" s="1" customFormat="1" ht="15">
      <c r="A42" s="48" t="s">
        <v>18</v>
      </c>
      <c r="B42" s="49" t="s">
        <v>16</v>
      </c>
      <c r="C42" s="33"/>
      <c r="D42" s="14">
        <v>654</v>
      </c>
      <c r="E42" s="62"/>
      <c r="K42"/>
      <c r="L42"/>
      <c r="M42"/>
      <c r="N42"/>
    </row>
    <row r="43" spans="1:14" s="1" customFormat="1" ht="24" customHeight="1">
      <c r="A43" s="261" t="s">
        <v>52</v>
      </c>
      <c r="B43" s="261"/>
      <c r="C43" s="261"/>
      <c r="D43" s="261"/>
      <c r="E43" s="62"/>
      <c r="K43"/>
      <c r="L43"/>
      <c r="M43"/>
      <c r="N43"/>
    </row>
    <row r="44" spans="1:14" s="1" customFormat="1" ht="15">
      <c r="A44" s="48" t="s">
        <v>53</v>
      </c>
      <c r="B44" s="32" t="s">
        <v>54</v>
      </c>
      <c r="C44" s="33">
        <v>0</v>
      </c>
      <c r="D44" s="14">
        <v>0</v>
      </c>
      <c r="E44" s="132"/>
      <c r="K44"/>
      <c r="L44"/>
      <c r="M44"/>
      <c r="N44"/>
    </row>
    <row r="45" spans="1:14" s="1" customFormat="1" ht="15">
      <c r="A45" s="48" t="s">
        <v>55</v>
      </c>
      <c r="B45" s="32" t="s">
        <v>54</v>
      </c>
      <c r="C45" s="33">
        <v>0</v>
      </c>
      <c r="D45" s="14">
        <v>0</v>
      </c>
      <c r="E45" s="132"/>
      <c r="K45"/>
      <c r="L45"/>
      <c r="M45"/>
      <c r="N45"/>
    </row>
    <row r="46" spans="1:14" s="1" customFormat="1" ht="15">
      <c r="A46" s="50" t="s">
        <v>56</v>
      </c>
      <c r="B46" s="32" t="s">
        <v>54</v>
      </c>
      <c r="C46" s="33">
        <v>0</v>
      </c>
      <c r="D46" s="14">
        <v>0</v>
      </c>
      <c r="E46" s="132"/>
      <c r="K46"/>
      <c r="L46"/>
      <c r="M46"/>
      <c r="N46"/>
    </row>
    <row r="47" spans="1:14" s="1" customFormat="1" ht="15">
      <c r="A47" s="48" t="s">
        <v>57</v>
      </c>
      <c r="B47" s="32" t="s">
        <v>16</v>
      </c>
      <c r="C47" s="33">
        <v>0</v>
      </c>
      <c r="D47" s="14">
        <v>0</v>
      </c>
      <c r="E47" s="132"/>
      <c r="K47"/>
      <c r="L47"/>
      <c r="M47"/>
      <c r="N47"/>
    </row>
    <row r="48" spans="1:5" ht="20.25" customHeight="1">
      <c r="A48" s="262" t="s">
        <v>58</v>
      </c>
      <c r="B48" s="262"/>
      <c r="C48" s="262"/>
      <c r="D48" s="262"/>
      <c r="E48" s="132"/>
    </row>
    <row r="49" spans="1:5" ht="25.5">
      <c r="A49" s="50" t="s">
        <v>59</v>
      </c>
      <c r="B49" s="32" t="s">
        <v>16</v>
      </c>
      <c r="C49" s="33"/>
      <c r="D49" s="14">
        <v>0</v>
      </c>
      <c r="E49" s="132"/>
    </row>
    <row r="50" spans="1:5" ht="15">
      <c r="A50" s="48" t="s">
        <v>17</v>
      </c>
      <c r="B50" s="32" t="s">
        <v>16</v>
      </c>
      <c r="C50" s="33"/>
      <c r="D50" s="14">
        <v>0</v>
      </c>
      <c r="E50" s="132"/>
    </row>
    <row r="51" spans="1:8" ht="15">
      <c r="A51" s="48" t="s">
        <v>18</v>
      </c>
      <c r="B51" s="32" t="s">
        <v>16</v>
      </c>
      <c r="C51" s="33"/>
      <c r="D51" s="51">
        <f>D54-D57-D58-D59-D60</f>
        <v>323.13668800000016</v>
      </c>
      <c r="E51" s="132"/>
      <c r="H51" s="52"/>
    </row>
    <row r="52" spans="1:5" ht="25.5">
      <c r="A52" s="53" t="s">
        <v>60</v>
      </c>
      <c r="B52" s="32" t="s">
        <v>16</v>
      </c>
      <c r="C52" s="54"/>
      <c r="D52" s="55">
        <v>0</v>
      </c>
      <c r="E52" s="132"/>
    </row>
    <row r="53" spans="1:10" ht="17.25" customHeight="1">
      <c r="A53" s="56" t="s">
        <v>17</v>
      </c>
      <c r="B53" s="32" t="s">
        <v>16</v>
      </c>
      <c r="C53" s="33"/>
      <c r="D53" s="14">
        <v>0</v>
      </c>
      <c r="E53" s="132"/>
      <c r="I53" s="52"/>
      <c r="J53" s="52"/>
    </row>
    <row r="54" spans="1:14" ht="15">
      <c r="A54" s="59" t="s">
        <v>18</v>
      </c>
      <c r="B54" s="32" t="s">
        <v>16</v>
      </c>
      <c r="C54" s="60"/>
      <c r="D54" s="61">
        <v>338.62</v>
      </c>
      <c r="E54" s="132"/>
      <c r="H54" s="1" t="s">
        <v>32</v>
      </c>
      <c r="I54" s="63"/>
      <c r="J54" s="63"/>
      <c r="K54" s="64"/>
      <c r="L54" s="64"/>
      <c r="M54" s="64"/>
      <c r="N54" s="64"/>
    </row>
    <row r="55" spans="1:14" ht="18" customHeight="1">
      <c r="A55" s="263" t="s">
        <v>61</v>
      </c>
      <c r="B55" s="263"/>
      <c r="C55" s="263"/>
      <c r="D55" s="263"/>
      <c r="E55" s="137"/>
      <c r="F55" s="66"/>
      <c r="G55" s="67"/>
      <c r="I55" s="68"/>
      <c r="J55" s="68"/>
      <c r="K55" s="69"/>
      <c r="L55" s="69"/>
      <c r="M55" s="69"/>
      <c r="N55" s="69"/>
    </row>
    <row r="56" spans="1:14" ht="47.25">
      <c r="A56" s="70" t="s">
        <v>62</v>
      </c>
      <c r="B56" s="71" t="s">
        <v>63</v>
      </c>
      <c r="C56" s="72" t="s">
        <v>64</v>
      </c>
      <c r="D56" s="73" t="s">
        <v>65</v>
      </c>
      <c r="E56" s="137"/>
      <c r="F56" s="66"/>
      <c r="G56" s="67"/>
      <c r="I56" s="68"/>
      <c r="J56" s="74"/>
      <c r="K56" s="69"/>
      <c r="L56" s="69"/>
      <c r="M56" s="69"/>
      <c r="N56" s="69"/>
    </row>
    <row r="57" spans="1:14" ht="15">
      <c r="A57" s="75" t="s">
        <v>66</v>
      </c>
      <c r="B57" s="117">
        <v>3970.08</v>
      </c>
      <c r="C57" s="118">
        <f>B57*0.9961</f>
        <v>3954.596688</v>
      </c>
      <c r="D57" s="119">
        <f>B57-C57</f>
        <v>15.483311999999842</v>
      </c>
      <c r="E57" s="140"/>
      <c r="F57" s="66"/>
      <c r="G57" s="67"/>
      <c r="I57" s="68"/>
      <c r="J57" s="68"/>
      <c r="K57" s="69"/>
      <c r="L57" s="69"/>
      <c r="M57" s="69"/>
      <c r="N57" s="69"/>
    </row>
    <row r="58" spans="1:14" ht="15">
      <c r="A58" s="75" t="s">
        <v>67</v>
      </c>
      <c r="B58" s="117">
        <v>0</v>
      </c>
      <c r="C58" s="118">
        <f>B58*0.8884</f>
        <v>0</v>
      </c>
      <c r="D58" s="119">
        <f>B58-C58</f>
        <v>0</v>
      </c>
      <c r="E58" s="137"/>
      <c r="F58" s="66"/>
      <c r="G58" s="67"/>
      <c r="I58" s="68"/>
      <c r="J58" s="68"/>
      <c r="K58" s="69"/>
      <c r="L58" s="69"/>
      <c r="M58" s="69"/>
      <c r="N58" s="69"/>
    </row>
    <row r="59" spans="1:14" ht="15">
      <c r="A59" s="75" t="s">
        <v>68</v>
      </c>
      <c r="B59" s="120">
        <v>0</v>
      </c>
      <c r="C59" s="118">
        <f>B59*0.8884</f>
        <v>0</v>
      </c>
      <c r="D59" s="119">
        <f>B59-C59</f>
        <v>0</v>
      </c>
      <c r="E59" s="137">
        <f>(2.07+1.8)*6*2301.2-0.37*2301.2*6</f>
        <v>48325.2</v>
      </c>
      <c r="F59" s="81"/>
      <c r="G59" s="82"/>
      <c r="H59" s="65"/>
      <c r="I59" s="68"/>
      <c r="J59" s="68"/>
      <c r="K59" s="69"/>
      <c r="L59" s="69"/>
      <c r="M59" s="69"/>
      <c r="N59" s="69"/>
    </row>
    <row r="60" spans="1:14" ht="15.75" thickBot="1">
      <c r="A60" s="150" t="s">
        <v>69</v>
      </c>
      <c r="B60" s="151">
        <v>0</v>
      </c>
      <c r="C60" s="152">
        <f>B60*0.8884</f>
        <v>0</v>
      </c>
      <c r="D60" s="153">
        <f>B60-C60</f>
        <v>0</v>
      </c>
      <c r="E60" s="137"/>
      <c r="F60" s="81"/>
      <c r="G60" s="82"/>
      <c r="I60" s="68"/>
      <c r="J60" s="68"/>
      <c r="K60" s="69"/>
      <c r="L60" s="69"/>
      <c r="M60" s="69"/>
      <c r="N60" s="69"/>
    </row>
    <row r="61" spans="1:14" ht="63">
      <c r="A61" s="154" t="s">
        <v>70</v>
      </c>
      <c r="B61" s="155" t="s">
        <v>71</v>
      </c>
      <c r="C61" s="156" t="s">
        <v>72</v>
      </c>
      <c r="D61" s="157" t="s">
        <v>73</v>
      </c>
      <c r="E61" s="137"/>
      <c r="F61" s="81"/>
      <c r="H61" s="68"/>
      <c r="I61" s="68"/>
      <c r="J61" s="68"/>
      <c r="K61" s="69"/>
      <c r="L61" s="69"/>
      <c r="M61" s="69"/>
      <c r="N61" s="69"/>
    </row>
    <row r="62" spans="1:14" ht="15">
      <c r="A62" s="158" t="s">
        <v>66</v>
      </c>
      <c r="B62" s="124">
        <f>B57</f>
        <v>3970.08</v>
      </c>
      <c r="C62" s="125">
        <f>C57</f>
        <v>3954.596688</v>
      </c>
      <c r="D62" s="159">
        <f>B62-C62</f>
        <v>15.483311999999842</v>
      </c>
      <c r="E62" s="137"/>
      <c r="F62" s="81"/>
      <c r="H62" s="68"/>
      <c r="I62" s="68"/>
      <c r="J62" s="68" t="s">
        <v>32</v>
      </c>
      <c r="K62" s="69"/>
      <c r="L62" s="69"/>
      <c r="M62" s="69"/>
      <c r="N62" s="69"/>
    </row>
    <row r="63" spans="1:14" ht="15">
      <c r="A63" s="158" t="s">
        <v>67</v>
      </c>
      <c r="B63" s="124">
        <v>0</v>
      </c>
      <c r="C63" s="125">
        <v>0</v>
      </c>
      <c r="D63" s="159">
        <f>B63-C63</f>
        <v>0</v>
      </c>
      <c r="E63" s="137"/>
      <c r="F63" s="81"/>
      <c r="H63" s="68"/>
      <c r="I63" s="68"/>
      <c r="J63" s="68"/>
      <c r="K63" s="69"/>
      <c r="L63" s="69"/>
      <c r="M63" s="69"/>
      <c r="N63" s="69"/>
    </row>
    <row r="64" spans="1:14" ht="15">
      <c r="A64" s="158" t="s">
        <v>68</v>
      </c>
      <c r="B64" s="124">
        <v>0</v>
      </c>
      <c r="C64" s="125">
        <v>0</v>
      </c>
      <c r="D64" s="159">
        <f>B64-C64</f>
        <v>0</v>
      </c>
      <c r="E64" s="137"/>
      <c r="F64" s="81"/>
      <c r="H64" s="68"/>
      <c r="I64" s="68"/>
      <c r="J64" s="68"/>
      <c r="K64" s="69"/>
      <c r="L64" s="69"/>
      <c r="M64" s="69"/>
      <c r="N64" s="69"/>
    </row>
    <row r="65" spans="1:14" ht="15">
      <c r="A65" s="158" t="s">
        <v>74</v>
      </c>
      <c r="B65" s="124">
        <v>0</v>
      </c>
      <c r="C65" s="125">
        <v>0</v>
      </c>
      <c r="D65" s="159">
        <f>B65-C65</f>
        <v>0</v>
      </c>
      <c r="E65" s="137"/>
      <c r="F65" s="81"/>
      <c r="H65" s="68"/>
      <c r="I65" s="68"/>
      <c r="J65" s="68"/>
      <c r="K65" s="69"/>
      <c r="L65" s="69"/>
      <c r="M65" s="69"/>
      <c r="N65" s="69"/>
    </row>
    <row r="66" spans="1:14" ht="15.75" thickBot="1">
      <c r="A66" s="160" t="s">
        <v>69</v>
      </c>
      <c r="B66" s="161">
        <v>0</v>
      </c>
      <c r="C66" s="162">
        <v>0</v>
      </c>
      <c r="D66" s="163">
        <f>B66-C66</f>
        <v>0</v>
      </c>
      <c r="E66" s="137"/>
      <c r="F66" s="81"/>
      <c r="H66" s="68" t="s">
        <v>32</v>
      </c>
      <c r="I66" s="68"/>
      <c r="J66" s="68"/>
      <c r="K66" s="69"/>
      <c r="L66" s="69"/>
      <c r="M66" s="69"/>
      <c r="N66" s="69"/>
    </row>
    <row r="67" spans="1:14" ht="15">
      <c r="A67" s="91"/>
      <c r="B67" s="87"/>
      <c r="C67" s="92"/>
      <c r="D67" s="93"/>
      <c r="E67" s="137"/>
      <c r="F67" s="81"/>
      <c r="H67" s="68"/>
      <c r="I67" s="68"/>
      <c r="J67" s="68"/>
      <c r="K67" s="69"/>
      <c r="L67" s="69"/>
      <c r="M67" s="69"/>
      <c r="N67" s="69"/>
    </row>
    <row r="68" spans="1:14" ht="25.5">
      <c r="A68" s="94" t="s">
        <v>75</v>
      </c>
      <c r="B68" s="87" t="s">
        <v>16</v>
      </c>
      <c r="C68" s="95"/>
      <c r="D68" s="96"/>
      <c r="E68" s="137"/>
      <c r="F68" s="81"/>
      <c r="H68" s="68"/>
      <c r="I68" s="68"/>
      <c r="J68" s="68" t="s">
        <v>32</v>
      </c>
      <c r="K68" s="69"/>
      <c r="L68" s="69"/>
      <c r="M68" s="69"/>
      <c r="N68" s="69"/>
    </row>
    <row r="69" spans="1:14" ht="17.25" customHeight="1">
      <c r="A69" s="264" t="s">
        <v>76</v>
      </c>
      <c r="B69" s="264"/>
      <c r="C69" s="264"/>
      <c r="D69" s="264"/>
      <c r="E69" s="144" t="e">
        <f>D69+B19</f>
        <v>#VALUE!</v>
      </c>
      <c r="F69" s="68"/>
      <c r="H69" s="98" t="e">
        <f>E69-B18</f>
        <v>#VALUE!</v>
      </c>
      <c r="I69" s="68"/>
      <c r="J69" s="68"/>
      <c r="K69" s="69"/>
      <c r="L69" s="69"/>
      <c r="M69" s="69"/>
      <c r="N69" s="69"/>
    </row>
    <row r="70" spans="1:5" ht="21" customHeight="1">
      <c r="A70" s="99" t="s">
        <v>53</v>
      </c>
      <c r="B70" s="99" t="s">
        <v>54</v>
      </c>
      <c r="C70" s="100">
        <v>0</v>
      </c>
      <c r="D70" s="101"/>
      <c r="E70" s="146"/>
    </row>
    <row r="71" spans="1:5" ht="21" customHeight="1">
      <c r="A71" s="99" t="s">
        <v>55</v>
      </c>
      <c r="B71" s="99" t="s">
        <v>54</v>
      </c>
      <c r="C71" s="99">
        <v>0</v>
      </c>
      <c r="D71" s="101"/>
      <c r="E71" s="146"/>
    </row>
    <row r="72" spans="1:5" ht="18" customHeight="1">
      <c r="A72" s="99" t="s">
        <v>56</v>
      </c>
      <c r="B72" s="99" t="s">
        <v>54</v>
      </c>
      <c r="C72" s="99">
        <v>0</v>
      </c>
      <c r="D72" s="101"/>
      <c r="E72" s="146"/>
    </row>
    <row r="73" spans="1:5" ht="16.5" customHeight="1">
      <c r="A73" s="99" t="s">
        <v>57</v>
      </c>
      <c r="B73" s="99" t="s">
        <v>16</v>
      </c>
      <c r="C73" s="99">
        <v>0</v>
      </c>
      <c r="D73" s="101"/>
      <c r="E73" s="146"/>
    </row>
    <row r="74" spans="1:5" ht="15.75" customHeight="1">
      <c r="A74" s="258" t="s">
        <v>77</v>
      </c>
      <c r="B74" s="258"/>
      <c r="C74" s="258"/>
      <c r="D74" s="258"/>
      <c r="E74" s="146"/>
    </row>
    <row r="75" spans="1:5" ht="18.75" customHeight="1">
      <c r="A75" s="99" t="s">
        <v>78</v>
      </c>
      <c r="B75" s="99" t="s">
        <v>54</v>
      </c>
      <c r="C75" s="99">
        <v>1</v>
      </c>
      <c r="D75" s="101"/>
      <c r="E75" s="146"/>
    </row>
    <row r="76" spans="1:5" ht="21.75" customHeight="1">
      <c r="A76" s="99" t="s">
        <v>79</v>
      </c>
      <c r="B76" s="56" t="s">
        <v>54</v>
      </c>
      <c r="C76" s="56">
        <v>0</v>
      </c>
      <c r="D76" s="101"/>
      <c r="E76" s="146"/>
    </row>
    <row r="77" spans="1:5" ht="36" customHeight="1">
      <c r="A77" s="103" t="s">
        <v>80</v>
      </c>
      <c r="B77" s="99" t="s">
        <v>16</v>
      </c>
      <c r="C77" s="99">
        <v>3373.56</v>
      </c>
      <c r="D77" s="101"/>
      <c r="E77" s="146"/>
    </row>
    <row r="78" spans="1:5" ht="15">
      <c r="A78" s="69"/>
      <c r="B78" s="69"/>
      <c r="C78" s="69"/>
      <c r="D78" s="104"/>
      <c r="E78" s="132"/>
    </row>
    <row r="79" spans="1:14" s="1" customFormat="1" ht="12.75">
      <c r="A79"/>
      <c r="B79"/>
      <c r="C79"/>
      <c r="D79"/>
      <c r="H79" s="1" t="s">
        <v>32</v>
      </c>
      <c r="K79"/>
      <c r="L79"/>
      <c r="M79"/>
      <c r="N79"/>
    </row>
    <row r="80" spans="1:14" s="1" customFormat="1" ht="12.75">
      <c r="A80" t="s">
        <v>81</v>
      </c>
      <c r="B80"/>
      <c r="C80"/>
      <c r="D80"/>
      <c r="K80"/>
      <c r="L80"/>
      <c r="M80"/>
      <c r="N80"/>
    </row>
    <row r="81" spans="1:14" s="1" customFormat="1" ht="12.75">
      <c r="A81"/>
      <c r="B81"/>
      <c r="C81"/>
      <c r="D81"/>
      <c r="H81" s="1" t="s">
        <v>32</v>
      </c>
      <c r="K81"/>
      <c r="L81"/>
      <c r="M81"/>
      <c r="N81"/>
    </row>
    <row r="82" spans="1:14" s="1" customFormat="1" ht="12.75">
      <c r="A82" t="s">
        <v>82</v>
      </c>
      <c r="B82"/>
      <c r="C82"/>
      <c r="D82"/>
      <c r="K82"/>
      <c r="L82"/>
      <c r="M82"/>
      <c r="N82"/>
    </row>
    <row r="86" spans="1:14" s="1" customFormat="1" ht="12.75">
      <c r="A86"/>
      <c r="B86"/>
      <c r="C86"/>
      <c r="D86"/>
      <c r="E86" s="1" t="s">
        <v>32</v>
      </c>
      <c r="K86"/>
      <c r="L86"/>
      <c r="M86"/>
      <c r="N86"/>
    </row>
  </sheetData>
  <sheetProtection selectLockedCells="1" selectUnlockedCells="1"/>
  <mergeCells count="13">
    <mergeCell ref="A1:D1"/>
    <mergeCell ref="A2:D2"/>
    <mergeCell ref="A3:D3"/>
    <mergeCell ref="A4:D4"/>
    <mergeCell ref="A5:D5"/>
    <mergeCell ref="A7:D7"/>
    <mergeCell ref="A74:D74"/>
    <mergeCell ref="A14:D14"/>
    <mergeCell ref="A29:D29"/>
    <mergeCell ref="A43:D43"/>
    <mergeCell ref="A48:D48"/>
    <mergeCell ref="A55:D55"/>
    <mergeCell ref="A69:D69"/>
  </mergeCells>
  <printOptions/>
  <pageMargins left="0.5597222222222222" right="0.7875" top="0.34097222222222223" bottom="0.7875" header="0.5118055555555555" footer="0.5118055555555555"/>
  <pageSetup fitToHeight="3" fitToWidth="2" horizontalDpi="300" verticalDpi="300" orientation="landscape" paperSize="12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6"/>
  <sheetViews>
    <sheetView zoomScale="80" zoomScaleNormal="80" zoomScalePageLayoutView="0" workbookViewId="0" topLeftCell="A46">
      <selection activeCell="E18" sqref="E18:E20"/>
    </sheetView>
  </sheetViews>
  <sheetFormatPr defaultColWidth="11.57421875" defaultRowHeight="12.75"/>
  <cols>
    <col min="1" max="1" width="63.28125" style="0" customWidth="1"/>
    <col min="2" max="2" width="20.28125" style="0" customWidth="1"/>
    <col min="3" max="3" width="31.421875" style="0" customWidth="1"/>
    <col min="4" max="4" width="27.57421875" style="0" customWidth="1"/>
    <col min="5" max="5" width="16.8515625" style="1" customWidth="1"/>
    <col min="6" max="7" width="0" style="1" hidden="1" customWidth="1"/>
    <col min="8" max="8" width="11.57421875" style="1" customWidth="1"/>
    <col min="9" max="9" width="5.28125" style="1" customWidth="1"/>
    <col min="10" max="10" width="30.00390625" style="1" customWidth="1"/>
    <col min="11" max="12" width="23.28125" style="0" customWidth="1"/>
    <col min="13" max="13" width="6.57421875" style="0" customWidth="1"/>
    <col min="14" max="14" width="7.00390625" style="0" customWidth="1"/>
  </cols>
  <sheetData>
    <row r="1" spans="1:4" ht="18">
      <c r="A1" s="265" t="s">
        <v>0</v>
      </c>
      <c r="B1" s="265"/>
      <c r="C1" s="265"/>
      <c r="D1" s="265"/>
    </row>
    <row r="2" spans="1:4" ht="15.75">
      <c r="A2" s="266" t="s">
        <v>1</v>
      </c>
      <c r="B2" s="266"/>
      <c r="C2" s="266"/>
      <c r="D2" s="266"/>
    </row>
    <row r="3" spans="1:4" ht="15.75">
      <c r="A3" s="266" t="s">
        <v>2</v>
      </c>
      <c r="B3" s="266"/>
      <c r="C3" s="266"/>
      <c r="D3" s="266"/>
    </row>
    <row r="4" spans="1:4" ht="12.75">
      <c r="A4" s="267" t="s">
        <v>138</v>
      </c>
      <c r="B4" s="267"/>
      <c r="C4" s="267"/>
      <c r="D4" s="267"/>
    </row>
    <row r="5" spans="1:4" ht="12.75">
      <c r="A5" s="268" t="s">
        <v>171</v>
      </c>
      <c r="B5" s="267"/>
      <c r="C5" s="267"/>
      <c r="D5" s="267"/>
    </row>
    <row r="6" ht="9" customHeight="1">
      <c r="A6" s="2"/>
    </row>
    <row r="7" spans="1:4" ht="18" customHeight="1">
      <c r="A7" s="269" t="s">
        <v>4</v>
      </c>
      <c r="B7" s="269"/>
      <c r="C7" s="269"/>
      <c r="D7" s="269"/>
    </row>
    <row r="8" spans="1:3" ht="12.75">
      <c r="A8" s="2" t="s">
        <v>257</v>
      </c>
      <c r="C8" s="3"/>
    </row>
    <row r="9" spans="1:4" ht="12.75">
      <c r="A9" s="4" t="s">
        <v>5</v>
      </c>
      <c r="B9" s="4" t="s">
        <v>6</v>
      </c>
      <c r="C9" s="4" t="s">
        <v>7</v>
      </c>
      <c r="D9" s="5"/>
    </row>
    <row r="10" spans="1:4" ht="12.75">
      <c r="A10" s="6">
        <v>1</v>
      </c>
      <c r="B10" s="6">
        <v>2</v>
      </c>
      <c r="C10" s="6">
        <v>3</v>
      </c>
      <c r="D10" s="7">
        <v>4</v>
      </c>
    </row>
    <row r="11" spans="1:4" ht="12.75">
      <c r="A11" s="8" t="s">
        <v>8</v>
      </c>
      <c r="B11" s="9"/>
      <c r="C11" s="177" t="s">
        <v>172</v>
      </c>
      <c r="D11" s="10"/>
    </row>
    <row r="12" spans="1:4" ht="12.75">
      <c r="A12" s="8" t="s">
        <v>10</v>
      </c>
      <c r="B12" s="9"/>
      <c r="C12" s="177" t="s">
        <v>173</v>
      </c>
      <c r="D12" s="10"/>
    </row>
    <row r="13" spans="1:8" ht="12.75">
      <c r="A13" s="8" t="s">
        <v>12</v>
      </c>
      <c r="B13" s="9"/>
      <c r="C13" s="177" t="s">
        <v>174</v>
      </c>
      <c r="D13" s="10"/>
      <c r="E13" s="132"/>
      <c r="F13" s="132"/>
      <c r="G13" s="132"/>
      <c r="H13" s="132"/>
    </row>
    <row r="14" spans="1:8" ht="31.5" customHeight="1">
      <c r="A14" s="259" t="s">
        <v>14</v>
      </c>
      <c r="B14" s="259"/>
      <c r="C14" s="259"/>
      <c r="D14" s="259"/>
      <c r="E14" s="132"/>
      <c r="F14" s="132"/>
      <c r="G14" s="132"/>
      <c r="H14" s="132"/>
    </row>
    <row r="15" spans="1:8" ht="25.5">
      <c r="A15" s="11" t="s">
        <v>15</v>
      </c>
      <c r="B15" s="12" t="s">
        <v>16</v>
      </c>
      <c r="C15" s="13">
        <v>10295.65</v>
      </c>
      <c r="D15" s="14"/>
      <c r="E15" s="132"/>
      <c r="F15" s="132"/>
      <c r="G15" s="132"/>
      <c r="H15" s="132"/>
    </row>
    <row r="16" spans="1:8" ht="15">
      <c r="A16" s="8" t="s">
        <v>17</v>
      </c>
      <c r="B16" s="12" t="s">
        <v>16</v>
      </c>
      <c r="C16" s="13">
        <v>0</v>
      </c>
      <c r="D16" s="14"/>
      <c r="E16" s="132"/>
      <c r="F16" s="132"/>
      <c r="G16" s="132"/>
      <c r="H16" s="132"/>
    </row>
    <row r="17" spans="1:8" ht="15">
      <c r="A17" s="8" t="s">
        <v>18</v>
      </c>
      <c r="B17" s="12" t="s">
        <v>16</v>
      </c>
      <c r="C17" s="15">
        <v>36879.56</v>
      </c>
      <c r="D17" s="16"/>
      <c r="E17" s="132" t="e">
        <f>B17/12/1022.6</f>
        <v>#VALUE!</v>
      </c>
      <c r="F17" s="132"/>
      <c r="G17" s="132"/>
      <c r="H17" s="132"/>
    </row>
    <row r="18" spans="1:8" ht="31.5" customHeight="1">
      <c r="A18" s="17" t="s">
        <v>19</v>
      </c>
      <c r="B18" s="12" t="s">
        <v>16</v>
      </c>
      <c r="C18" s="15">
        <v>16578.72</v>
      </c>
      <c r="D18" s="16"/>
      <c r="E18" s="133">
        <f>C18-C20</f>
        <v>12090.240000000002</v>
      </c>
      <c r="F18" s="132"/>
      <c r="G18" s="132"/>
      <c r="H18" s="132"/>
    </row>
    <row r="19" spans="1:8" ht="15">
      <c r="A19" s="8" t="s">
        <v>20</v>
      </c>
      <c r="B19" s="12" t="s">
        <v>16</v>
      </c>
      <c r="C19" s="15">
        <f>C18-C20-C21</f>
        <v>6468.480000000001</v>
      </c>
      <c r="D19" s="16"/>
      <c r="E19" s="133">
        <f>E18-E39</f>
        <v>0</v>
      </c>
      <c r="F19" s="132"/>
      <c r="G19" s="132"/>
      <c r="H19" s="132"/>
    </row>
    <row r="20" spans="1:8" ht="15">
      <c r="A20" s="8" t="s">
        <v>21</v>
      </c>
      <c r="B20" s="12" t="s">
        <v>16</v>
      </c>
      <c r="C20" s="15">
        <f>(3+2.07)*6*96+1568.16</f>
        <v>4488.4800000000005</v>
      </c>
      <c r="D20" s="16"/>
      <c r="E20" s="134"/>
      <c r="F20" s="132"/>
      <c r="G20" s="132"/>
      <c r="H20" s="132"/>
    </row>
    <row r="21" spans="1:8" ht="15">
      <c r="A21" s="8" t="s">
        <v>22</v>
      </c>
      <c r="B21" s="12" t="s">
        <v>16</v>
      </c>
      <c r="C21" s="20">
        <f>96*4.88*12</f>
        <v>5621.76</v>
      </c>
      <c r="D21" s="16"/>
      <c r="E21" s="62"/>
      <c r="F21" s="132"/>
      <c r="G21" s="132"/>
      <c r="H21" s="132"/>
    </row>
    <row r="22" spans="1:8" ht="15">
      <c r="A22" s="21" t="s">
        <v>23</v>
      </c>
      <c r="B22" s="12" t="s">
        <v>16</v>
      </c>
      <c r="C22" s="15">
        <f>C23+C24+C25+C26+C27</f>
        <v>4308.809328</v>
      </c>
      <c r="D22" s="16" t="s">
        <v>24</v>
      </c>
      <c r="E22" s="133" t="e">
        <f>B24+B25+B26+B27+B28</f>
        <v>#VALUE!</v>
      </c>
      <c r="F22" s="132"/>
      <c r="G22" s="132"/>
      <c r="H22" s="132"/>
    </row>
    <row r="23" spans="1:8" ht="15">
      <c r="A23" s="8" t="s">
        <v>25</v>
      </c>
      <c r="B23" s="12" t="s">
        <v>16</v>
      </c>
      <c r="C23" s="15">
        <f>C18*0.2599</f>
        <v>4308.809328</v>
      </c>
      <c r="D23" s="16"/>
      <c r="E23" s="132"/>
      <c r="F23" s="132"/>
      <c r="G23" s="132"/>
      <c r="H23" s="132"/>
    </row>
    <row r="24" spans="1:8" ht="15">
      <c r="A24" s="8" t="s">
        <v>26</v>
      </c>
      <c r="B24" s="12" t="s">
        <v>16</v>
      </c>
      <c r="C24" s="15">
        <v>0</v>
      </c>
      <c r="D24" s="22">
        <v>65.21</v>
      </c>
      <c r="E24" s="134" t="e">
        <f>B24/#REF!*1</f>
        <v>#VALUE!</v>
      </c>
      <c r="F24" s="132"/>
      <c r="G24" s="132"/>
      <c r="H24" s="132" t="s">
        <v>27</v>
      </c>
    </row>
    <row r="25" spans="1:8" ht="15">
      <c r="A25" s="8" t="s">
        <v>28</v>
      </c>
      <c r="B25" s="12" t="s">
        <v>16</v>
      </c>
      <c r="C25" s="15">
        <v>0</v>
      </c>
      <c r="D25" s="22">
        <v>119.63</v>
      </c>
      <c r="E25" s="134" t="e">
        <f>B25/#REF!*1</f>
        <v>#VALUE!</v>
      </c>
      <c r="F25" s="132"/>
      <c r="G25" s="132"/>
      <c r="H25" s="132"/>
    </row>
    <row r="26" spans="1:8" ht="15">
      <c r="A26" s="9" t="s">
        <v>29</v>
      </c>
      <c r="B26" s="12" t="s">
        <v>16</v>
      </c>
      <c r="C26" s="15">
        <v>0</v>
      </c>
      <c r="D26" s="22"/>
      <c r="E26" s="134" t="e">
        <f>B26/#REF!*1</f>
        <v>#VALUE!</v>
      </c>
      <c r="F26" s="132"/>
      <c r="G26" s="132"/>
      <c r="H26" s="132"/>
    </row>
    <row r="27" spans="1:8" ht="16.5" customHeight="1">
      <c r="A27" s="116" t="s">
        <v>112</v>
      </c>
      <c r="B27" s="12" t="s">
        <v>16</v>
      </c>
      <c r="C27" s="15">
        <v>0</v>
      </c>
      <c r="D27" s="22">
        <v>139.18</v>
      </c>
      <c r="E27" s="134" t="e">
        <f>B27/#REF!*1</f>
        <v>#VALUE!</v>
      </c>
      <c r="F27" s="132"/>
      <c r="G27" s="132"/>
      <c r="H27" s="132"/>
    </row>
    <row r="28" spans="1:8" ht="15">
      <c r="A28" s="8" t="s">
        <v>31</v>
      </c>
      <c r="B28" s="12" t="s">
        <v>16</v>
      </c>
      <c r="C28" s="15">
        <f>C15+C22</f>
        <v>14604.459328</v>
      </c>
      <c r="D28" s="16" t="s">
        <v>32</v>
      </c>
      <c r="E28" s="134" t="e">
        <f>B28/#REF!*1</f>
        <v>#VALUE!</v>
      </c>
      <c r="F28" s="132"/>
      <c r="G28" s="132"/>
      <c r="H28" s="132"/>
    </row>
    <row r="29" spans="1:8" ht="35.25" customHeight="1">
      <c r="A29" s="260" t="s">
        <v>33</v>
      </c>
      <c r="B29" s="260"/>
      <c r="C29" s="260"/>
      <c r="D29" s="260"/>
      <c r="E29" s="132"/>
      <c r="F29" s="132"/>
      <c r="G29" s="132"/>
      <c r="H29" s="132"/>
    </row>
    <row r="30" spans="1:8" ht="60">
      <c r="A30" s="23" t="s">
        <v>34</v>
      </c>
      <c r="B30" s="24" t="s">
        <v>35</v>
      </c>
      <c r="C30" s="25" t="s">
        <v>36</v>
      </c>
      <c r="D30" s="26" t="s">
        <v>37</v>
      </c>
      <c r="E30" s="132"/>
      <c r="F30" s="132"/>
      <c r="G30" s="132"/>
      <c r="H30" s="132"/>
    </row>
    <row r="31" spans="1:8" ht="15">
      <c r="A31" s="27" t="s">
        <v>38</v>
      </c>
      <c r="B31" s="28" t="s">
        <v>39</v>
      </c>
      <c r="C31" s="29" t="s">
        <v>40</v>
      </c>
      <c r="D31" s="107">
        <f>(0.17+0.16)*6*96</f>
        <v>190.07999999999998</v>
      </c>
      <c r="E31" s="132"/>
      <c r="F31" s="132"/>
      <c r="G31" s="132"/>
      <c r="H31" s="132"/>
    </row>
    <row r="32" spans="1:8" ht="15">
      <c r="A32" s="31" t="s">
        <v>41</v>
      </c>
      <c r="B32" s="32" t="s">
        <v>42</v>
      </c>
      <c r="C32" s="33" t="s">
        <v>43</v>
      </c>
      <c r="D32" s="34">
        <f>(3.03+3)*6*96</f>
        <v>3473.2799999999993</v>
      </c>
      <c r="E32" s="132"/>
      <c r="F32" s="132"/>
      <c r="G32" s="132"/>
      <c r="H32" s="132"/>
    </row>
    <row r="33" spans="1:8" ht="15">
      <c r="A33" s="31" t="s">
        <v>44</v>
      </c>
      <c r="B33" s="32" t="s">
        <v>39</v>
      </c>
      <c r="C33" s="33" t="s">
        <v>45</v>
      </c>
      <c r="D33" s="108">
        <f>(0.2+0.21)*6*96</f>
        <v>236.16</v>
      </c>
      <c r="E33" s="132"/>
      <c r="F33" s="132"/>
      <c r="G33" s="132"/>
      <c r="H33" s="132"/>
    </row>
    <row r="34" spans="1:8" ht="15">
      <c r="A34" s="204" t="s">
        <v>255</v>
      </c>
      <c r="B34" s="32" t="s">
        <v>39</v>
      </c>
      <c r="C34" s="33" t="s">
        <v>40</v>
      </c>
      <c r="D34" s="108">
        <f>(0.23+0.22)*6*96</f>
        <v>259.20000000000005</v>
      </c>
      <c r="E34" s="132"/>
      <c r="F34" s="132"/>
      <c r="G34" s="132"/>
      <c r="H34" s="132"/>
    </row>
    <row r="35" spans="1:8" ht="15">
      <c r="A35" s="31" t="s">
        <v>90</v>
      </c>
      <c r="B35" s="106" t="s">
        <v>91</v>
      </c>
      <c r="C35" s="33" t="s">
        <v>40</v>
      </c>
      <c r="D35" s="108">
        <f>(1.33+1.27)*6*96</f>
        <v>1497.6000000000001</v>
      </c>
      <c r="E35" s="132"/>
      <c r="F35" s="132"/>
      <c r="G35" s="132"/>
      <c r="H35" s="132"/>
    </row>
    <row r="36" spans="1:8" ht="15">
      <c r="A36" s="31" t="s">
        <v>46</v>
      </c>
      <c r="B36" s="32" t="s">
        <v>42</v>
      </c>
      <c r="C36" s="35" t="s">
        <v>47</v>
      </c>
      <c r="D36" s="108">
        <f>4.88*96*12</f>
        <v>5621.76</v>
      </c>
      <c r="E36" s="132"/>
      <c r="F36" s="132"/>
      <c r="G36" s="132"/>
      <c r="H36" s="132"/>
    </row>
    <row r="37" spans="1:14" s="1" customFormat="1" ht="45">
      <c r="A37" s="36" t="s">
        <v>48</v>
      </c>
      <c r="B37" s="37" t="s">
        <v>49</v>
      </c>
      <c r="C37" s="29"/>
      <c r="D37" s="39">
        <v>0</v>
      </c>
      <c r="E37" s="132"/>
      <c r="F37" s="132"/>
      <c r="G37" s="132"/>
      <c r="H37" s="132"/>
      <c r="K37"/>
      <c r="L37"/>
      <c r="M37"/>
      <c r="N37"/>
    </row>
    <row r="38" spans="1:14" s="1" customFormat="1" ht="45">
      <c r="A38" s="109" t="s">
        <v>95</v>
      </c>
      <c r="B38" s="110" t="s">
        <v>96</v>
      </c>
      <c r="C38" s="29" t="s">
        <v>97</v>
      </c>
      <c r="D38" s="112">
        <f>1.41*96*6</f>
        <v>812.1599999999999</v>
      </c>
      <c r="E38" s="132"/>
      <c r="F38" s="132"/>
      <c r="G38" s="132"/>
      <c r="H38" s="132"/>
      <c r="K38"/>
      <c r="L38"/>
      <c r="M38"/>
      <c r="N38"/>
    </row>
    <row r="39" spans="1:14" s="1" customFormat="1" ht="15.75">
      <c r="A39" s="40" t="s">
        <v>50</v>
      </c>
      <c r="B39" s="41"/>
      <c r="C39" s="42"/>
      <c r="D39" s="113">
        <f>SUM(D31:D38)</f>
        <v>12090.24</v>
      </c>
      <c r="E39" s="135">
        <f>D39-D37</f>
        <v>12090.24</v>
      </c>
      <c r="F39" s="132"/>
      <c r="G39" s="132"/>
      <c r="H39" s="132"/>
      <c r="K39"/>
      <c r="L39"/>
      <c r="M39"/>
      <c r="N39"/>
    </row>
    <row r="40" spans="1:14" s="1" customFormat="1" ht="15">
      <c r="A40" s="43" t="s">
        <v>51</v>
      </c>
      <c r="B40" s="44" t="s">
        <v>16</v>
      </c>
      <c r="C40" s="45"/>
      <c r="D40" s="46">
        <f>C15+C20*0.2599-D37</f>
        <v>11462.205952</v>
      </c>
      <c r="E40" s="135"/>
      <c r="F40" s="132"/>
      <c r="G40" s="132"/>
      <c r="H40" s="132"/>
      <c r="K40"/>
      <c r="L40"/>
      <c r="M40"/>
      <c r="N40"/>
    </row>
    <row r="41" spans="1:14" s="1" customFormat="1" ht="15">
      <c r="A41" s="48" t="s">
        <v>17</v>
      </c>
      <c r="B41" s="49" t="s">
        <v>16</v>
      </c>
      <c r="C41" s="33"/>
      <c r="D41" s="14"/>
      <c r="E41" s="132"/>
      <c r="F41" s="132"/>
      <c r="G41" s="132"/>
      <c r="H41" s="132"/>
      <c r="K41"/>
      <c r="L41"/>
      <c r="M41"/>
      <c r="N41"/>
    </row>
    <row r="42" spans="1:14" s="1" customFormat="1" ht="15">
      <c r="A42" s="48" t="s">
        <v>18</v>
      </c>
      <c r="B42" s="49" t="s">
        <v>16</v>
      </c>
      <c r="C42" s="33"/>
      <c r="D42" s="14">
        <v>52169.28</v>
      </c>
      <c r="E42" s="62"/>
      <c r="F42" s="132"/>
      <c r="G42" s="132"/>
      <c r="H42" s="132"/>
      <c r="K42"/>
      <c r="L42"/>
      <c r="M42"/>
      <c r="N42"/>
    </row>
    <row r="43" spans="1:14" s="1" customFormat="1" ht="24" customHeight="1">
      <c r="A43" s="261" t="s">
        <v>52</v>
      </c>
      <c r="B43" s="261"/>
      <c r="C43" s="261"/>
      <c r="D43" s="261"/>
      <c r="E43" s="132"/>
      <c r="F43" s="132"/>
      <c r="G43" s="132"/>
      <c r="H43" s="132"/>
      <c r="K43"/>
      <c r="L43"/>
      <c r="M43"/>
      <c r="N43"/>
    </row>
    <row r="44" spans="1:14" s="1" customFormat="1" ht="15">
      <c r="A44" s="48" t="s">
        <v>53</v>
      </c>
      <c r="B44" s="32" t="s">
        <v>54</v>
      </c>
      <c r="C44" s="33">
        <v>0</v>
      </c>
      <c r="D44" s="14">
        <v>0</v>
      </c>
      <c r="E44" s="132"/>
      <c r="F44" s="132"/>
      <c r="G44" s="132"/>
      <c r="H44" s="132"/>
      <c r="K44"/>
      <c r="L44"/>
      <c r="M44"/>
      <c r="N44"/>
    </row>
    <row r="45" spans="1:14" s="1" customFormat="1" ht="15">
      <c r="A45" s="48" t="s">
        <v>55</v>
      </c>
      <c r="B45" s="32" t="s">
        <v>54</v>
      </c>
      <c r="C45" s="33">
        <v>0</v>
      </c>
      <c r="D45" s="14">
        <v>0</v>
      </c>
      <c r="E45" s="132"/>
      <c r="F45" s="132"/>
      <c r="G45" s="132"/>
      <c r="H45" s="132"/>
      <c r="K45"/>
      <c r="L45"/>
      <c r="M45"/>
      <c r="N45"/>
    </row>
    <row r="46" spans="1:14" s="1" customFormat="1" ht="15">
      <c r="A46" s="50" t="s">
        <v>56</v>
      </c>
      <c r="B46" s="32" t="s">
        <v>54</v>
      </c>
      <c r="C46" s="33">
        <v>0</v>
      </c>
      <c r="D46" s="14">
        <v>0</v>
      </c>
      <c r="E46" s="132"/>
      <c r="F46" s="132"/>
      <c r="G46" s="132"/>
      <c r="H46" s="132"/>
      <c r="K46"/>
      <c r="L46"/>
      <c r="M46"/>
      <c r="N46"/>
    </row>
    <row r="47" spans="1:14" s="1" customFormat="1" ht="15">
      <c r="A47" s="48" t="s">
        <v>57</v>
      </c>
      <c r="B47" s="32" t="s">
        <v>16</v>
      </c>
      <c r="C47" s="33">
        <v>0</v>
      </c>
      <c r="D47" s="14">
        <v>0</v>
      </c>
      <c r="E47" s="132"/>
      <c r="F47" s="132"/>
      <c r="G47" s="132"/>
      <c r="H47" s="132"/>
      <c r="K47"/>
      <c r="L47"/>
      <c r="M47"/>
      <c r="N47"/>
    </row>
    <row r="48" spans="1:8" ht="20.25" customHeight="1">
      <c r="A48" s="262" t="s">
        <v>58</v>
      </c>
      <c r="B48" s="262"/>
      <c r="C48" s="262"/>
      <c r="D48" s="262"/>
      <c r="E48" s="132"/>
      <c r="F48" s="132"/>
      <c r="G48" s="132"/>
      <c r="H48" s="132"/>
    </row>
    <row r="49" spans="1:8" ht="25.5">
      <c r="A49" s="50" t="s">
        <v>59</v>
      </c>
      <c r="B49" s="32" t="s">
        <v>16</v>
      </c>
      <c r="C49" s="33"/>
      <c r="D49" s="14">
        <v>0</v>
      </c>
      <c r="E49" s="132"/>
      <c r="F49" s="132"/>
      <c r="G49" s="132"/>
      <c r="H49" s="132"/>
    </row>
    <row r="50" spans="1:8" ht="15">
      <c r="A50" s="48" t="s">
        <v>17</v>
      </c>
      <c r="B50" s="32" t="s">
        <v>16</v>
      </c>
      <c r="C50" s="33"/>
      <c r="D50" s="14">
        <v>0</v>
      </c>
      <c r="E50" s="132"/>
      <c r="F50" s="132"/>
      <c r="G50" s="132"/>
      <c r="H50" s="132"/>
    </row>
    <row r="51" spans="1:8" ht="15">
      <c r="A51" s="48" t="s">
        <v>18</v>
      </c>
      <c r="B51" s="32" t="s">
        <v>16</v>
      </c>
      <c r="C51" s="33"/>
      <c r="D51" s="51">
        <f>D54-D57-D58-D59-D60</f>
        <v>22433.642652000002</v>
      </c>
      <c r="E51" s="132"/>
      <c r="F51" s="132"/>
      <c r="G51" s="132"/>
      <c r="H51" s="136"/>
    </row>
    <row r="52" spans="1:8" ht="25.5">
      <c r="A52" s="53" t="s">
        <v>60</v>
      </c>
      <c r="B52" s="32" t="s">
        <v>16</v>
      </c>
      <c r="C52" s="54"/>
      <c r="D52" s="55">
        <v>0</v>
      </c>
      <c r="E52" s="132"/>
      <c r="F52" s="132"/>
      <c r="G52" s="132"/>
      <c r="H52" s="132"/>
    </row>
    <row r="53" spans="1:10" ht="17.25" customHeight="1">
      <c r="A53" s="56" t="s">
        <v>17</v>
      </c>
      <c r="B53" s="32" t="s">
        <v>16</v>
      </c>
      <c r="C53" s="33"/>
      <c r="D53" s="14">
        <v>0</v>
      </c>
      <c r="E53" s="132"/>
      <c r="F53" s="132"/>
      <c r="G53" s="132"/>
      <c r="H53" s="132"/>
      <c r="I53" s="52"/>
      <c r="J53" s="52"/>
    </row>
    <row r="54" spans="1:14" ht="15">
      <c r="A54" s="59" t="s">
        <v>18</v>
      </c>
      <c r="B54" s="32" t="s">
        <v>16</v>
      </c>
      <c r="C54" s="60"/>
      <c r="D54" s="61">
        <v>29332.47</v>
      </c>
      <c r="E54" s="132"/>
      <c r="F54" s="132"/>
      <c r="G54" s="132"/>
      <c r="H54" s="132" t="s">
        <v>32</v>
      </c>
      <c r="I54" s="63"/>
      <c r="J54" s="63"/>
      <c r="K54" s="64"/>
      <c r="L54" s="64"/>
      <c r="M54" s="64"/>
      <c r="N54" s="64"/>
    </row>
    <row r="55" spans="1:14" ht="18" customHeight="1">
      <c r="A55" s="263" t="s">
        <v>61</v>
      </c>
      <c r="B55" s="263"/>
      <c r="C55" s="263"/>
      <c r="D55" s="263"/>
      <c r="E55" s="137"/>
      <c r="F55" s="138"/>
      <c r="G55" s="139"/>
      <c r="H55" s="132"/>
      <c r="I55" s="68"/>
      <c r="J55" s="68"/>
      <c r="K55" s="69"/>
      <c r="L55" s="69"/>
      <c r="M55" s="69"/>
      <c r="N55" s="69"/>
    </row>
    <row r="56" spans="1:14" ht="47.25">
      <c r="A56" s="70" t="s">
        <v>62</v>
      </c>
      <c r="B56" s="71" t="s">
        <v>63</v>
      </c>
      <c r="C56" s="72" t="s">
        <v>64</v>
      </c>
      <c r="D56" s="73" t="s">
        <v>65</v>
      </c>
      <c r="E56" s="137"/>
      <c r="F56" s="138"/>
      <c r="G56" s="139"/>
      <c r="H56" s="132"/>
      <c r="I56" s="68"/>
      <c r="J56" s="74"/>
      <c r="K56" s="69"/>
      <c r="L56" s="69"/>
      <c r="M56" s="69"/>
      <c r="N56" s="69"/>
    </row>
    <row r="57" spans="1:14" ht="15">
      <c r="A57" s="75" t="s">
        <v>66</v>
      </c>
      <c r="B57" s="117">
        <v>9321.48</v>
      </c>
      <c r="C57" s="118">
        <f>B57*0.2599</f>
        <v>2422.652652</v>
      </c>
      <c r="D57" s="119">
        <f>B57-C57</f>
        <v>6898.827347999999</v>
      </c>
      <c r="E57" s="140"/>
      <c r="F57" s="138"/>
      <c r="G57" s="139"/>
      <c r="H57" s="132"/>
      <c r="I57" s="68"/>
      <c r="J57" s="68"/>
      <c r="K57" s="69"/>
      <c r="L57" s="69"/>
      <c r="M57" s="69"/>
      <c r="N57" s="69"/>
    </row>
    <row r="58" spans="1:14" ht="15">
      <c r="A58" s="75" t="s">
        <v>67</v>
      </c>
      <c r="B58" s="117">
        <v>0</v>
      </c>
      <c r="C58" s="118">
        <f>B58*0.8884</f>
        <v>0</v>
      </c>
      <c r="D58" s="119">
        <f>B58-C58</f>
        <v>0</v>
      </c>
      <c r="E58" s="137"/>
      <c r="F58" s="138"/>
      <c r="G58" s="139"/>
      <c r="H58" s="132"/>
      <c r="I58" s="68"/>
      <c r="J58" s="68"/>
      <c r="K58" s="69"/>
      <c r="L58" s="69"/>
      <c r="M58" s="69"/>
      <c r="N58" s="69"/>
    </row>
    <row r="59" spans="1:14" ht="15">
      <c r="A59" s="75" t="s">
        <v>68</v>
      </c>
      <c r="B59" s="120">
        <v>0</v>
      </c>
      <c r="C59" s="118">
        <f>B59*0.8884</f>
        <v>0</v>
      </c>
      <c r="D59" s="119">
        <f>B59-C59</f>
        <v>0</v>
      </c>
      <c r="E59" s="137">
        <f>(2.07+1.8)*6*2301.2-0.37*2301.2*6</f>
        <v>48325.2</v>
      </c>
      <c r="F59" s="141"/>
      <c r="G59" s="142"/>
      <c r="H59" s="137"/>
      <c r="I59" s="68"/>
      <c r="J59" s="68"/>
      <c r="K59" s="69"/>
      <c r="L59" s="69"/>
      <c r="M59" s="69"/>
      <c r="N59" s="69"/>
    </row>
    <row r="60" spans="1:14" ht="15.75" thickBot="1">
      <c r="A60" s="150" t="s">
        <v>69</v>
      </c>
      <c r="B60" s="151">
        <v>0</v>
      </c>
      <c r="C60" s="152">
        <f>B60*0.8884</f>
        <v>0</v>
      </c>
      <c r="D60" s="153">
        <f>B60-C60</f>
        <v>0</v>
      </c>
      <c r="E60" s="137"/>
      <c r="F60" s="141"/>
      <c r="G60" s="142"/>
      <c r="H60" s="132"/>
      <c r="I60" s="68"/>
      <c r="J60" s="68"/>
      <c r="K60" s="69"/>
      <c r="L60" s="69"/>
      <c r="M60" s="69"/>
      <c r="N60" s="69"/>
    </row>
    <row r="61" spans="1:14" ht="63">
      <c r="A61" s="154" t="s">
        <v>70</v>
      </c>
      <c r="B61" s="155" t="s">
        <v>71</v>
      </c>
      <c r="C61" s="156" t="s">
        <v>72</v>
      </c>
      <c r="D61" s="157" t="s">
        <v>73</v>
      </c>
      <c r="E61" s="137"/>
      <c r="F61" s="141"/>
      <c r="G61" s="132"/>
      <c r="H61" s="143"/>
      <c r="I61" s="68"/>
      <c r="J61" s="68"/>
      <c r="K61" s="69"/>
      <c r="L61" s="69"/>
      <c r="M61" s="69"/>
      <c r="N61" s="69"/>
    </row>
    <row r="62" spans="1:14" ht="15">
      <c r="A62" s="158" t="s">
        <v>66</v>
      </c>
      <c r="B62" s="124">
        <f>B57</f>
        <v>9321.48</v>
      </c>
      <c r="C62" s="125">
        <f>B62*0.9623</f>
        <v>8970.060204</v>
      </c>
      <c r="D62" s="159">
        <f>B62-C62</f>
        <v>351.41979600000013</v>
      </c>
      <c r="E62" s="137"/>
      <c r="F62" s="141"/>
      <c r="G62" s="132"/>
      <c r="H62" s="143"/>
      <c r="I62" s="68"/>
      <c r="J62" s="68" t="s">
        <v>32</v>
      </c>
      <c r="K62" s="69"/>
      <c r="L62" s="69"/>
      <c r="M62" s="69"/>
      <c r="N62" s="69"/>
    </row>
    <row r="63" spans="1:14" ht="15">
      <c r="A63" s="158" t="s">
        <v>67</v>
      </c>
      <c r="B63" s="124">
        <v>0</v>
      </c>
      <c r="C63" s="125">
        <v>0</v>
      </c>
      <c r="D63" s="159">
        <f>B63-C63</f>
        <v>0</v>
      </c>
      <c r="E63" s="137"/>
      <c r="F63" s="141"/>
      <c r="G63" s="132"/>
      <c r="H63" s="143"/>
      <c r="I63" s="68"/>
      <c r="J63" s="68"/>
      <c r="K63" s="69"/>
      <c r="L63" s="69"/>
      <c r="M63" s="69"/>
      <c r="N63" s="69"/>
    </row>
    <row r="64" spans="1:14" ht="15">
      <c r="A64" s="158" t="s">
        <v>68</v>
      </c>
      <c r="B64" s="124">
        <v>0</v>
      </c>
      <c r="C64" s="125">
        <v>0</v>
      </c>
      <c r="D64" s="159">
        <f>B64-C64</f>
        <v>0</v>
      </c>
      <c r="E64" s="137"/>
      <c r="F64" s="141"/>
      <c r="G64" s="132"/>
      <c r="H64" s="143"/>
      <c r="I64" s="68"/>
      <c r="J64" s="68"/>
      <c r="K64" s="69"/>
      <c r="L64" s="69"/>
      <c r="M64" s="69"/>
      <c r="N64" s="69"/>
    </row>
    <row r="65" spans="1:14" ht="15">
      <c r="A65" s="158" t="s">
        <v>74</v>
      </c>
      <c r="B65" s="124">
        <v>0</v>
      </c>
      <c r="C65" s="125">
        <v>0</v>
      </c>
      <c r="D65" s="159">
        <f>B65-C65</f>
        <v>0</v>
      </c>
      <c r="E65" s="137"/>
      <c r="F65" s="141"/>
      <c r="G65" s="132"/>
      <c r="H65" s="143"/>
      <c r="I65" s="68"/>
      <c r="J65" s="68"/>
      <c r="K65" s="69"/>
      <c r="L65" s="69"/>
      <c r="M65" s="69"/>
      <c r="N65" s="69"/>
    </row>
    <row r="66" spans="1:14" ht="15.75" thickBot="1">
      <c r="A66" s="160" t="s">
        <v>69</v>
      </c>
      <c r="B66" s="161">
        <v>0</v>
      </c>
      <c r="C66" s="162">
        <v>0</v>
      </c>
      <c r="D66" s="163">
        <f>B66-C66</f>
        <v>0</v>
      </c>
      <c r="E66" s="137"/>
      <c r="F66" s="141"/>
      <c r="G66" s="132"/>
      <c r="H66" s="143" t="s">
        <v>32</v>
      </c>
      <c r="I66" s="68"/>
      <c r="J66" s="68"/>
      <c r="K66" s="69"/>
      <c r="L66" s="69"/>
      <c r="M66" s="69"/>
      <c r="N66" s="69"/>
    </row>
    <row r="67" spans="1:14" ht="15">
      <c r="A67" s="91"/>
      <c r="B67" s="87"/>
      <c r="C67" s="92"/>
      <c r="D67" s="93"/>
      <c r="E67" s="137"/>
      <c r="F67" s="141"/>
      <c r="G67" s="132"/>
      <c r="H67" s="143"/>
      <c r="I67" s="68"/>
      <c r="J67" s="68"/>
      <c r="K67" s="69"/>
      <c r="L67" s="69"/>
      <c r="M67" s="69"/>
      <c r="N67" s="69"/>
    </row>
    <row r="68" spans="1:14" ht="25.5">
      <c r="A68" s="94" t="s">
        <v>75</v>
      </c>
      <c r="B68" s="87" t="s">
        <v>16</v>
      </c>
      <c r="C68" s="95"/>
      <c r="D68" s="96"/>
      <c r="E68" s="65"/>
      <c r="F68" s="81"/>
      <c r="H68" s="68"/>
      <c r="I68" s="68"/>
      <c r="J68" s="68" t="s">
        <v>32</v>
      </c>
      <c r="K68" s="69"/>
      <c r="L68" s="69"/>
      <c r="M68" s="69"/>
      <c r="N68" s="69"/>
    </row>
    <row r="69" spans="1:14" ht="17.25" customHeight="1">
      <c r="A69" s="264" t="s">
        <v>76</v>
      </c>
      <c r="B69" s="264"/>
      <c r="C69" s="264"/>
      <c r="D69" s="264"/>
      <c r="E69" s="97" t="e">
        <f>D69+B19</f>
        <v>#VALUE!</v>
      </c>
      <c r="F69" s="68"/>
      <c r="H69" s="98" t="e">
        <f>E69-B18</f>
        <v>#VALUE!</v>
      </c>
      <c r="I69" s="68"/>
      <c r="J69" s="68"/>
      <c r="K69" s="69"/>
      <c r="L69" s="69"/>
      <c r="M69" s="69"/>
      <c r="N69" s="69"/>
    </row>
    <row r="70" spans="1:5" ht="21" customHeight="1">
      <c r="A70" s="99" t="s">
        <v>53</v>
      </c>
      <c r="B70" s="99" t="s">
        <v>54</v>
      </c>
      <c r="C70" s="100">
        <v>0</v>
      </c>
      <c r="D70" s="101"/>
      <c r="E70" s="102"/>
    </row>
    <row r="71" spans="1:5" ht="21" customHeight="1">
      <c r="A71" s="99" t="s">
        <v>55</v>
      </c>
      <c r="B71" s="99" t="s">
        <v>54</v>
      </c>
      <c r="C71" s="99">
        <v>0</v>
      </c>
      <c r="D71" s="101"/>
      <c r="E71" s="102"/>
    </row>
    <row r="72" spans="1:5" ht="18" customHeight="1">
      <c r="A72" s="99" t="s">
        <v>56</v>
      </c>
      <c r="B72" s="99" t="s">
        <v>54</v>
      </c>
      <c r="C72" s="99">
        <v>0</v>
      </c>
      <c r="D72" s="101"/>
      <c r="E72" s="102"/>
    </row>
    <row r="73" spans="1:5" ht="16.5" customHeight="1">
      <c r="A73" s="99" t="s">
        <v>57</v>
      </c>
      <c r="B73" s="99" t="s">
        <v>16</v>
      </c>
      <c r="C73" s="99">
        <v>0</v>
      </c>
      <c r="D73" s="101"/>
      <c r="E73" s="102"/>
    </row>
    <row r="74" spans="1:5" ht="15.75" customHeight="1">
      <c r="A74" s="258" t="s">
        <v>77</v>
      </c>
      <c r="B74" s="258"/>
      <c r="C74" s="258"/>
      <c r="D74" s="258"/>
      <c r="E74" s="102"/>
    </row>
    <row r="75" spans="1:5" ht="18.75" customHeight="1">
      <c r="A75" s="99" t="s">
        <v>78</v>
      </c>
      <c r="B75" s="99" t="s">
        <v>54</v>
      </c>
      <c r="C75" s="99">
        <v>1</v>
      </c>
      <c r="D75" s="101"/>
      <c r="E75" s="102"/>
    </row>
    <row r="76" spans="1:5" ht="21.75" customHeight="1">
      <c r="A76" s="99" t="s">
        <v>79</v>
      </c>
      <c r="B76" s="56" t="s">
        <v>54</v>
      </c>
      <c r="C76" s="56">
        <v>0</v>
      </c>
      <c r="D76" s="101"/>
      <c r="E76" s="102"/>
    </row>
    <row r="77" spans="1:5" ht="36" customHeight="1">
      <c r="A77" s="103" t="s">
        <v>80</v>
      </c>
      <c r="B77" s="99" t="s">
        <v>16</v>
      </c>
      <c r="C77" s="99">
        <v>0</v>
      </c>
      <c r="D77" s="101"/>
      <c r="E77" s="102"/>
    </row>
    <row r="78" spans="1:4" ht="15">
      <c r="A78" s="69"/>
      <c r="B78" s="69"/>
      <c r="C78" s="69"/>
      <c r="D78" s="104"/>
    </row>
    <row r="79" spans="1:14" s="1" customFormat="1" ht="12.75">
      <c r="A79"/>
      <c r="B79"/>
      <c r="C79"/>
      <c r="D79"/>
      <c r="H79" s="1" t="s">
        <v>32</v>
      </c>
      <c r="K79"/>
      <c r="L79"/>
      <c r="M79"/>
      <c r="N79"/>
    </row>
    <row r="80" spans="1:14" s="1" customFormat="1" ht="12.75">
      <c r="A80" t="s">
        <v>81</v>
      </c>
      <c r="B80"/>
      <c r="C80"/>
      <c r="D80"/>
      <c r="K80"/>
      <c r="L80"/>
      <c r="M80"/>
      <c r="N80"/>
    </row>
    <row r="81" spans="1:14" s="1" customFormat="1" ht="12.75">
      <c r="A81"/>
      <c r="B81"/>
      <c r="C81"/>
      <c r="D81"/>
      <c r="H81" s="1" t="s">
        <v>32</v>
      </c>
      <c r="K81"/>
      <c r="L81"/>
      <c r="M81"/>
      <c r="N81"/>
    </row>
    <row r="82" spans="1:14" s="1" customFormat="1" ht="12.75">
      <c r="A82" t="s">
        <v>82</v>
      </c>
      <c r="B82"/>
      <c r="C82"/>
      <c r="D82"/>
      <c r="K82"/>
      <c r="L82"/>
      <c r="M82"/>
      <c r="N82"/>
    </row>
    <row r="86" spans="1:14" s="1" customFormat="1" ht="12.75">
      <c r="A86"/>
      <c r="B86"/>
      <c r="C86"/>
      <c r="D86"/>
      <c r="E86" s="1" t="s">
        <v>32</v>
      </c>
      <c r="K86"/>
      <c r="L86"/>
      <c r="M86"/>
      <c r="N86"/>
    </row>
  </sheetData>
  <sheetProtection selectLockedCells="1" selectUnlockedCells="1"/>
  <mergeCells count="13">
    <mergeCell ref="A1:D1"/>
    <mergeCell ref="A2:D2"/>
    <mergeCell ref="A3:D3"/>
    <mergeCell ref="A4:D4"/>
    <mergeCell ref="A5:D5"/>
    <mergeCell ref="A7:D7"/>
    <mergeCell ref="A74:D74"/>
    <mergeCell ref="A14:D14"/>
    <mergeCell ref="A29:D29"/>
    <mergeCell ref="A43:D43"/>
    <mergeCell ref="A48:D48"/>
    <mergeCell ref="A55:D55"/>
    <mergeCell ref="A69:D69"/>
  </mergeCells>
  <printOptions/>
  <pageMargins left="0.5597222222222222" right="0.7875" top="0.34097222222222223" bottom="0.7875" header="0.5118055555555555" footer="0.5118055555555555"/>
  <pageSetup fitToHeight="3" fitToWidth="2" horizontalDpi="300" verticalDpi="300" orientation="landscape" paperSize="12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6"/>
  <sheetViews>
    <sheetView zoomScale="80" zoomScaleNormal="80" zoomScalePageLayoutView="0" workbookViewId="0" topLeftCell="A8">
      <selection activeCell="J34" sqref="J34"/>
    </sheetView>
  </sheetViews>
  <sheetFormatPr defaultColWidth="11.57421875" defaultRowHeight="12.75"/>
  <cols>
    <col min="1" max="1" width="63.28125" style="0" customWidth="1"/>
    <col min="2" max="2" width="20.28125" style="0" customWidth="1"/>
    <col min="3" max="3" width="31.421875" style="0" customWidth="1"/>
    <col min="4" max="4" width="27.57421875" style="0" customWidth="1"/>
    <col min="5" max="5" width="16.8515625" style="1" customWidth="1"/>
    <col min="6" max="7" width="0" style="1" hidden="1" customWidth="1"/>
    <col min="8" max="8" width="11.57421875" style="1" customWidth="1"/>
    <col min="9" max="9" width="5.28125" style="1" customWidth="1"/>
    <col min="10" max="10" width="30.00390625" style="1" customWidth="1"/>
    <col min="11" max="12" width="23.28125" style="0" customWidth="1"/>
    <col min="13" max="13" width="6.57421875" style="0" customWidth="1"/>
    <col min="14" max="14" width="7.00390625" style="0" customWidth="1"/>
  </cols>
  <sheetData>
    <row r="1" spans="1:4" ht="18">
      <c r="A1" s="265" t="s">
        <v>0</v>
      </c>
      <c r="B1" s="265"/>
      <c r="C1" s="265"/>
      <c r="D1" s="265"/>
    </row>
    <row r="2" spans="1:4" ht="15.75">
      <c r="A2" s="266" t="s">
        <v>1</v>
      </c>
      <c r="B2" s="266"/>
      <c r="C2" s="266"/>
      <c r="D2" s="266"/>
    </row>
    <row r="3" spans="1:4" ht="15.75">
      <c r="A3" s="266" t="s">
        <v>2</v>
      </c>
      <c r="B3" s="266"/>
      <c r="C3" s="266"/>
      <c r="D3" s="266"/>
    </row>
    <row r="4" spans="1:4" ht="12.75">
      <c r="A4" s="267" t="s">
        <v>139</v>
      </c>
      <c r="B4" s="267"/>
      <c r="C4" s="267"/>
      <c r="D4" s="267"/>
    </row>
    <row r="5" spans="1:4" ht="12.75">
      <c r="A5" s="268" t="s">
        <v>171</v>
      </c>
      <c r="B5" s="267"/>
      <c r="C5" s="267"/>
      <c r="D5" s="267"/>
    </row>
    <row r="6" ht="9" customHeight="1">
      <c r="A6" s="2"/>
    </row>
    <row r="7" spans="1:4" ht="18" customHeight="1">
      <c r="A7" s="269" t="s">
        <v>4</v>
      </c>
      <c r="B7" s="269"/>
      <c r="C7" s="269"/>
      <c r="D7" s="269"/>
    </row>
    <row r="8" spans="1:3" ht="12.75">
      <c r="A8" s="2" t="s">
        <v>258</v>
      </c>
      <c r="C8" s="3"/>
    </row>
    <row r="9" spans="1:4" ht="12.75">
      <c r="A9" s="4" t="s">
        <v>5</v>
      </c>
      <c r="B9" s="4" t="s">
        <v>6</v>
      </c>
      <c r="C9" s="4" t="s">
        <v>7</v>
      </c>
      <c r="D9" s="5"/>
    </row>
    <row r="10" spans="1:4" ht="12.75">
      <c r="A10" s="6">
        <v>1</v>
      </c>
      <c r="B10" s="6">
        <v>2</v>
      </c>
      <c r="C10" s="6">
        <v>3</v>
      </c>
      <c r="D10" s="7">
        <v>4</v>
      </c>
    </row>
    <row r="11" spans="1:4" ht="12.75">
      <c r="A11" s="8" t="s">
        <v>8</v>
      </c>
      <c r="B11" s="9"/>
      <c r="C11" s="177" t="s">
        <v>172</v>
      </c>
      <c r="D11" s="10"/>
    </row>
    <row r="12" spans="1:4" ht="12.75">
      <c r="A12" s="8" t="s">
        <v>10</v>
      </c>
      <c r="B12" s="9"/>
      <c r="C12" s="177" t="s">
        <v>173</v>
      </c>
      <c r="D12" s="10"/>
    </row>
    <row r="13" spans="1:4" ht="12.75">
      <c r="A13" s="8" t="s">
        <v>12</v>
      </c>
      <c r="B13" s="9"/>
      <c r="C13" s="177" t="s">
        <v>174</v>
      </c>
      <c r="D13" s="10"/>
    </row>
    <row r="14" spans="1:4" ht="31.5" customHeight="1">
      <c r="A14" s="259" t="s">
        <v>14</v>
      </c>
      <c r="B14" s="259"/>
      <c r="C14" s="259"/>
      <c r="D14" s="259"/>
    </row>
    <row r="15" spans="1:8" ht="25.5">
      <c r="A15" s="11" t="s">
        <v>15</v>
      </c>
      <c r="B15" s="12" t="s">
        <v>16</v>
      </c>
      <c r="C15" s="13">
        <v>9758.44</v>
      </c>
      <c r="D15" s="14"/>
      <c r="E15" s="132"/>
      <c r="F15" s="132"/>
      <c r="G15" s="132"/>
      <c r="H15" s="132"/>
    </row>
    <row r="16" spans="1:8" ht="15">
      <c r="A16" s="8" t="s">
        <v>17</v>
      </c>
      <c r="B16" s="12" t="s">
        <v>16</v>
      </c>
      <c r="C16" s="13">
        <v>0</v>
      </c>
      <c r="D16" s="14"/>
      <c r="E16" s="132"/>
      <c r="F16" s="132"/>
      <c r="G16" s="132"/>
      <c r="H16" s="132"/>
    </row>
    <row r="17" spans="1:8" ht="15">
      <c r="A17" s="8" t="s">
        <v>18</v>
      </c>
      <c r="B17" s="12" t="s">
        <v>16</v>
      </c>
      <c r="C17" s="15">
        <v>20542.66</v>
      </c>
      <c r="D17" s="16"/>
      <c r="E17" s="132" t="e">
        <f>B17/12/1022.6</f>
        <v>#VALUE!</v>
      </c>
      <c r="F17" s="132"/>
      <c r="G17" s="132"/>
      <c r="H17" s="132"/>
    </row>
    <row r="18" spans="1:8" ht="31.5" customHeight="1">
      <c r="A18" s="17" t="s">
        <v>19</v>
      </c>
      <c r="B18" s="12" t="s">
        <v>16</v>
      </c>
      <c r="C18" s="15">
        <v>15847.8</v>
      </c>
      <c r="D18" s="16"/>
      <c r="E18" s="133">
        <f>C18-C20</f>
        <v>12850.38</v>
      </c>
      <c r="F18" s="132"/>
      <c r="G18" s="132"/>
      <c r="H18" s="132"/>
    </row>
    <row r="19" spans="1:8" ht="15">
      <c r="A19" s="8" t="s">
        <v>20</v>
      </c>
      <c r="B19" s="12" t="s">
        <v>16</v>
      </c>
      <c r="C19" s="15">
        <f>C18-C20-C21</f>
        <v>6678.155999999999</v>
      </c>
      <c r="D19" s="16"/>
      <c r="E19" s="133">
        <f>E18-E39</f>
        <v>0</v>
      </c>
      <c r="F19" s="132"/>
      <c r="G19" s="132"/>
      <c r="H19" s="132"/>
    </row>
    <row r="20" spans="1:8" ht="15">
      <c r="A20" s="8" t="s">
        <v>21</v>
      </c>
      <c r="B20" s="12" t="s">
        <v>16</v>
      </c>
      <c r="C20" s="15">
        <f>(0.85+1.2)*6*105.4+1701</f>
        <v>2997.42</v>
      </c>
      <c r="D20" s="16"/>
      <c r="E20" s="134"/>
      <c r="F20" s="132"/>
      <c r="G20" s="132"/>
      <c r="H20" s="132"/>
    </row>
    <row r="21" spans="1:8" ht="15">
      <c r="A21" s="8" t="s">
        <v>22</v>
      </c>
      <c r="B21" s="12" t="s">
        <v>16</v>
      </c>
      <c r="C21" s="20">
        <f>105.4*4.88*12</f>
        <v>6172.224</v>
      </c>
      <c r="D21" s="16"/>
      <c r="E21" s="132"/>
      <c r="F21" s="132"/>
      <c r="G21" s="132"/>
      <c r="H21" s="132"/>
    </row>
    <row r="22" spans="1:8" ht="15">
      <c r="A22" s="21" t="s">
        <v>23</v>
      </c>
      <c r="B22" s="12" t="s">
        <v>16</v>
      </c>
      <c r="C22" s="15">
        <f>C23+C24+C25+C26+C27</f>
        <v>7535.6289</v>
      </c>
      <c r="D22" s="16" t="s">
        <v>24</v>
      </c>
      <c r="E22" s="133" t="e">
        <f>B24+B25+B26+B27+B28</f>
        <v>#VALUE!</v>
      </c>
      <c r="F22" s="132"/>
      <c r="G22" s="132"/>
      <c r="H22" s="132"/>
    </row>
    <row r="23" spans="1:5" ht="15">
      <c r="A23" s="8" t="s">
        <v>25</v>
      </c>
      <c r="B23" s="12" t="s">
        <v>16</v>
      </c>
      <c r="C23" s="15">
        <f>C18*0.4755</f>
        <v>7535.6289</v>
      </c>
      <c r="D23" s="16"/>
      <c r="E23" s="132"/>
    </row>
    <row r="24" spans="1:8" ht="15">
      <c r="A24" s="8" t="s">
        <v>26</v>
      </c>
      <c r="B24" s="12" t="s">
        <v>16</v>
      </c>
      <c r="C24" s="15">
        <v>0</v>
      </c>
      <c r="D24" s="22">
        <v>65.21</v>
      </c>
      <c r="E24" s="134" t="e">
        <f>B24/#REF!*1</f>
        <v>#VALUE!</v>
      </c>
      <c r="H24" s="1" t="s">
        <v>27</v>
      </c>
    </row>
    <row r="25" spans="1:5" ht="15">
      <c r="A25" s="8" t="s">
        <v>28</v>
      </c>
      <c r="B25" s="12" t="s">
        <v>16</v>
      </c>
      <c r="C25" s="15">
        <v>0</v>
      </c>
      <c r="D25" s="22">
        <v>119.63</v>
      </c>
      <c r="E25" s="19" t="e">
        <f>B25/#REF!*1</f>
        <v>#VALUE!</v>
      </c>
    </row>
    <row r="26" spans="1:5" ht="15">
      <c r="A26" s="9" t="s">
        <v>29</v>
      </c>
      <c r="B26" s="12" t="s">
        <v>16</v>
      </c>
      <c r="C26" s="15">
        <v>0</v>
      </c>
      <c r="D26" s="22"/>
      <c r="E26" s="19" t="e">
        <f>B26/#REF!*1</f>
        <v>#VALUE!</v>
      </c>
    </row>
    <row r="27" spans="1:5" ht="16.5" customHeight="1">
      <c r="A27" s="116" t="s">
        <v>112</v>
      </c>
      <c r="B27" s="12" t="s">
        <v>16</v>
      </c>
      <c r="C27" s="15">
        <v>0</v>
      </c>
      <c r="D27" s="22">
        <v>139.18</v>
      </c>
      <c r="E27" s="134" t="e">
        <f>B27/#REF!*1</f>
        <v>#VALUE!</v>
      </c>
    </row>
    <row r="28" spans="1:5" ht="15">
      <c r="A28" s="8" t="s">
        <v>31</v>
      </c>
      <c r="B28" s="12" t="s">
        <v>16</v>
      </c>
      <c r="C28" s="15">
        <f>C15+C22</f>
        <v>17294.0689</v>
      </c>
      <c r="D28" s="16" t="s">
        <v>32</v>
      </c>
      <c r="E28" s="134" t="e">
        <f>B28/#REF!*1</f>
        <v>#VALUE!</v>
      </c>
    </row>
    <row r="29" spans="1:5" ht="35.25" customHeight="1">
      <c r="A29" s="260" t="s">
        <v>33</v>
      </c>
      <c r="B29" s="260"/>
      <c r="C29" s="260"/>
      <c r="D29" s="260"/>
      <c r="E29" s="132"/>
    </row>
    <row r="30" spans="1:5" ht="60">
      <c r="A30" s="23" t="s">
        <v>34</v>
      </c>
      <c r="B30" s="24" t="s">
        <v>35</v>
      </c>
      <c r="C30" s="25" t="s">
        <v>36</v>
      </c>
      <c r="D30" s="26" t="s">
        <v>37</v>
      </c>
      <c r="E30" s="132"/>
    </row>
    <row r="31" spans="1:5" ht="15">
      <c r="A31" s="27" t="s">
        <v>38</v>
      </c>
      <c r="B31" s="28" t="s">
        <v>39</v>
      </c>
      <c r="C31" s="29" t="s">
        <v>40</v>
      </c>
      <c r="D31" s="107">
        <f>(0.17+0.16)*6*105.4</f>
        <v>208.692</v>
      </c>
      <c r="E31" s="132"/>
    </row>
    <row r="32" spans="1:5" ht="15">
      <c r="A32" s="31" t="s">
        <v>41</v>
      </c>
      <c r="B32" s="32" t="s">
        <v>42</v>
      </c>
      <c r="C32" s="33" t="s">
        <v>43</v>
      </c>
      <c r="D32" s="34">
        <f>(3.03+3)*6*105.4</f>
        <v>3813.3719999999994</v>
      </c>
      <c r="E32" s="132"/>
    </row>
    <row r="33" spans="1:5" ht="15">
      <c r="A33" s="31" t="s">
        <v>44</v>
      </c>
      <c r="B33" s="32" t="s">
        <v>39</v>
      </c>
      <c r="C33" s="33" t="s">
        <v>45</v>
      </c>
      <c r="D33" s="108">
        <f>(0.2+0.21)*6*105.4</f>
        <v>259.284</v>
      </c>
      <c r="E33" s="132"/>
    </row>
    <row r="34" spans="1:5" ht="15">
      <c r="A34" s="204" t="s">
        <v>255</v>
      </c>
      <c r="B34" s="32" t="s">
        <v>39</v>
      </c>
      <c r="C34" s="33" t="s">
        <v>40</v>
      </c>
      <c r="D34" s="108">
        <f>(0.22+0.23)*6*105.4</f>
        <v>284.58000000000004</v>
      </c>
      <c r="E34" s="132"/>
    </row>
    <row r="35" spans="1:5" ht="15">
      <c r="A35" s="31" t="s">
        <v>90</v>
      </c>
      <c r="B35" s="106" t="s">
        <v>91</v>
      </c>
      <c r="C35" s="33" t="s">
        <v>40</v>
      </c>
      <c r="D35" s="108">
        <f>(1.33+1.27)*6*105.4</f>
        <v>1644.2400000000002</v>
      </c>
      <c r="E35" s="132"/>
    </row>
    <row r="36" spans="1:5" ht="15">
      <c r="A36" s="31" t="s">
        <v>46</v>
      </c>
      <c r="B36" s="32" t="s">
        <v>42</v>
      </c>
      <c r="C36" s="35" t="s">
        <v>47</v>
      </c>
      <c r="D36" s="108">
        <f>4.88*105.4*12</f>
        <v>6172.224</v>
      </c>
      <c r="E36" s="132"/>
    </row>
    <row r="37" spans="1:14" s="1" customFormat="1" ht="45">
      <c r="A37" s="36" t="s">
        <v>48</v>
      </c>
      <c r="B37" s="37" t="s">
        <v>49</v>
      </c>
      <c r="C37" s="29"/>
      <c r="D37" s="39">
        <v>0</v>
      </c>
      <c r="E37" s="132"/>
      <c r="K37"/>
      <c r="L37"/>
      <c r="M37"/>
      <c r="N37"/>
    </row>
    <row r="38" spans="1:14" s="1" customFormat="1" ht="45">
      <c r="A38" s="109" t="s">
        <v>95</v>
      </c>
      <c r="B38" s="110" t="s">
        <v>96</v>
      </c>
      <c r="C38" s="29" t="s">
        <v>97</v>
      </c>
      <c r="D38" s="112">
        <f>0.74*6*105.4</f>
        <v>467.976</v>
      </c>
      <c r="E38" s="132"/>
      <c r="K38"/>
      <c r="L38"/>
      <c r="M38"/>
      <c r="N38"/>
    </row>
    <row r="39" spans="1:14" s="1" customFormat="1" ht="15.75">
      <c r="A39" s="40" t="s">
        <v>50</v>
      </c>
      <c r="B39" s="41"/>
      <c r="C39" s="42"/>
      <c r="D39" s="113">
        <v>12850.38</v>
      </c>
      <c r="E39" s="135">
        <f>D39-D37</f>
        <v>12850.38</v>
      </c>
      <c r="K39"/>
      <c r="L39"/>
      <c r="M39"/>
      <c r="N39"/>
    </row>
    <row r="40" spans="1:14" s="1" customFormat="1" ht="15">
      <c r="A40" s="43" t="s">
        <v>51</v>
      </c>
      <c r="B40" s="44" t="s">
        <v>16</v>
      </c>
      <c r="C40" s="45"/>
      <c r="D40" s="46">
        <f>C15+C20*0.4755-D37</f>
        <v>11183.71321</v>
      </c>
      <c r="E40" s="135"/>
      <c r="K40"/>
      <c r="L40"/>
      <c r="M40"/>
      <c r="N40"/>
    </row>
    <row r="41" spans="1:14" s="1" customFormat="1" ht="15">
      <c r="A41" s="48" t="s">
        <v>17</v>
      </c>
      <c r="B41" s="49" t="s">
        <v>16</v>
      </c>
      <c r="C41" s="33"/>
      <c r="D41" s="14"/>
      <c r="E41" s="132"/>
      <c r="K41"/>
      <c r="L41"/>
      <c r="M41"/>
      <c r="N41"/>
    </row>
    <row r="42" spans="1:14" s="1" customFormat="1" ht="15">
      <c r="A42" s="48" t="s">
        <v>18</v>
      </c>
      <c r="B42" s="49" t="s">
        <v>16</v>
      </c>
      <c r="C42" s="33"/>
      <c r="D42" s="14">
        <v>30260.71</v>
      </c>
      <c r="E42" s="62"/>
      <c r="K42"/>
      <c r="L42"/>
      <c r="M42"/>
      <c r="N42"/>
    </row>
    <row r="43" spans="1:14" s="1" customFormat="1" ht="24" customHeight="1">
      <c r="A43" s="261" t="s">
        <v>52</v>
      </c>
      <c r="B43" s="261"/>
      <c r="C43" s="261"/>
      <c r="D43" s="261"/>
      <c r="E43" s="132"/>
      <c r="K43"/>
      <c r="L43"/>
      <c r="M43"/>
      <c r="N43"/>
    </row>
    <row r="44" spans="1:14" s="1" customFormat="1" ht="15">
      <c r="A44" s="48" t="s">
        <v>53</v>
      </c>
      <c r="B44" s="32" t="s">
        <v>54</v>
      </c>
      <c r="C44" s="33">
        <v>0</v>
      </c>
      <c r="D44" s="14">
        <v>0</v>
      </c>
      <c r="E44" s="132"/>
      <c r="K44"/>
      <c r="L44"/>
      <c r="M44"/>
      <c r="N44"/>
    </row>
    <row r="45" spans="1:14" s="1" customFormat="1" ht="15">
      <c r="A45" s="48" t="s">
        <v>55</v>
      </c>
      <c r="B45" s="32" t="s">
        <v>54</v>
      </c>
      <c r="C45" s="33">
        <v>0</v>
      </c>
      <c r="D45" s="14">
        <v>0</v>
      </c>
      <c r="E45" s="132"/>
      <c r="K45"/>
      <c r="L45"/>
      <c r="M45"/>
      <c r="N45"/>
    </row>
    <row r="46" spans="1:14" s="1" customFormat="1" ht="15">
      <c r="A46" s="50" t="s">
        <v>56</v>
      </c>
      <c r="B46" s="32" t="s">
        <v>54</v>
      </c>
      <c r="C46" s="33">
        <v>0</v>
      </c>
      <c r="D46" s="14">
        <v>0</v>
      </c>
      <c r="E46" s="132"/>
      <c r="K46"/>
      <c r="L46"/>
      <c r="M46"/>
      <c r="N46"/>
    </row>
    <row r="47" spans="1:14" s="1" customFormat="1" ht="15">
      <c r="A47" s="48" t="s">
        <v>57</v>
      </c>
      <c r="B47" s="32" t="s">
        <v>16</v>
      </c>
      <c r="C47" s="33">
        <v>0</v>
      </c>
      <c r="D47" s="14">
        <v>0</v>
      </c>
      <c r="E47" s="132"/>
      <c r="K47"/>
      <c r="L47"/>
      <c r="M47"/>
      <c r="N47"/>
    </row>
    <row r="48" spans="1:5" ht="20.25" customHeight="1">
      <c r="A48" s="262" t="s">
        <v>58</v>
      </c>
      <c r="B48" s="262"/>
      <c r="C48" s="262"/>
      <c r="D48" s="262"/>
      <c r="E48" s="132"/>
    </row>
    <row r="49" spans="1:5" ht="25.5">
      <c r="A49" s="50" t="s">
        <v>59</v>
      </c>
      <c r="B49" s="32" t="s">
        <v>16</v>
      </c>
      <c r="C49" s="33"/>
      <c r="D49" s="14">
        <v>0</v>
      </c>
      <c r="E49" s="132"/>
    </row>
    <row r="50" spans="1:5" ht="15">
      <c r="A50" s="48" t="s">
        <v>17</v>
      </c>
      <c r="B50" s="32" t="s">
        <v>16</v>
      </c>
      <c r="C50" s="33"/>
      <c r="D50" s="14">
        <v>0</v>
      </c>
      <c r="E50" s="132"/>
    </row>
    <row r="51" spans="1:8" ht="15">
      <c r="A51" s="48" t="s">
        <v>18</v>
      </c>
      <c r="B51" s="32" t="s">
        <v>16</v>
      </c>
      <c r="C51" s="33"/>
      <c r="D51" s="51">
        <f>D54-D57-D58-D59-D60</f>
        <v>8445.528020000002</v>
      </c>
      <c r="E51" s="132"/>
      <c r="H51" s="52"/>
    </row>
    <row r="52" spans="1:5" ht="25.5">
      <c r="A52" s="53" t="s">
        <v>60</v>
      </c>
      <c r="B52" s="32" t="s">
        <v>16</v>
      </c>
      <c r="C52" s="54"/>
      <c r="D52" s="55">
        <v>0</v>
      </c>
      <c r="E52" s="132"/>
    </row>
    <row r="53" spans="1:10" ht="17.25" customHeight="1">
      <c r="A53" s="56" t="s">
        <v>17</v>
      </c>
      <c r="B53" s="32" t="s">
        <v>16</v>
      </c>
      <c r="C53" s="33"/>
      <c r="D53" s="14">
        <v>0</v>
      </c>
      <c r="E53" s="132"/>
      <c r="I53" s="52"/>
      <c r="J53" s="52"/>
    </row>
    <row r="54" spans="1:14" ht="15">
      <c r="A54" s="59" t="s">
        <v>18</v>
      </c>
      <c r="B54" s="32" t="s">
        <v>16</v>
      </c>
      <c r="C54" s="60"/>
      <c r="D54" s="61">
        <v>11643.95</v>
      </c>
      <c r="E54" s="132"/>
      <c r="H54" s="1" t="s">
        <v>32</v>
      </c>
      <c r="I54" s="63"/>
      <c r="J54" s="63"/>
      <c r="K54" s="64"/>
      <c r="L54" s="64"/>
      <c r="M54" s="64"/>
      <c r="N54" s="64"/>
    </row>
    <row r="55" spans="1:14" ht="18" customHeight="1">
      <c r="A55" s="263" t="s">
        <v>61</v>
      </c>
      <c r="B55" s="263"/>
      <c r="C55" s="263"/>
      <c r="D55" s="263"/>
      <c r="E55" s="137"/>
      <c r="F55" s="66"/>
      <c r="G55" s="67"/>
      <c r="I55" s="68"/>
      <c r="J55" s="68"/>
      <c r="K55" s="69"/>
      <c r="L55" s="69"/>
      <c r="M55" s="69"/>
      <c r="N55" s="69"/>
    </row>
    <row r="56" spans="1:14" ht="47.25">
      <c r="A56" s="70" t="s">
        <v>62</v>
      </c>
      <c r="B56" s="71" t="s">
        <v>63</v>
      </c>
      <c r="C56" s="72" t="s">
        <v>64</v>
      </c>
      <c r="D56" s="73" t="s">
        <v>65</v>
      </c>
      <c r="E56" s="137"/>
      <c r="F56" s="66"/>
      <c r="G56" s="67"/>
      <c r="I56" s="68"/>
      <c r="J56" s="74"/>
      <c r="K56" s="69"/>
      <c r="L56" s="69"/>
      <c r="M56" s="69"/>
      <c r="N56" s="69"/>
    </row>
    <row r="57" spans="1:14" ht="15">
      <c r="A57" s="75" t="s">
        <v>66</v>
      </c>
      <c r="B57" s="117">
        <v>6098.04</v>
      </c>
      <c r="C57" s="118">
        <f>B57*0.4755</f>
        <v>2899.61802</v>
      </c>
      <c r="D57" s="119">
        <f>B57-C57</f>
        <v>3198.42198</v>
      </c>
      <c r="E57" s="140"/>
      <c r="F57" s="66"/>
      <c r="G57" s="67"/>
      <c r="I57" s="68"/>
      <c r="J57" s="68"/>
      <c r="K57" s="69"/>
      <c r="L57" s="69"/>
      <c r="M57" s="69"/>
      <c r="N57" s="69"/>
    </row>
    <row r="58" spans="1:14" ht="15">
      <c r="A58" s="75" t="s">
        <v>67</v>
      </c>
      <c r="B58" s="117">
        <v>0</v>
      </c>
      <c r="C58" s="118">
        <f>B58*0.8884</f>
        <v>0</v>
      </c>
      <c r="D58" s="119">
        <f>B58-C58</f>
        <v>0</v>
      </c>
      <c r="E58" s="137"/>
      <c r="F58" s="66"/>
      <c r="G58" s="67"/>
      <c r="I58" s="68"/>
      <c r="J58" s="68"/>
      <c r="K58" s="69"/>
      <c r="L58" s="69"/>
      <c r="M58" s="69"/>
      <c r="N58" s="69"/>
    </row>
    <row r="59" spans="1:14" ht="15">
      <c r="A59" s="75" t="s">
        <v>68</v>
      </c>
      <c r="B59" s="120">
        <v>0</v>
      </c>
      <c r="C59" s="118">
        <f>B59*0.8884</f>
        <v>0</v>
      </c>
      <c r="D59" s="119">
        <f>B59-C59</f>
        <v>0</v>
      </c>
      <c r="E59" s="137">
        <f>(2.07+1.8)*6*2301.2-0.37*2301.2*6</f>
        <v>48325.2</v>
      </c>
      <c r="F59" s="81"/>
      <c r="G59" s="82"/>
      <c r="H59" s="65"/>
      <c r="I59" s="68"/>
      <c r="J59" s="68"/>
      <c r="K59" s="69"/>
      <c r="L59" s="69"/>
      <c r="M59" s="69"/>
      <c r="N59" s="69"/>
    </row>
    <row r="60" spans="1:14" ht="15.75" thickBot="1">
      <c r="A60" s="150" t="s">
        <v>69</v>
      </c>
      <c r="B60" s="151">
        <v>0</v>
      </c>
      <c r="C60" s="152">
        <f>B60*0.8884</f>
        <v>0</v>
      </c>
      <c r="D60" s="153">
        <f>B60-C60</f>
        <v>0</v>
      </c>
      <c r="E60" s="137"/>
      <c r="F60" s="81"/>
      <c r="G60" s="82"/>
      <c r="I60" s="68"/>
      <c r="J60" s="68"/>
      <c r="K60" s="69"/>
      <c r="L60" s="69"/>
      <c r="M60" s="69"/>
      <c r="N60" s="69"/>
    </row>
    <row r="61" spans="1:14" ht="63">
      <c r="A61" s="154" t="s">
        <v>70</v>
      </c>
      <c r="B61" s="155" t="s">
        <v>71</v>
      </c>
      <c r="C61" s="156" t="s">
        <v>72</v>
      </c>
      <c r="D61" s="157" t="s">
        <v>73</v>
      </c>
      <c r="E61" s="137"/>
      <c r="F61" s="81"/>
      <c r="H61" s="68"/>
      <c r="I61" s="68"/>
      <c r="J61" s="68"/>
      <c r="K61" s="69"/>
      <c r="L61" s="69"/>
      <c r="M61" s="69"/>
      <c r="N61" s="69"/>
    </row>
    <row r="62" spans="1:14" ht="15">
      <c r="A62" s="158" t="s">
        <v>66</v>
      </c>
      <c r="B62" s="124">
        <f>B57</f>
        <v>6098.04</v>
      </c>
      <c r="C62" s="125">
        <f>B62*0.9621</f>
        <v>5866.924284</v>
      </c>
      <c r="D62" s="159">
        <f>B62-C62</f>
        <v>231.11571600000025</v>
      </c>
      <c r="E62" s="137"/>
      <c r="F62" s="81"/>
      <c r="H62" s="68"/>
      <c r="I62" s="68"/>
      <c r="J62" s="68" t="s">
        <v>32</v>
      </c>
      <c r="K62" s="69"/>
      <c r="L62" s="69"/>
      <c r="M62" s="69"/>
      <c r="N62" s="69"/>
    </row>
    <row r="63" spans="1:14" ht="15">
      <c r="A63" s="158" t="s">
        <v>67</v>
      </c>
      <c r="B63" s="124">
        <v>0</v>
      </c>
      <c r="C63" s="125">
        <v>0</v>
      </c>
      <c r="D63" s="159">
        <f>B63-C63</f>
        <v>0</v>
      </c>
      <c r="E63" s="137"/>
      <c r="F63" s="81"/>
      <c r="H63" s="68"/>
      <c r="I63" s="68"/>
      <c r="J63" s="68"/>
      <c r="K63" s="69"/>
      <c r="L63" s="69"/>
      <c r="M63" s="69"/>
      <c r="N63" s="69"/>
    </row>
    <row r="64" spans="1:14" ht="15">
      <c r="A64" s="158" t="s">
        <v>68</v>
      </c>
      <c r="B64" s="124">
        <v>0</v>
      </c>
      <c r="C64" s="125">
        <v>0</v>
      </c>
      <c r="D64" s="159">
        <f>B64-C64</f>
        <v>0</v>
      </c>
      <c r="E64" s="137"/>
      <c r="F64" s="81"/>
      <c r="H64" s="68"/>
      <c r="I64" s="68"/>
      <c r="J64" s="68"/>
      <c r="K64" s="69"/>
      <c r="L64" s="69"/>
      <c r="M64" s="69"/>
      <c r="N64" s="69"/>
    </row>
    <row r="65" spans="1:14" ht="15">
      <c r="A65" s="158" t="s">
        <v>74</v>
      </c>
      <c r="B65" s="124">
        <v>0</v>
      </c>
      <c r="C65" s="125">
        <v>0</v>
      </c>
      <c r="D65" s="159">
        <f>B65-C65</f>
        <v>0</v>
      </c>
      <c r="E65" s="137"/>
      <c r="F65" s="81"/>
      <c r="H65" s="68"/>
      <c r="I65" s="68"/>
      <c r="J65" s="68"/>
      <c r="K65" s="69"/>
      <c r="L65" s="69"/>
      <c r="M65" s="69"/>
      <c r="N65" s="69"/>
    </row>
    <row r="66" spans="1:14" ht="15.75" thickBot="1">
      <c r="A66" s="160" t="s">
        <v>69</v>
      </c>
      <c r="B66" s="161">
        <v>0</v>
      </c>
      <c r="C66" s="162">
        <v>0</v>
      </c>
      <c r="D66" s="163">
        <f>B66-C66</f>
        <v>0</v>
      </c>
      <c r="E66" s="137"/>
      <c r="F66" s="81"/>
      <c r="H66" s="68" t="s">
        <v>32</v>
      </c>
      <c r="I66" s="68"/>
      <c r="J66" s="68"/>
      <c r="K66" s="69"/>
      <c r="L66" s="69"/>
      <c r="M66" s="69"/>
      <c r="N66" s="69"/>
    </row>
    <row r="67" spans="1:14" ht="15">
      <c r="A67" s="91"/>
      <c r="B67" s="87"/>
      <c r="C67" s="92"/>
      <c r="D67" s="93"/>
      <c r="E67" s="65"/>
      <c r="F67" s="81"/>
      <c r="H67" s="68"/>
      <c r="I67" s="68"/>
      <c r="J67" s="68"/>
      <c r="K67" s="69"/>
      <c r="L67" s="69"/>
      <c r="M67" s="69"/>
      <c r="N67" s="69"/>
    </row>
    <row r="68" spans="1:14" ht="25.5">
      <c r="A68" s="94" t="s">
        <v>75</v>
      </c>
      <c r="B68" s="87" t="s">
        <v>16</v>
      </c>
      <c r="C68" s="95"/>
      <c r="D68" s="96"/>
      <c r="E68" s="65"/>
      <c r="F68" s="81"/>
      <c r="H68" s="68"/>
      <c r="I68" s="68"/>
      <c r="J68" s="68" t="s">
        <v>32</v>
      </c>
      <c r="K68" s="69"/>
      <c r="L68" s="69"/>
      <c r="M68" s="69"/>
      <c r="N68" s="69"/>
    </row>
    <row r="69" spans="1:14" ht="17.25" customHeight="1">
      <c r="A69" s="264" t="s">
        <v>76</v>
      </c>
      <c r="B69" s="264"/>
      <c r="C69" s="264"/>
      <c r="D69" s="264"/>
      <c r="E69" s="97" t="e">
        <f>D69+B19</f>
        <v>#VALUE!</v>
      </c>
      <c r="F69" s="68"/>
      <c r="H69" s="98" t="e">
        <f>E69-B18</f>
        <v>#VALUE!</v>
      </c>
      <c r="I69" s="68"/>
      <c r="J69" s="68"/>
      <c r="K69" s="69"/>
      <c r="L69" s="69"/>
      <c r="M69" s="69"/>
      <c r="N69" s="69"/>
    </row>
    <row r="70" spans="1:5" ht="21" customHeight="1">
      <c r="A70" s="99" t="s">
        <v>53</v>
      </c>
      <c r="B70" s="99" t="s">
        <v>54</v>
      </c>
      <c r="C70" s="100">
        <v>0</v>
      </c>
      <c r="D70" s="101"/>
      <c r="E70" s="102"/>
    </row>
    <row r="71" spans="1:5" ht="21" customHeight="1">
      <c r="A71" s="99" t="s">
        <v>55</v>
      </c>
      <c r="B71" s="99" t="s">
        <v>54</v>
      </c>
      <c r="C71" s="99">
        <v>0</v>
      </c>
      <c r="D71" s="101"/>
      <c r="E71" s="102"/>
    </row>
    <row r="72" spans="1:5" ht="18" customHeight="1">
      <c r="A72" s="99" t="s">
        <v>56</v>
      </c>
      <c r="B72" s="99" t="s">
        <v>54</v>
      </c>
      <c r="C72" s="99">
        <v>0</v>
      </c>
      <c r="D72" s="101"/>
      <c r="E72" s="102"/>
    </row>
    <row r="73" spans="1:5" ht="16.5" customHeight="1">
      <c r="A73" s="99" t="s">
        <v>57</v>
      </c>
      <c r="B73" s="99" t="s">
        <v>16</v>
      </c>
      <c r="C73" s="99">
        <v>0</v>
      </c>
      <c r="D73" s="101"/>
      <c r="E73" s="102"/>
    </row>
    <row r="74" spans="1:5" ht="15.75" customHeight="1">
      <c r="A74" s="258" t="s">
        <v>77</v>
      </c>
      <c r="B74" s="258"/>
      <c r="C74" s="258"/>
      <c r="D74" s="258"/>
      <c r="E74" s="102"/>
    </row>
    <row r="75" spans="1:5" ht="18.75" customHeight="1">
      <c r="A75" s="99" t="s">
        <v>78</v>
      </c>
      <c r="B75" s="99" t="s">
        <v>54</v>
      </c>
      <c r="C75" s="99">
        <v>0</v>
      </c>
      <c r="D75" s="101"/>
      <c r="E75" s="102"/>
    </row>
    <row r="76" spans="1:5" ht="21.75" customHeight="1">
      <c r="A76" s="99" t="s">
        <v>79</v>
      </c>
      <c r="B76" s="56" t="s">
        <v>54</v>
      </c>
      <c r="C76" s="56">
        <v>1</v>
      </c>
      <c r="D76" s="101"/>
      <c r="E76" s="102"/>
    </row>
    <row r="77" spans="1:5" ht="36" customHeight="1">
      <c r="A77" s="103" t="s">
        <v>80</v>
      </c>
      <c r="B77" s="99" t="s">
        <v>16</v>
      </c>
      <c r="C77" s="99">
        <v>0</v>
      </c>
      <c r="D77" s="101"/>
      <c r="E77" s="102"/>
    </row>
    <row r="78" spans="1:4" ht="15">
      <c r="A78" s="69"/>
      <c r="B78" s="69"/>
      <c r="C78" s="69"/>
      <c r="D78" s="104"/>
    </row>
    <row r="79" spans="1:14" s="1" customFormat="1" ht="12.75">
      <c r="A79"/>
      <c r="B79"/>
      <c r="C79"/>
      <c r="D79"/>
      <c r="H79" s="1" t="s">
        <v>32</v>
      </c>
      <c r="K79"/>
      <c r="L79"/>
      <c r="M79"/>
      <c r="N79"/>
    </row>
    <row r="80" spans="1:14" s="1" customFormat="1" ht="12.75">
      <c r="A80" t="s">
        <v>81</v>
      </c>
      <c r="B80"/>
      <c r="C80"/>
      <c r="D80"/>
      <c r="K80"/>
      <c r="L80"/>
      <c r="M80"/>
      <c r="N80"/>
    </row>
    <row r="81" spans="1:14" s="1" customFormat="1" ht="12.75">
      <c r="A81"/>
      <c r="B81"/>
      <c r="C81"/>
      <c r="D81"/>
      <c r="H81" s="1" t="s">
        <v>32</v>
      </c>
      <c r="K81"/>
      <c r="L81"/>
      <c r="M81"/>
      <c r="N81"/>
    </row>
    <row r="82" spans="1:14" s="1" customFormat="1" ht="12.75">
      <c r="A82" t="s">
        <v>82</v>
      </c>
      <c r="B82"/>
      <c r="C82"/>
      <c r="D82"/>
      <c r="K82"/>
      <c r="L82"/>
      <c r="M82"/>
      <c r="N82"/>
    </row>
    <row r="86" spans="1:14" s="1" customFormat="1" ht="12.75">
      <c r="A86"/>
      <c r="B86"/>
      <c r="C86"/>
      <c r="D86"/>
      <c r="E86" s="1" t="s">
        <v>32</v>
      </c>
      <c r="K86"/>
      <c r="L86"/>
      <c r="M86"/>
      <c r="N86"/>
    </row>
  </sheetData>
  <sheetProtection selectLockedCells="1" selectUnlockedCells="1"/>
  <mergeCells count="13">
    <mergeCell ref="A1:D1"/>
    <mergeCell ref="A2:D2"/>
    <mergeCell ref="A3:D3"/>
    <mergeCell ref="A4:D4"/>
    <mergeCell ref="A5:D5"/>
    <mergeCell ref="A7:D7"/>
    <mergeCell ref="A74:D74"/>
    <mergeCell ref="A14:D14"/>
    <mergeCell ref="A29:D29"/>
    <mergeCell ref="A43:D43"/>
    <mergeCell ref="A48:D48"/>
    <mergeCell ref="A55:D55"/>
    <mergeCell ref="A69:D69"/>
  </mergeCells>
  <printOptions/>
  <pageMargins left="0.5597222222222222" right="0.7875" top="0.34097222222222223" bottom="0.7875" header="0.5118055555555555" footer="0.5118055555555555"/>
  <pageSetup fitToHeight="3" fitToWidth="2" horizontalDpi="300" verticalDpi="300" orientation="landscape" paperSize="12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6"/>
  <sheetViews>
    <sheetView zoomScale="80" zoomScaleNormal="80" zoomScalePageLayoutView="0" workbookViewId="0" topLeftCell="A4">
      <selection activeCell="E15" sqref="E15:E21"/>
    </sheetView>
  </sheetViews>
  <sheetFormatPr defaultColWidth="11.57421875" defaultRowHeight="12.75"/>
  <cols>
    <col min="1" max="1" width="63.28125" style="0" customWidth="1"/>
    <col min="2" max="2" width="20.28125" style="0" customWidth="1"/>
    <col min="3" max="3" width="31.421875" style="0" customWidth="1"/>
    <col min="4" max="4" width="27.57421875" style="0" customWidth="1"/>
    <col min="5" max="5" width="16.8515625" style="1" customWidth="1"/>
    <col min="6" max="7" width="0" style="1" hidden="1" customWidth="1"/>
    <col min="8" max="8" width="11.57421875" style="1" customWidth="1"/>
    <col min="9" max="9" width="5.28125" style="1" customWidth="1"/>
    <col min="10" max="10" width="30.00390625" style="1" customWidth="1"/>
    <col min="11" max="12" width="23.28125" style="0" customWidth="1"/>
    <col min="13" max="13" width="6.57421875" style="0" customWidth="1"/>
    <col min="14" max="14" width="7.00390625" style="0" customWidth="1"/>
  </cols>
  <sheetData>
    <row r="1" spans="1:4" ht="18">
      <c r="A1" s="265" t="s">
        <v>0</v>
      </c>
      <c r="B1" s="265"/>
      <c r="C1" s="265"/>
      <c r="D1" s="265"/>
    </row>
    <row r="2" spans="1:4" ht="15.75">
      <c r="A2" s="266" t="s">
        <v>1</v>
      </c>
      <c r="B2" s="266"/>
      <c r="C2" s="266"/>
      <c r="D2" s="266"/>
    </row>
    <row r="3" spans="1:4" ht="15.75">
      <c r="A3" s="266" t="s">
        <v>2</v>
      </c>
      <c r="B3" s="266"/>
      <c r="C3" s="266"/>
      <c r="D3" s="266"/>
    </row>
    <row r="4" spans="1:4" ht="12.75">
      <c r="A4" s="267" t="s">
        <v>140</v>
      </c>
      <c r="B4" s="267"/>
      <c r="C4" s="267"/>
      <c r="D4" s="267"/>
    </row>
    <row r="5" spans="1:4" ht="12.75">
      <c r="A5" s="268" t="s">
        <v>171</v>
      </c>
      <c r="B5" s="267"/>
      <c r="C5" s="267"/>
      <c r="D5" s="267"/>
    </row>
    <row r="6" ht="9" customHeight="1">
      <c r="A6" s="2"/>
    </row>
    <row r="7" spans="1:4" ht="18" customHeight="1">
      <c r="A7" s="269" t="s">
        <v>4</v>
      </c>
      <c r="B7" s="269"/>
      <c r="C7" s="269"/>
      <c r="D7" s="269"/>
    </row>
    <row r="8" spans="1:3" ht="12.75">
      <c r="A8" s="2" t="s">
        <v>259</v>
      </c>
      <c r="C8" s="3"/>
    </row>
    <row r="9" spans="1:4" ht="12.75">
      <c r="A9" s="4" t="s">
        <v>5</v>
      </c>
      <c r="B9" s="4" t="s">
        <v>6</v>
      </c>
      <c r="C9" s="4" t="s">
        <v>7</v>
      </c>
      <c r="D9" s="5"/>
    </row>
    <row r="10" spans="1:4" ht="12.75">
      <c r="A10" s="6">
        <v>1</v>
      </c>
      <c r="B10" s="6">
        <v>2</v>
      </c>
      <c r="C10" s="6">
        <v>3</v>
      </c>
      <c r="D10" s="7">
        <v>4</v>
      </c>
    </row>
    <row r="11" spans="1:4" ht="12.75">
      <c r="A11" s="8" t="s">
        <v>8</v>
      </c>
      <c r="B11" s="9"/>
      <c r="C11" s="177" t="s">
        <v>172</v>
      </c>
      <c r="D11" s="10"/>
    </row>
    <row r="12" spans="1:4" ht="12.75">
      <c r="A12" s="8" t="s">
        <v>10</v>
      </c>
      <c r="B12" s="9"/>
      <c r="C12" s="177" t="s">
        <v>173</v>
      </c>
      <c r="D12" s="10"/>
    </row>
    <row r="13" spans="1:4" ht="12.75">
      <c r="A13" s="8" t="s">
        <v>12</v>
      </c>
      <c r="B13" s="9"/>
      <c r="C13" s="177" t="s">
        <v>174</v>
      </c>
      <c r="D13" s="10"/>
    </row>
    <row r="14" spans="1:8" ht="31.5" customHeight="1">
      <c r="A14" s="259" t="s">
        <v>14</v>
      </c>
      <c r="B14" s="259"/>
      <c r="C14" s="259"/>
      <c r="D14" s="259"/>
      <c r="E14" s="132"/>
      <c r="F14" s="132"/>
      <c r="G14" s="132"/>
      <c r="H14" s="132"/>
    </row>
    <row r="15" spans="1:8" ht="25.5">
      <c r="A15" s="11" t="s">
        <v>15</v>
      </c>
      <c r="B15" s="12" t="s">
        <v>16</v>
      </c>
      <c r="C15" s="13">
        <v>-16774.36</v>
      </c>
      <c r="D15" s="14"/>
      <c r="E15" s="132"/>
      <c r="F15" s="132"/>
      <c r="G15" s="132"/>
      <c r="H15" s="132"/>
    </row>
    <row r="16" spans="1:8" ht="15">
      <c r="A16" s="8" t="s">
        <v>17</v>
      </c>
      <c r="B16" s="12" t="s">
        <v>16</v>
      </c>
      <c r="C16" s="13">
        <v>0</v>
      </c>
      <c r="D16" s="14"/>
      <c r="E16" s="132"/>
      <c r="F16" s="132"/>
      <c r="G16" s="132"/>
      <c r="H16" s="132"/>
    </row>
    <row r="17" spans="1:8" ht="15">
      <c r="A17" s="8" t="s">
        <v>18</v>
      </c>
      <c r="B17" s="12" t="s">
        <v>16</v>
      </c>
      <c r="C17" s="15">
        <v>6931.72</v>
      </c>
      <c r="D17" s="16"/>
      <c r="E17" s="132" t="e">
        <f>B17/12/1022.6</f>
        <v>#VALUE!</v>
      </c>
      <c r="F17" s="132"/>
      <c r="G17" s="132"/>
      <c r="H17" s="132"/>
    </row>
    <row r="18" spans="1:8" ht="31.5" customHeight="1">
      <c r="A18" s="17" t="s">
        <v>19</v>
      </c>
      <c r="B18" s="12" t="s">
        <v>16</v>
      </c>
      <c r="C18" s="15">
        <v>19919.04</v>
      </c>
      <c r="D18" s="16"/>
      <c r="E18" s="133">
        <f>C18-C20</f>
        <v>15396.972000000002</v>
      </c>
      <c r="F18" s="132"/>
      <c r="G18" s="132"/>
      <c r="H18" s="132"/>
    </row>
    <row r="19" spans="1:8" ht="15">
      <c r="A19" s="8" t="s">
        <v>20</v>
      </c>
      <c r="B19" s="12" t="s">
        <v>16</v>
      </c>
      <c r="C19" s="15">
        <f>C18-C20-C21</f>
        <v>7953.996000000003</v>
      </c>
      <c r="D19" s="16"/>
      <c r="E19" s="133">
        <f>E18-E39</f>
        <v>0.004000000002633897</v>
      </c>
      <c r="F19" s="132"/>
      <c r="G19" s="132"/>
      <c r="H19" s="132"/>
    </row>
    <row r="20" spans="1:8" ht="15">
      <c r="A20" s="8" t="s">
        <v>21</v>
      </c>
      <c r="B20" s="12" t="s">
        <v>16</v>
      </c>
      <c r="C20" s="15">
        <f>(1.8+1.98)*6*127.1+1639.44</f>
        <v>4522.067999999999</v>
      </c>
      <c r="D20" s="16"/>
      <c r="E20" s="134"/>
      <c r="F20" s="132"/>
      <c r="G20" s="132"/>
      <c r="H20" s="132"/>
    </row>
    <row r="21" spans="1:8" ht="15">
      <c r="A21" s="8" t="s">
        <v>22</v>
      </c>
      <c r="B21" s="12" t="s">
        <v>16</v>
      </c>
      <c r="C21" s="20">
        <f>127.1*4.88*12</f>
        <v>7442.975999999999</v>
      </c>
      <c r="D21" s="16"/>
      <c r="E21" s="132"/>
      <c r="F21" s="132"/>
      <c r="G21" s="132"/>
      <c r="H21" s="132"/>
    </row>
    <row r="22" spans="1:8" ht="15">
      <c r="A22" s="21" t="s">
        <v>23</v>
      </c>
      <c r="B22" s="12" t="s">
        <v>16</v>
      </c>
      <c r="C22" s="15">
        <f>C23+C24+C25+C26+C27</f>
        <v>15813.725856000001</v>
      </c>
      <c r="D22" s="16" t="s">
        <v>24</v>
      </c>
      <c r="E22" s="133" t="e">
        <f>B24+B25+B26+B27+B28</f>
        <v>#VALUE!</v>
      </c>
      <c r="F22" s="132"/>
      <c r="G22" s="132"/>
      <c r="H22" s="132"/>
    </row>
    <row r="23" spans="1:8" ht="15">
      <c r="A23" s="8" t="s">
        <v>25</v>
      </c>
      <c r="B23" s="12" t="s">
        <v>16</v>
      </c>
      <c r="C23" s="15">
        <f>C18*0.7939</f>
        <v>15813.725856000001</v>
      </c>
      <c r="D23" s="16"/>
      <c r="E23" s="132"/>
      <c r="F23" s="132"/>
      <c r="G23" s="132"/>
      <c r="H23" s="132"/>
    </row>
    <row r="24" spans="1:8" ht="15">
      <c r="A24" s="8" t="s">
        <v>26</v>
      </c>
      <c r="B24" s="12" t="s">
        <v>16</v>
      </c>
      <c r="C24" s="15">
        <v>0</v>
      </c>
      <c r="D24" s="22">
        <v>65.21</v>
      </c>
      <c r="E24" s="134" t="e">
        <f>B24/#REF!*1</f>
        <v>#VALUE!</v>
      </c>
      <c r="F24" s="132"/>
      <c r="G24" s="132"/>
      <c r="H24" s="132" t="s">
        <v>27</v>
      </c>
    </row>
    <row r="25" spans="1:8" ht="15">
      <c r="A25" s="8" t="s">
        <v>28</v>
      </c>
      <c r="B25" s="12" t="s">
        <v>16</v>
      </c>
      <c r="C25" s="15">
        <v>0</v>
      </c>
      <c r="D25" s="22">
        <v>119.63</v>
      </c>
      <c r="E25" s="134" t="e">
        <f>B25/#REF!*1</f>
        <v>#VALUE!</v>
      </c>
      <c r="F25" s="132"/>
      <c r="G25" s="132"/>
      <c r="H25" s="132"/>
    </row>
    <row r="26" spans="1:8" ht="15">
      <c r="A26" s="9" t="s">
        <v>29</v>
      </c>
      <c r="B26" s="12" t="s">
        <v>16</v>
      </c>
      <c r="C26" s="15">
        <v>0</v>
      </c>
      <c r="D26" s="22"/>
      <c r="E26" s="134" t="e">
        <f>B26/#REF!*1</f>
        <v>#VALUE!</v>
      </c>
      <c r="F26" s="132"/>
      <c r="G26" s="132"/>
      <c r="H26" s="132"/>
    </row>
    <row r="27" spans="1:8" ht="16.5" customHeight="1">
      <c r="A27" s="116" t="s">
        <v>112</v>
      </c>
      <c r="B27" s="12" t="s">
        <v>16</v>
      </c>
      <c r="C27" s="15">
        <v>0</v>
      </c>
      <c r="D27" s="22">
        <v>139.18</v>
      </c>
      <c r="E27" s="134" t="e">
        <f>B27/#REF!*1</f>
        <v>#VALUE!</v>
      </c>
      <c r="F27" s="132"/>
      <c r="G27" s="132"/>
      <c r="H27" s="132"/>
    </row>
    <row r="28" spans="1:8" ht="15">
      <c r="A28" s="8" t="s">
        <v>31</v>
      </c>
      <c r="B28" s="12" t="s">
        <v>16</v>
      </c>
      <c r="C28" s="15">
        <f>C15+C22</f>
        <v>-960.6341439999997</v>
      </c>
      <c r="D28" s="16" t="s">
        <v>32</v>
      </c>
      <c r="E28" s="134" t="e">
        <f>B28/#REF!*1</f>
        <v>#VALUE!</v>
      </c>
      <c r="F28" s="132"/>
      <c r="G28" s="132"/>
      <c r="H28" s="132"/>
    </row>
    <row r="29" spans="1:8" ht="35.25" customHeight="1">
      <c r="A29" s="260" t="s">
        <v>33</v>
      </c>
      <c r="B29" s="260"/>
      <c r="C29" s="260"/>
      <c r="D29" s="260"/>
      <c r="E29" s="132"/>
      <c r="F29" s="132"/>
      <c r="G29" s="132"/>
      <c r="H29" s="132"/>
    </row>
    <row r="30" spans="1:8" ht="60">
      <c r="A30" s="23" t="s">
        <v>34</v>
      </c>
      <c r="B30" s="24" t="s">
        <v>35</v>
      </c>
      <c r="C30" s="25" t="s">
        <v>36</v>
      </c>
      <c r="D30" s="26" t="s">
        <v>37</v>
      </c>
      <c r="E30" s="132"/>
      <c r="F30" s="132"/>
      <c r="G30" s="132"/>
      <c r="H30" s="132"/>
    </row>
    <row r="31" spans="1:8" ht="15">
      <c r="A31" s="27" t="s">
        <v>38</v>
      </c>
      <c r="B31" s="28" t="s">
        <v>39</v>
      </c>
      <c r="C31" s="29" t="s">
        <v>40</v>
      </c>
      <c r="D31" s="107">
        <f>(0.17+0.16)*6*127.1</f>
        <v>251.658</v>
      </c>
      <c r="E31" s="132"/>
      <c r="F31" s="132"/>
      <c r="G31" s="132"/>
      <c r="H31" s="132"/>
    </row>
    <row r="32" spans="1:8" ht="15">
      <c r="A32" s="31" t="s">
        <v>41</v>
      </c>
      <c r="B32" s="32" t="s">
        <v>42</v>
      </c>
      <c r="C32" s="33" t="s">
        <v>43</v>
      </c>
      <c r="D32" s="34">
        <f>(3.03+3)*6*127.1</f>
        <v>4598.477999999999</v>
      </c>
      <c r="E32" s="132"/>
      <c r="F32" s="132"/>
      <c r="G32" s="132"/>
      <c r="H32" s="132"/>
    </row>
    <row r="33" spans="1:8" ht="15">
      <c r="A33" s="31" t="s">
        <v>44</v>
      </c>
      <c r="B33" s="32" t="s">
        <v>39</v>
      </c>
      <c r="C33" s="33" t="s">
        <v>45</v>
      </c>
      <c r="D33" s="108">
        <f>(0.2+0.21)*6*127.1</f>
        <v>312.666</v>
      </c>
      <c r="E33" s="132"/>
      <c r="F33" s="132"/>
      <c r="G33" s="132"/>
      <c r="H33" s="132"/>
    </row>
    <row r="34" spans="1:8" ht="15">
      <c r="A34" s="204" t="s">
        <v>253</v>
      </c>
      <c r="B34" s="32" t="s">
        <v>39</v>
      </c>
      <c r="C34" s="33" t="s">
        <v>40</v>
      </c>
      <c r="D34" s="108">
        <f>(0.22+0.23)*6*127.1</f>
        <v>343.17</v>
      </c>
      <c r="E34" s="132"/>
      <c r="F34" s="132"/>
      <c r="G34" s="132"/>
      <c r="H34" s="132"/>
    </row>
    <row r="35" spans="1:8" ht="15">
      <c r="A35" s="31" t="s">
        <v>90</v>
      </c>
      <c r="B35" s="106" t="s">
        <v>91</v>
      </c>
      <c r="C35" s="33" t="s">
        <v>40</v>
      </c>
      <c r="D35" s="108">
        <f>(1.33+1.27)*6*127.1</f>
        <v>1982.76</v>
      </c>
      <c r="E35" s="132"/>
      <c r="F35" s="132"/>
      <c r="G35" s="132"/>
      <c r="H35" s="132"/>
    </row>
    <row r="36" spans="1:8" ht="15">
      <c r="A36" s="31" t="s">
        <v>46</v>
      </c>
      <c r="B36" s="32" t="s">
        <v>42</v>
      </c>
      <c r="C36" s="35" t="s">
        <v>47</v>
      </c>
      <c r="D36" s="108">
        <f>4.88*127.1*12</f>
        <v>7442.975999999999</v>
      </c>
      <c r="E36" s="132"/>
      <c r="F36" s="132"/>
      <c r="G36" s="132"/>
      <c r="H36" s="132"/>
    </row>
    <row r="37" spans="1:14" s="1" customFormat="1" ht="45">
      <c r="A37" s="36" t="s">
        <v>48</v>
      </c>
      <c r="B37" s="37" t="s">
        <v>49</v>
      </c>
      <c r="C37" s="29"/>
      <c r="D37" s="39">
        <v>0</v>
      </c>
      <c r="E37" s="132"/>
      <c r="F37" s="132"/>
      <c r="G37" s="132"/>
      <c r="H37" s="132"/>
      <c r="K37"/>
      <c r="L37"/>
      <c r="M37"/>
      <c r="N37"/>
    </row>
    <row r="38" spans="1:14" s="1" customFormat="1" ht="45">
      <c r="A38" s="109" t="s">
        <v>95</v>
      </c>
      <c r="B38" s="110" t="s">
        <v>96</v>
      </c>
      <c r="C38" s="29" t="s">
        <v>97</v>
      </c>
      <c r="D38" s="112">
        <v>465.26</v>
      </c>
      <c r="E38" s="132"/>
      <c r="F38" s="132"/>
      <c r="G38" s="132"/>
      <c r="H38" s="132"/>
      <c r="K38"/>
      <c r="L38"/>
      <c r="M38"/>
      <c r="N38"/>
    </row>
    <row r="39" spans="1:14" s="1" customFormat="1" ht="15.75">
      <c r="A39" s="40" t="s">
        <v>50</v>
      </c>
      <c r="B39" s="41"/>
      <c r="C39" s="42"/>
      <c r="D39" s="113">
        <f>SUM(D31:D38)</f>
        <v>15396.967999999999</v>
      </c>
      <c r="E39" s="135">
        <f>D39-D37</f>
        <v>15396.967999999999</v>
      </c>
      <c r="F39" s="132"/>
      <c r="G39" s="132"/>
      <c r="H39" s="132"/>
      <c r="K39"/>
      <c r="L39"/>
      <c r="M39"/>
      <c r="N39"/>
    </row>
    <row r="40" spans="1:14" s="1" customFormat="1" ht="15">
      <c r="A40" s="43" t="s">
        <v>51</v>
      </c>
      <c r="B40" s="44" t="s">
        <v>16</v>
      </c>
      <c r="C40" s="45"/>
      <c r="D40" s="46">
        <f>C15+C20*0.7939-D37</f>
        <v>-13184.290214800001</v>
      </c>
      <c r="E40" s="135"/>
      <c r="F40" s="132"/>
      <c r="G40" s="132"/>
      <c r="H40" s="132"/>
      <c r="K40"/>
      <c r="L40"/>
      <c r="M40"/>
      <c r="N40"/>
    </row>
    <row r="41" spans="1:14" s="1" customFormat="1" ht="15">
      <c r="A41" s="48" t="s">
        <v>17</v>
      </c>
      <c r="B41" s="49" t="s">
        <v>16</v>
      </c>
      <c r="C41" s="33"/>
      <c r="D41" s="14"/>
      <c r="E41" s="132"/>
      <c r="F41" s="132"/>
      <c r="G41" s="132"/>
      <c r="H41" s="132"/>
      <c r="K41"/>
      <c r="L41"/>
      <c r="M41"/>
      <c r="N41"/>
    </row>
    <row r="42" spans="1:14" s="1" customFormat="1" ht="15">
      <c r="A42" s="48" t="s">
        <v>18</v>
      </c>
      <c r="B42" s="49" t="s">
        <v>16</v>
      </c>
      <c r="C42" s="33"/>
      <c r="D42" s="14">
        <v>11311.78</v>
      </c>
      <c r="E42" s="132"/>
      <c r="F42" s="132"/>
      <c r="G42" s="132"/>
      <c r="H42" s="132"/>
      <c r="K42"/>
      <c r="L42"/>
      <c r="M42"/>
      <c r="N42"/>
    </row>
    <row r="43" spans="1:14" s="1" customFormat="1" ht="24" customHeight="1">
      <c r="A43" s="261" t="s">
        <v>52</v>
      </c>
      <c r="B43" s="261"/>
      <c r="C43" s="261"/>
      <c r="D43" s="261"/>
      <c r="E43" s="132"/>
      <c r="F43" s="132"/>
      <c r="G43" s="132"/>
      <c r="H43" s="132"/>
      <c r="K43"/>
      <c r="L43"/>
      <c r="M43"/>
      <c r="N43"/>
    </row>
    <row r="44" spans="1:14" s="1" customFormat="1" ht="15">
      <c r="A44" s="48" t="s">
        <v>53</v>
      </c>
      <c r="B44" s="32" t="s">
        <v>54</v>
      </c>
      <c r="C44" s="33">
        <v>0</v>
      </c>
      <c r="D44" s="14">
        <v>0</v>
      </c>
      <c r="E44" s="132"/>
      <c r="F44" s="132"/>
      <c r="G44" s="132"/>
      <c r="H44" s="132"/>
      <c r="K44"/>
      <c r="L44"/>
      <c r="M44"/>
      <c r="N44"/>
    </row>
    <row r="45" spans="1:14" s="1" customFormat="1" ht="15">
      <c r="A45" s="48" t="s">
        <v>55</v>
      </c>
      <c r="B45" s="32" t="s">
        <v>54</v>
      </c>
      <c r="C45" s="33">
        <v>0</v>
      </c>
      <c r="D45" s="14">
        <v>0</v>
      </c>
      <c r="E45" s="132"/>
      <c r="F45" s="132"/>
      <c r="G45" s="132"/>
      <c r="H45" s="132"/>
      <c r="K45"/>
      <c r="L45"/>
      <c r="M45"/>
      <c r="N45"/>
    </row>
    <row r="46" spans="1:14" s="1" customFormat="1" ht="15">
      <c r="A46" s="50" t="s">
        <v>56</v>
      </c>
      <c r="B46" s="32" t="s">
        <v>54</v>
      </c>
      <c r="C46" s="33">
        <v>0</v>
      </c>
      <c r="D46" s="14">
        <v>0</v>
      </c>
      <c r="E46" s="132"/>
      <c r="F46" s="132"/>
      <c r="G46" s="132"/>
      <c r="H46" s="132"/>
      <c r="K46"/>
      <c r="L46"/>
      <c r="M46"/>
      <c r="N46"/>
    </row>
    <row r="47" spans="1:14" s="1" customFormat="1" ht="15">
      <c r="A47" s="48" t="s">
        <v>57</v>
      </c>
      <c r="B47" s="32" t="s">
        <v>16</v>
      </c>
      <c r="C47" s="33">
        <v>0</v>
      </c>
      <c r="D47" s="14">
        <v>0</v>
      </c>
      <c r="E47" s="132"/>
      <c r="F47" s="132"/>
      <c r="G47" s="132"/>
      <c r="H47" s="132"/>
      <c r="K47"/>
      <c r="L47"/>
      <c r="M47"/>
      <c r="N47"/>
    </row>
    <row r="48" spans="1:8" ht="20.25" customHeight="1">
      <c r="A48" s="262" t="s">
        <v>58</v>
      </c>
      <c r="B48" s="262"/>
      <c r="C48" s="262"/>
      <c r="D48" s="262"/>
      <c r="E48" s="132"/>
      <c r="F48" s="132"/>
      <c r="G48" s="132"/>
      <c r="H48" s="132"/>
    </row>
    <row r="49" spans="1:8" ht="25.5">
      <c r="A49" s="50" t="s">
        <v>59</v>
      </c>
      <c r="B49" s="32" t="s">
        <v>16</v>
      </c>
      <c r="C49" s="33"/>
      <c r="D49" s="14">
        <v>0</v>
      </c>
      <c r="E49" s="132"/>
      <c r="F49" s="132"/>
      <c r="G49" s="132"/>
      <c r="H49" s="132"/>
    </row>
    <row r="50" spans="1:8" ht="15">
      <c r="A50" s="48" t="s">
        <v>17</v>
      </c>
      <c r="B50" s="32" t="s">
        <v>16</v>
      </c>
      <c r="C50" s="33"/>
      <c r="D50" s="14">
        <v>0</v>
      </c>
      <c r="E50" s="132"/>
      <c r="F50" s="132"/>
      <c r="G50" s="132"/>
      <c r="H50" s="132"/>
    </row>
    <row r="51" spans="1:8" ht="15">
      <c r="A51" s="48" t="s">
        <v>18</v>
      </c>
      <c r="B51" s="32" t="s">
        <v>16</v>
      </c>
      <c r="C51" s="33"/>
      <c r="D51" s="51">
        <f>D54-D57-D58-D59-D60</f>
        <v>2462.07767</v>
      </c>
      <c r="E51" s="132"/>
      <c r="F51" s="132"/>
      <c r="G51" s="132"/>
      <c r="H51" s="136"/>
    </row>
    <row r="52" spans="1:8" ht="25.5">
      <c r="A52" s="53" t="s">
        <v>60</v>
      </c>
      <c r="B52" s="32" t="s">
        <v>16</v>
      </c>
      <c r="C52" s="54"/>
      <c r="D52" s="55">
        <v>0</v>
      </c>
      <c r="E52" s="132"/>
      <c r="F52" s="132"/>
      <c r="G52" s="132"/>
      <c r="H52" s="132"/>
    </row>
    <row r="53" spans="1:10" ht="17.25" customHeight="1">
      <c r="A53" s="56" t="s">
        <v>17</v>
      </c>
      <c r="B53" s="32" t="s">
        <v>16</v>
      </c>
      <c r="C53" s="33"/>
      <c r="D53" s="14">
        <v>0</v>
      </c>
      <c r="E53" s="132"/>
      <c r="F53" s="132"/>
      <c r="G53" s="132"/>
      <c r="H53" s="132"/>
      <c r="I53" s="52"/>
      <c r="J53" s="52"/>
    </row>
    <row r="54" spans="1:14" ht="15">
      <c r="A54" s="59" t="s">
        <v>18</v>
      </c>
      <c r="B54" s="32" t="s">
        <v>16</v>
      </c>
      <c r="C54" s="60"/>
      <c r="D54" s="61">
        <v>3864.65</v>
      </c>
      <c r="E54" s="132"/>
      <c r="F54" s="132"/>
      <c r="G54" s="132"/>
      <c r="H54" s="132" t="s">
        <v>32</v>
      </c>
      <c r="I54" s="63"/>
      <c r="J54" s="63"/>
      <c r="K54" s="64"/>
      <c r="L54" s="64"/>
      <c r="M54" s="64"/>
      <c r="N54" s="64"/>
    </row>
    <row r="55" spans="1:14" ht="18" customHeight="1">
      <c r="A55" s="263" t="s">
        <v>61</v>
      </c>
      <c r="B55" s="263"/>
      <c r="C55" s="263"/>
      <c r="D55" s="263"/>
      <c r="E55" s="137"/>
      <c r="F55" s="138"/>
      <c r="G55" s="139"/>
      <c r="H55" s="132"/>
      <c r="I55" s="68"/>
      <c r="J55" s="68"/>
      <c r="K55" s="69"/>
      <c r="L55" s="69"/>
      <c r="M55" s="69"/>
      <c r="N55" s="69"/>
    </row>
    <row r="56" spans="1:14" ht="47.25">
      <c r="A56" s="70" t="s">
        <v>62</v>
      </c>
      <c r="B56" s="71" t="s">
        <v>63</v>
      </c>
      <c r="C56" s="72" t="s">
        <v>64</v>
      </c>
      <c r="D56" s="73" t="s">
        <v>65</v>
      </c>
      <c r="E56" s="137"/>
      <c r="F56" s="138"/>
      <c r="G56" s="139"/>
      <c r="H56" s="132"/>
      <c r="I56" s="68"/>
      <c r="J56" s="74"/>
      <c r="K56" s="69"/>
      <c r="L56" s="69"/>
      <c r="M56" s="69"/>
      <c r="N56" s="69"/>
    </row>
    <row r="57" spans="1:14" ht="15">
      <c r="A57" s="75" t="s">
        <v>66</v>
      </c>
      <c r="B57" s="117">
        <v>6805.3</v>
      </c>
      <c r="C57" s="118">
        <f>B57*0.7939</f>
        <v>5402.72767</v>
      </c>
      <c r="D57" s="119">
        <f>B57-C57</f>
        <v>1402.57233</v>
      </c>
      <c r="E57" s="140"/>
      <c r="F57" s="138"/>
      <c r="G57" s="139"/>
      <c r="H57" s="132"/>
      <c r="I57" s="68"/>
      <c r="J57" s="68"/>
      <c r="K57" s="69"/>
      <c r="L57" s="69"/>
      <c r="M57" s="69"/>
      <c r="N57" s="69"/>
    </row>
    <row r="58" spans="1:14" ht="15">
      <c r="A58" s="75" t="s">
        <v>67</v>
      </c>
      <c r="B58" s="117">
        <v>0</v>
      </c>
      <c r="C58" s="118">
        <f>B58*0.8884</f>
        <v>0</v>
      </c>
      <c r="D58" s="119">
        <f>B58-C58</f>
        <v>0</v>
      </c>
      <c r="E58" s="137"/>
      <c r="F58" s="138"/>
      <c r="G58" s="139"/>
      <c r="H58" s="132"/>
      <c r="I58" s="68"/>
      <c r="J58" s="68"/>
      <c r="K58" s="69"/>
      <c r="L58" s="69"/>
      <c r="M58" s="69"/>
      <c r="N58" s="69"/>
    </row>
    <row r="59" spans="1:14" ht="15">
      <c r="A59" s="75" t="s">
        <v>68</v>
      </c>
      <c r="B59" s="120">
        <v>0</v>
      </c>
      <c r="C59" s="118">
        <f>B59*0.8884</f>
        <v>0</v>
      </c>
      <c r="D59" s="119">
        <f>B59-C59</f>
        <v>0</v>
      </c>
      <c r="E59" s="137">
        <f>(2.07+1.8)*6*2301.2-0.37*2301.2*6</f>
        <v>48325.2</v>
      </c>
      <c r="F59" s="141"/>
      <c r="G59" s="142"/>
      <c r="H59" s="137"/>
      <c r="I59" s="68"/>
      <c r="J59" s="68"/>
      <c r="K59" s="69"/>
      <c r="L59" s="69"/>
      <c r="M59" s="69"/>
      <c r="N59" s="69"/>
    </row>
    <row r="60" spans="1:14" ht="15.75" thickBot="1">
      <c r="A60" s="150" t="s">
        <v>69</v>
      </c>
      <c r="B60" s="151">
        <v>0</v>
      </c>
      <c r="C60" s="152">
        <f>B60*0.8884</f>
        <v>0</v>
      </c>
      <c r="D60" s="153">
        <f>B60-C60</f>
        <v>0</v>
      </c>
      <c r="E60" s="137"/>
      <c r="F60" s="141"/>
      <c r="G60" s="142"/>
      <c r="H60" s="132"/>
      <c r="I60" s="68"/>
      <c r="J60" s="68"/>
      <c r="K60" s="69"/>
      <c r="L60" s="69"/>
      <c r="M60" s="69"/>
      <c r="N60" s="69"/>
    </row>
    <row r="61" spans="1:14" ht="63">
      <c r="A61" s="154" t="s">
        <v>70</v>
      </c>
      <c r="B61" s="155" t="s">
        <v>71</v>
      </c>
      <c r="C61" s="156" t="s">
        <v>72</v>
      </c>
      <c r="D61" s="157" t="s">
        <v>73</v>
      </c>
      <c r="E61" s="137"/>
      <c r="F61" s="141"/>
      <c r="G61" s="132"/>
      <c r="H61" s="143"/>
      <c r="I61" s="68"/>
      <c r="J61" s="68"/>
      <c r="K61" s="69"/>
      <c r="L61" s="69"/>
      <c r="M61" s="69"/>
      <c r="N61" s="69"/>
    </row>
    <row r="62" spans="1:14" ht="15">
      <c r="A62" s="158" t="s">
        <v>66</v>
      </c>
      <c r="B62" s="124">
        <f>B57</f>
        <v>6805.3</v>
      </c>
      <c r="C62" s="125">
        <f>B62*0.9621</f>
        <v>6547.37913</v>
      </c>
      <c r="D62" s="159">
        <f>B62-C62</f>
        <v>257.9208699999999</v>
      </c>
      <c r="E62" s="137"/>
      <c r="F62" s="141"/>
      <c r="G62" s="132"/>
      <c r="H62" s="143"/>
      <c r="I62" s="68"/>
      <c r="J62" s="68" t="s">
        <v>32</v>
      </c>
      <c r="K62" s="69"/>
      <c r="L62" s="69"/>
      <c r="M62" s="69"/>
      <c r="N62" s="69"/>
    </row>
    <row r="63" spans="1:14" ht="15">
      <c r="A63" s="158" t="s">
        <v>67</v>
      </c>
      <c r="B63" s="124">
        <v>0</v>
      </c>
      <c r="C63" s="125">
        <v>0</v>
      </c>
      <c r="D63" s="159">
        <f>B63-C63</f>
        <v>0</v>
      </c>
      <c r="E63" s="137"/>
      <c r="F63" s="141"/>
      <c r="G63" s="132"/>
      <c r="H63" s="143"/>
      <c r="I63" s="68"/>
      <c r="J63" s="68"/>
      <c r="K63" s="69"/>
      <c r="L63" s="69"/>
      <c r="M63" s="69"/>
      <c r="N63" s="69"/>
    </row>
    <row r="64" spans="1:14" ht="15">
      <c r="A64" s="158" t="s">
        <v>68</v>
      </c>
      <c r="B64" s="124">
        <v>0</v>
      </c>
      <c r="C64" s="125">
        <v>0</v>
      </c>
      <c r="D64" s="159">
        <f>B64-C64</f>
        <v>0</v>
      </c>
      <c r="E64" s="137"/>
      <c r="F64" s="141"/>
      <c r="G64" s="132"/>
      <c r="H64" s="143"/>
      <c r="I64" s="68"/>
      <c r="J64" s="68"/>
      <c r="K64" s="69"/>
      <c r="L64" s="69"/>
      <c r="M64" s="69"/>
      <c r="N64" s="69"/>
    </row>
    <row r="65" spans="1:14" ht="15">
      <c r="A65" s="158" t="s">
        <v>74</v>
      </c>
      <c r="B65" s="124">
        <v>0</v>
      </c>
      <c r="C65" s="125">
        <v>0</v>
      </c>
      <c r="D65" s="159">
        <f>B65-C65</f>
        <v>0</v>
      </c>
      <c r="E65" s="137"/>
      <c r="F65" s="141"/>
      <c r="G65" s="132"/>
      <c r="H65" s="143"/>
      <c r="I65" s="68"/>
      <c r="J65" s="68"/>
      <c r="K65" s="69"/>
      <c r="L65" s="69"/>
      <c r="M65" s="69"/>
      <c r="N65" s="69"/>
    </row>
    <row r="66" spans="1:14" ht="15.75" thickBot="1">
      <c r="A66" s="160" t="s">
        <v>69</v>
      </c>
      <c r="B66" s="161">
        <v>0</v>
      </c>
      <c r="C66" s="162">
        <v>0</v>
      </c>
      <c r="D66" s="163">
        <f>B66-C66</f>
        <v>0</v>
      </c>
      <c r="E66" s="137"/>
      <c r="F66" s="141"/>
      <c r="G66" s="132"/>
      <c r="H66" s="143" t="s">
        <v>32</v>
      </c>
      <c r="I66" s="68"/>
      <c r="J66" s="68"/>
      <c r="K66" s="69"/>
      <c r="L66" s="69"/>
      <c r="M66" s="69"/>
      <c r="N66" s="69"/>
    </row>
    <row r="67" spans="1:14" ht="15">
      <c r="A67" s="91"/>
      <c r="B67" s="87"/>
      <c r="C67" s="92"/>
      <c r="D67" s="93"/>
      <c r="E67" s="65"/>
      <c r="F67" s="81"/>
      <c r="H67" s="68"/>
      <c r="I67" s="68"/>
      <c r="J67" s="68"/>
      <c r="K67" s="69"/>
      <c r="L67" s="69"/>
      <c r="M67" s="69"/>
      <c r="N67" s="69"/>
    </row>
    <row r="68" spans="1:14" ht="25.5">
      <c r="A68" s="94" t="s">
        <v>75</v>
      </c>
      <c r="B68" s="87" t="s">
        <v>16</v>
      </c>
      <c r="C68" s="95"/>
      <c r="D68" s="96"/>
      <c r="E68" s="65"/>
      <c r="F68" s="81"/>
      <c r="H68" s="68"/>
      <c r="I68" s="68"/>
      <c r="J68" s="68" t="s">
        <v>32</v>
      </c>
      <c r="K68" s="69"/>
      <c r="L68" s="69"/>
      <c r="M68" s="69"/>
      <c r="N68" s="69"/>
    </row>
    <row r="69" spans="1:14" ht="17.25" customHeight="1">
      <c r="A69" s="264" t="s">
        <v>76</v>
      </c>
      <c r="B69" s="264"/>
      <c r="C69" s="264"/>
      <c r="D69" s="264"/>
      <c r="E69" s="97" t="e">
        <f>D69+B19</f>
        <v>#VALUE!</v>
      </c>
      <c r="F69" s="68"/>
      <c r="H69" s="98" t="e">
        <f>E69-B18</f>
        <v>#VALUE!</v>
      </c>
      <c r="I69" s="68"/>
      <c r="J69" s="68"/>
      <c r="K69" s="69"/>
      <c r="L69" s="69"/>
      <c r="M69" s="69"/>
      <c r="N69" s="69"/>
    </row>
    <row r="70" spans="1:5" ht="21" customHeight="1">
      <c r="A70" s="99" t="s">
        <v>53</v>
      </c>
      <c r="B70" s="99" t="s">
        <v>54</v>
      </c>
      <c r="C70" s="100">
        <v>0</v>
      </c>
      <c r="D70" s="101"/>
      <c r="E70" s="102"/>
    </row>
    <row r="71" spans="1:5" ht="21" customHeight="1">
      <c r="A71" s="99" t="s">
        <v>55</v>
      </c>
      <c r="B71" s="99" t="s">
        <v>54</v>
      </c>
      <c r="C71" s="99">
        <v>0</v>
      </c>
      <c r="D71" s="101"/>
      <c r="E71" s="102"/>
    </row>
    <row r="72" spans="1:5" ht="18" customHeight="1">
      <c r="A72" s="99" t="s">
        <v>56</v>
      </c>
      <c r="B72" s="99" t="s">
        <v>54</v>
      </c>
      <c r="C72" s="99">
        <v>0</v>
      </c>
      <c r="D72" s="101"/>
      <c r="E72" s="102"/>
    </row>
    <row r="73" spans="1:5" ht="16.5" customHeight="1">
      <c r="A73" s="99" t="s">
        <v>57</v>
      </c>
      <c r="B73" s="99" t="s">
        <v>16</v>
      </c>
      <c r="C73" s="99">
        <v>0</v>
      </c>
      <c r="D73" s="101"/>
      <c r="E73" s="102"/>
    </row>
    <row r="74" spans="1:5" ht="15.75" customHeight="1">
      <c r="A74" s="258" t="s">
        <v>77</v>
      </c>
      <c r="B74" s="258"/>
      <c r="C74" s="258"/>
      <c r="D74" s="258"/>
      <c r="E74" s="102"/>
    </row>
    <row r="75" spans="1:5" ht="18.75" customHeight="1">
      <c r="A75" s="99" t="s">
        <v>78</v>
      </c>
      <c r="B75" s="99" t="s">
        <v>54</v>
      </c>
      <c r="C75" s="99">
        <v>2</v>
      </c>
      <c r="D75" s="101"/>
      <c r="E75" s="102"/>
    </row>
    <row r="76" spans="1:5" ht="21.75" customHeight="1">
      <c r="A76" s="99" t="s">
        <v>79</v>
      </c>
      <c r="B76" s="56" t="s">
        <v>54</v>
      </c>
      <c r="C76" s="56">
        <v>0</v>
      </c>
      <c r="D76" s="101"/>
      <c r="E76" s="102"/>
    </row>
    <row r="77" spans="1:5" ht="36" customHeight="1">
      <c r="A77" s="103" t="s">
        <v>80</v>
      </c>
      <c r="B77" s="99" t="s">
        <v>16</v>
      </c>
      <c r="C77" s="99">
        <v>0</v>
      </c>
      <c r="D77" s="101"/>
      <c r="E77" s="102"/>
    </row>
    <row r="78" spans="1:4" ht="15">
      <c r="A78" s="69"/>
      <c r="B78" s="69"/>
      <c r="C78" s="69"/>
      <c r="D78" s="104"/>
    </row>
    <row r="79" spans="1:14" s="1" customFormat="1" ht="12.75">
      <c r="A79"/>
      <c r="B79"/>
      <c r="C79"/>
      <c r="D79"/>
      <c r="H79" s="1" t="s">
        <v>32</v>
      </c>
      <c r="K79"/>
      <c r="L79"/>
      <c r="M79"/>
      <c r="N79"/>
    </row>
    <row r="80" spans="1:14" s="1" customFormat="1" ht="12.75">
      <c r="A80" t="s">
        <v>81</v>
      </c>
      <c r="B80"/>
      <c r="C80"/>
      <c r="D80"/>
      <c r="K80"/>
      <c r="L80"/>
      <c r="M80"/>
      <c r="N80"/>
    </row>
    <row r="81" spans="1:14" s="1" customFormat="1" ht="12.75">
      <c r="A81"/>
      <c r="B81"/>
      <c r="C81"/>
      <c r="D81"/>
      <c r="H81" s="1" t="s">
        <v>32</v>
      </c>
      <c r="K81"/>
      <c r="L81"/>
      <c r="M81"/>
      <c r="N81"/>
    </row>
    <row r="82" spans="1:14" s="1" customFormat="1" ht="12.75">
      <c r="A82" t="s">
        <v>82</v>
      </c>
      <c r="B82"/>
      <c r="C82"/>
      <c r="D82"/>
      <c r="K82"/>
      <c r="L82"/>
      <c r="M82"/>
      <c r="N82"/>
    </row>
    <row r="86" spans="1:14" s="1" customFormat="1" ht="12.75">
      <c r="A86"/>
      <c r="B86"/>
      <c r="C86"/>
      <c r="D86"/>
      <c r="E86" s="1" t="s">
        <v>32</v>
      </c>
      <c r="K86"/>
      <c r="L86"/>
      <c r="M86"/>
      <c r="N86"/>
    </row>
  </sheetData>
  <sheetProtection selectLockedCells="1" selectUnlockedCells="1"/>
  <mergeCells count="13">
    <mergeCell ref="A1:D1"/>
    <mergeCell ref="A2:D2"/>
    <mergeCell ref="A3:D3"/>
    <mergeCell ref="A4:D4"/>
    <mergeCell ref="A5:D5"/>
    <mergeCell ref="A7:D7"/>
    <mergeCell ref="A74:D74"/>
    <mergeCell ref="A14:D14"/>
    <mergeCell ref="A29:D29"/>
    <mergeCell ref="A43:D43"/>
    <mergeCell ref="A48:D48"/>
    <mergeCell ref="A55:D55"/>
    <mergeCell ref="A69:D69"/>
  </mergeCells>
  <printOptions/>
  <pageMargins left="0.5597222222222222" right="0.7875" top="0.34097222222222223" bottom="0.7875" header="0.5118055555555555" footer="0.5118055555555555"/>
  <pageSetup fitToHeight="3" fitToWidth="2" horizontalDpi="300" verticalDpi="300" orientation="landscape" paperSize="12" r:id="rId1"/>
</worksheet>
</file>

<file path=xl/worksheets/sheet3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6"/>
  <sheetViews>
    <sheetView zoomScale="80" zoomScaleNormal="80" zoomScalePageLayoutView="0" workbookViewId="0" topLeftCell="A1">
      <selection activeCell="E16" sqref="E16:E23"/>
    </sheetView>
  </sheetViews>
  <sheetFormatPr defaultColWidth="11.57421875" defaultRowHeight="12.75"/>
  <cols>
    <col min="1" max="1" width="63.28125" style="0" customWidth="1"/>
    <col min="2" max="2" width="20.28125" style="0" customWidth="1"/>
    <col min="3" max="3" width="31.421875" style="0" customWidth="1"/>
    <col min="4" max="4" width="27.57421875" style="0" customWidth="1"/>
    <col min="5" max="5" width="16.8515625" style="1" customWidth="1"/>
    <col min="6" max="7" width="0" style="1" hidden="1" customWidth="1"/>
    <col min="8" max="8" width="11.57421875" style="1" customWidth="1"/>
    <col min="9" max="9" width="5.28125" style="1" customWidth="1"/>
    <col min="10" max="10" width="30.00390625" style="1" customWidth="1"/>
    <col min="11" max="12" width="23.28125" style="0" customWidth="1"/>
    <col min="13" max="13" width="6.57421875" style="0" customWidth="1"/>
    <col min="14" max="14" width="7.00390625" style="0" customWidth="1"/>
  </cols>
  <sheetData>
    <row r="1" spans="1:4" ht="18">
      <c r="A1" s="265" t="s">
        <v>0</v>
      </c>
      <c r="B1" s="265"/>
      <c r="C1" s="265"/>
      <c r="D1" s="265"/>
    </row>
    <row r="2" spans="1:4" ht="15.75">
      <c r="A2" s="266" t="s">
        <v>1</v>
      </c>
      <c r="B2" s="266"/>
      <c r="C2" s="266"/>
      <c r="D2" s="266"/>
    </row>
    <row r="3" spans="1:4" ht="15.75">
      <c r="A3" s="266" t="s">
        <v>2</v>
      </c>
      <c r="B3" s="266"/>
      <c r="C3" s="266"/>
      <c r="D3" s="266"/>
    </row>
    <row r="4" spans="1:4" ht="12.75">
      <c r="A4" s="267" t="s">
        <v>141</v>
      </c>
      <c r="B4" s="267"/>
      <c r="C4" s="267"/>
      <c r="D4" s="267"/>
    </row>
    <row r="5" spans="1:4" ht="12.75">
      <c r="A5" s="268" t="s">
        <v>171</v>
      </c>
      <c r="B5" s="267"/>
      <c r="C5" s="267"/>
      <c r="D5" s="267"/>
    </row>
    <row r="6" ht="9" customHeight="1">
      <c r="A6" s="2"/>
    </row>
    <row r="7" spans="1:4" ht="18" customHeight="1">
      <c r="A7" s="269" t="s">
        <v>4</v>
      </c>
      <c r="B7" s="269"/>
      <c r="C7" s="269"/>
      <c r="D7" s="269"/>
    </row>
    <row r="8" spans="1:3" ht="12.75">
      <c r="A8" s="2" t="s">
        <v>260</v>
      </c>
      <c r="C8" s="3"/>
    </row>
    <row r="9" spans="1:4" ht="12.75">
      <c r="A9" s="4" t="s">
        <v>5</v>
      </c>
      <c r="B9" s="4" t="s">
        <v>6</v>
      </c>
      <c r="C9" s="4" t="s">
        <v>7</v>
      </c>
      <c r="D9" s="5"/>
    </row>
    <row r="10" spans="1:5" ht="12.75">
      <c r="A10" s="6">
        <v>1</v>
      </c>
      <c r="B10" s="6">
        <v>2</v>
      </c>
      <c r="C10" s="6">
        <v>3</v>
      </c>
      <c r="D10" s="7">
        <v>4</v>
      </c>
      <c r="E10" s="132"/>
    </row>
    <row r="11" spans="1:5" ht="12.75">
      <c r="A11" s="8" t="s">
        <v>8</v>
      </c>
      <c r="B11" s="9"/>
      <c r="C11" s="177" t="s">
        <v>172</v>
      </c>
      <c r="D11" s="10"/>
      <c r="E11" s="132"/>
    </row>
    <row r="12" spans="1:5" ht="12.75">
      <c r="A12" s="8" t="s">
        <v>10</v>
      </c>
      <c r="B12" s="9"/>
      <c r="C12" s="177" t="s">
        <v>173</v>
      </c>
      <c r="D12" s="10"/>
      <c r="E12" s="132"/>
    </row>
    <row r="13" spans="1:5" ht="12.75">
      <c r="A13" s="8" t="s">
        <v>12</v>
      </c>
      <c r="B13" s="9"/>
      <c r="C13" s="177" t="s">
        <v>174</v>
      </c>
      <c r="D13" s="10"/>
      <c r="E13" s="132"/>
    </row>
    <row r="14" spans="1:5" ht="31.5" customHeight="1">
      <c r="A14" s="259" t="s">
        <v>14</v>
      </c>
      <c r="B14" s="259"/>
      <c r="C14" s="259"/>
      <c r="D14" s="259"/>
      <c r="E14" s="132"/>
    </row>
    <row r="15" spans="1:5" ht="25.5">
      <c r="A15" s="11" t="s">
        <v>15</v>
      </c>
      <c r="B15" s="12" t="s">
        <v>16</v>
      </c>
      <c r="C15" s="13">
        <v>11955.1</v>
      </c>
      <c r="D15" s="14"/>
      <c r="E15" s="132"/>
    </row>
    <row r="16" spans="1:5" ht="15">
      <c r="A16" s="8" t="s">
        <v>17</v>
      </c>
      <c r="B16" s="12" t="s">
        <v>16</v>
      </c>
      <c r="C16" s="13">
        <v>0</v>
      </c>
      <c r="D16" s="14"/>
      <c r="E16" s="132"/>
    </row>
    <row r="17" spans="1:5" ht="15">
      <c r="A17" s="8" t="s">
        <v>18</v>
      </c>
      <c r="B17" s="12" t="s">
        <v>16</v>
      </c>
      <c r="C17" s="15">
        <v>2691.35</v>
      </c>
      <c r="D17" s="16"/>
      <c r="E17" s="132" t="e">
        <f>B17/12/1022.6</f>
        <v>#VALUE!</v>
      </c>
    </row>
    <row r="18" spans="1:5" ht="31.5" customHeight="1">
      <c r="A18" s="17" t="s">
        <v>19</v>
      </c>
      <c r="B18" s="12" t="s">
        <v>16</v>
      </c>
      <c r="C18" s="15">
        <v>10287.18</v>
      </c>
      <c r="D18" s="16"/>
      <c r="E18" s="133">
        <f>C18-C20</f>
        <v>7032.7080000000005</v>
      </c>
    </row>
    <row r="19" spans="1:5" ht="15">
      <c r="A19" s="8" t="s">
        <v>20</v>
      </c>
      <c r="B19" s="12" t="s">
        <v>16</v>
      </c>
      <c r="C19" s="15">
        <f>C18-C20-C21</f>
        <v>3817.764000000001</v>
      </c>
      <c r="D19" s="16"/>
      <c r="E19" s="133">
        <f>E18-E39</f>
        <v>-0.003999999998995918</v>
      </c>
    </row>
    <row r="20" spans="1:5" ht="15">
      <c r="A20" s="8" t="s">
        <v>21</v>
      </c>
      <c r="B20" s="12" t="s">
        <v>16</v>
      </c>
      <c r="C20" s="15">
        <f>(1.59+2.89)*6*54.9+1778.76</f>
        <v>3254.4719999999998</v>
      </c>
      <c r="D20" s="16"/>
      <c r="E20" s="134"/>
    </row>
    <row r="21" spans="1:5" ht="15">
      <c r="A21" s="8" t="s">
        <v>22</v>
      </c>
      <c r="B21" s="12" t="s">
        <v>16</v>
      </c>
      <c r="C21" s="20">
        <f>54.9*4.88*12</f>
        <v>3214.9439999999995</v>
      </c>
      <c r="D21" s="16"/>
      <c r="E21" s="132"/>
    </row>
    <row r="22" spans="1:5" ht="15">
      <c r="A22" s="21" t="s">
        <v>23</v>
      </c>
      <c r="B22" s="12" t="s">
        <v>16</v>
      </c>
      <c r="C22" s="15">
        <f>C23+C24+C25+C26+C27</f>
        <v>12091.551372</v>
      </c>
      <c r="D22" s="16" t="s">
        <v>24</v>
      </c>
      <c r="E22" s="133" t="e">
        <f>B24+B25+B26+B27+B28</f>
        <v>#VALUE!</v>
      </c>
    </row>
    <row r="23" spans="1:5" ht="15">
      <c r="A23" s="8" t="s">
        <v>25</v>
      </c>
      <c r="B23" s="12" t="s">
        <v>16</v>
      </c>
      <c r="C23" s="15">
        <f>C18*1.1754</f>
        <v>12091.551372</v>
      </c>
      <c r="D23" s="16"/>
      <c r="E23" s="132"/>
    </row>
    <row r="24" spans="1:8" ht="15">
      <c r="A24" s="8" t="s">
        <v>26</v>
      </c>
      <c r="B24" s="12" t="s">
        <v>16</v>
      </c>
      <c r="C24" s="15">
        <v>0</v>
      </c>
      <c r="D24" s="22">
        <v>65.21</v>
      </c>
      <c r="E24" s="134" t="e">
        <f>B24/#REF!*1</f>
        <v>#VALUE!</v>
      </c>
      <c r="H24" s="1" t="s">
        <v>27</v>
      </c>
    </row>
    <row r="25" spans="1:5" ht="15">
      <c r="A25" s="8" t="s">
        <v>28</v>
      </c>
      <c r="B25" s="12" t="s">
        <v>16</v>
      </c>
      <c r="C25" s="15">
        <v>0</v>
      </c>
      <c r="D25" s="22">
        <v>119.63</v>
      </c>
      <c r="E25" s="134" t="e">
        <f>B25/#REF!*1</f>
        <v>#VALUE!</v>
      </c>
    </row>
    <row r="26" spans="1:5" ht="15">
      <c r="A26" s="9" t="s">
        <v>29</v>
      </c>
      <c r="B26" s="12" t="s">
        <v>16</v>
      </c>
      <c r="C26" s="15">
        <v>0</v>
      </c>
      <c r="D26" s="22"/>
      <c r="E26" s="134" t="e">
        <f>B26/#REF!*1</f>
        <v>#VALUE!</v>
      </c>
    </row>
    <row r="27" spans="1:5" ht="16.5" customHeight="1">
      <c r="A27" s="116" t="s">
        <v>112</v>
      </c>
      <c r="B27" s="12" t="s">
        <v>16</v>
      </c>
      <c r="C27" s="15">
        <v>0</v>
      </c>
      <c r="D27" s="22">
        <v>139.18</v>
      </c>
      <c r="E27" s="134" t="e">
        <f>B27/#REF!*1</f>
        <v>#VALUE!</v>
      </c>
    </row>
    <row r="28" spans="1:5" ht="15">
      <c r="A28" s="8" t="s">
        <v>31</v>
      </c>
      <c r="B28" s="12" t="s">
        <v>16</v>
      </c>
      <c r="C28" s="15">
        <f>C15+C22</f>
        <v>24046.651372</v>
      </c>
      <c r="D28" s="16" t="s">
        <v>32</v>
      </c>
      <c r="E28" s="134" t="e">
        <f>B28/#REF!*1</f>
        <v>#VALUE!</v>
      </c>
    </row>
    <row r="29" spans="1:5" ht="35.25" customHeight="1">
      <c r="A29" s="260" t="s">
        <v>33</v>
      </c>
      <c r="B29" s="260"/>
      <c r="C29" s="260"/>
      <c r="D29" s="260"/>
      <c r="E29" s="132"/>
    </row>
    <row r="30" spans="1:5" ht="60">
      <c r="A30" s="23" t="s">
        <v>34</v>
      </c>
      <c r="B30" s="24" t="s">
        <v>35</v>
      </c>
      <c r="C30" s="25" t="s">
        <v>36</v>
      </c>
      <c r="D30" s="26" t="s">
        <v>37</v>
      </c>
      <c r="E30" s="132"/>
    </row>
    <row r="31" spans="1:5" ht="15">
      <c r="A31" s="27" t="s">
        <v>38</v>
      </c>
      <c r="B31" s="28" t="s">
        <v>39</v>
      </c>
      <c r="C31" s="29" t="s">
        <v>40</v>
      </c>
      <c r="D31" s="107">
        <f>(0.17+0.16)*6*54.9</f>
        <v>108.702</v>
      </c>
      <c r="E31" s="132"/>
    </row>
    <row r="32" spans="1:5" ht="15">
      <c r="A32" s="31" t="s">
        <v>41</v>
      </c>
      <c r="B32" s="32" t="s">
        <v>42</v>
      </c>
      <c r="C32" s="33" t="s">
        <v>43</v>
      </c>
      <c r="D32" s="34">
        <f>(3.03+3)*6*54.9</f>
        <v>1986.2819999999995</v>
      </c>
      <c r="E32" s="132"/>
    </row>
    <row r="33" spans="1:5" ht="15">
      <c r="A33" s="31" t="s">
        <v>44</v>
      </c>
      <c r="B33" s="32" t="s">
        <v>39</v>
      </c>
      <c r="C33" s="33" t="s">
        <v>45</v>
      </c>
      <c r="D33" s="108">
        <f>(0.2+0.21)*6*54.9</f>
        <v>135.054</v>
      </c>
      <c r="E33" s="132"/>
    </row>
    <row r="34" spans="1:5" ht="15">
      <c r="A34" s="204" t="s">
        <v>255</v>
      </c>
      <c r="B34" s="32" t="s">
        <v>39</v>
      </c>
      <c r="C34" s="33" t="s">
        <v>40</v>
      </c>
      <c r="D34" s="108">
        <f>(0.22+0.23)*6*54.9</f>
        <v>148.23000000000002</v>
      </c>
      <c r="E34" s="132"/>
    </row>
    <row r="35" spans="1:5" ht="15">
      <c r="A35" s="31" t="s">
        <v>90</v>
      </c>
      <c r="B35" s="106" t="s">
        <v>91</v>
      </c>
      <c r="C35" s="33" t="s">
        <v>40</v>
      </c>
      <c r="D35" s="108">
        <f>(1.33+1.27)*6*54.9</f>
        <v>856.44</v>
      </c>
      <c r="E35" s="132"/>
    </row>
    <row r="36" spans="1:5" ht="15">
      <c r="A36" s="31" t="s">
        <v>46</v>
      </c>
      <c r="B36" s="32" t="s">
        <v>42</v>
      </c>
      <c r="C36" s="35" t="s">
        <v>47</v>
      </c>
      <c r="D36" s="108">
        <f>4.88*54.9*12</f>
        <v>3214.9439999999995</v>
      </c>
      <c r="E36" s="132"/>
    </row>
    <row r="37" spans="1:14" s="1" customFormat="1" ht="45">
      <c r="A37" s="36" t="s">
        <v>48</v>
      </c>
      <c r="B37" s="37" t="s">
        <v>49</v>
      </c>
      <c r="C37" s="29"/>
      <c r="D37" s="39">
        <v>0</v>
      </c>
      <c r="E37" s="132"/>
      <c r="K37"/>
      <c r="L37"/>
      <c r="M37"/>
      <c r="N37"/>
    </row>
    <row r="38" spans="1:14" s="1" customFormat="1" ht="45">
      <c r="A38" s="109" t="s">
        <v>95</v>
      </c>
      <c r="B38" s="110" t="s">
        <v>96</v>
      </c>
      <c r="C38" s="29" t="s">
        <v>97</v>
      </c>
      <c r="D38" s="112">
        <v>583.06</v>
      </c>
      <c r="E38" s="132"/>
      <c r="K38"/>
      <c r="L38"/>
      <c r="M38"/>
      <c r="N38"/>
    </row>
    <row r="39" spans="1:14" s="1" customFormat="1" ht="15.75">
      <c r="A39" s="40" t="s">
        <v>50</v>
      </c>
      <c r="B39" s="41"/>
      <c r="C39" s="42"/>
      <c r="D39" s="113">
        <f>SUM(D31:D38)</f>
        <v>7032.7119999999995</v>
      </c>
      <c r="E39" s="135">
        <f>D39-D37</f>
        <v>7032.7119999999995</v>
      </c>
      <c r="K39"/>
      <c r="L39"/>
      <c r="M39"/>
      <c r="N39"/>
    </row>
    <row r="40" spans="1:14" s="1" customFormat="1" ht="15">
      <c r="A40" s="43" t="s">
        <v>51</v>
      </c>
      <c r="B40" s="44" t="s">
        <v>16</v>
      </c>
      <c r="C40" s="45"/>
      <c r="D40" s="46">
        <f>C15+C20*1.1754-D37</f>
        <v>15780.4063888</v>
      </c>
      <c r="E40" s="135"/>
      <c r="K40"/>
      <c r="L40"/>
      <c r="M40"/>
      <c r="N40"/>
    </row>
    <row r="41" spans="1:14" s="1" customFormat="1" ht="15">
      <c r="A41" s="48" t="s">
        <v>17</v>
      </c>
      <c r="B41" s="49" t="s">
        <v>16</v>
      </c>
      <c r="C41" s="33"/>
      <c r="D41" s="14"/>
      <c r="E41" s="132"/>
      <c r="K41"/>
      <c r="L41"/>
      <c r="M41"/>
      <c r="N41"/>
    </row>
    <row r="42" spans="1:14" s="1" customFormat="1" ht="15">
      <c r="A42" s="48" t="s">
        <v>18</v>
      </c>
      <c r="B42" s="49" t="s">
        <v>16</v>
      </c>
      <c r="C42" s="33"/>
      <c r="D42" s="14">
        <v>0</v>
      </c>
      <c r="E42" s="132"/>
      <c r="K42"/>
      <c r="L42"/>
      <c r="M42"/>
      <c r="N42"/>
    </row>
    <row r="43" spans="1:14" s="1" customFormat="1" ht="24" customHeight="1">
      <c r="A43" s="261" t="s">
        <v>52</v>
      </c>
      <c r="B43" s="261"/>
      <c r="C43" s="261"/>
      <c r="D43" s="261"/>
      <c r="E43" s="132"/>
      <c r="K43"/>
      <c r="L43"/>
      <c r="M43"/>
      <c r="N43"/>
    </row>
    <row r="44" spans="1:14" s="1" customFormat="1" ht="15">
      <c r="A44" s="48" t="s">
        <v>53</v>
      </c>
      <c r="B44" s="32" t="s">
        <v>54</v>
      </c>
      <c r="C44" s="33">
        <v>0</v>
      </c>
      <c r="D44" s="14">
        <v>0</v>
      </c>
      <c r="E44" s="132"/>
      <c r="K44"/>
      <c r="L44"/>
      <c r="M44"/>
      <c r="N44"/>
    </row>
    <row r="45" spans="1:14" s="1" customFormat="1" ht="15">
      <c r="A45" s="48" t="s">
        <v>55</v>
      </c>
      <c r="B45" s="32" t="s">
        <v>54</v>
      </c>
      <c r="C45" s="33">
        <v>0</v>
      </c>
      <c r="D45" s="14">
        <v>0</v>
      </c>
      <c r="E45" s="132"/>
      <c r="K45"/>
      <c r="L45"/>
      <c r="M45"/>
      <c r="N45"/>
    </row>
    <row r="46" spans="1:14" s="1" customFormat="1" ht="15">
      <c r="A46" s="50" t="s">
        <v>56</v>
      </c>
      <c r="B46" s="32" t="s">
        <v>54</v>
      </c>
      <c r="C46" s="33">
        <v>0</v>
      </c>
      <c r="D46" s="14">
        <v>0</v>
      </c>
      <c r="E46" s="132"/>
      <c r="K46"/>
      <c r="L46"/>
      <c r="M46"/>
      <c r="N46"/>
    </row>
    <row r="47" spans="1:14" s="1" customFormat="1" ht="15">
      <c r="A47" s="48" t="s">
        <v>57</v>
      </c>
      <c r="B47" s="32" t="s">
        <v>16</v>
      </c>
      <c r="C47" s="33">
        <v>0</v>
      </c>
      <c r="D47" s="14">
        <v>0</v>
      </c>
      <c r="E47" s="132"/>
      <c r="K47"/>
      <c r="L47"/>
      <c r="M47"/>
      <c r="N47"/>
    </row>
    <row r="48" spans="1:5" ht="20.25" customHeight="1">
      <c r="A48" s="262" t="s">
        <v>58</v>
      </c>
      <c r="B48" s="262"/>
      <c r="C48" s="262"/>
      <c r="D48" s="262"/>
      <c r="E48" s="132"/>
    </row>
    <row r="49" spans="1:5" ht="25.5">
      <c r="A49" s="50" t="s">
        <v>59</v>
      </c>
      <c r="B49" s="32" t="s">
        <v>16</v>
      </c>
      <c r="C49" s="33"/>
      <c r="D49" s="14">
        <v>0</v>
      </c>
      <c r="E49" s="132"/>
    </row>
    <row r="50" spans="1:5" ht="15">
      <c r="A50" s="48" t="s">
        <v>17</v>
      </c>
      <c r="B50" s="32" t="s">
        <v>16</v>
      </c>
      <c r="C50" s="33"/>
      <c r="D50" s="14">
        <v>0</v>
      </c>
      <c r="E50" s="132"/>
    </row>
    <row r="51" spans="1:8" ht="15">
      <c r="A51" s="48" t="s">
        <v>18</v>
      </c>
      <c r="B51" s="32" t="s">
        <v>16</v>
      </c>
      <c r="C51" s="33"/>
      <c r="D51" s="51">
        <f>D54-D57-D58-D59-D60</f>
        <v>1934.3006760000007</v>
      </c>
      <c r="E51" s="132"/>
      <c r="H51" s="52"/>
    </row>
    <row r="52" spans="1:5" ht="25.5">
      <c r="A52" s="53" t="s">
        <v>60</v>
      </c>
      <c r="B52" s="32" t="s">
        <v>16</v>
      </c>
      <c r="C52" s="54"/>
      <c r="D52" s="55">
        <v>0</v>
      </c>
      <c r="E52" s="132"/>
    </row>
    <row r="53" spans="1:10" ht="17.25" customHeight="1">
      <c r="A53" s="56" t="s">
        <v>17</v>
      </c>
      <c r="B53" s="32" t="s">
        <v>16</v>
      </c>
      <c r="C53" s="33"/>
      <c r="D53" s="14">
        <v>0</v>
      </c>
      <c r="E53" s="132"/>
      <c r="I53" s="52"/>
      <c r="J53" s="52"/>
    </row>
    <row r="54" spans="1:14" ht="15">
      <c r="A54" s="59" t="s">
        <v>18</v>
      </c>
      <c r="B54" s="32" t="s">
        <v>16</v>
      </c>
      <c r="C54" s="60"/>
      <c r="D54" s="61">
        <v>0</v>
      </c>
      <c r="E54" s="132"/>
      <c r="H54" s="1" t="s">
        <v>32</v>
      </c>
      <c r="I54" s="63"/>
      <c r="J54" s="63"/>
      <c r="K54" s="64"/>
      <c r="L54" s="64"/>
      <c r="M54" s="64"/>
      <c r="N54" s="64"/>
    </row>
    <row r="55" spans="1:14" ht="18" customHeight="1">
      <c r="A55" s="263" t="s">
        <v>61</v>
      </c>
      <c r="B55" s="263"/>
      <c r="C55" s="263"/>
      <c r="D55" s="263"/>
      <c r="E55" s="137"/>
      <c r="F55" s="66"/>
      <c r="G55" s="67"/>
      <c r="I55" s="68"/>
      <c r="J55" s="68"/>
      <c r="K55" s="69"/>
      <c r="L55" s="69"/>
      <c r="M55" s="69"/>
      <c r="N55" s="69"/>
    </row>
    <row r="56" spans="1:14" ht="47.25">
      <c r="A56" s="70" t="s">
        <v>62</v>
      </c>
      <c r="B56" s="71" t="s">
        <v>63</v>
      </c>
      <c r="C56" s="72" t="s">
        <v>64</v>
      </c>
      <c r="D56" s="73" t="s">
        <v>65</v>
      </c>
      <c r="E56" s="137"/>
      <c r="F56" s="66"/>
      <c r="G56" s="67"/>
      <c r="I56" s="68"/>
      <c r="J56" s="74"/>
      <c r="K56" s="69"/>
      <c r="L56" s="69"/>
      <c r="M56" s="69"/>
      <c r="N56" s="69"/>
    </row>
    <row r="57" spans="1:14" ht="15">
      <c r="A57" s="75" t="s">
        <v>66</v>
      </c>
      <c r="B57" s="117">
        <v>11027.94</v>
      </c>
      <c r="C57" s="118">
        <f>B57*1.1754</f>
        <v>12962.240676000001</v>
      </c>
      <c r="D57" s="119">
        <f>B57-C57</f>
        <v>-1934.3006760000007</v>
      </c>
      <c r="E57" s="140"/>
      <c r="F57" s="66"/>
      <c r="G57" s="67"/>
      <c r="I57" s="68"/>
      <c r="J57" s="68"/>
      <c r="K57" s="69"/>
      <c r="L57" s="69"/>
      <c r="M57" s="69"/>
      <c r="N57" s="69"/>
    </row>
    <row r="58" spans="1:14" ht="15">
      <c r="A58" s="75" t="s">
        <v>67</v>
      </c>
      <c r="B58" s="117">
        <v>0</v>
      </c>
      <c r="C58" s="118">
        <f>B58*0.8884</f>
        <v>0</v>
      </c>
      <c r="D58" s="119">
        <f>B58-C58</f>
        <v>0</v>
      </c>
      <c r="E58" s="137"/>
      <c r="F58" s="66"/>
      <c r="G58" s="67"/>
      <c r="I58" s="68"/>
      <c r="J58" s="68"/>
      <c r="K58" s="69"/>
      <c r="L58" s="69"/>
      <c r="M58" s="69"/>
      <c r="N58" s="69"/>
    </row>
    <row r="59" spans="1:14" ht="15">
      <c r="A59" s="75" t="s">
        <v>68</v>
      </c>
      <c r="B59" s="120">
        <v>0</v>
      </c>
      <c r="C59" s="118">
        <f>B59*0.8884</f>
        <v>0</v>
      </c>
      <c r="D59" s="119">
        <f>B59-C59</f>
        <v>0</v>
      </c>
      <c r="E59" s="137">
        <f>(2.07+1.8)*6*2301.2-0.37*2301.2*6</f>
        <v>48325.2</v>
      </c>
      <c r="F59" s="81"/>
      <c r="G59" s="82"/>
      <c r="H59" s="65"/>
      <c r="I59" s="68"/>
      <c r="J59" s="68"/>
      <c r="K59" s="69"/>
      <c r="L59" s="69"/>
      <c r="M59" s="69"/>
      <c r="N59" s="69"/>
    </row>
    <row r="60" spans="1:14" ht="15.75" thickBot="1">
      <c r="A60" s="150" t="s">
        <v>69</v>
      </c>
      <c r="B60" s="151">
        <v>0</v>
      </c>
      <c r="C60" s="152">
        <f>B60*0.8884</f>
        <v>0</v>
      </c>
      <c r="D60" s="153">
        <f>B60-C60</f>
        <v>0</v>
      </c>
      <c r="E60" s="137"/>
      <c r="F60" s="81"/>
      <c r="G60" s="82"/>
      <c r="I60" s="68"/>
      <c r="J60" s="68"/>
      <c r="K60" s="69"/>
      <c r="L60" s="69"/>
      <c r="M60" s="69"/>
      <c r="N60" s="69"/>
    </row>
    <row r="61" spans="1:14" ht="63">
      <c r="A61" s="154" t="s">
        <v>70</v>
      </c>
      <c r="B61" s="155" t="s">
        <v>71</v>
      </c>
      <c r="C61" s="156" t="s">
        <v>72</v>
      </c>
      <c r="D61" s="157" t="s">
        <v>73</v>
      </c>
      <c r="E61" s="137"/>
      <c r="F61" s="81"/>
      <c r="H61" s="68"/>
      <c r="I61" s="68"/>
      <c r="J61" s="68"/>
      <c r="K61" s="69"/>
      <c r="L61" s="69"/>
      <c r="M61" s="69"/>
      <c r="N61" s="69"/>
    </row>
    <row r="62" spans="1:14" ht="15">
      <c r="A62" s="158" t="s">
        <v>66</v>
      </c>
      <c r="B62" s="124">
        <f>B57</f>
        <v>11027.94</v>
      </c>
      <c r="C62" s="125">
        <f>C57</f>
        <v>12962.240676000001</v>
      </c>
      <c r="D62" s="159">
        <f>B62-C62</f>
        <v>-1934.3006760000007</v>
      </c>
      <c r="E62" s="137"/>
      <c r="F62" s="81"/>
      <c r="H62" s="68"/>
      <c r="I62" s="68"/>
      <c r="J62" s="68" t="s">
        <v>32</v>
      </c>
      <c r="K62" s="69"/>
      <c r="L62" s="69"/>
      <c r="M62" s="69"/>
      <c r="N62" s="69"/>
    </row>
    <row r="63" spans="1:14" ht="15">
      <c r="A63" s="158" t="s">
        <v>67</v>
      </c>
      <c r="B63" s="124">
        <v>0</v>
      </c>
      <c r="C63" s="125">
        <v>0</v>
      </c>
      <c r="D63" s="159">
        <f>B63-C63</f>
        <v>0</v>
      </c>
      <c r="E63" s="137"/>
      <c r="F63" s="81"/>
      <c r="H63" s="68"/>
      <c r="I63" s="68"/>
      <c r="J63" s="68"/>
      <c r="K63" s="69"/>
      <c r="L63" s="69"/>
      <c r="M63" s="69"/>
      <c r="N63" s="69"/>
    </row>
    <row r="64" spans="1:14" ht="15">
      <c r="A64" s="158" t="s">
        <v>68</v>
      </c>
      <c r="B64" s="124">
        <v>0</v>
      </c>
      <c r="C64" s="125">
        <v>0</v>
      </c>
      <c r="D64" s="159">
        <f>B64-C64</f>
        <v>0</v>
      </c>
      <c r="E64" s="137"/>
      <c r="F64" s="81"/>
      <c r="H64" s="68"/>
      <c r="I64" s="68"/>
      <c r="J64" s="68"/>
      <c r="K64" s="69"/>
      <c r="L64" s="69"/>
      <c r="M64" s="69"/>
      <c r="N64" s="69"/>
    </row>
    <row r="65" spans="1:14" ht="15">
      <c r="A65" s="158" t="s">
        <v>74</v>
      </c>
      <c r="B65" s="124">
        <v>0</v>
      </c>
      <c r="C65" s="125">
        <v>0</v>
      </c>
      <c r="D65" s="159">
        <f>B65-C65</f>
        <v>0</v>
      </c>
      <c r="E65" s="137"/>
      <c r="F65" s="81"/>
      <c r="H65" s="68"/>
      <c r="I65" s="68"/>
      <c r="J65" s="68"/>
      <c r="K65" s="69"/>
      <c r="L65" s="69"/>
      <c r="M65" s="69"/>
      <c r="N65" s="69"/>
    </row>
    <row r="66" spans="1:14" ht="15.75" thickBot="1">
      <c r="A66" s="160" t="s">
        <v>69</v>
      </c>
      <c r="B66" s="161">
        <v>0</v>
      </c>
      <c r="C66" s="162">
        <v>0</v>
      </c>
      <c r="D66" s="163">
        <f>B66-C66</f>
        <v>0</v>
      </c>
      <c r="E66" s="137"/>
      <c r="F66" s="81"/>
      <c r="H66" s="68" t="s">
        <v>32</v>
      </c>
      <c r="I66" s="68"/>
      <c r="J66" s="68"/>
      <c r="K66" s="69"/>
      <c r="L66" s="69"/>
      <c r="M66" s="69"/>
      <c r="N66" s="69"/>
    </row>
    <row r="67" spans="1:14" ht="15">
      <c r="A67" s="91"/>
      <c r="B67" s="87"/>
      <c r="C67" s="92"/>
      <c r="D67" s="168"/>
      <c r="E67" s="137"/>
      <c r="F67" s="81"/>
      <c r="H67" s="68"/>
      <c r="I67" s="68"/>
      <c r="J67" s="68"/>
      <c r="K67" s="69"/>
      <c r="L67" s="69"/>
      <c r="M67" s="69"/>
      <c r="N67" s="69"/>
    </row>
    <row r="68" spans="1:14" ht="25.5">
      <c r="A68" s="94" t="s">
        <v>75</v>
      </c>
      <c r="B68" s="87" t="s">
        <v>16</v>
      </c>
      <c r="C68" s="95"/>
      <c r="D68" s="96"/>
      <c r="E68" s="137"/>
      <c r="F68" s="81"/>
      <c r="H68" s="68"/>
      <c r="I68" s="68"/>
      <c r="J68" s="68" t="s">
        <v>32</v>
      </c>
      <c r="K68" s="69"/>
      <c r="L68" s="69"/>
      <c r="M68" s="69"/>
      <c r="N68" s="69"/>
    </row>
    <row r="69" spans="1:14" ht="17.25" customHeight="1">
      <c r="A69" s="264" t="s">
        <v>76</v>
      </c>
      <c r="B69" s="264"/>
      <c r="C69" s="264"/>
      <c r="D69" s="264"/>
      <c r="E69" s="144" t="e">
        <f>D69+B19</f>
        <v>#VALUE!</v>
      </c>
      <c r="F69" s="68"/>
      <c r="H69" s="98" t="e">
        <f>E69-B18</f>
        <v>#VALUE!</v>
      </c>
      <c r="I69" s="68"/>
      <c r="J69" s="68"/>
      <c r="K69" s="69"/>
      <c r="L69" s="69"/>
      <c r="M69" s="69"/>
      <c r="N69" s="69"/>
    </row>
    <row r="70" spans="1:5" ht="21" customHeight="1">
      <c r="A70" s="99" t="s">
        <v>53</v>
      </c>
      <c r="B70" s="99" t="s">
        <v>54</v>
      </c>
      <c r="C70" s="100">
        <v>0</v>
      </c>
      <c r="D70" s="101"/>
      <c r="E70" s="146"/>
    </row>
    <row r="71" spans="1:5" ht="21" customHeight="1">
      <c r="A71" s="99" t="s">
        <v>55</v>
      </c>
      <c r="B71" s="99" t="s">
        <v>54</v>
      </c>
      <c r="C71" s="99">
        <v>0</v>
      </c>
      <c r="D71" s="101"/>
      <c r="E71" s="146"/>
    </row>
    <row r="72" spans="1:5" ht="18" customHeight="1">
      <c r="A72" s="99" t="s">
        <v>56</v>
      </c>
      <c r="B72" s="99" t="s">
        <v>54</v>
      </c>
      <c r="C72" s="99">
        <v>0</v>
      </c>
      <c r="D72" s="101"/>
      <c r="E72" s="146"/>
    </row>
    <row r="73" spans="1:5" ht="16.5" customHeight="1">
      <c r="A73" s="99" t="s">
        <v>57</v>
      </c>
      <c r="B73" s="99" t="s">
        <v>16</v>
      </c>
      <c r="C73" s="99">
        <v>0</v>
      </c>
      <c r="D73" s="101"/>
      <c r="E73" s="146"/>
    </row>
    <row r="74" spans="1:5" ht="15.75" customHeight="1">
      <c r="A74" s="258" t="s">
        <v>77</v>
      </c>
      <c r="B74" s="258"/>
      <c r="C74" s="258"/>
      <c r="D74" s="258"/>
      <c r="E74" s="102"/>
    </row>
    <row r="75" spans="1:5" ht="18.75" customHeight="1">
      <c r="A75" s="99" t="s">
        <v>78</v>
      </c>
      <c r="B75" s="99" t="s">
        <v>54</v>
      </c>
      <c r="C75" s="99">
        <v>1</v>
      </c>
      <c r="D75" s="101"/>
      <c r="E75" s="102"/>
    </row>
    <row r="76" spans="1:5" ht="21.75" customHeight="1">
      <c r="A76" s="99" t="s">
        <v>79</v>
      </c>
      <c r="B76" s="56" t="s">
        <v>54</v>
      </c>
      <c r="C76" s="56">
        <v>0</v>
      </c>
      <c r="D76" s="101"/>
      <c r="E76" s="102"/>
    </row>
    <row r="77" spans="1:5" ht="36" customHeight="1">
      <c r="A77" s="103" t="s">
        <v>80</v>
      </c>
      <c r="B77" s="99" t="s">
        <v>16</v>
      </c>
      <c r="C77" s="99">
        <v>0</v>
      </c>
      <c r="D77" s="101"/>
      <c r="E77" s="102"/>
    </row>
    <row r="78" spans="1:4" ht="15">
      <c r="A78" s="69"/>
      <c r="B78" s="69"/>
      <c r="C78" s="69"/>
      <c r="D78" s="104"/>
    </row>
    <row r="79" spans="1:14" s="1" customFormat="1" ht="12.75">
      <c r="A79"/>
      <c r="B79"/>
      <c r="C79"/>
      <c r="D79"/>
      <c r="H79" s="1" t="s">
        <v>32</v>
      </c>
      <c r="K79"/>
      <c r="L79"/>
      <c r="M79"/>
      <c r="N79"/>
    </row>
    <row r="80" spans="1:14" s="1" customFormat="1" ht="12.75">
      <c r="A80" t="s">
        <v>81</v>
      </c>
      <c r="B80"/>
      <c r="C80"/>
      <c r="D80"/>
      <c r="K80"/>
      <c r="L80"/>
      <c r="M80"/>
      <c r="N80"/>
    </row>
    <row r="81" spans="1:14" s="1" customFormat="1" ht="12.75">
      <c r="A81"/>
      <c r="B81"/>
      <c r="C81"/>
      <c r="D81"/>
      <c r="H81" s="1" t="s">
        <v>32</v>
      </c>
      <c r="K81"/>
      <c r="L81"/>
      <c r="M81"/>
      <c r="N81"/>
    </row>
    <row r="82" spans="1:14" s="1" customFormat="1" ht="12.75">
      <c r="A82" t="s">
        <v>82</v>
      </c>
      <c r="B82"/>
      <c r="C82"/>
      <c r="D82"/>
      <c r="K82"/>
      <c r="L82"/>
      <c r="M82"/>
      <c r="N82"/>
    </row>
    <row r="86" spans="1:14" s="1" customFormat="1" ht="12.75">
      <c r="A86"/>
      <c r="B86"/>
      <c r="C86"/>
      <c r="D86"/>
      <c r="E86" s="1" t="s">
        <v>32</v>
      </c>
      <c r="K86"/>
      <c r="L86"/>
      <c r="M86"/>
      <c r="N86"/>
    </row>
  </sheetData>
  <sheetProtection selectLockedCells="1" selectUnlockedCells="1"/>
  <mergeCells count="13">
    <mergeCell ref="A1:D1"/>
    <mergeCell ref="A2:D2"/>
    <mergeCell ref="A3:D3"/>
    <mergeCell ref="A4:D4"/>
    <mergeCell ref="A5:D5"/>
    <mergeCell ref="A7:D7"/>
    <mergeCell ref="A74:D74"/>
    <mergeCell ref="A14:D14"/>
    <mergeCell ref="A29:D29"/>
    <mergeCell ref="A43:D43"/>
    <mergeCell ref="A48:D48"/>
    <mergeCell ref="A55:D55"/>
    <mergeCell ref="A69:D69"/>
  </mergeCells>
  <printOptions/>
  <pageMargins left="0.5597222222222222" right="0.7875" top="0.34097222222222223" bottom="0.7875" header="0.5118055555555555" footer="0.5118055555555555"/>
  <pageSetup fitToHeight="3" fitToWidth="2" horizontalDpi="300" verticalDpi="300" orientation="landscape" paperSize="1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3"/>
  <sheetViews>
    <sheetView zoomScale="80" zoomScaleNormal="80" zoomScalePageLayoutView="0" workbookViewId="0" topLeftCell="A16">
      <selection activeCell="C47" sqref="C47"/>
    </sheetView>
  </sheetViews>
  <sheetFormatPr defaultColWidth="11.57421875" defaultRowHeight="12.75"/>
  <cols>
    <col min="1" max="1" width="52.00390625" style="0" customWidth="1"/>
    <col min="2" max="2" width="18.7109375" style="0" customWidth="1"/>
    <col min="3" max="3" width="26.00390625" style="0" customWidth="1"/>
    <col min="4" max="4" width="16.7109375" style="0" customWidth="1"/>
    <col min="5" max="5" width="16.8515625" style="1" customWidth="1"/>
    <col min="6" max="7" width="0" style="1" hidden="1" customWidth="1"/>
    <col min="8" max="8" width="11.57421875" style="1" customWidth="1"/>
    <col min="9" max="9" width="5.28125" style="1" customWidth="1"/>
    <col min="10" max="10" width="30.00390625" style="1" customWidth="1"/>
    <col min="11" max="12" width="23.28125" style="0" customWidth="1"/>
    <col min="13" max="13" width="6.57421875" style="0" customWidth="1"/>
    <col min="14" max="14" width="7.00390625" style="0" customWidth="1"/>
  </cols>
  <sheetData>
    <row r="1" spans="1:4" ht="18">
      <c r="A1" s="265" t="s">
        <v>0</v>
      </c>
      <c r="B1" s="265"/>
      <c r="C1" s="265"/>
      <c r="D1" s="265"/>
    </row>
    <row r="2" spans="1:4" ht="15.75">
      <c r="A2" s="266" t="s">
        <v>1</v>
      </c>
      <c r="B2" s="266"/>
      <c r="C2" s="266"/>
      <c r="D2" s="266"/>
    </row>
    <row r="3" spans="1:4" ht="15.75">
      <c r="A3" s="266" t="s">
        <v>2</v>
      </c>
      <c r="B3" s="266"/>
      <c r="C3" s="266"/>
      <c r="D3" s="266"/>
    </row>
    <row r="4" spans="1:4" ht="12.75">
      <c r="A4" s="267" t="s">
        <v>83</v>
      </c>
      <c r="B4" s="267"/>
      <c r="C4" s="267"/>
      <c r="D4" s="267"/>
    </row>
    <row r="5" spans="1:4" ht="12.75">
      <c r="A5" s="268" t="s">
        <v>171</v>
      </c>
      <c r="B5" s="267"/>
      <c r="C5" s="267"/>
      <c r="D5" s="267"/>
    </row>
    <row r="6" ht="11.25" customHeight="1">
      <c r="A6" s="2"/>
    </row>
    <row r="7" spans="1:4" ht="30" customHeight="1">
      <c r="A7" s="269" t="s">
        <v>4</v>
      </c>
      <c r="B7" s="269"/>
      <c r="C7" s="269"/>
      <c r="D7" s="269"/>
    </row>
    <row r="8" spans="1:3" ht="19.5" customHeight="1">
      <c r="A8" s="2" t="s">
        <v>188</v>
      </c>
      <c r="C8" s="3"/>
    </row>
    <row r="9" spans="1:4" ht="12.75">
      <c r="A9" s="4" t="s">
        <v>5</v>
      </c>
      <c r="B9" s="4" t="s">
        <v>6</v>
      </c>
      <c r="C9" s="4" t="s">
        <v>7</v>
      </c>
      <c r="D9" s="5"/>
    </row>
    <row r="10" spans="1:4" ht="12.75">
      <c r="A10" s="6">
        <v>1</v>
      </c>
      <c r="B10" s="6">
        <v>2</v>
      </c>
      <c r="C10" s="6">
        <v>3</v>
      </c>
      <c r="D10" s="7">
        <v>4</v>
      </c>
    </row>
    <row r="11" spans="1:4" ht="12.75">
      <c r="A11" s="8" t="s">
        <v>8</v>
      </c>
      <c r="B11" s="9"/>
      <c r="C11" s="177" t="s">
        <v>172</v>
      </c>
      <c r="D11" s="10"/>
    </row>
    <row r="12" spans="1:4" ht="12.75">
      <c r="A12" s="8" t="s">
        <v>10</v>
      </c>
      <c r="B12" s="9"/>
      <c r="C12" s="177" t="s">
        <v>173</v>
      </c>
      <c r="D12" s="10"/>
    </row>
    <row r="13" spans="1:4" ht="12.75">
      <c r="A13" s="8" t="s">
        <v>12</v>
      </c>
      <c r="B13" s="9"/>
      <c r="C13" s="177" t="s">
        <v>174</v>
      </c>
      <c r="D13" s="10"/>
    </row>
    <row r="14" spans="1:4" ht="31.5" customHeight="1">
      <c r="A14" s="259" t="s">
        <v>14</v>
      </c>
      <c r="B14" s="259"/>
      <c r="C14" s="259"/>
      <c r="D14" s="259"/>
    </row>
    <row r="15" spans="1:8" ht="25.5">
      <c r="A15" s="11" t="s">
        <v>15</v>
      </c>
      <c r="B15" s="12" t="s">
        <v>16</v>
      </c>
      <c r="C15" s="13">
        <v>28034.25</v>
      </c>
      <c r="D15" s="14"/>
      <c r="E15" s="132"/>
      <c r="F15" s="132"/>
      <c r="G15" s="132"/>
      <c r="H15" s="132"/>
    </row>
    <row r="16" spans="1:8" ht="15">
      <c r="A16" s="8" t="s">
        <v>17</v>
      </c>
      <c r="B16" s="12" t="s">
        <v>16</v>
      </c>
      <c r="C16" s="13">
        <v>0</v>
      </c>
      <c r="D16" s="14"/>
      <c r="E16" s="132"/>
      <c r="F16" s="132"/>
      <c r="G16" s="132"/>
      <c r="H16" s="132"/>
    </row>
    <row r="17" spans="1:8" ht="15">
      <c r="A17" s="8" t="s">
        <v>18</v>
      </c>
      <c r="B17" s="12" t="s">
        <v>16</v>
      </c>
      <c r="C17" s="15">
        <v>33226.81</v>
      </c>
      <c r="D17" s="16"/>
      <c r="E17" s="132" t="e">
        <f>B17/12/1022.6</f>
        <v>#VALUE!</v>
      </c>
      <c r="F17" s="132"/>
      <c r="G17" s="132"/>
      <c r="H17" s="132"/>
    </row>
    <row r="18" spans="1:8" ht="31.5" customHeight="1">
      <c r="A18" s="17" t="s">
        <v>19</v>
      </c>
      <c r="B18" s="12" t="s">
        <v>16</v>
      </c>
      <c r="C18" s="15">
        <f>C19+C20+C21</f>
        <v>120648.766</v>
      </c>
      <c r="D18" s="16"/>
      <c r="E18" s="133">
        <f>C18-C20</f>
        <v>106165.696</v>
      </c>
      <c r="F18" s="132"/>
      <c r="G18" s="132"/>
      <c r="H18" s="132"/>
    </row>
    <row r="19" spans="1:8" ht="15">
      <c r="A19" s="8" t="s">
        <v>20</v>
      </c>
      <c r="B19" s="12" t="s">
        <v>16</v>
      </c>
      <c r="C19" s="15">
        <v>70379.68</v>
      </c>
      <c r="D19" s="16"/>
      <c r="E19" s="134">
        <f>(1.79+4.13)*6*2301.2</f>
        <v>81738.62399999998</v>
      </c>
      <c r="F19" s="132"/>
      <c r="G19" s="132"/>
      <c r="H19" s="132"/>
    </row>
    <row r="20" spans="1:8" ht="15">
      <c r="A20" s="8" t="s">
        <v>21</v>
      </c>
      <c r="B20" s="12" t="s">
        <v>16</v>
      </c>
      <c r="C20" s="15">
        <f>(1.47+2.48)*6*611.1</f>
        <v>14483.070000000002</v>
      </c>
      <c r="D20" s="16"/>
      <c r="E20" s="134"/>
      <c r="F20" s="132"/>
      <c r="G20" s="132"/>
      <c r="H20" s="132"/>
    </row>
    <row r="21" spans="1:8" ht="15">
      <c r="A21" s="8" t="s">
        <v>22</v>
      </c>
      <c r="B21" s="12" t="s">
        <v>16</v>
      </c>
      <c r="C21" s="20">
        <f>611.1*4.88*12</f>
        <v>35786.016</v>
      </c>
      <c r="D21" s="16"/>
      <c r="E21" s="132"/>
      <c r="F21" s="132"/>
      <c r="G21" s="132"/>
      <c r="H21" s="132"/>
    </row>
    <row r="22" spans="1:8" ht="15">
      <c r="A22" s="21" t="s">
        <v>23</v>
      </c>
      <c r="B22" s="12" t="s">
        <v>16</v>
      </c>
      <c r="C22" s="15">
        <f>C23+C24+C25+C26+C27</f>
        <v>109512.88489819999</v>
      </c>
      <c r="D22" s="16" t="s">
        <v>24</v>
      </c>
      <c r="E22" s="133" t="e">
        <f>B24+B25+B26+B27+B28</f>
        <v>#VALUE!</v>
      </c>
      <c r="F22" s="132"/>
      <c r="G22" s="132"/>
      <c r="H22" s="132"/>
    </row>
    <row r="23" spans="1:8" ht="15">
      <c r="A23" s="8" t="s">
        <v>25</v>
      </c>
      <c r="B23" s="12" t="s">
        <v>16</v>
      </c>
      <c r="C23" s="15">
        <f>C18*0.9077</f>
        <v>109512.88489819999</v>
      </c>
      <c r="D23" s="16"/>
      <c r="E23" s="132"/>
      <c r="F23" s="132"/>
      <c r="G23" s="132"/>
      <c r="H23" s="132"/>
    </row>
    <row r="24" spans="1:8" ht="15">
      <c r="A24" s="8" t="s">
        <v>26</v>
      </c>
      <c r="B24" s="12" t="s">
        <v>16</v>
      </c>
      <c r="C24" s="15">
        <v>0</v>
      </c>
      <c r="D24" s="22">
        <v>65.21</v>
      </c>
      <c r="E24" s="134" t="e">
        <f>B24/#REF!*1</f>
        <v>#VALUE!</v>
      </c>
      <c r="F24" s="132"/>
      <c r="G24" s="132"/>
      <c r="H24" s="132" t="s">
        <v>27</v>
      </c>
    </row>
    <row r="25" spans="1:8" ht="15">
      <c r="A25" s="8" t="s">
        <v>28</v>
      </c>
      <c r="B25" s="12" t="s">
        <v>16</v>
      </c>
      <c r="C25" s="15">
        <v>0</v>
      </c>
      <c r="D25" s="22">
        <v>119.63</v>
      </c>
      <c r="E25" s="134" t="e">
        <f>B25/#REF!*1</f>
        <v>#VALUE!</v>
      </c>
      <c r="F25" s="132"/>
      <c r="G25" s="132"/>
      <c r="H25" s="132"/>
    </row>
    <row r="26" spans="1:8" ht="15">
      <c r="A26" s="9" t="s">
        <v>29</v>
      </c>
      <c r="B26" s="12" t="s">
        <v>16</v>
      </c>
      <c r="C26" s="15">
        <v>0</v>
      </c>
      <c r="D26" s="22"/>
      <c r="E26" s="134" t="e">
        <f>B26/#REF!*1</f>
        <v>#VALUE!</v>
      </c>
      <c r="F26" s="132"/>
      <c r="G26" s="132"/>
      <c r="H26" s="132"/>
    </row>
    <row r="27" spans="1:8" ht="15">
      <c r="A27" s="177" t="s">
        <v>30</v>
      </c>
      <c r="B27" s="12" t="s">
        <v>16</v>
      </c>
      <c r="C27" s="15">
        <v>0</v>
      </c>
      <c r="D27" s="22">
        <v>139.18</v>
      </c>
      <c r="E27" s="134" t="e">
        <f>B27/#REF!*1</f>
        <v>#VALUE!</v>
      </c>
      <c r="F27" s="132"/>
      <c r="G27" s="132"/>
      <c r="H27" s="132"/>
    </row>
    <row r="28" spans="1:8" ht="15">
      <c r="A28" s="8" t="s">
        <v>31</v>
      </c>
      <c r="B28" s="12" t="s">
        <v>16</v>
      </c>
      <c r="C28" s="15">
        <f>C15+C22</f>
        <v>137547.1348982</v>
      </c>
      <c r="D28" s="16" t="s">
        <v>32</v>
      </c>
      <c r="E28" s="134" t="e">
        <f>B28/#REF!*1</f>
        <v>#VALUE!</v>
      </c>
      <c r="F28" s="132"/>
      <c r="G28" s="132"/>
      <c r="H28" s="132"/>
    </row>
    <row r="29" spans="1:8" ht="35.25" customHeight="1">
      <c r="A29" s="260" t="s">
        <v>33</v>
      </c>
      <c r="B29" s="260"/>
      <c r="C29" s="260"/>
      <c r="D29" s="260"/>
      <c r="E29" s="132"/>
      <c r="F29" s="132"/>
      <c r="G29" s="132"/>
      <c r="H29" s="132"/>
    </row>
    <row r="30" spans="1:8" ht="51">
      <c r="A30" s="23" t="s">
        <v>34</v>
      </c>
      <c r="B30" s="215" t="s">
        <v>35</v>
      </c>
      <c r="C30" s="216" t="s">
        <v>36</v>
      </c>
      <c r="D30" s="217" t="s">
        <v>37</v>
      </c>
      <c r="E30" s="132"/>
      <c r="F30" s="132"/>
      <c r="G30" s="132"/>
      <c r="H30" s="132"/>
    </row>
    <row r="31" spans="1:8" ht="15">
      <c r="A31" s="27" t="s">
        <v>38</v>
      </c>
      <c r="B31" s="28" t="s">
        <v>39</v>
      </c>
      <c r="C31" s="29" t="s">
        <v>40</v>
      </c>
      <c r="D31" s="30">
        <f>(0.31+0.3)*6*611.1</f>
        <v>2236.626</v>
      </c>
      <c r="E31" s="132">
        <v>0.305</v>
      </c>
      <c r="F31" s="132"/>
      <c r="G31" s="132"/>
      <c r="H31" s="132"/>
    </row>
    <row r="32" spans="1:8" ht="15">
      <c r="A32" s="31" t="s">
        <v>84</v>
      </c>
      <c r="B32" s="32" t="s">
        <v>85</v>
      </c>
      <c r="C32" s="33" t="s">
        <v>86</v>
      </c>
      <c r="D32" s="34">
        <f>(2.45+2.34)*6*611.1</f>
        <v>17563.014000000003</v>
      </c>
      <c r="E32" s="132">
        <v>2.395</v>
      </c>
      <c r="F32" s="132"/>
      <c r="G32" s="132"/>
      <c r="H32" s="132"/>
    </row>
    <row r="33" spans="1:8" ht="15">
      <c r="A33" s="31" t="s">
        <v>41</v>
      </c>
      <c r="B33" s="32" t="s">
        <v>42</v>
      </c>
      <c r="C33" s="33" t="s">
        <v>43</v>
      </c>
      <c r="D33" s="34">
        <f>(3.03+3)*6*611.1</f>
        <v>22109.597999999994</v>
      </c>
      <c r="E33" s="132">
        <v>3.015</v>
      </c>
      <c r="F33" s="132"/>
      <c r="G33" s="132"/>
      <c r="H33" s="132"/>
    </row>
    <row r="34" spans="1:8" ht="15">
      <c r="A34" s="31" t="s">
        <v>44</v>
      </c>
      <c r="B34" s="32" t="s">
        <v>87</v>
      </c>
      <c r="C34" s="33" t="s">
        <v>45</v>
      </c>
      <c r="D34" s="34">
        <f>(0.42+0.4)*6*611.1</f>
        <v>3006.612</v>
      </c>
      <c r="E34" s="254">
        <v>0.41</v>
      </c>
      <c r="F34" s="132"/>
      <c r="G34" s="132"/>
      <c r="H34" s="132"/>
    </row>
    <row r="35" spans="1:8" ht="15">
      <c r="A35" s="31" t="s">
        <v>88</v>
      </c>
      <c r="B35" s="105" t="s">
        <v>87</v>
      </c>
      <c r="C35" s="33" t="s">
        <v>40</v>
      </c>
      <c r="D35" s="34">
        <f>(0.64+0.61)*6*611.1</f>
        <v>4583.25</v>
      </c>
      <c r="E35" s="254">
        <v>0.625</v>
      </c>
      <c r="F35" s="132"/>
      <c r="G35" s="132"/>
      <c r="H35" s="132"/>
    </row>
    <row r="36" spans="1:8" ht="15">
      <c r="A36" s="31" t="s">
        <v>89</v>
      </c>
      <c r="B36" s="32" t="s">
        <v>39</v>
      </c>
      <c r="C36" s="33" t="s">
        <v>40</v>
      </c>
      <c r="D36" s="34">
        <f>(0.81+0.77)*6*611.1</f>
        <v>5793.228</v>
      </c>
      <c r="E36" s="132" t="s">
        <v>189</v>
      </c>
      <c r="F36" s="132"/>
      <c r="G36" s="132"/>
      <c r="H36" s="132"/>
    </row>
    <row r="37" spans="1:8" ht="15">
      <c r="A37" s="31" t="s">
        <v>90</v>
      </c>
      <c r="B37" s="106" t="s">
        <v>91</v>
      </c>
      <c r="C37" s="33" t="s">
        <v>40</v>
      </c>
      <c r="D37" s="34">
        <f>(1.33+1.27)*6*611.1</f>
        <v>9533.160000000002</v>
      </c>
      <c r="E37" s="132">
        <v>1.3</v>
      </c>
      <c r="F37" s="132"/>
      <c r="G37" s="132"/>
      <c r="H37" s="132"/>
    </row>
    <row r="38" spans="1:8" ht="15">
      <c r="A38" s="31" t="s">
        <v>46</v>
      </c>
      <c r="B38" s="32" t="s">
        <v>42</v>
      </c>
      <c r="C38" s="35" t="s">
        <v>47</v>
      </c>
      <c r="D38" s="34">
        <f>4.88*611.1*12</f>
        <v>35786.016</v>
      </c>
      <c r="E38" s="132"/>
      <c r="F38" s="132"/>
      <c r="G38" s="132"/>
      <c r="H38" s="132"/>
    </row>
    <row r="39" spans="1:8" ht="45">
      <c r="A39" s="31" t="s">
        <v>190</v>
      </c>
      <c r="B39" s="32" t="s">
        <v>96</v>
      </c>
      <c r="C39" s="183" t="s">
        <v>97</v>
      </c>
      <c r="D39" s="108">
        <v>5554.2</v>
      </c>
      <c r="E39" s="132">
        <v>1.46</v>
      </c>
      <c r="F39" s="132"/>
      <c r="G39" s="132"/>
      <c r="H39" s="132"/>
    </row>
    <row r="40" spans="1:8" ht="45">
      <c r="A40" s="248" t="s">
        <v>290</v>
      </c>
      <c r="B40" s="37" t="s">
        <v>49</v>
      </c>
      <c r="C40" s="38" t="s">
        <v>92</v>
      </c>
      <c r="D40" s="39">
        <v>28386.11</v>
      </c>
      <c r="E40" s="132"/>
      <c r="F40" s="132"/>
      <c r="G40" s="132"/>
      <c r="H40" s="132"/>
    </row>
    <row r="41" spans="1:8" ht="15">
      <c r="A41" s="109" t="s">
        <v>191</v>
      </c>
      <c r="B41" s="110" t="s">
        <v>192</v>
      </c>
      <c r="C41" s="111" t="s">
        <v>40</v>
      </c>
      <c r="D41" s="179">
        <v>16165</v>
      </c>
      <c r="E41" s="132"/>
      <c r="F41" s="132"/>
      <c r="G41" s="132"/>
      <c r="H41" s="132"/>
    </row>
    <row r="42" spans="1:8" ht="15">
      <c r="A42" s="182" t="s">
        <v>193</v>
      </c>
      <c r="B42" s="110" t="s">
        <v>194</v>
      </c>
      <c r="C42" s="111" t="s">
        <v>40</v>
      </c>
      <c r="D42" s="179">
        <v>5497</v>
      </c>
      <c r="E42" s="132"/>
      <c r="F42" s="132"/>
      <c r="G42" s="132"/>
      <c r="H42" s="132"/>
    </row>
    <row r="43" spans="1:8" ht="15">
      <c r="A43" s="182" t="s">
        <v>291</v>
      </c>
      <c r="B43" s="249" t="s">
        <v>292</v>
      </c>
      <c r="C43" s="111" t="s">
        <v>40</v>
      </c>
      <c r="D43" s="179">
        <f>1546+2874</f>
        <v>4420</v>
      </c>
      <c r="E43" s="132"/>
      <c r="F43" s="132"/>
      <c r="G43" s="132"/>
      <c r="H43" s="132"/>
    </row>
    <row r="44" spans="1:8" ht="15">
      <c r="A44" s="182" t="s">
        <v>195</v>
      </c>
      <c r="B44" s="110" t="s">
        <v>184</v>
      </c>
      <c r="C44" s="111" t="s">
        <v>40</v>
      </c>
      <c r="D44" s="179">
        <v>1104</v>
      </c>
      <c r="E44" s="132"/>
      <c r="F44" s="132"/>
      <c r="G44" s="132"/>
      <c r="H44" s="132"/>
    </row>
    <row r="45" spans="1:8" ht="15">
      <c r="A45" s="109" t="s">
        <v>196</v>
      </c>
      <c r="B45" s="110" t="s">
        <v>186</v>
      </c>
      <c r="C45" s="33" t="s">
        <v>86</v>
      </c>
      <c r="D45" s="179">
        <v>1200.11</v>
      </c>
      <c r="E45" s="132"/>
      <c r="F45" s="132"/>
      <c r="G45" s="132"/>
      <c r="H45" s="132"/>
    </row>
    <row r="46" spans="1:8" ht="15.75">
      <c r="A46" s="40" t="s">
        <v>50</v>
      </c>
      <c r="B46" s="41"/>
      <c r="C46" s="42"/>
      <c r="D46" s="113">
        <f>D31+D32+D33+D34+D35+D36+D37+D38+D39+D40</f>
        <v>134551.814</v>
      </c>
      <c r="E46" s="135">
        <f>D46-D40</f>
        <v>106165.70400000001</v>
      </c>
      <c r="F46" s="132"/>
      <c r="G46" s="132"/>
      <c r="H46" s="132"/>
    </row>
    <row r="47" spans="1:8" ht="15">
      <c r="A47" s="43" t="s">
        <v>51</v>
      </c>
      <c r="B47" s="44" t="s">
        <v>16</v>
      </c>
      <c r="C47" s="45"/>
      <c r="D47" s="46">
        <f>C15+C27+C20*0.9077-D40</f>
        <v>12794.422638999997</v>
      </c>
      <c r="E47" s="135"/>
      <c r="F47" s="132"/>
      <c r="G47" s="132"/>
      <c r="H47" s="132"/>
    </row>
    <row r="48" spans="1:8" ht="15">
      <c r="A48" s="48" t="s">
        <v>17</v>
      </c>
      <c r="B48" s="49" t="s">
        <v>16</v>
      </c>
      <c r="C48" s="33"/>
      <c r="D48" s="14">
        <v>0</v>
      </c>
      <c r="E48" s="132"/>
      <c r="F48" s="132"/>
      <c r="G48" s="132"/>
      <c r="H48" s="132"/>
    </row>
    <row r="49" spans="1:8" ht="15">
      <c r="A49" s="48" t="s">
        <v>18</v>
      </c>
      <c r="B49" s="49" t="s">
        <v>16</v>
      </c>
      <c r="C49" s="33"/>
      <c r="D49" s="14">
        <v>44362.7</v>
      </c>
      <c r="E49" s="132"/>
      <c r="F49" s="132"/>
      <c r="G49" s="132"/>
      <c r="H49" s="132"/>
    </row>
    <row r="50" spans="1:8" ht="24" customHeight="1">
      <c r="A50" s="261" t="s">
        <v>52</v>
      </c>
      <c r="B50" s="261"/>
      <c r="C50" s="261"/>
      <c r="D50" s="261"/>
      <c r="E50" s="132"/>
      <c r="F50" s="132"/>
      <c r="G50" s="132"/>
      <c r="H50" s="132"/>
    </row>
    <row r="51" spans="1:8" ht="15">
      <c r="A51" s="48" t="s">
        <v>53</v>
      </c>
      <c r="B51" s="32" t="s">
        <v>54</v>
      </c>
      <c r="C51" s="33"/>
      <c r="D51" s="14">
        <v>0</v>
      </c>
      <c r="E51" s="132"/>
      <c r="F51" s="132"/>
      <c r="G51" s="132"/>
      <c r="H51" s="132"/>
    </row>
    <row r="52" spans="1:8" ht="15">
      <c r="A52" s="48" t="s">
        <v>55</v>
      </c>
      <c r="B52" s="32" t="s">
        <v>54</v>
      </c>
      <c r="C52" s="33"/>
      <c r="D52" s="14">
        <v>0</v>
      </c>
      <c r="E52" s="132"/>
      <c r="F52" s="132"/>
      <c r="G52" s="132"/>
      <c r="H52" s="132"/>
    </row>
    <row r="53" spans="1:8" ht="25.5">
      <c r="A53" s="50" t="s">
        <v>56</v>
      </c>
      <c r="B53" s="32" t="s">
        <v>54</v>
      </c>
      <c r="C53" s="33"/>
      <c r="D53" s="14">
        <v>0</v>
      </c>
      <c r="E53" s="132"/>
      <c r="F53" s="132"/>
      <c r="G53" s="132"/>
      <c r="H53" s="132"/>
    </row>
    <row r="54" spans="1:8" ht="15">
      <c r="A54" s="48" t="s">
        <v>57</v>
      </c>
      <c r="B54" s="32" t="s">
        <v>16</v>
      </c>
      <c r="C54" s="33"/>
      <c r="D54" s="14">
        <v>0</v>
      </c>
      <c r="E54" s="132"/>
      <c r="F54" s="132"/>
      <c r="G54" s="132"/>
      <c r="H54" s="132"/>
    </row>
    <row r="55" spans="1:8" ht="20.25" customHeight="1">
      <c r="A55" s="262" t="s">
        <v>58</v>
      </c>
      <c r="B55" s="262"/>
      <c r="C55" s="262"/>
      <c r="D55" s="262"/>
      <c r="E55" s="132"/>
      <c r="F55" s="132"/>
      <c r="G55" s="132"/>
      <c r="H55" s="132"/>
    </row>
    <row r="56" spans="1:8" ht="25.5">
      <c r="A56" s="50" t="s">
        <v>59</v>
      </c>
      <c r="B56" s="32" t="s">
        <v>16</v>
      </c>
      <c r="C56" s="33"/>
      <c r="D56" s="14">
        <v>0</v>
      </c>
      <c r="E56" s="132"/>
      <c r="F56" s="132"/>
      <c r="G56" s="132"/>
      <c r="H56" s="132"/>
    </row>
    <row r="57" spans="1:8" ht="15">
      <c r="A57" s="48" t="s">
        <v>17</v>
      </c>
      <c r="B57" s="32" t="s">
        <v>16</v>
      </c>
      <c r="C57" s="33"/>
      <c r="D57" s="14">
        <v>0</v>
      </c>
      <c r="E57" s="132"/>
      <c r="F57" s="132"/>
      <c r="G57" s="132"/>
      <c r="H57" s="132"/>
    </row>
    <row r="58" spans="1:8" ht="15">
      <c r="A58" s="48" t="s">
        <v>18</v>
      </c>
      <c r="B58" s="32" t="s">
        <v>16</v>
      </c>
      <c r="C58" s="33"/>
      <c r="D58" s="51">
        <f>D61-D64-D65-D66</f>
        <v>84023.61119399997</v>
      </c>
      <c r="E58" s="132"/>
      <c r="F58" s="132"/>
      <c r="G58" s="132"/>
      <c r="H58" s="136"/>
    </row>
    <row r="59" spans="1:8" ht="25.5">
      <c r="A59" s="53" t="s">
        <v>60</v>
      </c>
      <c r="B59" s="32" t="s">
        <v>16</v>
      </c>
      <c r="C59" s="54"/>
      <c r="D59" s="55">
        <v>0</v>
      </c>
      <c r="E59" s="132"/>
      <c r="F59" s="132"/>
      <c r="G59" s="132"/>
      <c r="H59" s="132"/>
    </row>
    <row r="60" spans="1:10" ht="17.25" customHeight="1">
      <c r="A60" s="56" t="s">
        <v>17</v>
      </c>
      <c r="B60" s="32" t="s">
        <v>16</v>
      </c>
      <c r="C60" s="57"/>
      <c r="D60" s="58">
        <v>0</v>
      </c>
      <c r="E60" s="132"/>
      <c r="F60" s="132"/>
      <c r="G60" s="132"/>
      <c r="H60" s="132"/>
      <c r="I60" s="52"/>
      <c r="J60" s="52"/>
    </row>
    <row r="61" spans="1:14" ht="15">
      <c r="A61" s="59" t="s">
        <v>18</v>
      </c>
      <c r="B61" s="32" t="s">
        <v>16</v>
      </c>
      <c r="C61" s="60"/>
      <c r="D61" s="61">
        <v>112183.9</v>
      </c>
      <c r="E61" s="132"/>
      <c r="F61" s="132"/>
      <c r="G61" s="132"/>
      <c r="H61" s="132" t="s">
        <v>32</v>
      </c>
      <c r="I61" s="63"/>
      <c r="J61" s="63"/>
      <c r="K61" s="64"/>
      <c r="L61" s="64"/>
      <c r="M61" s="64"/>
      <c r="N61" s="64"/>
    </row>
    <row r="62" spans="1:14" ht="18" customHeight="1">
      <c r="A62" s="263" t="s">
        <v>61</v>
      </c>
      <c r="B62" s="263"/>
      <c r="C62" s="263"/>
      <c r="D62" s="263"/>
      <c r="E62" s="137"/>
      <c r="F62" s="138"/>
      <c r="G62" s="139"/>
      <c r="H62" s="132"/>
      <c r="I62" s="68"/>
      <c r="J62" s="68"/>
      <c r="K62" s="69"/>
      <c r="L62" s="69"/>
      <c r="M62" s="69"/>
      <c r="N62" s="69"/>
    </row>
    <row r="63" spans="1:14" ht="41.25" customHeight="1">
      <c r="A63" s="70" t="s">
        <v>62</v>
      </c>
      <c r="B63" s="71" t="s">
        <v>63</v>
      </c>
      <c r="C63" s="212" t="s">
        <v>64</v>
      </c>
      <c r="D63" s="213" t="s">
        <v>65</v>
      </c>
      <c r="E63" s="137"/>
      <c r="F63" s="138"/>
      <c r="G63" s="139"/>
      <c r="H63" s="132"/>
      <c r="I63" s="68"/>
      <c r="J63" s="74"/>
      <c r="K63" s="69"/>
      <c r="L63" s="69"/>
      <c r="M63" s="69"/>
      <c r="N63" s="69"/>
    </row>
    <row r="64" spans="1:14" ht="15">
      <c r="A64" s="75" t="s">
        <v>66</v>
      </c>
      <c r="B64" s="76">
        <v>48696.43</v>
      </c>
      <c r="C64" s="77">
        <f>B64*0.9077</f>
        <v>44201.749510999995</v>
      </c>
      <c r="D64" s="78">
        <f>B64-C64</f>
        <v>4494.680489000006</v>
      </c>
      <c r="E64" s="79"/>
      <c r="F64" s="66"/>
      <c r="G64" s="67"/>
      <c r="I64" s="68"/>
      <c r="J64" s="68"/>
      <c r="K64" s="69"/>
      <c r="L64" s="69"/>
      <c r="M64" s="69"/>
      <c r="N64" s="69"/>
    </row>
    <row r="65" spans="1:14" ht="15">
      <c r="A65" s="75" t="s">
        <v>67</v>
      </c>
      <c r="B65" s="76">
        <v>53401.94</v>
      </c>
      <c r="C65" s="77">
        <f>B65*0.9077</f>
        <v>48472.940938</v>
      </c>
      <c r="D65" s="78">
        <f>B65-C65</f>
        <v>4928.999062000003</v>
      </c>
      <c r="E65" s="65"/>
      <c r="F65" s="66"/>
      <c r="G65" s="67"/>
      <c r="I65" s="68"/>
      <c r="J65" s="68"/>
      <c r="K65" s="69"/>
      <c r="L65" s="69"/>
      <c r="M65" s="69"/>
      <c r="N65" s="69"/>
    </row>
    <row r="66" spans="1:14" ht="15">
      <c r="A66" s="75" t="s">
        <v>68</v>
      </c>
      <c r="B66" s="80">
        <v>202996.85</v>
      </c>
      <c r="C66" s="77">
        <f>B66*0.9077</f>
        <v>184260.240745</v>
      </c>
      <c r="D66" s="78">
        <f>B66-C66</f>
        <v>18736.609255000018</v>
      </c>
      <c r="E66" s="65">
        <f>(2.07+1.8)*6*2301.2-0.37*2301.2*6</f>
        <v>48325.2</v>
      </c>
      <c r="F66" s="81"/>
      <c r="G66" s="82"/>
      <c r="H66" s="65"/>
      <c r="I66" s="68"/>
      <c r="J66" s="68"/>
      <c r="K66" s="69"/>
      <c r="L66" s="69"/>
      <c r="M66" s="69"/>
      <c r="N66" s="69"/>
    </row>
    <row r="67" spans="1:14" ht="15">
      <c r="A67" s="83" t="s">
        <v>69</v>
      </c>
      <c r="B67" s="84">
        <v>0</v>
      </c>
      <c r="C67" s="77">
        <f>B67*1.2842</f>
        <v>0</v>
      </c>
      <c r="D67" s="85">
        <f>B67-C67</f>
        <v>0</v>
      </c>
      <c r="E67" s="65"/>
      <c r="F67" s="81"/>
      <c r="G67" s="82"/>
      <c r="I67" s="68"/>
      <c r="J67" s="68"/>
      <c r="K67" s="69"/>
      <c r="L67" s="69"/>
      <c r="M67" s="69"/>
      <c r="N67" s="69"/>
    </row>
    <row r="68" spans="1:14" ht="63.75">
      <c r="A68" s="86" t="s">
        <v>70</v>
      </c>
      <c r="B68" s="71" t="s">
        <v>71</v>
      </c>
      <c r="C68" s="212" t="s">
        <v>72</v>
      </c>
      <c r="D68" s="213" t="s">
        <v>73</v>
      </c>
      <c r="E68" s="65"/>
      <c r="F68" s="81"/>
      <c r="H68" s="68"/>
      <c r="I68" s="68"/>
      <c r="J68" s="68"/>
      <c r="K68" s="69"/>
      <c r="L68" s="69"/>
      <c r="M68" s="69"/>
      <c r="N68" s="69"/>
    </row>
    <row r="69" spans="1:14" ht="15">
      <c r="A69" s="75" t="s">
        <v>66</v>
      </c>
      <c r="B69" s="87">
        <f>B64</f>
        <v>48696.43</v>
      </c>
      <c r="C69" s="88">
        <v>44201.75</v>
      </c>
      <c r="D69" s="78">
        <f>B69-C69</f>
        <v>4494.68</v>
      </c>
      <c r="E69" s="65"/>
      <c r="F69" s="81"/>
      <c r="H69" s="68"/>
      <c r="I69" s="68"/>
      <c r="J69" s="68" t="s">
        <v>32</v>
      </c>
      <c r="K69" s="69"/>
      <c r="L69" s="69"/>
      <c r="M69" s="69"/>
      <c r="N69" s="69"/>
    </row>
    <row r="70" spans="1:14" ht="15">
      <c r="A70" s="75" t="s">
        <v>67</v>
      </c>
      <c r="B70" s="76">
        <f>B65</f>
        <v>53401.94</v>
      </c>
      <c r="C70" s="88">
        <v>48472.94</v>
      </c>
      <c r="D70" s="78">
        <f>B70-C70</f>
        <v>4929</v>
      </c>
      <c r="E70" s="65"/>
      <c r="F70" s="81"/>
      <c r="H70" s="68"/>
      <c r="I70" s="68"/>
      <c r="J70" s="68"/>
      <c r="K70" s="69"/>
      <c r="L70" s="69"/>
      <c r="M70" s="69"/>
      <c r="N70" s="69"/>
    </row>
    <row r="71" spans="1:14" ht="15">
      <c r="A71" s="75" t="s">
        <v>68</v>
      </c>
      <c r="B71" s="76">
        <f>B66</f>
        <v>202996.85</v>
      </c>
      <c r="C71" s="88">
        <v>184260.24</v>
      </c>
      <c r="D71" s="78">
        <f>B71-C71</f>
        <v>18736.610000000015</v>
      </c>
      <c r="E71" s="65"/>
      <c r="F71" s="81"/>
      <c r="H71" s="68"/>
      <c r="I71" s="68"/>
      <c r="J71" s="68"/>
      <c r="K71" s="69"/>
      <c r="L71" s="69"/>
      <c r="M71" s="69"/>
      <c r="N71" s="69"/>
    </row>
    <row r="72" spans="1:14" ht="15">
      <c r="A72" s="75" t="s">
        <v>74</v>
      </c>
      <c r="B72" s="76">
        <f>B67</f>
        <v>0</v>
      </c>
      <c r="C72" s="95">
        <f>C67*1.0063</f>
        <v>0</v>
      </c>
      <c r="D72" s="78">
        <f>B72-C72</f>
        <v>0</v>
      </c>
      <c r="E72" s="65"/>
      <c r="F72" s="81"/>
      <c r="H72" s="68"/>
      <c r="I72" s="68"/>
      <c r="J72" s="68"/>
      <c r="K72" s="69"/>
      <c r="L72" s="69"/>
      <c r="M72" s="69"/>
      <c r="N72" s="69"/>
    </row>
    <row r="73" spans="1:14" ht="15">
      <c r="A73" s="89" t="s">
        <v>69</v>
      </c>
      <c r="B73" s="76">
        <v>0</v>
      </c>
      <c r="C73" s="95">
        <v>0</v>
      </c>
      <c r="D73" s="78">
        <f>B73-C73</f>
        <v>0</v>
      </c>
      <c r="E73" s="65"/>
      <c r="F73" s="81"/>
      <c r="H73" s="68" t="s">
        <v>32</v>
      </c>
      <c r="I73" s="68"/>
      <c r="J73" s="68"/>
      <c r="K73" s="69"/>
      <c r="L73" s="69"/>
      <c r="M73" s="69"/>
      <c r="N73" s="69"/>
    </row>
    <row r="74" spans="1:14" ht="15">
      <c r="A74" s="91"/>
      <c r="B74" s="87"/>
      <c r="C74" s="92"/>
      <c r="D74" s="93"/>
      <c r="E74" s="65"/>
      <c r="F74" s="81"/>
      <c r="H74" s="68"/>
      <c r="I74" s="68"/>
      <c r="J74" s="68"/>
      <c r="K74" s="69"/>
      <c r="L74" s="69"/>
      <c r="M74" s="69"/>
      <c r="N74" s="69"/>
    </row>
    <row r="75" spans="1:14" ht="25.5">
      <c r="A75" s="94" t="s">
        <v>75</v>
      </c>
      <c r="B75" s="87" t="s">
        <v>16</v>
      </c>
      <c r="C75" s="95"/>
      <c r="D75" s="96">
        <v>0</v>
      </c>
      <c r="E75" s="65"/>
      <c r="F75" s="81"/>
      <c r="H75" s="68"/>
      <c r="I75" s="68"/>
      <c r="J75" s="68" t="s">
        <v>32</v>
      </c>
      <c r="K75" s="69"/>
      <c r="L75" s="69"/>
      <c r="M75" s="69"/>
      <c r="N75" s="69"/>
    </row>
    <row r="76" spans="1:14" ht="17.25" customHeight="1">
      <c r="A76" s="264" t="s">
        <v>76</v>
      </c>
      <c r="B76" s="264"/>
      <c r="C76" s="264"/>
      <c r="D76" s="264"/>
      <c r="E76" s="97" t="s">
        <v>93</v>
      </c>
      <c r="F76" s="68"/>
      <c r="H76" s="98" t="e">
        <f>E76-B18</f>
        <v>#VALUE!</v>
      </c>
      <c r="I76" s="68"/>
      <c r="J76" s="68"/>
      <c r="K76" s="69"/>
      <c r="L76" s="69"/>
      <c r="M76" s="69"/>
      <c r="N76" s="69"/>
    </row>
    <row r="77" spans="1:5" ht="21" customHeight="1">
      <c r="A77" s="99" t="s">
        <v>53</v>
      </c>
      <c r="B77" s="99" t="s">
        <v>54</v>
      </c>
      <c r="C77" s="100">
        <v>0</v>
      </c>
      <c r="D77" s="101"/>
      <c r="E77" s="102"/>
    </row>
    <row r="78" spans="1:5" ht="21" customHeight="1">
      <c r="A78" s="99" t="s">
        <v>55</v>
      </c>
      <c r="B78" s="99" t="s">
        <v>54</v>
      </c>
      <c r="C78" s="99">
        <v>0</v>
      </c>
      <c r="D78" s="101"/>
      <c r="E78" s="102"/>
    </row>
    <row r="79" spans="1:5" ht="18" customHeight="1">
      <c r="A79" s="99" t="s">
        <v>56</v>
      </c>
      <c r="B79" s="99" t="s">
        <v>54</v>
      </c>
      <c r="C79" s="99">
        <v>0</v>
      </c>
      <c r="D79" s="101"/>
      <c r="E79" s="102"/>
    </row>
    <row r="80" spans="1:5" ht="16.5" customHeight="1">
      <c r="A80" s="99" t="s">
        <v>57</v>
      </c>
      <c r="B80" s="99" t="s">
        <v>16</v>
      </c>
      <c r="C80" s="99">
        <v>0</v>
      </c>
      <c r="D80" s="101"/>
      <c r="E80" s="102"/>
    </row>
    <row r="81" spans="1:5" ht="15.75" customHeight="1">
      <c r="A81" s="258" t="s">
        <v>77</v>
      </c>
      <c r="B81" s="258"/>
      <c r="C81" s="258"/>
      <c r="D81" s="258"/>
      <c r="E81" s="102"/>
    </row>
    <row r="82" spans="1:5" ht="18.75" customHeight="1">
      <c r="A82" s="99" t="s">
        <v>78</v>
      </c>
      <c r="B82" s="99" t="s">
        <v>54</v>
      </c>
      <c r="C82" s="99">
        <v>0</v>
      </c>
      <c r="D82" s="101"/>
      <c r="E82" s="102"/>
    </row>
    <row r="83" spans="1:5" ht="21.75" customHeight="1">
      <c r="A83" s="99" t="s">
        <v>79</v>
      </c>
      <c r="B83" s="56" t="s">
        <v>54</v>
      </c>
      <c r="C83" s="56">
        <v>0</v>
      </c>
      <c r="D83" s="101"/>
      <c r="E83" s="102"/>
    </row>
    <row r="84" spans="1:5" ht="36" customHeight="1">
      <c r="A84" s="103" t="s">
        <v>80</v>
      </c>
      <c r="B84" s="99" t="s">
        <v>16</v>
      </c>
      <c r="C84" s="99">
        <v>0</v>
      </c>
      <c r="D84" s="101"/>
      <c r="E84" s="102"/>
    </row>
    <row r="85" spans="1:4" ht="15">
      <c r="A85" s="69"/>
      <c r="B85" s="69"/>
      <c r="C85" s="69"/>
      <c r="D85" s="104"/>
    </row>
    <row r="86" spans="1:14" s="1" customFormat="1" ht="12.75">
      <c r="A86"/>
      <c r="B86"/>
      <c r="C86"/>
      <c r="D86"/>
      <c r="H86" s="1" t="s">
        <v>32</v>
      </c>
      <c r="K86"/>
      <c r="L86"/>
      <c r="M86"/>
      <c r="N86"/>
    </row>
    <row r="87" spans="1:14" s="1" customFormat="1" ht="12.75">
      <c r="A87" t="s">
        <v>81</v>
      </c>
      <c r="B87"/>
      <c r="C87" t="s">
        <v>170</v>
      </c>
      <c r="D87"/>
      <c r="K87"/>
      <c r="L87"/>
      <c r="M87"/>
      <c r="N87"/>
    </row>
    <row r="88" spans="1:14" s="1" customFormat="1" ht="12.75">
      <c r="A88"/>
      <c r="B88"/>
      <c r="C88"/>
      <c r="D88"/>
      <c r="H88" s="1" t="s">
        <v>32</v>
      </c>
      <c r="K88"/>
      <c r="L88"/>
      <c r="M88"/>
      <c r="N88"/>
    </row>
    <row r="89" spans="1:14" s="1" customFormat="1" ht="12.75">
      <c r="A89" t="s">
        <v>82</v>
      </c>
      <c r="B89"/>
      <c r="C89"/>
      <c r="D89"/>
      <c r="K89"/>
      <c r="L89"/>
      <c r="M89"/>
      <c r="N89"/>
    </row>
    <row r="93" spans="1:14" s="1" customFormat="1" ht="12.75">
      <c r="A93"/>
      <c r="B93"/>
      <c r="C93"/>
      <c r="D93"/>
      <c r="E93" s="1" t="s">
        <v>32</v>
      </c>
      <c r="K93"/>
      <c r="L93"/>
      <c r="M93"/>
      <c r="N93"/>
    </row>
  </sheetData>
  <sheetProtection selectLockedCells="1" selectUnlockedCells="1"/>
  <mergeCells count="13">
    <mergeCell ref="A1:D1"/>
    <mergeCell ref="A2:D2"/>
    <mergeCell ref="A3:D3"/>
    <mergeCell ref="A4:D4"/>
    <mergeCell ref="A5:D5"/>
    <mergeCell ref="A7:D7"/>
    <mergeCell ref="A81:D81"/>
    <mergeCell ref="A14:D14"/>
    <mergeCell ref="A29:D29"/>
    <mergeCell ref="A50:D50"/>
    <mergeCell ref="A55:D55"/>
    <mergeCell ref="A62:D62"/>
    <mergeCell ref="A76:D76"/>
  </mergeCells>
  <printOptions/>
  <pageMargins left="0.5597222222222222" right="0.7875" top="0.34097222222222223" bottom="0.7875" header="0.5118055555555555" footer="0.5118055555555555"/>
  <pageSetup fitToHeight="3" fitToWidth="2" horizontalDpi="600" verticalDpi="600" orientation="portrait" paperSize="12" r:id="rId1"/>
</worksheet>
</file>

<file path=xl/worksheets/sheet4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6"/>
  <sheetViews>
    <sheetView zoomScale="80" zoomScaleNormal="80" zoomScalePageLayoutView="0" workbookViewId="0" topLeftCell="A14">
      <selection activeCell="E16" sqref="E16:E23"/>
    </sheetView>
  </sheetViews>
  <sheetFormatPr defaultColWidth="11.57421875" defaultRowHeight="12.75"/>
  <cols>
    <col min="1" max="1" width="63.28125" style="0" customWidth="1"/>
    <col min="2" max="2" width="20.28125" style="0" customWidth="1"/>
    <col min="3" max="3" width="31.421875" style="0" customWidth="1"/>
    <col min="4" max="4" width="27.57421875" style="0" customWidth="1"/>
    <col min="5" max="5" width="16.8515625" style="1" customWidth="1"/>
    <col min="6" max="7" width="0" style="1" hidden="1" customWidth="1"/>
    <col min="8" max="8" width="11.57421875" style="1" customWidth="1"/>
    <col min="9" max="9" width="5.28125" style="1" customWidth="1"/>
    <col min="10" max="10" width="30.00390625" style="1" customWidth="1"/>
    <col min="11" max="12" width="23.28125" style="0" customWidth="1"/>
    <col min="13" max="13" width="6.57421875" style="0" customWidth="1"/>
    <col min="14" max="14" width="7.00390625" style="0" customWidth="1"/>
  </cols>
  <sheetData>
    <row r="1" spans="1:4" ht="18">
      <c r="A1" s="265" t="s">
        <v>0</v>
      </c>
      <c r="B1" s="265"/>
      <c r="C1" s="265"/>
      <c r="D1" s="265"/>
    </row>
    <row r="2" spans="1:4" ht="15.75">
      <c r="A2" s="266" t="s">
        <v>1</v>
      </c>
      <c r="B2" s="266"/>
      <c r="C2" s="266"/>
      <c r="D2" s="266"/>
    </row>
    <row r="3" spans="1:4" ht="15.75">
      <c r="A3" s="266" t="s">
        <v>2</v>
      </c>
      <c r="B3" s="266"/>
      <c r="C3" s="266"/>
      <c r="D3" s="266"/>
    </row>
    <row r="4" spans="1:4" ht="12.75">
      <c r="A4" s="267" t="s">
        <v>142</v>
      </c>
      <c r="B4" s="267"/>
      <c r="C4" s="267"/>
      <c r="D4" s="267"/>
    </row>
    <row r="5" spans="1:4" ht="12.75">
      <c r="A5" s="268" t="s">
        <v>171</v>
      </c>
      <c r="B5" s="267"/>
      <c r="C5" s="267"/>
      <c r="D5" s="267"/>
    </row>
    <row r="6" ht="9" customHeight="1">
      <c r="A6" s="2"/>
    </row>
    <row r="7" spans="1:4" ht="18" customHeight="1">
      <c r="A7" s="269" t="s">
        <v>4</v>
      </c>
      <c r="B7" s="269"/>
      <c r="C7" s="269"/>
      <c r="D7" s="269"/>
    </row>
    <row r="8" spans="1:3" ht="12.75">
      <c r="A8" s="2" t="s">
        <v>261</v>
      </c>
      <c r="C8" s="3"/>
    </row>
    <row r="9" spans="1:4" ht="12.75">
      <c r="A9" s="4" t="s">
        <v>5</v>
      </c>
      <c r="B9" s="4" t="s">
        <v>6</v>
      </c>
      <c r="C9" s="4" t="s">
        <v>7</v>
      </c>
      <c r="D9" s="5"/>
    </row>
    <row r="10" spans="1:4" ht="12.75">
      <c r="A10" s="6">
        <v>1</v>
      </c>
      <c r="B10" s="6">
        <v>2</v>
      </c>
      <c r="C10" s="6">
        <v>3</v>
      </c>
      <c r="D10" s="7">
        <v>4</v>
      </c>
    </row>
    <row r="11" spans="1:4" ht="12.75">
      <c r="A11" s="8" t="s">
        <v>8</v>
      </c>
      <c r="B11" s="9"/>
      <c r="C11" s="177" t="s">
        <v>172</v>
      </c>
      <c r="D11" s="10"/>
    </row>
    <row r="12" spans="1:8" ht="12.75">
      <c r="A12" s="8" t="s">
        <v>10</v>
      </c>
      <c r="B12" s="9"/>
      <c r="C12" s="177" t="s">
        <v>173</v>
      </c>
      <c r="D12" s="10"/>
      <c r="E12" s="132"/>
      <c r="F12" s="132"/>
      <c r="G12" s="132"/>
      <c r="H12" s="132"/>
    </row>
    <row r="13" spans="1:8" ht="12.75">
      <c r="A13" s="8" t="s">
        <v>12</v>
      </c>
      <c r="B13" s="9"/>
      <c r="C13" s="177" t="s">
        <v>174</v>
      </c>
      <c r="D13" s="10"/>
      <c r="E13" s="132"/>
      <c r="F13" s="132"/>
      <c r="G13" s="132"/>
      <c r="H13" s="132"/>
    </row>
    <row r="14" spans="1:8" ht="31.5" customHeight="1">
      <c r="A14" s="259" t="s">
        <v>14</v>
      </c>
      <c r="B14" s="259"/>
      <c r="C14" s="259"/>
      <c r="D14" s="259"/>
      <c r="E14" s="132"/>
      <c r="F14" s="132"/>
      <c r="G14" s="132"/>
      <c r="H14" s="132"/>
    </row>
    <row r="15" spans="1:8" ht="25.5">
      <c r="A15" s="11" t="s">
        <v>15</v>
      </c>
      <c r="B15" s="12" t="s">
        <v>16</v>
      </c>
      <c r="C15" s="13">
        <v>2851.12</v>
      </c>
      <c r="D15" s="14"/>
      <c r="E15" s="132"/>
      <c r="F15" s="132"/>
      <c r="G15" s="132"/>
      <c r="H15" s="132"/>
    </row>
    <row r="16" spans="1:8" ht="15">
      <c r="A16" s="8" t="s">
        <v>17</v>
      </c>
      <c r="B16" s="12" t="s">
        <v>16</v>
      </c>
      <c r="C16" s="13">
        <v>0</v>
      </c>
      <c r="D16" s="14"/>
      <c r="E16" s="132"/>
      <c r="F16" s="62"/>
      <c r="G16" s="62"/>
      <c r="H16" s="62"/>
    </row>
    <row r="17" spans="1:8" ht="15">
      <c r="A17" s="8" t="s">
        <v>18</v>
      </c>
      <c r="B17" s="12" t="s">
        <v>16</v>
      </c>
      <c r="C17" s="15">
        <v>1200.45</v>
      </c>
      <c r="D17" s="16"/>
      <c r="E17" s="132" t="e">
        <f>B17/12/1022.6</f>
        <v>#VALUE!</v>
      </c>
      <c r="F17" s="62"/>
      <c r="G17" s="62"/>
      <c r="H17" s="62"/>
    </row>
    <row r="18" spans="1:8" ht="31.5" customHeight="1">
      <c r="A18" s="17" t="s">
        <v>19</v>
      </c>
      <c r="B18" s="12" t="s">
        <v>16</v>
      </c>
      <c r="C18" s="15">
        <v>14675.16</v>
      </c>
      <c r="D18" s="16"/>
      <c r="E18" s="133">
        <f>C18-C20</f>
        <v>12486.27</v>
      </c>
      <c r="F18" s="62"/>
      <c r="G18" s="62"/>
      <c r="H18" s="62"/>
    </row>
    <row r="19" spans="1:8" ht="15">
      <c r="A19" s="8" t="s">
        <v>20</v>
      </c>
      <c r="B19" s="12" t="s">
        <v>16</v>
      </c>
      <c r="C19" s="15">
        <f>C18-C20-C21</f>
        <v>6600.990000000001</v>
      </c>
      <c r="D19" s="16"/>
      <c r="E19" s="133">
        <f>E18-E39</f>
        <v>0</v>
      </c>
      <c r="F19" s="62"/>
      <c r="G19" s="62"/>
      <c r="H19" s="62"/>
    </row>
    <row r="20" spans="1:8" ht="15">
      <c r="A20" s="8" t="s">
        <v>21</v>
      </c>
      <c r="B20" s="12" t="s">
        <v>16</v>
      </c>
      <c r="C20" s="15">
        <f>(1.36+2.27)*6*100.5</f>
        <v>2188.8900000000003</v>
      </c>
      <c r="D20" s="16"/>
      <c r="E20" s="134"/>
      <c r="F20" s="62"/>
      <c r="G20" s="62"/>
      <c r="H20" s="62"/>
    </row>
    <row r="21" spans="1:8" ht="15">
      <c r="A21" s="8" t="s">
        <v>22</v>
      </c>
      <c r="B21" s="12" t="s">
        <v>16</v>
      </c>
      <c r="C21" s="20">
        <f>100.5*4.88*12</f>
        <v>5885.28</v>
      </c>
      <c r="D21" s="16"/>
      <c r="E21" s="132"/>
      <c r="F21" s="132"/>
      <c r="G21" s="132"/>
      <c r="H21" s="132"/>
    </row>
    <row r="22" spans="1:8" ht="15">
      <c r="A22" s="21" t="s">
        <v>23</v>
      </c>
      <c r="B22" s="12" t="s">
        <v>16</v>
      </c>
      <c r="C22" s="15">
        <f>C23+C24+C25+C26+C27</f>
        <v>14675.16</v>
      </c>
      <c r="D22" s="16" t="s">
        <v>24</v>
      </c>
      <c r="E22" s="133" t="e">
        <f>B24+B25+B26+B27+B28</f>
        <v>#VALUE!</v>
      </c>
      <c r="F22" s="132"/>
      <c r="G22" s="132"/>
      <c r="H22" s="132"/>
    </row>
    <row r="23" spans="1:8" ht="15">
      <c r="A23" s="8" t="s">
        <v>25</v>
      </c>
      <c r="B23" s="12" t="s">
        <v>16</v>
      </c>
      <c r="C23" s="15">
        <f>C18</f>
        <v>14675.16</v>
      </c>
      <c r="D23" s="16"/>
      <c r="E23" s="132"/>
      <c r="F23" s="132"/>
      <c r="G23" s="132"/>
      <c r="H23" s="132"/>
    </row>
    <row r="24" spans="1:8" ht="15">
      <c r="A24" s="8" t="s">
        <v>26</v>
      </c>
      <c r="B24" s="12" t="s">
        <v>16</v>
      </c>
      <c r="C24" s="15">
        <v>0</v>
      </c>
      <c r="D24" s="22">
        <v>65.21</v>
      </c>
      <c r="E24" s="134" t="e">
        <f>B24/#REF!*1</f>
        <v>#VALUE!</v>
      </c>
      <c r="F24" s="132"/>
      <c r="G24" s="132"/>
      <c r="H24" s="132" t="s">
        <v>27</v>
      </c>
    </row>
    <row r="25" spans="1:8" ht="15">
      <c r="A25" s="8" t="s">
        <v>28</v>
      </c>
      <c r="B25" s="12" t="s">
        <v>16</v>
      </c>
      <c r="C25" s="15">
        <v>0</v>
      </c>
      <c r="D25" s="22">
        <v>119.63</v>
      </c>
      <c r="E25" s="134" t="e">
        <f>B25/#REF!*1</f>
        <v>#VALUE!</v>
      </c>
      <c r="F25" s="132"/>
      <c r="G25" s="132"/>
      <c r="H25" s="132"/>
    </row>
    <row r="26" spans="1:8" ht="15">
      <c r="A26" s="9" t="s">
        <v>29</v>
      </c>
      <c r="B26" s="12" t="s">
        <v>16</v>
      </c>
      <c r="C26" s="15">
        <v>0</v>
      </c>
      <c r="D26" s="22"/>
      <c r="E26" s="134" t="e">
        <f>B26/#REF!*1</f>
        <v>#VALUE!</v>
      </c>
      <c r="F26" s="132"/>
      <c r="G26" s="132"/>
      <c r="H26" s="132"/>
    </row>
    <row r="27" spans="1:8" ht="16.5" customHeight="1">
      <c r="A27" s="116" t="s">
        <v>112</v>
      </c>
      <c r="B27" s="12" t="s">
        <v>16</v>
      </c>
      <c r="C27" s="15">
        <v>0</v>
      </c>
      <c r="D27" s="22">
        <v>139.18</v>
      </c>
      <c r="E27" s="134" t="e">
        <f>B27/#REF!*1</f>
        <v>#VALUE!</v>
      </c>
      <c r="F27" s="132"/>
      <c r="G27" s="132"/>
      <c r="H27" s="132"/>
    </row>
    <row r="28" spans="1:8" ht="15">
      <c r="A28" s="8" t="s">
        <v>31</v>
      </c>
      <c r="B28" s="12" t="s">
        <v>16</v>
      </c>
      <c r="C28" s="15">
        <f>C15+C22</f>
        <v>17526.28</v>
      </c>
      <c r="D28" s="16" t="s">
        <v>32</v>
      </c>
      <c r="E28" s="134" t="e">
        <f>B28/#REF!*1</f>
        <v>#VALUE!</v>
      </c>
      <c r="F28" s="132"/>
      <c r="G28" s="132"/>
      <c r="H28" s="132"/>
    </row>
    <row r="29" spans="1:8" ht="35.25" customHeight="1">
      <c r="A29" s="260" t="s">
        <v>33</v>
      </c>
      <c r="B29" s="260"/>
      <c r="C29" s="260"/>
      <c r="D29" s="260"/>
      <c r="E29" s="132"/>
      <c r="F29" s="132"/>
      <c r="G29" s="132"/>
      <c r="H29" s="132"/>
    </row>
    <row r="30" spans="1:8" ht="60">
      <c r="A30" s="23" t="s">
        <v>34</v>
      </c>
      <c r="B30" s="24" t="s">
        <v>35</v>
      </c>
      <c r="C30" s="25" t="s">
        <v>36</v>
      </c>
      <c r="D30" s="26" t="s">
        <v>37</v>
      </c>
      <c r="E30" s="132"/>
      <c r="F30" s="132"/>
      <c r="G30" s="132"/>
      <c r="H30" s="132"/>
    </row>
    <row r="31" spans="1:8" ht="15">
      <c r="A31" s="27" t="s">
        <v>38</v>
      </c>
      <c r="B31" s="28" t="s">
        <v>39</v>
      </c>
      <c r="C31" s="29" t="s">
        <v>40</v>
      </c>
      <c r="D31" s="107">
        <f>(0.17+0.16)*6*100.5</f>
        <v>198.99</v>
      </c>
      <c r="E31" s="132"/>
      <c r="F31" s="132"/>
      <c r="G31" s="132"/>
      <c r="H31" s="132"/>
    </row>
    <row r="32" spans="1:8" ht="15">
      <c r="A32" s="31" t="s">
        <v>41</v>
      </c>
      <c r="B32" s="32" t="s">
        <v>42</v>
      </c>
      <c r="C32" s="33" t="s">
        <v>43</v>
      </c>
      <c r="D32" s="34">
        <f>(3.03+3)*6*100.5</f>
        <v>3636.0899999999992</v>
      </c>
      <c r="E32" s="132"/>
      <c r="F32" s="132"/>
      <c r="G32" s="132"/>
      <c r="H32" s="132"/>
    </row>
    <row r="33" spans="1:8" ht="15">
      <c r="A33" s="31" t="s">
        <v>44</v>
      </c>
      <c r="B33" s="32" t="s">
        <v>39</v>
      </c>
      <c r="C33" s="33" t="s">
        <v>45</v>
      </c>
      <c r="D33" s="108">
        <f>(0.2+0.21)*6*100.5</f>
        <v>247.23</v>
      </c>
      <c r="E33" s="132"/>
      <c r="F33" s="132"/>
      <c r="G33" s="132"/>
      <c r="H33" s="132"/>
    </row>
    <row r="34" spans="1:8" ht="15">
      <c r="A34" s="31" t="s">
        <v>123</v>
      </c>
      <c r="B34" s="32" t="s">
        <v>39</v>
      </c>
      <c r="C34" s="33" t="s">
        <v>40</v>
      </c>
      <c r="D34" s="108">
        <v>136.83</v>
      </c>
      <c r="E34" s="132"/>
      <c r="F34" s="132"/>
      <c r="G34" s="132"/>
      <c r="H34" s="132"/>
    </row>
    <row r="35" spans="1:8" ht="15">
      <c r="A35" s="31" t="s">
        <v>90</v>
      </c>
      <c r="B35" s="106" t="s">
        <v>91</v>
      </c>
      <c r="C35" s="33" t="s">
        <v>40</v>
      </c>
      <c r="D35" s="108">
        <f>(1.33+1.27)*6*100.5</f>
        <v>1567.8000000000002</v>
      </c>
      <c r="E35" s="132"/>
      <c r="F35" s="132"/>
      <c r="G35" s="132"/>
      <c r="H35" s="132"/>
    </row>
    <row r="36" spans="1:8" ht="15">
      <c r="A36" s="31" t="s">
        <v>46</v>
      </c>
      <c r="B36" s="32" t="s">
        <v>42</v>
      </c>
      <c r="C36" s="35" t="s">
        <v>47</v>
      </c>
      <c r="D36" s="108">
        <f>4.88*100.5*12</f>
        <v>5885.28</v>
      </c>
      <c r="E36" s="132"/>
      <c r="F36" s="132"/>
      <c r="G36" s="132"/>
      <c r="H36" s="132"/>
    </row>
    <row r="37" spans="1:14" s="1" customFormat="1" ht="45">
      <c r="A37" s="36" t="s">
        <v>48</v>
      </c>
      <c r="B37" s="37" t="s">
        <v>49</v>
      </c>
      <c r="C37" s="29"/>
      <c r="D37" s="39">
        <v>0</v>
      </c>
      <c r="E37" s="132"/>
      <c r="F37" s="132"/>
      <c r="G37" s="132"/>
      <c r="H37" s="132"/>
      <c r="K37"/>
      <c r="L37"/>
      <c r="M37"/>
      <c r="N37"/>
    </row>
    <row r="38" spans="1:14" s="1" customFormat="1" ht="45">
      <c r="A38" s="109" t="s">
        <v>95</v>
      </c>
      <c r="B38" s="110" t="s">
        <v>96</v>
      </c>
      <c r="C38" s="29" t="s">
        <v>97</v>
      </c>
      <c r="D38" s="112">
        <f>1.35*100.5*6</f>
        <v>814.0500000000001</v>
      </c>
      <c r="E38" s="132"/>
      <c r="F38" s="132"/>
      <c r="G38" s="132"/>
      <c r="H38" s="132"/>
      <c r="K38"/>
      <c r="L38"/>
      <c r="M38"/>
      <c r="N38"/>
    </row>
    <row r="39" spans="1:14" s="1" customFormat="1" ht="15.75">
      <c r="A39" s="40" t="s">
        <v>50</v>
      </c>
      <c r="B39" s="41"/>
      <c r="C39" s="42"/>
      <c r="D39" s="113">
        <f>SUM(D31:D38)</f>
        <v>12486.269999999999</v>
      </c>
      <c r="E39" s="135">
        <f>D39-D37</f>
        <v>12486.269999999999</v>
      </c>
      <c r="F39" s="132"/>
      <c r="G39" s="132"/>
      <c r="H39" s="132"/>
      <c r="K39"/>
      <c r="L39"/>
      <c r="M39"/>
      <c r="N39"/>
    </row>
    <row r="40" spans="1:14" s="1" customFormat="1" ht="15">
      <c r="A40" s="43" t="s">
        <v>51</v>
      </c>
      <c r="B40" s="44" t="s">
        <v>16</v>
      </c>
      <c r="C40" s="45"/>
      <c r="D40" s="46">
        <f>C15+C20*1-D37</f>
        <v>5040.01</v>
      </c>
      <c r="E40" s="135"/>
      <c r="F40" s="132"/>
      <c r="G40" s="132"/>
      <c r="H40" s="132"/>
      <c r="K40"/>
      <c r="L40"/>
      <c r="M40"/>
      <c r="N40"/>
    </row>
    <row r="41" spans="1:14" s="1" customFormat="1" ht="15">
      <c r="A41" s="48" t="s">
        <v>17</v>
      </c>
      <c r="B41" s="49" t="s">
        <v>16</v>
      </c>
      <c r="C41" s="33"/>
      <c r="D41" s="14"/>
      <c r="E41" s="132"/>
      <c r="F41" s="132"/>
      <c r="G41" s="132"/>
      <c r="H41" s="132"/>
      <c r="K41"/>
      <c r="L41"/>
      <c r="M41"/>
      <c r="N41"/>
    </row>
    <row r="42" spans="1:14" s="1" customFormat="1" ht="15">
      <c r="A42" s="48" t="s">
        <v>18</v>
      </c>
      <c r="B42" s="49" t="s">
        <v>16</v>
      </c>
      <c r="C42" s="33"/>
      <c r="D42" s="14">
        <v>0</v>
      </c>
      <c r="E42" s="62"/>
      <c r="F42" s="132"/>
      <c r="G42" s="132"/>
      <c r="H42" s="132"/>
      <c r="K42"/>
      <c r="L42"/>
      <c r="M42"/>
      <c r="N42"/>
    </row>
    <row r="43" spans="1:14" s="1" customFormat="1" ht="24" customHeight="1">
      <c r="A43" s="261" t="s">
        <v>52</v>
      </c>
      <c r="B43" s="261"/>
      <c r="C43" s="261"/>
      <c r="D43" s="261"/>
      <c r="E43" s="132"/>
      <c r="F43" s="132"/>
      <c r="G43" s="132"/>
      <c r="H43" s="132"/>
      <c r="K43"/>
      <c r="L43"/>
      <c r="M43"/>
      <c r="N43"/>
    </row>
    <row r="44" spans="1:14" s="1" customFormat="1" ht="15">
      <c r="A44" s="48" t="s">
        <v>53</v>
      </c>
      <c r="B44" s="32" t="s">
        <v>54</v>
      </c>
      <c r="C44" s="33">
        <v>0</v>
      </c>
      <c r="D44" s="14">
        <v>0</v>
      </c>
      <c r="E44" s="132"/>
      <c r="F44" s="132"/>
      <c r="G44" s="132"/>
      <c r="H44" s="132"/>
      <c r="K44"/>
      <c r="L44"/>
      <c r="M44"/>
      <c r="N44"/>
    </row>
    <row r="45" spans="1:14" s="1" customFormat="1" ht="15">
      <c r="A45" s="48" t="s">
        <v>55</v>
      </c>
      <c r="B45" s="32" t="s">
        <v>54</v>
      </c>
      <c r="C45" s="33">
        <v>0</v>
      </c>
      <c r="D45" s="14">
        <v>0</v>
      </c>
      <c r="E45" s="132"/>
      <c r="F45" s="132"/>
      <c r="G45" s="132"/>
      <c r="H45" s="132"/>
      <c r="K45"/>
      <c r="L45"/>
      <c r="M45"/>
      <c r="N45"/>
    </row>
    <row r="46" spans="1:14" s="1" customFormat="1" ht="15">
      <c r="A46" s="50" t="s">
        <v>56</v>
      </c>
      <c r="B46" s="32" t="s">
        <v>54</v>
      </c>
      <c r="C46" s="33">
        <v>0</v>
      </c>
      <c r="D46" s="14">
        <v>0</v>
      </c>
      <c r="E46" s="132"/>
      <c r="F46" s="132"/>
      <c r="G46" s="132"/>
      <c r="H46" s="132"/>
      <c r="K46"/>
      <c r="L46"/>
      <c r="M46"/>
      <c r="N46"/>
    </row>
    <row r="47" spans="1:14" s="1" customFormat="1" ht="15">
      <c r="A47" s="48" t="s">
        <v>57</v>
      </c>
      <c r="B47" s="32" t="s">
        <v>16</v>
      </c>
      <c r="C47" s="33">
        <v>0</v>
      </c>
      <c r="D47" s="14">
        <v>0</v>
      </c>
      <c r="E47" s="132"/>
      <c r="F47" s="132"/>
      <c r="G47" s="132"/>
      <c r="H47" s="132"/>
      <c r="K47"/>
      <c r="L47"/>
      <c r="M47"/>
      <c r="N47"/>
    </row>
    <row r="48" spans="1:8" ht="20.25" customHeight="1">
      <c r="A48" s="262" t="s">
        <v>58</v>
      </c>
      <c r="B48" s="262"/>
      <c r="C48" s="262"/>
      <c r="D48" s="262"/>
      <c r="E48" s="132"/>
      <c r="F48" s="132"/>
      <c r="G48" s="132"/>
      <c r="H48" s="132"/>
    </row>
    <row r="49" spans="1:8" ht="25.5">
      <c r="A49" s="50" t="s">
        <v>59</v>
      </c>
      <c r="B49" s="32" t="s">
        <v>16</v>
      </c>
      <c r="C49" s="33"/>
      <c r="D49" s="14">
        <v>0</v>
      </c>
      <c r="E49" s="132"/>
      <c r="F49" s="132"/>
      <c r="G49" s="132"/>
      <c r="H49" s="132"/>
    </row>
    <row r="50" spans="1:8" ht="15">
      <c r="A50" s="48" t="s">
        <v>17</v>
      </c>
      <c r="B50" s="32" t="s">
        <v>16</v>
      </c>
      <c r="C50" s="33"/>
      <c r="D50" s="14">
        <v>0</v>
      </c>
      <c r="E50" s="132"/>
      <c r="F50" s="132"/>
      <c r="G50" s="132"/>
      <c r="H50" s="132"/>
    </row>
    <row r="51" spans="1:8" ht="15">
      <c r="A51" s="48" t="s">
        <v>18</v>
      </c>
      <c r="B51" s="32" t="s">
        <v>16</v>
      </c>
      <c r="C51" s="33"/>
      <c r="D51" s="51">
        <v>247.21</v>
      </c>
      <c r="E51" s="132"/>
      <c r="F51" s="132"/>
      <c r="G51" s="132"/>
      <c r="H51" s="136"/>
    </row>
    <row r="52" spans="1:8" ht="25.5">
      <c r="A52" s="53" t="s">
        <v>60</v>
      </c>
      <c r="B52" s="32" t="s">
        <v>16</v>
      </c>
      <c r="C52" s="54"/>
      <c r="D52" s="55">
        <v>0</v>
      </c>
      <c r="E52" s="132"/>
      <c r="F52" s="132"/>
      <c r="G52" s="132"/>
      <c r="H52" s="132"/>
    </row>
    <row r="53" spans="1:10" ht="17.25" customHeight="1">
      <c r="A53" s="56" t="s">
        <v>17</v>
      </c>
      <c r="B53" s="32" t="s">
        <v>16</v>
      </c>
      <c r="C53" s="33"/>
      <c r="D53" s="14">
        <v>0</v>
      </c>
      <c r="E53" s="132"/>
      <c r="F53" s="132"/>
      <c r="G53" s="132"/>
      <c r="H53" s="132"/>
      <c r="I53" s="52"/>
      <c r="J53" s="52"/>
    </row>
    <row r="54" spans="1:14" ht="15">
      <c r="A54" s="59" t="s">
        <v>18</v>
      </c>
      <c r="B54" s="32" t="s">
        <v>16</v>
      </c>
      <c r="C54" s="60"/>
      <c r="D54" s="61">
        <v>0</v>
      </c>
      <c r="E54" s="132"/>
      <c r="F54" s="132"/>
      <c r="G54" s="132"/>
      <c r="H54" s="132" t="s">
        <v>32</v>
      </c>
      <c r="I54" s="63"/>
      <c r="J54" s="63"/>
      <c r="K54" s="64"/>
      <c r="L54" s="64"/>
      <c r="M54" s="64"/>
      <c r="N54" s="64"/>
    </row>
    <row r="55" spans="1:14" ht="18" customHeight="1">
      <c r="A55" s="263" t="s">
        <v>61</v>
      </c>
      <c r="B55" s="263"/>
      <c r="C55" s="263"/>
      <c r="D55" s="263"/>
      <c r="E55" s="137"/>
      <c r="F55" s="138"/>
      <c r="G55" s="139"/>
      <c r="H55" s="132"/>
      <c r="I55" s="68"/>
      <c r="J55" s="68"/>
      <c r="K55" s="69"/>
      <c r="L55" s="69"/>
      <c r="M55" s="69"/>
      <c r="N55" s="69"/>
    </row>
    <row r="56" spans="1:14" ht="47.25">
      <c r="A56" s="70" t="s">
        <v>62</v>
      </c>
      <c r="B56" s="71" t="s">
        <v>63</v>
      </c>
      <c r="C56" s="72" t="s">
        <v>64</v>
      </c>
      <c r="D56" s="73" t="s">
        <v>65</v>
      </c>
      <c r="E56" s="137"/>
      <c r="F56" s="138"/>
      <c r="G56" s="139"/>
      <c r="H56" s="132"/>
      <c r="I56" s="68"/>
      <c r="J56" s="74"/>
      <c r="K56" s="69"/>
      <c r="L56" s="69"/>
      <c r="M56" s="69"/>
      <c r="N56" s="69"/>
    </row>
    <row r="57" spans="1:14" ht="15">
      <c r="A57" s="75" t="s">
        <v>66</v>
      </c>
      <c r="B57" s="117">
        <v>3107.16</v>
      </c>
      <c r="C57" s="118">
        <v>3107.16</v>
      </c>
      <c r="D57" s="119">
        <f>B57-C57</f>
        <v>0</v>
      </c>
      <c r="E57" s="140"/>
      <c r="F57" s="138"/>
      <c r="G57" s="139"/>
      <c r="H57" s="132"/>
      <c r="I57" s="68"/>
      <c r="J57" s="68"/>
      <c r="K57" s="69"/>
      <c r="L57" s="69"/>
      <c r="M57" s="69"/>
      <c r="N57" s="69"/>
    </row>
    <row r="58" spans="1:14" ht="15">
      <c r="A58" s="75" t="s">
        <v>67</v>
      </c>
      <c r="B58" s="117">
        <v>0</v>
      </c>
      <c r="C58" s="118">
        <f>B58*0.8884</f>
        <v>0</v>
      </c>
      <c r="D58" s="119">
        <f>B58-C58</f>
        <v>0</v>
      </c>
      <c r="E58" s="137"/>
      <c r="F58" s="138"/>
      <c r="G58" s="139"/>
      <c r="H58" s="132"/>
      <c r="I58" s="68"/>
      <c r="J58" s="68"/>
      <c r="K58" s="69"/>
      <c r="L58" s="69"/>
      <c r="M58" s="69"/>
      <c r="N58" s="69"/>
    </row>
    <row r="59" spans="1:14" ht="15">
      <c r="A59" s="75" t="s">
        <v>68</v>
      </c>
      <c r="B59" s="120">
        <v>0</v>
      </c>
      <c r="C59" s="118">
        <f>B59*0.8884</f>
        <v>0</v>
      </c>
      <c r="D59" s="119">
        <f>B59-C59</f>
        <v>0</v>
      </c>
      <c r="E59" s="137">
        <f>(2.07+1.8)*6*2301.2-0.37*2301.2*6</f>
        <v>48325.2</v>
      </c>
      <c r="F59" s="141"/>
      <c r="G59" s="142"/>
      <c r="H59" s="137"/>
      <c r="I59" s="68"/>
      <c r="J59" s="68"/>
      <c r="K59" s="69"/>
      <c r="L59" s="69"/>
      <c r="M59" s="69"/>
      <c r="N59" s="69"/>
    </row>
    <row r="60" spans="1:14" ht="15.75" thickBot="1">
      <c r="A60" s="150" t="s">
        <v>69</v>
      </c>
      <c r="B60" s="151">
        <v>0</v>
      </c>
      <c r="C60" s="152">
        <f>B60*0.8884</f>
        <v>0</v>
      </c>
      <c r="D60" s="153">
        <f>B60-C60</f>
        <v>0</v>
      </c>
      <c r="E60" s="137"/>
      <c r="F60" s="141"/>
      <c r="G60" s="142"/>
      <c r="H60" s="132"/>
      <c r="I60" s="68"/>
      <c r="J60" s="68"/>
      <c r="K60" s="69"/>
      <c r="L60" s="69"/>
      <c r="M60" s="69"/>
      <c r="N60" s="69"/>
    </row>
    <row r="61" spans="1:14" ht="63">
      <c r="A61" s="154" t="s">
        <v>70</v>
      </c>
      <c r="B61" s="155" t="s">
        <v>71</v>
      </c>
      <c r="C61" s="156" t="s">
        <v>72</v>
      </c>
      <c r="D61" s="157" t="s">
        <v>73</v>
      </c>
      <c r="E61" s="137"/>
      <c r="F61" s="141"/>
      <c r="G61" s="132"/>
      <c r="H61" s="143"/>
      <c r="I61" s="68"/>
      <c r="J61" s="68"/>
      <c r="K61" s="69"/>
      <c r="L61" s="69"/>
      <c r="M61" s="69"/>
      <c r="N61" s="69"/>
    </row>
    <row r="62" spans="1:14" ht="15">
      <c r="A62" s="158" t="s">
        <v>66</v>
      </c>
      <c r="B62" s="124">
        <f>B57</f>
        <v>3107.16</v>
      </c>
      <c r="C62" s="125">
        <f>C57</f>
        <v>3107.16</v>
      </c>
      <c r="D62" s="159">
        <f>B62-C62</f>
        <v>0</v>
      </c>
      <c r="E62" s="137"/>
      <c r="F62" s="141"/>
      <c r="G62" s="132"/>
      <c r="H62" s="143"/>
      <c r="I62" s="68"/>
      <c r="J62" s="68" t="s">
        <v>32</v>
      </c>
      <c r="K62" s="69"/>
      <c r="L62" s="69"/>
      <c r="M62" s="69"/>
      <c r="N62" s="69"/>
    </row>
    <row r="63" spans="1:14" ht="15">
      <c r="A63" s="158" t="s">
        <v>67</v>
      </c>
      <c r="B63" s="124">
        <v>0</v>
      </c>
      <c r="C63" s="125">
        <v>0</v>
      </c>
      <c r="D63" s="159">
        <f>B63-C63</f>
        <v>0</v>
      </c>
      <c r="E63" s="137"/>
      <c r="F63" s="141"/>
      <c r="G63" s="132"/>
      <c r="H63" s="143"/>
      <c r="I63" s="68"/>
      <c r="J63" s="68"/>
      <c r="K63" s="69"/>
      <c r="L63" s="69"/>
      <c r="M63" s="69"/>
      <c r="N63" s="69"/>
    </row>
    <row r="64" spans="1:14" ht="15">
      <c r="A64" s="158" t="s">
        <v>68</v>
      </c>
      <c r="B64" s="124">
        <v>0</v>
      </c>
      <c r="C64" s="125">
        <v>0</v>
      </c>
      <c r="D64" s="159">
        <f>B64-C64</f>
        <v>0</v>
      </c>
      <c r="E64" s="137"/>
      <c r="F64" s="141"/>
      <c r="G64" s="132"/>
      <c r="H64" s="143"/>
      <c r="I64" s="68"/>
      <c r="J64" s="68"/>
      <c r="K64" s="69"/>
      <c r="L64" s="69"/>
      <c r="M64" s="69"/>
      <c r="N64" s="69"/>
    </row>
    <row r="65" spans="1:14" ht="15">
      <c r="A65" s="158" t="s">
        <v>74</v>
      </c>
      <c r="B65" s="124">
        <v>0</v>
      </c>
      <c r="C65" s="125">
        <v>0</v>
      </c>
      <c r="D65" s="159">
        <f>B65-C65</f>
        <v>0</v>
      </c>
      <c r="E65" s="137"/>
      <c r="F65" s="141"/>
      <c r="G65" s="132"/>
      <c r="H65" s="143"/>
      <c r="I65" s="68"/>
      <c r="J65" s="68"/>
      <c r="K65" s="69"/>
      <c r="L65" s="69"/>
      <c r="M65" s="69"/>
      <c r="N65" s="69"/>
    </row>
    <row r="66" spans="1:14" ht="15.75" thickBot="1">
      <c r="A66" s="160" t="s">
        <v>69</v>
      </c>
      <c r="B66" s="161">
        <v>0</v>
      </c>
      <c r="C66" s="162">
        <v>0</v>
      </c>
      <c r="D66" s="163">
        <f>B66-C66</f>
        <v>0</v>
      </c>
      <c r="E66" s="137"/>
      <c r="F66" s="141"/>
      <c r="G66" s="132"/>
      <c r="H66" s="143" t="s">
        <v>32</v>
      </c>
      <c r="I66" s="68"/>
      <c r="J66" s="68"/>
      <c r="K66" s="69"/>
      <c r="L66" s="69"/>
      <c r="M66" s="69"/>
      <c r="N66" s="69"/>
    </row>
    <row r="67" spans="1:14" ht="15">
      <c r="A67" s="91"/>
      <c r="B67" s="87"/>
      <c r="C67" s="92"/>
      <c r="D67" s="93"/>
      <c r="E67" s="137"/>
      <c r="F67" s="141"/>
      <c r="G67" s="132"/>
      <c r="H67" s="143"/>
      <c r="I67" s="68"/>
      <c r="J67" s="68"/>
      <c r="K67" s="69"/>
      <c r="L67" s="69"/>
      <c r="M67" s="69"/>
      <c r="N67" s="69"/>
    </row>
    <row r="68" spans="1:14" ht="25.5">
      <c r="A68" s="94" t="s">
        <v>75</v>
      </c>
      <c r="B68" s="87" t="s">
        <v>16</v>
      </c>
      <c r="C68" s="95"/>
      <c r="D68" s="96"/>
      <c r="E68" s="137"/>
      <c r="F68" s="141"/>
      <c r="G68" s="132"/>
      <c r="H68" s="143"/>
      <c r="I68" s="68"/>
      <c r="J68" s="68" t="s">
        <v>32</v>
      </c>
      <c r="K68" s="69"/>
      <c r="L68" s="69"/>
      <c r="M68" s="69"/>
      <c r="N68" s="69"/>
    </row>
    <row r="69" spans="1:14" ht="17.25" customHeight="1">
      <c r="A69" s="264" t="s">
        <v>76</v>
      </c>
      <c r="B69" s="264"/>
      <c r="C69" s="264"/>
      <c r="D69" s="264"/>
      <c r="E69" s="144" t="e">
        <f>D69+B19</f>
        <v>#VALUE!</v>
      </c>
      <c r="F69" s="143"/>
      <c r="G69" s="132"/>
      <c r="H69" s="145" t="e">
        <f>E69-B18</f>
        <v>#VALUE!</v>
      </c>
      <c r="I69" s="68"/>
      <c r="J69" s="68"/>
      <c r="K69" s="69"/>
      <c r="L69" s="69"/>
      <c r="M69" s="69"/>
      <c r="N69" s="69"/>
    </row>
    <row r="70" spans="1:8" ht="21" customHeight="1">
      <c r="A70" s="99" t="s">
        <v>53</v>
      </c>
      <c r="B70" s="99" t="s">
        <v>54</v>
      </c>
      <c r="C70" s="100">
        <v>0</v>
      </c>
      <c r="D70" s="101"/>
      <c r="E70" s="146"/>
      <c r="F70" s="132"/>
      <c r="G70" s="132"/>
      <c r="H70" s="132"/>
    </row>
    <row r="71" spans="1:8" ht="21" customHeight="1">
      <c r="A71" s="99" t="s">
        <v>55</v>
      </c>
      <c r="B71" s="99" t="s">
        <v>54</v>
      </c>
      <c r="C71" s="99">
        <v>0</v>
      </c>
      <c r="D71" s="101"/>
      <c r="E71" s="146"/>
      <c r="F71" s="132"/>
      <c r="G71" s="132"/>
      <c r="H71" s="132"/>
    </row>
    <row r="72" spans="1:8" ht="18" customHeight="1">
      <c r="A72" s="99" t="s">
        <v>56</v>
      </c>
      <c r="B72" s="99" t="s">
        <v>54</v>
      </c>
      <c r="C72" s="99">
        <v>0</v>
      </c>
      <c r="D72" s="101"/>
      <c r="E72" s="146"/>
      <c r="F72" s="132"/>
      <c r="G72" s="132"/>
      <c r="H72" s="132"/>
    </row>
    <row r="73" spans="1:8" ht="16.5" customHeight="1">
      <c r="A73" s="99" t="s">
        <v>57</v>
      </c>
      <c r="B73" s="99" t="s">
        <v>16</v>
      </c>
      <c r="C73" s="99">
        <v>0</v>
      </c>
      <c r="D73" s="101"/>
      <c r="E73" s="146"/>
      <c r="F73" s="132"/>
      <c r="G73" s="132"/>
      <c r="H73" s="132"/>
    </row>
    <row r="74" spans="1:8" ht="15.75" customHeight="1">
      <c r="A74" s="258" t="s">
        <v>77</v>
      </c>
      <c r="B74" s="258"/>
      <c r="C74" s="258"/>
      <c r="D74" s="258"/>
      <c r="E74" s="146"/>
      <c r="F74" s="132"/>
      <c r="G74" s="132"/>
      <c r="H74" s="132"/>
    </row>
    <row r="75" spans="1:8" ht="18.75" customHeight="1">
      <c r="A75" s="99" t="s">
        <v>78</v>
      </c>
      <c r="B75" s="99" t="s">
        <v>54</v>
      </c>
      <c r="C75" s="99">
        <v>0</v>
      </c>
      <c r="D75" s="101"/>
      <c r="E75" s="146"/>
      <c r="F75" s="132"/>
      <c r="G75" s="132"/>
      <c r="H75" s="132"/>
    </row>
    <row r="76" spans="1:8" ht="21.75" customHeight="1">
      <c r="A76" s="99" t="s">
        <v>79</v>
      </c>
      <c r="B76" s="56" t="s">
        <v>54</v>
      </c>
      <c r="C76" s="56">
        <v>0</v>
      </c>
      <c r="D76" s="101"/>
      <c r="E76" s="146"/>
      <c r="F76" s="132"/>
      <c r="G76" s="132"/>
      <c r="H76" s="132"/>
    </row>
    <row r="77" spans="1:8" ht="36" customHeight="1">
      <c r="A77" s="103" t="s">
        <v>80</v>
      </c>
      <c r="B77" s="99" t="s">
        <v>16</v>
      </c>
      <c r="C77" s="99">
        <v>0</v>
      </c>
      <c r="D77" s="101"/>
      <c r="E77" s="146"/>
      <c r="F77" s="132"/>
      <c r="G77" s="132"/>
      <c r="H77" s="132"/>
    </row>
    <row r="78" spans="1:8" ht="15">
      <c r="A78" s="69"/>
      <c r="B78" s="69"/>
      <c r="C78" s="69"/>
      <c r="D78" s="104"/>
      <c r="E78" s="132"/>
      <c r="F78" s="132"/>
      <c r="G78" s="132"/>
      <c r="H78" s="132"/>
    </row>
    <row r="79" spans="1:14" s="1" customFormat="1" ht="12.75">
      <c r="A79"/>
      <c r="B79"/>
      <c r="C79"/>
      <c r="D79"/>
      <c r="E79" s="132"/>
      <c r="F79" s="132"/>
      <c r="G79" s="132"/>
      <c r="H79" s="132" t="s">
        <v>32</v>
      </c>
      <c r="K79"/>
      <c r="L79"/>
      <c r="M79"/>
      <c r="N79"/>
    </row>
    <row r="80" spans="1:14" s="1" customFormat="1" ht="12.75">
      <c r="A80" t="s">
        <v>81</v>
      </c>
      <c r="B80"/>
      <c r="C80"/>
      <c r="D80"/>
      <c r="E80" s="132"/>
      <c r="F80" s="132"/>
      <c r="G80" s="132"/>
      <c r="H80" s="132"/>
      <c r="K80"/>
      <c r="L80"/>
      <c r="M80"/>
      <c r="N80"/>
    </row>
    <row r="81" spans="1:14" s="1" customFormat="1" ht="12.75">
      <c r="A81"/>
      <c r="B81"/>
      <c r="C81"/>
      <c r="D81"/>
      <c r="E81" s="132"/>
      <c r="F81" s="132"/>
      <c r="G81" s="132"/>
      <c r="H81" s="132" t="s">
        <v>32</v>
      </c>
      <c r="K81"/>
      <c r="L81"/>
      <c r="M81"/>
      <c r="N81"/>
    </row>
    <row r="82" spans="1:14" s="1" customFormat="1" ht="12.75">
      <c r="A82" t="s">
        <v>82</v>
      </c>
      <c r="B82"/>
      <c r="C82"/>
      <c r="D82"/>
      <c r="E82" s="132"/>
      <c r="F82" s="132"/>
      <c r="G82" s="132"/>
      <c r="H82" s="132"/>
      <c r="K82"/>
      <c r="L82"/>
      <c r="M82"/>
      <c r="N82"/>
    </row>
    <row r="86" spans="1:14" s="1" customFormat="1" ht="12.75">
      <c r="A86"/>
      <c r="B86"/>
      <c r="C86"/>
      <c r="D86"/>
      <c r="E86" s="1" t="s">
        <v>32</v>
      </c>
      <c r="K86"/>
      <c r="L86"/>
      <c r="M86"/>
      <c r="N86"/>
    </row>
  </sheetData>
  <sheetProtection selectLockedCells="1" selectUnlockedCells="1"/>
  <mergeCells count="13">
    <mergeCell ref="A1:D1"/>
    <mergeCell ref="A2:D2"/>
    <mergeCell ref="A3:D3"/>
    <mergeCell ref="A4:D4"/>
    <mergeCell ref="A5:D5"/>
    <mergeCell ref="A7:D7"/>
    <mergeCell ref="A74:D74"/>
    <mergeCell ref="A14:D14"/>
    <mergeCell ref="A29:D29"/>
    <mergeCell ref="A43:D43"/>
    <mergeCell ref="A48:D48"/>
    <mergeCell ref="A55:D55"/>
    <mergeCell ref="A69:D69"/>
  </mergeCells>
  <printOptions/>
  <pageMargins left="0.5597222222222222" right="0.7875" top="0.34097222222222223" bottom="0.7875" header="0.5118055555555555" footer="0.5118055555555555"/>
  <pageSetup fitToHeight="3" fitToWidth="2" horizontalDpi="300" verticalDpi="300" orientation="landscape" paperSize="12" r:id="rId1"/>
</worksheet>
</file>

<file path=xl/worksheets/sheet4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6"/>
  <sheetViews>
    <sheetView zoomScale="80" zoomScaleNormal="80" zoomScalePageLayoutView="0" workbookViewId="0" topLeftCell="A16">
      <selection activeCell="E38" sqref="E38:E41"/>
    </sheetView>
  </sheetViews>
  <sheetFormatPr defaultColWidth="11.57421875" defaultRowHeight="12.75"/>
  <cols>
    <col min="1" max="1" width="63.28125" style="0" customWidth="1"/>
    <col min="2" max="2" width="20.28125" style="0" customWidth="1"/>
    <col min="3" max="3" width="31.421875" style="0" customWidth="1"/>
    <col min="4" max="4" width="27.57421875" style="0" customWidth="1"/>
    <col min="5" max="5" width="16.8515625" style="1" customWidth="1"/>
    <col min="6" max="7" width="0" style="1" hidden="1" customWidth="1"/>
    <col min="8" max="8" width="11.57421875" style="1" customWidth="1"/>
    <col min="9" max="9" width="5.28125" style="1" customWidth="1"/>
    <col min="10" max="10" width="30.00390625" style="1" customWidth="1"/>
    <col min="11" max="12" width="23.28125" style="0" customWidth="1"/>
    <col min="13" max="13" width="6.57421875" style="0" customWidth="1"/>
    <col min="14" max="14" width="7.00390625" style="0" customWidth="1"/>
  </cols>
  <sheetData>
    <row r="1" spans="1:4" ht="18">
      <c r="A1" s="265" t="s">
        <v>0</v>
      </c>
      <c r="B1" s="265"/>
      <c r="C1" s="265"/>
      <c r="D1" s="265"/>
    </row>
    <row r="2" spans="1:4" ht="15.75">
      <c r="A2" s="266" t="s">
        <v>1</v>
      </c>
      <c r="B2" s="266"/>
      <c r="C2" s="266"/>
      <c r="D2" s="266"/>
    </row>
    <row r="3" spans="1:4" ht="15.75">
      <c r="A3" s="266" t="s">
        <v>2</v>
      </c>
      <c r="B3" s="266"/>
      <c r="C3" s="266"/>
      <c r="D3" s="266"/>
    </row>
    <row r="4" spans="1:4" ht="12.75">
      <c r="A4" s="267" t="s">
        <v>145</v>
      </c>
      <c r="B4" s="267"/>
      <c r="C4" s="267"/>
      <c r="D4" s="267"/>
    </row>
    <row r="5" spans="1:4" ht="12.75">
      <c r="A5" s="268" t="s">
        <v>171</v>
      </c>
      <c r="B5" s="267"/>
      <c r="C5" s="267"/>
      <c r="D5" s="267"/>
    </row>
    <row r="6" ht="16.5" customHeight="1">
      <c r="A6" s="2" t="s">
        <v>262</v>
      </c>
    </row>
    <row r="7" spans="1:4" ht="18" customHeight="1">
      <c r="A7" s="269" t="s">
        <v>4</v>
      </c>
      <c r="B7" s="269"/>
      <c r="C7" s="269"/>
      <c r="D7" s="269"/>
    </row>
    <row r="8" spans="1:3" ht="12.75">
      <c r="A8" s="2"/>
      <c r="C8" s="3"/>
    </row>
    <row r="9" spans="1:4" ht="12.75">
      <c r="A9" s="4" t="s">
        <v>5</v>
      </c>
      <c r="B9" s="4" t="s">
        <v>6</v>
      </c>
      <c r="C9" s="4" t="s">
        <v>7</v>
      </c>
      <c r="D9" s="5"/>
    </row>
    <row r="10" spans="1:4" ht="12.75">
      <c r="A10" s="6">
        <v>1</v>
      </c>
      <c r="B10" s="6">
        <v>2</v>
      </c>
      <c r="C10" s="6">
        <v>3</v>
      </c>
      <c r="D10" s="7">
        <v>4</v>
      </c>
    </row>
    <row r="11" spans="1:4" ht="12.75">
      <c r="A11" s="8" t="s">
        <v>8</v>
      </c>
      <c r="B11" s="9"/>
      <c r="C11" s="177" t="s">
        <v>172</v>
      </c>
      <c r="D11" s="10"/>
    </row>
    <row r="12" spans="1:4" ht="12.75">
      <c r="A12" s="8" t="s">
        <v>10</v>
      </c>
      <c r="B12" s="9"/>
      <c r="C12" s="177" t="s">
        <v>173</v>
      </c>
      <c r="D12" s="10"/>
    </row>
    <row r="13" spans="1:4" ht="12.75">
      <c r="A13" s="8" t="s">
        <v>12</v>
      </c>
      <c r="B13" s="9"/>
      <c r="C13" s="177" t="s">
        <v>174</v>
      </c>
      <c r="D13" s="10"/>
    </row>
    <row r="14" spans="1:4" ht="31.5" customHeight="1">
      <c r="A14" s="259" t="s">
        <v>14</v>
      </c>
      <c r="B14" s="259"/>
      <c r="C14" s="259"/>
      <c r="D14" s="259"/>
    </row>
    <row r="15" spans="1:5" ht="25.5">
      <c r="A15" s="11" t="s">
        <v>15</v>
      </c>
      <c r="B15" s="12" t="s">
        <v>16</v>
      </c>
      <c r="C15" s="13">
        <v>8962.13</v>
      </c>
      <c r="D15" s="14"/>
      <c r="E15" s="132"/>
    </row>
    <row r="16" spans="1:5" ht="15">
      <c r="A16" s="8" t="s">
        <v>17</v>
      </c>
      <c r="B16" s="12" t="s">
        <v>16</v>
      </c>
      <c r="C16" s="13">
        <v>0</v>
      </c>
      <c r="D16" s="14"/>
      <c r="E16" s="132"/>
    </row>
    <row r="17" spans="1:5" ht="15">
      <c r="A17" s="8" t="s">
        <v>18</v>
      </c>
      <c r="B17" s="12" t="s">
        <v>16</v>
      </c>
      <c r="C17" s="15">
        <v>1661</v>
      </c>
      <c r="D17" s="16"/>
      <c r="E17" s="132" t="e">
        <f>B17/12/1022.6</f>
        <v>#VALUE!</v>
      </c>
    </row>
    <row r="18" spans="1:5" ht="31.5" customHeight="1">
      <c r="A18" s="17" t="s">
        <v>19</v>
      </c>
      <c r="B18" s="12" t="s">
        <v>16</v>
      </c>
      <c r="C18" s="15">
        <v>13259.28</v>
      </c>
      <c r="D18" s="16"/>
      <c r="E18" s="133">
        <f>C18-C20</f>
        <v>10867.92</v>
      </c>
    </row>
    <row r="19" spans="1:5" ht="15">
      <c r="A19" s="8" t="s">
        <v>20</v>
      </c>
      <c r="B19" s="12" t="s">
        <v>16</v>
      </c>
      <c r="C19" s="15">
        <f>C18-C20-C21</f>
        <v>5902.032000000001</v>
      </c>
      <c r="D19" s="16"/>
      <c r="E19" s="133">
        <f>E18-E39</f>
        <v>-0.003999999998995918</v>
      </c>
    </row>
    <row r="20" spans="1:5" ht="15">
      <c r="A20" s="8" t="s">
        <v>21</v>
      </c>
      <c r="B20" s="12" t="s">
        <v>16</v>
      </c>
      <c r="C20" s="15">
        <f>(1.7+3)*6*84.8</f>
        <v>2391.36</v>
      </c>
      <c r="D20" s="16"/>
      <c r="E20" s="134"/>
    </row>
    <row r="21" spans="1:5" ht="15">
      <c r="A21" s="8" t="s">
        <v>22</v>
      </c>
      <c r="B21" s="12" t="s">
        <v>16</v>
      </c>
      <c r="C21" s="20">
        <f>84.8*4.88*12</f>
        <v>4965.887999999999</v>
      </c>
      <c r="D21" s="16"/>
      <c r="E21" s="132"/>
    </row>
    <row r="22" spans="1:5" ht="15">
      <c r="A22" s="21" t="s">
        <v>23</v>
      </c>
      <c r="B22" s="12" t="s">
        <v>16</v>
      </c>
      <c r="C22" s="15">
        <f>C23+C24+C25+C26+C27</f>
        <v>13818.821616000001</v>
      </c>
      <c r="D22" s="16" t="s">
        <v>24</v>
      </c>
      <c r="E22" s="133" t="e">
        <f>B24+B25+B26+B27+B28</f>
        <v>#VALUE!</v>
      </c>
    </row>
    <row r="23" spans="1:5" ht="15">
      <c r="A23" s="8" t="s">
        <v>25</v>
      </c>
      <c r="B23" s="12" t="s">
        <v>16</v>
      </c>
      <c r="C23" s="15">
        <f>C18*1.0422</f>
        <v>13818.821616000001</v>
      </c>
      <c r="D23" s="16"/>
      <c r="E23" s="132"/>
    </row>
    <row r="24" spans="1:8" ht="15">
      <c r="A24" s="8" t="s">
        <v>26</v>
      </c>
      <c r="B24" s="12" t="s">
        <v>16</v>
      </c>
      <c r="C24" s="15">
        <v>0</v>
      </c>
      <c r="D24" s="22">
        <v>65.21</v>
      </c>
      <c r="E24" s="134" t="e">
        <f>B24/#REF!*1</f>
        <v>#VALUE!</v>
      </c>
      <c r="H24" s="1" t="s">
        <v>27</v>
      </c>
    </row>
    <row r="25" spans="1:5" ht="15">
      <c r="A25" s="8" t="s">
        <v>28</v>
      </c>
      <c r="B25" s="12" t="s">
        <v>16</v>
      </c>
      <c r="C25" s="15">
        <v>0</v>
      </c>
      <c r="D25" s="22">
        <v>119.63</v>
      </c>
      <c r="E25" s="134" t="e">
        <f>B25/#REF!*1</f>
        <v>#VALUE!</v>
      </c>
    </row>
    <row r="26" spans="1:5" ht="15">
      <c r="A26" s="9" t="s">
        <v>29</v>
      </c>
      <c r="B26" s="12" t="s">
        <v>16</v>
      </c>
      <c r="C26" s="15">
        <v>0</v>
      </c>
      <c r="D26" s="22"/>
      <c r="E26" s="134" t="e">
        <f>B26/#REF!*1</f>
        <v>#VALUE!</v>
      </c>
    </row>
    <row r="27" spans="1:5" ht="16.5" customHeight="1">
      <c r="A27" s="116" t="s">
        <v>112</v>
      </c>
      <c r="B27" s="12" t="s">
        <v>16</v>
      </c>
      <c r="C27" s="15">
        <v>0</v>
      </c>
      <c r="D27" s="22">
        <v>139.18</v>
      </c>
      <c r="E27" s="134" t="e">
        <f>B27/#REF!*1</f>
        <v>#VALUE!</v>
      </c>
    </row>
    <row r="28" spans="1:5" ht="15">
      <c r="A28" s="8" t="s">
        <v>31</v>
      </c>
      <c r="B28" s="12" t="s">
        <v>16</v>
      </c>
      <c r="C28" s="15">
        <f>C15+C22</f>
        <v>22780.951616</v>
      </c>
      <c r="D28" s="16" t="s">
        <v>32</v>
      </c>
      <c r="E28" s="134" t="e">
        <f>B28/#REF!*1</f>
        <v>#VALUE!</v>
      </c>
    </row>
    <row r="29" spans="1:5" ht="35.25" customHeight="1">
      <c r="A29" s="260" t="s">
        <v>33</v>
      </c>
      <c r="B29" s="260"/>
      <c r="C29" s="260"/>
      <c r="D29" s="260"/>
      <c r="E29" s="132"/>
    </row>
    <row r="30" spans="1:5" ht="60">
      <c r="A30" s="23" t="s">
        <v>34</v>
      </c>
      <c r="B30" s="24" t="s">
        <v>35</v>
      </c>
      <c r="C30" s="25" t="s">
        <v>36</v>
      </c>
      <c r="D30" s="26" t="s">
        <v>37</v>
      </c>
      <c r="E30" s="132"/>
    </row>
    <row r="31" spans="1:5" ht="15">
      <c r="A31" s="27" t="s">
        <v>38</v>
      </c>
      <c r="B31" s="28" t="s">
        <v>39</v>
      </c>
      <c r="C31" s="29" t="s">
        <v>40</v>
      </c>
      <c r="D31" s="107">
        <f>(0.17+0.16)*6*84.8</f>
        <v>167.904</v>
      </c>
      <c r="E31" s="132"/>
    </row>
    <row r="32" spans="1:5" ht="15">
      <c r="A32" s="31" t="s">
        <v>41</v>
      </c>
      <c r="B32" s="32" t="s">
        <v>42</v>
      </c>
      <c r="C32" s="33" t="s">
        <v>43</v>
      </c>
      <c r="D32" s="108">
        <f>(3.03+3)*6*84.8</f>
        <v>3068.0639999999994</v>
      </c>
      <c r="E32" s="132"/>
    </row>
    <row r="33" spans="1:5" ht="15">
      <c r="A33" s="31" t="s">
        <v>44</v>
      </c>
      <c r="B33" s="32" t="s">
        <v>39</v>
      </c>
      <c r="C33" s="33" t="s">
        <v>45</v>
      </c>
      <c r="D33" s="108">
        <f>(0.2+0.21)*6*84.8</f>
        <v>208.608</v>
      </c>
      <c r="E33" s="132"/>
    </row>
    <row r="34" spans="1:5" ht="15">
      <c r="A34" s="204" t="s">
        <v>255</v>
      </c>
      <c r="B34" s="32" t="s">
        <v>39</v>
      </c>
      <c r="C34" s="33" t="s">
        <v>40</v>
      </c>
      <c r="D34" s="108">
        <f>(0.23+0.22)*6*84.8</f>
        <v>228.96</v>
      </c>
      <c r="E34" s="132"/>
    </row>
    <row r="35" spans="1:5" ht="15">
      <c r="A35" s="31" t="s">
        <v>90</v>
      </c>
      <c r="B35" s="106" t="s">
        <v>91</v>
      </c>
      <c r="C35" s="33" t="s">
        <v>40</v>
      </c>
      <c r="D35" s="108">
        <f>(1.33+1.27)*6*84.8</f>
        <v>1322.88</v>
      </c>
      <c r="E35" s="132"/>
    </row>
    <row r="36" spans="1:5" ht="15">
      <c r="A36" s="31" t="s">
        <v>46</v>
      </c>
      <c r="B36" s="32" t="s">
        <v>42</v>
      </c>
      <c r="C36" s="35" t="s">
        <v>47</v>
      </c>
      <c r="D36" s="108">
        <f>4.88*84.8*12</f>
        <v>4965.887999999999</v>
      </c>
      <c r="E36" s="132"/>
    </row>
    <row r="37" spans="1:14" s="1" customFormat="1" ht="45">
      <c r="A37" s="36" t="s">
        <v>48</v>
      </c>
      <c r="B37" s="37" t="s">
        <v>49</v>
      </c>
      <c r="C37" s="29"/>
      <c r="D37" s="210">
        <v>0</v>
      </c>
      <c r="E37" s="132"/>
      <c r="K37"/>
      <c r="L37"/>
      <c r="M37"/>
      <c r="N37"/>
    </row>
    <row r="38" spans="1:14" s="1" customFormat="1" ht="45">
      <c r="A38" s="109" t="s">
        <v>95</v>
      </c>
      <c r="B38" s="110" t="s">
        <v>96</v>
      </c>
      <c r="C38" s="29" t="s">
        <v>97</v>
      </c>
      <c r="D38" s="112">
        <v>905.62</v>
      </c>
      <c r="E38" s="132"/>
      <c r="K38"/>
      <c r="L38"/>
      <c r="M38"/>
      <c r="N38"/>
    </row>
    <row r="39" spans="1:14" s="1" customFormat="1" ht="15.75">
      <c r="A39" s="40" t="s">
        <v>50</v>
      </c>
      <c r="B39" s="41"/>
      <c r="C39" s="42"/>
      <c r="D39" s="113">
        <f>SUM(D31:D38)</f>
        <v>10867.923999999999</v>
      </c>
      <c r="E39" s="135">
        <f>D39-D37</f>
        <v>10867.923999999999</v>
      </c>
      <c r="K39"/>
      <c r="L39"/>
      <c r="M39"/>
      <c r="N39"/>
    </row>
    <row r="40" spans="1:14" s="1" customFormat="1" ht="15">
      <c r="A40" s="43" t="s">
        <v>51</v>
      </c>
      <c r="B40" s="44" t="s">
        <v>16</v>
      </c>
      <c r="C40" s="45"/>
      <c r="D40" s="46">
        <f>C15+C20*1.0422-D37</f>
        <v>11454.405391999999</v>
      </c>
      <c r="E40" s="135"/>
      <c r="K40"/>
      <c r="L40"/>
      <c r="M40"/>
      <c r="N40"/>
    </row>
    <row r="41" spans="1:14" s="1" customFormat="1" ht="15">
      <c r="A41" s="48" t="s">
        <v>17</v>
      </c>
      <c r="B41" s="49" t="s">
        <v>16</v>
      </c>
      <c r="C41" s="33"/>
      <c r="D41" s="14"/>
      <c r="E41" s="132"/>
      <c r="K41"/>
      <c r="L41"/>
      <c r="M41"/>
      <c r="N41"/>
    </row>
    <row r="42" spans="1:14" s="1" customFormat="1" ht="15">
      <c r="A42" s="48" t="s">
        <v>18</v>
      </c>
      <c r="B42" s="49" t="s">
        <v>16</v>
      </c>
      <c r="C42" s="33"/>
      <c r="D42" s="14">
        <v>0</v>
      </c>
      <c r="E42" s="132"/>
      <c r="K42"/>
      <c r="L42"/>
      <c r="M42"/>
      <c r="N42"/>
    </row>
    <row r="43" spans="1:14" s="1" customFormat="1" ht="24" customHeight="1">
      <c r="A43" s="261" t="s">
        <v>52</v>
      </c>
      <c r="B43" s="261"/>
      <c r="C43" s="261"/>
      <c r="D43" s="261"/>
      <c r="E43" s="132"/>
      <c r="K43"/>
      <c r="L43"/>
      <c r="M43"/>
      <c r="N43"/>
    </row>
    <row r="44" spans="1:14" s="1" customFormat="1" ht="15">
      <c r="A44" s="48" t="s">
        <v>53</v>
      </c>
      <c r="B44" s="32" t="s">
        <v>54</v>
      </c>
      <c r="C44" s="33">
        <v>0</v>
      </c>
      <c r="D44" s="14">
        <v>0</v>
      </c>
      <c r="E44" s="132"/>
      <c r="K44"/>
      <c r="L44"/>
      <c r="M44"/>
      <c r="N44"/>
    </row>
    <row r="45" spans="1:14" s="1" customFormat="1" ht="15">
      <c r="A45" s="48" t="s">
        <v>55</v>
      </c>
      <c r="B45" s="32" t="s">
        <v>54</v>
      </c>
      <c r="C45" s="33">
        <v>0</v>
      </c>
      <c r="D45" s="14">
        <v>0</v>
      </c>
      <c r="E45" s="132"/>
      <c r="K45"/>
      <c r="L45"/>
      <c r="M45"/>
      <c r="N45"/>
    </row>
    <row r="46" spans="1:14" s="1" customFormat="1" ht="15">
      <c r="A46" s="50" t="s">
        <v>56</v>
      </c>
      <c r="B46" s="32" t="s">
        <v>54</v>
      </c>
      <c r="C46" s="33">
        <v>0</v>
      </c>
      <c r="D46" s="14">
        <v>0</v>
      </c>
      <c r="E46" s="132"/>
      <c r="K46"/>
      <c r="L46"/>
      <c r="M46"/>
      <c r="N46"/>
    </row>
    <row r="47" spans="1:14" s="1" customFormat="1" ht="15">
      <c r="A47" s="48" t="s">
        <v>57</v>
      </c>
      <c r="B47" s="32" t="s">
        <v>16</v>
      </c>
      <c r="C47" s="33">
        <v>0</v>
      </c>
      <c r="D47" s="14">
        <v>0</v>
      </c>
      <c r="E47" s="132"/>
      <c r="K47"/>
      <c r="L47"/>
      <c r="M47"/>
      <c r="N47"/>
    </row>
    <row r="48" spans="1:5" ht="20.25" customHeight="1">
      <c r="A48" s="262" t="s">
        <v>58</v>
      </c>
      <c r="B48" s="262"/>
      <c r="C48" s="262"/>
      <c r="D48" s="262"/>
      <c r="E48" s="132"/>
    </row>
    <row r="49" spans="1:5" ht="25.5">
      <c r="A49" s="50" t="s">
        <v>59</v>
      </c>
      <c r="B49" s="32" t="s">
        <v>16</v>
      </c>
      <c r="C49" s="33"/>
      <c r="D49" s="14">
        <v>0</v>
      </c>
      <c r="E49" s="132"/>
    </row>
    <row r="50" spans="1:5" ht="15">
      <c r="A50" s="48" t="s">
        <v>17</v>
      </c>
      <c r="B50" s="32" t="s">
        <v>16</v>
      </c>
      <c r="C50" s="33"/>
      <c r="D50" s="14">
        <v>0</v>
      </c>
      <c r="E50" s="132"/>
    </row>
    <row r="51" spans="1:8" ht="15">
      <c r="A51" s="48" t="s">
        <v>18</v>
      </c>
      <c r="B51" s="32" t="s">
        <v>16</v>
      </c>
      <c r="C51" s="33"/>
      <c r="D51" s="51">
        <v>1754.08</v>
      </c>
      <c r="E51" s="132"/>
      <c r="H51" s="52"/>
    </row>
    <row r="52" spans="1:5" ht="25.5">
      <c r="A52" s="53" t="s">
        <v>60</v>
      </c>
      <c r="B52" s="32" t="s">
        <v>16</v>
      </c>
      <c r="C52" s="54"/>
      <c r="D52" s="55">
        <v>0</v>
      </c>
      <c r="E52" s="132"/>
    </row>
    <row r="53" spans="1:10" ht="17.25" customHeight="1">
      <c r="A53" s="56" t="s">
        <v>17</v>
      </c>
      <c r="B53" s="32" t="s">
        <v>16</v>
      </c>
      <c r="C53" s="33"/>
      <c r="D53" s="14">
        <v>0</v>
      </c>
      <c r="E53" s="132"/>
      <c r="I53" s="52"/>
      <c r="J53" s="52"/>
    </row>
    <row r="54" spans="1:14" ht="15">
      <c r="A54" s="59" t="s">
        <v>18</v>
      </c>
      <c r="B54" s="32" t="s">
        <v>16</v>
      </c>
      <c r="C54" s="60"/>
      <c r="D54" s="61">
        <v>0</v>
      </c>
      <c r="E54" s="132"/>
      <c r="H54" s="1" t="s">
        <v>32</v>
      </c>
      <c r="I54" s="63"/>
      <c r="J54" s="63"/>
      <c r="K54" s="64"/>
      <c r="L54" s="64"/>
      <c r="M54" s="64"/>
      <c r="N54" s="64"/>
    </row>
    <row r="55" spans="1:14" ht="18" customHeight="1">
      <c r="A55" s="263" t="s">
        <v>61</v>
      </c>
      <c r="B55" s="263"/>
      <c r="C55" s="263"/>
      <c r="D55" s="263"/>
      <c r="E55" s="137"/>
      <c r="F55" s="66"/>
      <c r="G55" s="67"/>
      <c r="I55" s="68"/>
      <c r="J55" s="68"/>
      <c r="K55" s="69"/>
      <c r="L55" s="69"/>
      <c r="M55" s="69"/>
      <c r="N55" s="69"/>
    </row>
    <row r="56" spans="1:14" ht="47.25">
      <c r="A56" s="70" t="s">
        <v>62</v>
      </c>
      <c r="B56" s="71" t="s">
        <v>63</v>
      </c>
      <c r="C56" s="72" t="s">
        <v>64</v>
      </c>
      <c r="D56" s="73" t="s">
        <v>65</v>
      </c>
      <c r="E56" s="137"/>
      <c r="F56" s="66"/>
      <c r="G56" s="67"/>
      <c r="I56" s="68"/>
      <c r="J56" s="74"/>
      <c r="K56" s="69"/>
      <c r="L56" s="69"/>
      <c r="M56" s="69"/>
      <c r="N56" s="69"/>
    </row>
    <row r="57" spans="1:14" ht="15">
      <c r="A57" s="75" t="s">
        <v>66</v>
      </c>
      <c r="B57" s="117">
        <v>14384.7</v>
      </c>
      <c r="C57" s="118">
        <f>B57*1.0422</f>
        <v>14991.73434</v>
      </c>
      <c r="D57" s="119">
        <f>B57-C57</f>
        <v>-607.0343400000002</v>
      </c>
      <c r="E57" s="140"/>
      <c r="F57" s="66"/>
      <c r="G57" s="67"/>
      <c r="I57" s="68"/>
      <c r="J57" s="68"/>
      <c r="K57" s="69"/>
      <c r="L57" s="69"/>
      <c r="M57" s="69"/>
      <c r="N57" s="69"/>
    </row>
    <row r="58" spans="1:14" ht="15">
      <c r="A58" s="75" t="s">
        <v>67</v>
      </c>
      <c r="B58" s="117">
        <v>0</v>
      </c>
      <c r="C58" s="118">
        <f>B58*0.9934</f>
        <v>0</v>
      </c>
      <c r="D58" s="119">
        <f>B58-C58</f>
        <v>0</v>
      </c>
      <c r="E58" s="137"/>
      <c r="F58" s="66"/>
      <c r="G58" s="67"/>
      <c r="I58" s="68"/>
      <c r="J58" s="68"/>
      <c r="K58" s="69"/>
      <c r="L58" s="69"/>
      <c r="M58" s="69"/>
      <c r="N58" s="69"/>
    </row>
    <row r="59" spans="1:14" ht="15">
      <c r="A59" s="75" t="s">
        <v>68</v>
      </c>
      <c r="B59" s="120">
        <v>0</v>
      </c>
      <c r="C59" s="118">
        <f>B59*0.9934</f>
        <v>0</v>
      </c>
      <c r="D59" s="119">
        <f>B59-C59</f>
        <v>0</v>
      </c>
      <c r="E59" s="137">
        <f>(2.07+1.8)*6*2301.2-0.37*2301.2*6</f>
        <v>48325.2</v>
      </c>
      <c r="F59" s="81"/>
      <c r="G59" s="82"/>
      <c r="H59" s="65"/>
      <c r="I59" s="68"/>
      <c r="J59" s="68"/>
      <c r="K59" s="69"/>
      <c r="L59" s="69"/>
      <c r="M59" s="69"/>
      <c r="N59" s="69"/>
    </row>
    <row r="60" spans="1:14" ht="15.75" thickBot="1">
      <c r="A60" s="150" t="s">
        <v>69</v>
      </c>
      <c r="B60" s="151">
        <v>0</v>
      </c>
      <c r="C60" s="152">
        <f>B60*0.9934</f>
        <v>0</v>
      </c>
      <c r="D60" s="153">
        <f>B60-C60</f>
        <v>0</v>
      </c>
      <c r="E60" s="137"/>
      <c r="F60" s="81"/>
      <c r="G60" s="82"/>
      <c r="I60" s="68"/>
      <c r="J60" s="68"/>
      <c r="K60" s="69"/>
      <c r="L60" s="69"/>
      <c r="M60" s="69"/>
      <c r="N60" s="69"/>
    </row>
    <row r="61" spans="1:14" ht="63">
      <c r="A61" s="154" t="s">
        <v>70</v>
      </c>
      <c r="B61" s="155" t="s">
        <v>71</v>
      </c>
      <c r="C61" s="156" t="s">
        <v>72</v>
      </c>
      <c r="D61" s="157" t="s">
        <v>73</v>
      </c>
      <c r="E61" s="137"/>
      <c r="F61" s="81"/>
      <c r="H61" s="68"/>
      <c r="I61" s="68"/>
      <c r="J61" s="68"/>
      <c r="K61" s="69"/>
      <c r="L61" s="69"/>
      <c r="M61" s="69"/>
      <c r="N61" s="69"/>
    </row>
    <row r="62" spans="1:14" ht="15">
      <c r="A62" s="158" t="s">
        <v>66</v>
      </c>
      <c r="B62" s="124">
        <f>B57</f>
        <v>14384.7</v>
      </c>
      <c r="C62" s="125">
        <f>C57</f>
        <v>14991.73434</v>
      </c>
      <c r="D62" s="159">
        <f>B62-C62</f>
        <v>-607.0343400000002</v>
      </c>
      <c r="E62" s="137"/>
      <c r="F62" s="81"/>
      <c r="H62" s="68"/>
      <c r="I62" s="68"/>
      <c r="J62" s="68" t="s">
        <v>32</v>
      </c>
      <c r="K62" s="69"/>
      <c r="L62" s="69"/>
      <c r="M62" s="69"/>
      <c r="N62" s="69"/>
    </row>
    <row r="63" spans="1:14" ht="15">
      <c r="A63" s="158" t="s">
        <v>67</v>
      </c>
      <c r="B63" s="124">
        <v>0</v>
      </c>
      <c r="C63" s="125">
        <v>0</v>
      </c>
      <c r="D63" s="159">
        <f>B63-C63</f>
        <v>0</v>
      </c>
      <c r="E63" s="137"/>
      <c r="F63" s="81"/>
      <c r="H63" s="68"/>
      <c r="I63" s="68"/>
      <c r="J63" s="68"/>
      <c r="K63" s="69"/>
      <c r="L63" s="69"/>
      <c r="M63" s="69"/>
      <c r="N63" s="69"/>
    </row>
    <row r="64" spans="1:14" ht="15">
      <c r="A64" s="158" t="s">
        <v>68</v>
      </c>
      <c r="B64" s="124">
        <v>0</v>
      </c>
      <c r="C64" s="125">
        <v>0</v>
      </c>
      <c r="D64" s="159">
        <f>B64-C64</f>
        <v>0</v>
      </c>
      <c r="E64" s="137"/>
      <c r="F64" s="81"/>
      <c r="H64" s="68"/>
      <c r="I64" s="68"/>
      <c r="J64" s="68"/>
      <c r="K64" s="69"/>
      <c r="L64" s="69"/>
      <c r="M64" s="69"/>
      <c r="N64" s="69"/>
    </row>
    <row r="65" spans="1:14" ht="15">
      <c r="A65" s="158" t="s">
        <v>74</v>
      </c>
      <c r="B65" s="124">
        <v>0</v>
      </c>
      <c r="C65" s="125">
        <v>0</v>
      </c>
      <c r="D65" s="159">
        <f>B65-C65</f>
        <v>0</v>
      </c>
      <c r="E65" s="65"/>
      <c r="F65" s="81"/>
      <c r="H65" s="68"/>
      <c r="I65" s="68"/>
      <c r="J65" s="68"/>
      <c r="K65" s="69"/>
      <c r="L65" s="69"/>
      <c r="M65" s="69"/>
      <c r="N65" s="69"/>
    </row>
    <row r="66" spans="1:14" ht="15.75" thickBot="1">
      <c r="A66" s="160" t="s">
        <v>69</v>
      </c>
      <c r="B66" s="161">
        <v>0</v>
      </c>
      <c r="C66" s="162">
        <v>0</v>
      </c>
      <c r="D66" s="163">
        <f>B66-C66</f>
        <v>0</v>
      </c>
      <c r="E66" s="65"/>
      <c r="F66" s="81"/>
      <c r="H66" s="68" t="s">
        <v>32</v>
      </c>
      <c r="I66" s="68"/>
      <c r="J66" s="68"/>
      <c r="K66" s="69"/>
      <c r="L66" s="69"/>
      <c r="M66" s="69"/>
      <c r="N66" s="69"/>
    </row>
    <row r="67" spans="1:14" ht="15">
      <c r="A67" s="91"/>
      <c r="B67" s="87"/>
      <c r="C67" s="92"/>
      <c r="D67" s="93"/>
      <c r="E67" s="65"/>
      <c r="F67" s="81"/>
      <c r="H67" s="68"/>
      <c r="I67" s="68"/>
      <c r="J67" s="68"/>
      <c r="K67" s="69"/>
      <c r="L67" s="69"/>
      <c r="M67" s="69"/>
      <c r="N67" s="69"/>
    </row>
    <row r="68" spans="1:14" ht="25.5">
      <c r="A68" s="94" t="s">
        <v>75</v>
      </c>
      <c r="B68" s="87" t="s">
        <v>16</v>
      </c>
      <c r="C68" s="95"/>
      <c r="D68" s="96"/>
      <c r="E68" s="65"/>
      <c r="F68" s="81"/>
      <c r="H68" s="68"/>
      <c r="I68" s="68"/>
      <c r="J68" s="68" t="s">
        <v>32</v>
      </c>
      <c r="K68" s="69"/>
      <c r="L68" s="69"/>
      <c r="M68" s="69"/>
      <c r="N68" s="69"/>
    </row>
    <row r="69" spans="1:14" ht="17.25" customHeight="1">
      <c r="A69" s="264" t="s">
        <v>76</v>
      </c>
      <c r="B69" s="264"/>
      <c r="C69" s="264"/>
      <c r="D69" s="264"/>
      <c r="E69" s="97" t="e">
        <f>D69+B19</f>
        <v>#VALUE!</v>
      </c>
      <c r="F69" s="68"/>
      <c r="H69" s="98" t="e">
        <f>E69-B18</f>
        <v>#VALUE!</v>
      </c>
      <c r="I69" s="68"/>
      <c r="J69" s="68"/>
      <c r="K69" s="69"/>
      <c r="L69" s="69"/>
      <c r="M69" s="69"/>
      <c r="N69" s="69"/>
    </row>
    <row r="70" spans="1:5" ht="21" customHeight="1">
      <c r="A70" s="99" t="s">
        <v>53</v>
      </c>
      <c r="B70" s="99" t="s">
        <v>54</v>
      </c>
      <c r="C70" s="100">
        <v>0</v>
      </c>
      <c r="D70" s="101"/>
      <c r="E70" s="102"/>
    </row>
    <row r="71" spans="1:5" ht="21" customHeight="1">
      <c r="A71" s="99" t="s">
        <v>55</v>
      </c>
      <c r="B71" s="99" t="s">
        <v>54</v>
      </c>
      <c r="C71" s="99">
        <v>0</v>
      </c>
      <c r="D71" s="101"/>
      <c r="E71" s="102"/>
    </row>
    <row r="72" spans="1:5" ht="18" customHeight="1">
      <c r="A72" s="99" t="s">
        <v>56</v>
      </c>
      <c r="B72" s="99" t="s">
        <v>54</v>
      </c>
      <c r="C72" s="99">
        <v>0</v>
      </c>
      <c r="D72" s="101"/>
      <c r="E72" s="102"/>
    </row>
    <row r="73" spans="1:5" ht="16.5" customHeight="1">
      <c r="A73" s="99" t="s">
        <v>57</v>
      </c>
      <c r="B73" s="99" t="s">
        <v>16</v>
      </c>
      <c r="C73" s="99">
        <v>0</v>
      </c>
      <c r="D73" s="101"/>
      <c r="E73" s="102"/>
    </row>
    <row r="74" spans="1:5" ht="15.75" customHeight="1">
      <c r="A74" s="258" t="s">
        <v>77</v>
      </c>
      <c r="B74" s="258"/>
      <c r="C74" s="258"/>
      <c r="D74" s="258"/>
      <c r="E74" s="102"/>
    </row>
    <row r="75" spans="1:5" ht="18.75" customHeight="1">
      <c r="A75" s="99" t="s">
        <v>78</v>
      </c>
      <c r="B75" s="99" t="s">
        <v>54</v>
      </c>
      <c r="C75" s="99">
        <v>1</v>
      </c>
      <c r="D75" s="101"/>
      <c r="E75" s="102"/>
    </row>
    <row r="76" spans="1:5" ht="21.75" customHeight="1">
      <c r="A76" s="99" t="s">
        <v>79</v>
      </c>
      <c r="B76" s="56" t="s">
        <v>54</v>
      </c>
      <c r="C76" s="56">
        <v>0</v>
      </c>
      <c r="D76" s="101"/>
      <c r="E76" s="102"/>
    </row>
    <row r="77" spans="1:5" ht="36" customHeight="1">
      <c r="A77" s="103" t="s">
        <v>80</v>
      </c>
      <c r="B77" s="99" t="s">
        <v>16</v>
      </c>
      <c r="C77" s="99">
        <v>0</v>
      </c>
      <c r="D77" s="101"/>
      <c r="E77" s="102"/>
    </row>
    <row r="78" spans="1:4" ht="15">
      <c r="A78" s="69"/>
      <c r="B78" s="69"/>
      <c r="C78" s="69"/>
      <c r="D78" s="104"/>
    </row>
    <row r="79" spans="1:14" s="1" customFormat="1" ht="12.75">
      <c r="A79"/>
      <c r="B79"/>
      <c r="C79"/>
      <c r="D79"/>
      <c r="H79" s="1" t="s">
        <v>32</v>
      </c>
      <c r="K79"/>
      <c r="L79"/>
      <c r="M79"/>
      <c r="N79"/>
    </row>
    <row r="80" spans="1:14" s="1" customFormat="1" ht="12.75">
      <c r="A80" t="s">
        <v>81</v>
      </c>
      <c r="B80"/>
      <c r="C80"/>
      <c r="D80"/>
      <c r="K80"/>
      <c r="L80"/>
      <c r="M80"/>
      <c r="N80"/>
    </row>
    <row r="81" spans="1:14" s="1" customFormat="1" ht="12.75">
      <c r="A81"/>
      <c r="B81"/>
      <c r="C81"/>
      <c r="D81"/>
      <c r="H81" s="1" t="s">
        <v>32</v>
      </c>
      <c r="K81"/>
      <c r="L81"/>
      <c r="M81"/>
      <c r="N81"/>
    </row>
    <row r="82" spans="1:14" s="1" customFormat="1" ht="12.75">
      <c r="A82" t="s">
        <v>82</v>
      </c>
      <c r="B82"/>
      <c r="C82"/>
      <c r="D82"/>
      <c r="K82"/>
      <c r="L82"/>
      <c r="M82"/>
      <c r="N82"/>
    </row>
    <row r="86" spans="1:14" s="1" customFormat="1" ht="12.75">
      <c r="A86"/>
      <c r="B86"/>
      <c r="C86"/>
      <c r="D86"/>
      <c r="E86" s="1" t="s">
        <v>32</v>
      </c>
      <c r="K86"/>
      <c r="L86"/>
      <c r="M86"/>
      <c r="N86"/>
    </row>
  </sheetData>
  <sheetProtection selectLockedCells="1" selectUnlockedCells="1"/>
  <mergeCells count="13">
    <mergeCell ref="A1:D1"/>
    <mergeCell ref="A2:D2"/>
    <mergeCell ref="A3:D3"/>
    <mergeCell ref="A4:D4"/>
    <mergeCell ref="A5:D5"/>
    <mergeCell ref="A7:D7"/>
    <mergeCell ref="A74:D74"/>
    <mergeCell ref="A14:D14"/>
    <mergeCell ref="A29:D29"/>
    <mergeCell ref="A43:D43"/>
    <mergeCell ref="A48:D48"/>
    <mergeCell ref="A55:D55"/>
    <mergeCell ref="A69:D69"/>
  </mergeCells>
  <printOptions/>
  <pageMargins left="0.5597222222222222" right="0.7875" top="0.34097222222222223" bottom="0.7875" header="0.5118055555555555" footer="0.5118055555555555"/>
  <pageSetup fitToHeight="3" fitToWidth="2" horizontalDpi="300" verticalDpi="300" orientation="landscape" paperSize="12" r:id="rId1"/>
</worksheet>
</file>

<file path=xl/worksheets/sheet4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6"/>
  <sheetViews>
    <sheetView zoomScale="80" zoomScaleNormal="80" zoomScalePageLayoutView="0" workbookViewId="0" topLeftCell="A1">
      <selection activeCell="E15" sqref="E15:E60"/>
    </sheetView>
  </sheetViews>
  <sheetFormatPr defaultColWidth="11.57421875" defaultRowHeight="12.75"/>
  <cols>
    <col min="1" max="1" width="63.28125" style="0" customWidth="1"/>
    <col min="2" max="2" width="20.28125" style="0" customWidth="1"/>
    <col min="3" max="3" width="31.421875" style="0" customWidth="1"/>
    <col min="4" max="4" width="27.57421875" style="0" customWidth="1"/>
    <col min="5" max="5" width="16.8515625" style="1" customWidth="1"/>
    <col min="6" max="7" width="0" style="1" hidden="1" customWidth="1"/>
    <col min="8" max="8" width="11.57421875" style="1" customWidth="1"/>
    <col min="9" max="9" width="5.28125" style="1" customWidth="1"/>
    <col min="10" max="10" width="30.00390625" style="1" customWidth="1"/>
    <col min="11" max="12" width="23.28125" style="0" customWidth="1"/>
    <col min="13" max="13" width="6.57421875" style="0" customWidth="1"/>
    <col min="14" max="14" width="7.00390625" style="0" customWidth="1"/>
  </cols>
  <sheetData>
    <row r="1" spans="1:4" ht="18">
      <c r="A1" s="265" t="s">
        <v>0</v>
      </c>
      <c r="B1" s="265"/>
      <c r="C1" s="265"/>
      <c r="D1" s="265"/>
    </row>
    <row r="2" spans="1:4" ht="15.75">
      <c r="A2" s="266" t="s">
        <v>1</v>
      </c>
      <c r="B2" s="266"/>
      <c r="C2" s="266"/>
      <c r="D2" s="266"/>
    </row>
    <row r="3" spans="1:4" ht="15.75">
      <c r="A3" s="266" t="s">
        <v>2</v>
      </c>
      <c r="B3" s="266"/>
      <c r="C3" s="266"/>
      <c r="D3" s="266"/>
    </row>
    <row r="4" spans="1:4" ht="12.75">
      <c r="A4" s="267" t="s">
        <v>146</v>
      </c>
      <c r="B4" s="267"/>
      <c r="C4" s="267"/>
      <c r="D4" s="267"/>
    </row>
    <row r="5" spans="1:4" ht="12.75">
      <c r="A5" s="268" t="s">
        <v>171</v>
      </c>
      <c r="B5" s="267"/>
      <c r="C5" s="267"/>
      <c r="D5" s="267"/>
    </row>
    <row r="6" ht="23.25" customHeight="1">
      <c r="A6" s="2"/>
    </row>
    <row r="7" spans="1:4" ht="18" customHeight="1">
      <c r="A7" s="269" t="s">
        <v>4</v>
      </c>
      <c r="B7" s="269"/>
      <c r="C7" s="269"/>
      <c r="D7" s="269"/>
    </row>
    <row r="8" spans="1:3" ht="12.75">
      <c r="A8" s="2" t="s">
        <v>263</v>
      </c>
      <c r="C8" s="3"/>
    </row>
    <row r="9" spans="1:4" ht="12.75">
      <c r="A9" s="4" t="s">
        <v>5</v>
      </c>
      <c r="B9" s="4" t="s">
        <v>6</v>
      </c>
      <c r="C9" s="4" t="s">
        <v>7</v>
      </c>
      <c r="D9" s="5"/>
    </row>
    <row r="10" spans="1:4" ht="12.75">
      <c r="A10" s="6">
        <v>1</v>
      </c>
      <c r="B10" s="6">
        <v>2</v>
      </c>
      <c r="C10" s="6">
        <v>3</v>
      </c>
      <c r="D10" s="7">
        <v>4</v>
      </c>
    </row>
    <row r="11" spans="1:5" ht="12.75">
      <c r="A11" s="8" t="s">
        <v>8</v>
      </c>
      <c r="B11" s="9"/>
      <c r="C11" s="177" t="s">
        <v>172</v>
      </c>
      <c r="D11" s="10"/>
      <c r="E11" s="132"/>
    </row>
    <row r="12" spans="1:5" ht="12.75">
      <c r="A12" s="8" t="s">
        <v>10</v>
      </c>
      <c r="B12" s="9"/>
      <c r="C12" s="177" t="s">
        <v>173</v>
      </c>
      <c r="D12" s="10"/>
      <c r="E12" s="132"/>
    </row>
    <row r="13" spans="1:5" ht="12.75">
      <c r="A13" s="8" t="s">
        <v>12</v>
      </c>
      <c r="B13" s="9"/>
      <c r="C13" s="177" t="s">
        <v>174</v>
      </c>
      <c r="D13" s="10"/>
      <c r="E13" s="132"/>
    </row>
    <row r="14" spans="1:5" ht="31.5" customHeight="1">
      <c r="A14" s="259" t="s">
        <v>14</v>
      </c>
      <c r="B14" s="259"/>
      <c r="C14" s="259"/>
      <c r="D14" s="259"/>
      <c r="E14" s="132"/>
    </row>
    <row r="15" spans="1:5" ht="25.5">
      <c r="A15" s="11" t="s">
        <v>15</v>
      </c>
      <c r="B15" s="12" t="s">
        <v>16</v>
      </c>
      <c r="C15" s="13">
        <v>6235.13</v>
      </c>
      <c r="D15" s="14"/>
      <c r="E15" s="132"/>
    </row>
    <row r="16" spans="1:5" ht="15">
      <c r="A16" s="8" t="s">
        <v>17</v>
      </c>
      <c r="B16" s="12" t="s">
        <v>16</v>
      </c>
      <c r="C16" s="13">
        <v>0</v>
      </c>
      <c r="D16" s="14"/>
      <c r="E16" s="132"/>
    </row>
    <row r="17" spans="1:5" ht="15">
      <c r="A17" s="8" t="s">
        <v>18</v>
      </c>
      <c r="B17" s="12" t="s">
        <v>16</v>
      </c>
      <c r="C17" s="15">
        <v>1657.73</v>
      </c>
      <c r="D17" s="16"/>
      <c r="E17" s="132" t="e">
        <f>B17/12/1022.6</f>
        <v>#VALUE!</v>
      </c>
    </row>
    <row r="18" spans="1:5" ht="31.5" customHeight="1">
      <c r="A18" s="17" t="s">
        <v>19</v>
      </c>
      <c r="B18" s="12" t="s">
        <v>16</v>
      </c>
      <c r="C18" s="15">
        <v>22913.94</v>
      </c>
      <c r="D18" s="16"/>
      <c r="E18" s="133">
        <f>C18-C20</f>
        <v>16743.156</v>
      </c>
    </row>
    <row r="19" spans="1:5" ht="15">
      <c r="A19" s="8" t="s">
        <v>20</v>
      </c>
      <c r="B19" s="12" t="s">
        <v>16</v>
      </c>
      <c r="C19" s="15">
        <f>C18-C20-C21</f>
        <v>8685.3</v>
      </c>
      <c r="D19" s="16"/>
      <c r="E19" s="133">
        <f>E18-E39</f>
        <v>-0.0020000000004074536</v>
      </c>
    </row>
    <row r="20" spans="1:5" ht="15">
      <c r="A20" s="8" t="s">
        <v>21</v>
      </c>
      <c r="B20" s="12" t="s">
        <v>16</v>
      </c>
      <c r="C20" s="15">
        <f>(1.58+1.86)*6*137.6+3330.72</f>
        <v>6170.784</v>
      </c>
      <c r="D20" s="16"/>
      <c r="E20" s="134"/>
    </row>
    <row r="21" spans="1:5" ht="15">
      <c r="A21" s="8" t="s">
        <v>22</v>
      </c>
      <c r="B21" s="12" t="s">
        <v>16</v>
      </c>
      <c r="C21" s="20">
        <f>137.6*4.88*12</f>
        <v>8057.856</v>
      </c>
      <c r="D21" s="16"/>
      <c r="E21" s="132"/>
    </row>
    <row r="22" spans="1:5" ht="15">
      <c r="A22" s="21" t="s">
        <v>23</v>
      </c>
      <c r="B22" s="12" t="s">
        <v>16</v>
      </c>
      <c r="C22" s="15">
        <f>C23+C24+C25+C26+C27</f>
        <v>18610.702068</v>
      </c>
      <c r="D22" s="16" t="s">
        <v>24</v>
      </c>
      <c r="E22" s="133" t="e">
        <f>B24+B25+B26+B27+B28</f>
        <v>#VALUE!</v>
      </c>
    </row>
    <row r="23" spans="1:5" ht="15">
      <c r="A23" s="8" t="s">
        <v>25</v>
      </c>
      <c r="B23" s="12" t="s">
        <v>16</v>
      </c>
      <c r="C23" s="15">
        <f>C18*0.8122</f>
        <v>18610.702068</v>
      </c>
      <c r="D23" s="16"/>
      <c r="E23" s="132"/>
    </row>
    <row r="24" spans="1:8" ht="15">
      <c r="A24" s="8" t="s">
        <v>26</v>
      </c>
      <c r="B24" s="12" t="s">
        <v>16</v>
      </c>
      <c r="C24" s="15">
        <v>0</v>
      </c>
      <c r="D24" s="22">
        <v>65.21</v>
      </c>
      <c r="E24" s="134" t="e">
        <f>B24/#REF!*1</f>
        <v>#VALUE!</v>
      </c>
      <c r="H24" s="1" t="s">
        <v>27</v>
      </c>
    </row>
    <row r="25" spans="1:5" ht="15">
      <c r="A25" s="8" t="s">
        <v>28</v>
      </c>
      <c r="B25" s="12" t="s">
        <v>16</v>
      </c>
      <c r="C25" s="15">
        <v>0</v>
      </c>
      <c r="D25" s="22">
        <v>119.63</v>
      </c>
      <c r="E25" s="134" t="e">
        <f>B25/#REF!*1</f>
        <v>#VALUE!</v>
      </c>
    </row>
    <row r="26" spans="1:5" ht="15">
      <c r="A26" s="9" t="s">
        <v>29</v>
      </c>
      <c r="B26" s="12" t="s">
        <v>16</v>
      </c>
      <c r="C26" s="15">
        <v>0</v>
      </c>
      <c r="D26" s="22"/>
      <c r="E26" s="134" t="e">
        <f>B26/#REF!*1</f>
        <v>#VALUE!</v>
      </c>
    </row>
    <row r="27" spans="1:5" ht="16.5" customHeight="1">
      <c r="A27" s="116" t="s">
        <v>112</v>
      </c>
      <c r="B27" s="12" t="s">
        <v>16</v>
      </c>
      <c r="C27" s="15">
        <v>0</v>
      </c>
      <c r="D27" s="22">
        <v>139.18</v>
      </c>
      <c r="E27" s="134" t="e">
        <f>B27/#REF!*1</f>
        <v>#VALUE!</v>
      </c>
    </row>
    <row r="28" spans="1:5" ht="15">
      <c r="A28" s="8" t="s">
        <v>31</v>
      </c>
      <c r="B28" s="12" t="s">
        <v>16</v>
      </c>
      <c r="C28" s="15">
        <f>C15+C22</f>
        <v>24845.832068</v>
      </c>
      <c r="D28" s="16" t="s">
        <v>32</v>
      </c>
      <c r="E28" s="134" t="e">
        <f>B28/#REF!*1</f>
        <v>#VALUE!</v>
      </c>
    </row>
    <row r="29" spans="1:5" ht="35.25" customHeight="1">
      <c r="A29" s="260" t="s">
        <v>33</v>
      </c>
      <c r="B29" s="260"/>
      <c r="C29" s="260"/>
      <c r="D29" s="260"/>
      <c r="E29" s="132"/>
    </row>
    <row r="30" spans="1:5" ht="60">
      <c r="A30" s="23" t="s">
        <v>34</v>
      </c>
      <c r="B30" s="24" t="s">
        <v>35</v>
      </c>
      <c r="C30" s="25" t="s">
        <v>36</v>
      </c>
      <c r="D30" s="26" t="s">
        <v>37</v>
      </c>
      <c r="E30" s="132"/>
    </row>
    <row r="31" spans="1:5" ht="15">
      <c r="A31" s="27" t="s">
        <v>38</v>
      </c>
      <c r="B31" s="28" t="s">
        <v>39</v>
      </c>
      <c r="C31" s="29" t="s">
        <v>40</v>
      </c>
      <c r="D31" s="107">
        <f>(0.17+0.16)*6*137.6</f>
        <v>272.448</v>
      </c>
      <c r="E31" s="132"/>
    </row>
    <row r="32" spans="1:5" ht="15">
      <c r="A32" s="31" t="s">
        <v>41</v>
      </c>
      <c r="B32" s="32" t="s">
        <v>42</v>
      </c>
      <c r="C32" s="33" t="s">
        <v>43</v>
      </c>
      <c r="D32" s="34">
        <f>(3.03+3)*6*137.6</f>
        <v>4978.367999999999</v>
      </c>
      <c r="E32" s="132"/>
    </row>
    <row r="33" spans="1:5" ht="15">
      <c r="A33" s="31" t="s">
        <v>44</v>
      </c>
      <c r="B33" s="32" t="s">
        <v>39</v>
      </c>
      <c r="C33" s="33" t="s">
        <v>45</v>
      </c>
      <c r="D33" s="108">
        <f>(0.2+0.21)*6*137.6</f>
        <v>338.496</v>
      </c>
      <c r="E33" s="132"/>
    </row>
    <row r="34" spans="1:5" ht="15">
      <c r="A34" s="204" t="s">
        <v>253</v>
      </c>
      <c r="B34" s="32" t="s">
        <v>39</v>
      </c>
      <c r="C34" s="33" t="s">
        <v>40</v>
      </c>
      <c r="D34" s="108">
        <f>(0.23+0.22)*6*137.6</f>
        <v>371.52</v>
      </c>
      <c r="E34" s="132"/>
    </row>
    <row r="35" spans="1:5" ht="15">
      <c r="A35" s="31" t="s">
        <v>90</v>
      </c>
      <c r="B35" s="106" t="s">
        <v>91</v>
      </c>
      <c r="C35" s="33" t="s">
        <v>40</v>
      </c>
      <c r="D35" s="108">
        <f>(1.33+1.27)*6*137.6</f>
        <v>2146.56</v>
      </c>
      <c r="E35" s="132"/>
    </row>
    <row r="36" spans="1:5" ht="15">
      <c r="A36" s="31" t="s">
        <v>46</v>
      </c>
      <c r="B36" s="32" t="s">
        <v>42</v>
      </c>
      <c r="C36" s="35" t="s">
        <v>47</v>
      </c>
      <c r="D36" s="108">
        <f>4.88*137.6*12</f>
        <v>8057.856</v>
      </c>
      <c r="E36" s="132"/>
    </row>
    <row r="37" spans="1:14" s="1" customFormat="1" ht="45">
      <c r="A37" s="36" t="s">
        <v>48</v>
      </c>
      <c r="B37" s="37" t="s">
        <v>49</v>
      </c>
      <c r="C37" s="29"/>
      <c r="D37" s="39">
        <v>0</v>
      </c>
      <c r="E37" s="132"/>
      <c r="K37"/>
      <c r="L37"/>
      <c r="M37"/>
      <c r="N37"/>
    </row>
    <row r="38" spans="1:14" s="1" customFormat="1" ht="45">
      <c r="A38" s="109" t="s">
        <v>95</v>
      </c>
      <c r="B38" s="110" t="s">
        <v>96</v>
      </c>
      <c r="C38" s="29" t="s">
        <v>97</v>
      </c>
      <c r="D38" s="112">
        <v>577.91</v>
      </c>
      <c r="E38" s="132"/>
      <c r="K38"/>
      <c r="L38"/>
      <c r="M38"/>
      <c r="N38"/>
    </row>
    <row r="39" spans="1:14" s="1" customFormat="1" ht="15.75">
      <c r="A39" s="40" t="s">
        <v>50</v>
      </c>
      <c r="B39" s="41"/>
      <c r="C39" s="42"/>
      <c r="D39" s="113">
        <f>SUM(D31:D38)</f>
        <v>16743.158</v>
      </c>
      <c r="E39" s="135">
        <f>D39-D37</f>
        <v>16743.158</v>
      </c>
      <c r="K39"/>
      <c r="L39"/>
      <c r="M39"/>
      <c r="N39"/>
    </row>
    <row r="40" spans="1:14" s="1" customFormat="1" ht="15">
      <c r="A40" s="43" t="s">
        <v>51</v>
      </c>
      <c r="B40" s="44" t="s">
        <v>16</v>
      </c>
      <c r="C40" s="45"/>
      <c r="D40" s="46">
        <f>C15+C20*0.8122-D37</f>
        <v>11247.0407648</v>
      </c>
      <c r="E40" s="135"/>
      <c r="K40"/>
      <c r="L40"/>
      <c r="M40"/>
      <c r="N40"/>
    </row>
    <row r="41" spans="1:14" s="1" customFormat="1" ht="15">
      <c r="A41" s="48" t="s">
        <v>17</v>
      </c>
      <c r="B41" s="49" t="s">
        <v>16</v>
      </c>
      <c r="C41" s="33"/>
      <c r="D41" s="14"/>
      <c r="E41" s="132"/>
      <c r="K41"/>
      <c r="L41"/>
      <c r="M41"/>
      <c r="N41"/>
    </row>
    <row r="42" spans="1:14" s="1" customFormat="1" ht="15">
      <c r="A42" s="48" t="s">
        <v>18</v>
      </c>
      <c r="B42" s="49" t="s">
        <v>16</v>
      </c>
      <c r="C42" s="33"/>
      <c r="D42" s="14">
        <v>4599.78</v>
      </c>
      <c r="E42" s="132"/>
      <c r="K42"/>
      <c r="L42"/>
      <c r="M42"/>
      <c r="N42"/>
    </row>
    <row r="43" spans="1:14" s="1" customFormat="1" ht="24" customHeight="1">
      <c r="A43" s="261" t="s">
        <v>52</v>
      </c>
      <c r="B43" s="261"/>
      <c r="C43" s="261"/>
      <c r="D43" s="261"/>
      <c r="E43" s="132"/>
      <c r="K43"/>
      <c r="L43"/>
      <c r="M43"/>
      <c r="N43"/>
    </row>
    <row r="44" spans="1:14" s="1" customFormat="1" ht="15">
      <c r="A44" s="48" t="s">
        <v>53</v>
      </c>
      <c r="B44" s="32" t="s">
        <v>54</v>
      </c>
      <c r="C44" s="33">
        <v>0</v>
      </c>
      <c r="D44" s="14">
        <v>0</v>
      </c>
      <c r="E44" s="132"/>
      <c r="K44"/>
      <c r="L44"/>
      <c r="M44"/>
      <c r="N44"/>
    </row>
    <row r="45" spans="1:14" s="1" customFormat="1" ht="15">
      <c r="A45" s="48" t="s">
        <v>55</v>
      </c>
      <c r="B45" s="32" t="s">
        <v>54</v>
      </c>
      <c r="C45" s="33">
        <v>0</v>
      </c>
      <c r="D45" s="14">
        <v>0</v>
      </c>
      <c r="E45" s="132"/>
      <c r="K45"/>
      <c r="L45"/>
      <c r="M45"/>
      <c r="N45"/>
    </row>
    <row r="46" spans="1:14" s="1" customFormat="1" ht="15">
      <c r="A46" s="50" t="s">
        <v>56</v>
      </c>
      <c r="B46" s="32" t="s">
        <v>54</v>
      </c>
      <c r="C46" s="33">
        <v>0</v>
      </c>
      <c r="D46" s="14">
        <v>0</v>
      </c>
      <c r="E46" s="132"/>
      <c r="K46"/>
      <c r="L46"/>
      <c r="M46"/>
      <c r="N46"/>
    </row>
    <row r="47" spans="1:14" s="1" customFormat="1" ht="15">
      <c r="A47" s="48" t="s">
        <v>57</v>
      </c>
      <c r="B47" s="32" t="s">
        <v>16</v>
      </c>
      <c r="C47" s="33">
        <v>0</v>
      </c>
      <c r="D47" s="14">
        <v>0</v>
      </c>
      <c r="E47" s="132"/>
      <c r="K47"/>
      <c r="L47"/>
      <c r="M47"/>
      <c r="N47"/>
    </row>
    <row r="48" spans="1:5" ht="20.25" customHeight="1">
      <c r="A48" s="262" t="s">
        <v>58</v>
      </c>
      <c r="B48" s="262"/>
      <c r="C48" s="262"/>
      <c r="D48" s="262"/>
      <c r="E48" s="132"/>
    </row>
    <row r="49" spans="1:5" ht="25.5">
      <c r="A49" s="50" t="s">
        <v>59</v>
      </c>
      <c r="B49" s="32" t="s">
        <v>16</v>
      </c>
      <c r="C49" s="33"/>
      <c r="D49" s="14">
        <v>0</v>
      </c>
      <c r="E49" s="132"/>
    </row>
    <row r="50" spans="1:5" ht="15">
      <c r="A50" s="48" t="s">
        <v>17</v>
      </c>
      <c r="B50" s="32" t="s">
        <v>16</v>
      </c>
      <c r="C50" s="33"/>
      <c r="D50" s="14">
        <v>0</v>
      </c>
      <c r="E50" s="132"/>
    </row>
    <row r="51" spans="1:8" ht="15">
      <c r="A51" s="48" t="s">
        <v>18</v>
      </c>
      <c r="B51" s="32" t="s">
        <v>16</v>
      </c>
      <c r="C51" s="33"/>
      <c r="D51" s="51">
        <f>D54-D57-D58-D59-D60</f>
        <v>147.88137400000096</v>
      </c>
      <c r="E51" s="132"/>
      <c r="H51" s="52"/>
    </row>
    <row r="52" spans="1:5" ht="25.5">
      <c r="A52" s="53" t="s">
        <v>60</v>
      </c>
      <c r="B52" s="32" t="s">
        <v>16</v>
      </c>
      <c r="C52" s="54"/>
      <c r="D52" s="55">
        <v>0</v>
      </c>
      <c r="E52" s="132"/>
    </row>
    <row r="53" spans="1:10" ht="17.25" customHeight="1">
      <c r="A53" s="56" t="s">
        <v>17</v>
      </c>
      <c r="B53" s="32" t="s">
        <v>16</v>
      </c>
      <c r="C53" s="33"/>
      <c r="D53" s="14">
        <v>0</v>
      </c>
      <c r="E53" s="132"/>
      <c r="I53" s="52"/>
      <c r="J53" s="52"/>
    </row>
    <row r="54" spans="1:14" ht="15">
      <c r="A54" s="59" t="s">
        <v>18</v>
      </c>
      <c r="B54" s="32" t="s">
        <v>16</v>
      </c>
      <c r="C54" s="60"/>
      <c r="D54" s="61">
        <v>2293.81</v>
      </c>
      <c r="E54" s="132"/>
      <c r="H54" s="1" t="s">
        <v>32</v>
      </c>
      <c r="I54" s="63"/>
      <c r="J54" s="63"/>
      <c r="K54" s="64"/>
      <c r="L54" s="64"/>
      <c r="M54" s="64"/>
      <c r="N54" s="64"/>
    </row>
    <row r="55" spans="1:14" ht="18" customHeight="1">
      <c r="A55" s="263" t="s">
        <v>61</v>
      </c>
      <c r="B55" s="263"/>
      <c r="C55" s="263"/>
      <c r="D55" s="263"/>
      <c r="E55" s="137"/>
      <c r="F55" s="66"/>
      <c r="G55" s="67"/>
      <c r="I55" s="68"/>
      <c r="J55" s="68"/>
      <c r="K55" s="69"/>
      <c r="L55" s="69"/>
      <c r="M55" s="69"/>
      <c r="N55" s="69"/>
    </row>
    <row r="56" spans="1:14" ht="47.25">
      <c r="A56" s="70" t="s">
        <v>62</v>
      </c>
      <c r="B56" s="71" t="s">
        <v>63</v>
      </c>
      <c r="C56" s="72" t="s">
        <v>64</v>
      </c>
      <c r="D56" s="73" t="s">
        <v>65</v>
      </c>
      <c r="E56" s="137"/>
      <c r="F56" s="66"/>
      <c r="G56" s="67"/>
      <c r="I56" s="68"/>
      <c r="J56" s="74"/>
      <c r="K56" s="69"/>
      <c r="L56" s="69"/>
      <c r="M56" s="69"/>
      <c r="N56" s="69"/>
    </row>
    <row r="57" spans="1:14" ht="15">
      <c r="A57" s="75" t="s">
        <v>66</v>
      </c>
      <c r="B57" s="117">
        <v>11426.67</v>
      </c>
      <c r="C57" s="118">
        <f>B57*0.8122</f>
        <v>9280.741374000001</v>
      </c>
      <c r="D57" s="119">
        <f>B57-C57</f>
        <v>2145.928625999999</v>
      </c>
      <c r="E57" s="140"/>
      <c r="F57" s="66"/>
      <c r="G57" s="67"/>
      <c r="I57" s="68"/>
      <c r="J57" s="68"/>
      <c r="K57" s="69"/>
      <c r="L57" s="69"/>
      <c r="M57" s="69"/>
      <c r="N57" s="69"/>
    </row>
    <row r="58" spans="1:14" ht="15">
      <c r="A58" s="75" t="s">
        <v>67</v>
      </c>
      <c r="B58" s="117">
        <v>0</v>
      </c>
      <c r="C58" s="118">
        <f>B58*0.9934</f>
        <v>0</v>
      </c>
      <c r="D58" s="119">
        <f>B58-C58</f>
        <v>0</v>
      </c>
      <c r="E58" s="137"/>
      <c r="F58" s="66"/>
      <c r="G58" s="67"/>
      <c r="I58" s="68"/>
      <c r="J58" s="68"/>
      <c r="K58" s="69"/>
      <c r="L58" s="69"/>
      <c r="M58" s="69"/>
      <c r="N58" s="69"/>
    </row>
    <row r="59" spans="1:14" ht="15">
      <c r="A59" s="75" t="s">
        <v>68</v>
      </c>
      <c r="B59" s="120">
        <v>0</v>
      </c>
      <c r="C59" s="118">
        <f>B59*0.9934</f>
        <v>0</v>
      </c>
      <c r="D59" s="119">
        <f>B59-C59</f>
        <v>0</v>
      </c>
      <c r="E59" s="137">
        <f>(2.07+1.8)*6*2301.2-0.37*2301.2*6</f>
        <v>48325.2</v>
      </c>
      <c r="F59" s="81"/>
      <c r="G59" s="82"/>
      <c r="H59" s="65"/>
      <c r="I59" s="68"/>
      <c r="J59" s="68"/>
      <c r="K59" s="69"/>
      <c r="L59" s="69"/>
      <c r="M59" s="69"/>
      <c r="N59" s="69"/>
    </row>
    <row r="60" spans="1:14" ht="15.75" thickBot="1">
      <c r="A60" s="150" t="s">
        <v>69</v>
      </c>
      <c r="B60" s="151">
        <v>0</v>
      </c>
      <c r="C60" s="152">
        <f>B60*0.9934</f>
        <v>0</v>
      </c>
      <c r="D60" s="153">
        <f>B60-C60</f>
        <v>0</v>
      </c>
      <c r="E60" s="137"/>
      <c r="F60" s="81"/>
      <c r="G60" s="82"/>
      <c r="I60" s="68"/>
      <c r="J60" s="68"/>
      <c r="K60" s="69"/>
      <c r="L60" s="69"/>
      <c r="M60" s="69"/>
      <c r="N60" s="69"/>
    </row>
    <row r="61" spans="1:14" ht="63">
      <c r="A61" s="154" t="s">
        <v>70</v>
      </c>
      <c r="B61" s="155" t="s">
        <v>71</v>
      </c>
      <c r="C61" s="156" t="s">
        <v>72</v>
      </c>
      <c r="D61" s="157" t="s">
        <v>73</v>
      </c>
      <c r="E61" s="137"/>
      <c r="F61" s="81"/>
      <c r="H61" s="68"/>
      <c r="I61" s="68"/>
      <c r="J61" s="68"/>
      <c r="K61" s="69"/>
      <c r="L61" s="69"/>
      <c r="M61" s="69"/>
      <c r="N61" s="69"/>
    </row>
    <row r="62" spans="1:14" ht="15">
      <c r="A62" s="158" t="s">
        <v>66</v>
      </c>
      <c r="B62" s="124">
        <v>11426.67</v>
      </c>
      <c r="C62" s="125">
        <f>B62*0.9627</f>
        <v>11000.455209</v>
      </c>
      <c r="D62" s="159">
        <f>B62-C62</f>
        <v>426.21479100000033</v>
      </c>
      <c r="E62" s="137"/>
      <c r="F62" s="81"/>
      <c r="H62" s="68"/>
      <c r="I62" s="68"/>
      <c r="J62" s="68" t="s">
        <v>32</v>
      </c>
      <c r="K62" s="69"/>
      <c r="L62" s="69"/>
      <c r="M62" s="69"/>
      <c r="N62" s="69"/>
    </row>
    <row r="63" spans="1:14" ht="15">
      <c r="A63" s="158" t="s">
        <v>67</v>
      </c>
      <c r="B63" s="124">
        <v>0</v>
      </c>
      <c r="C63" s="125">
        <v>0</v>
      </c>
      <c r="D63" s="159">
        <f>B63-C63</f>
        <v>0</v>
      </c>
      <c r="E63" s="137"/>
      <c r="F63" s="81"/>
      <c r="H63" s="68"/>
      <c r="I63" s="68"/>
      <c r="J63" s="68"/>
      <c r="K63" s="69"/>
      <c r="L63" s="69"/>
      <c r="M63" s="69"/>
      <c r="N63" s="69"/>
    </row>
    <row r="64" spans="1:14" ht="15">
      <c r="A64" s="158" t="s">
        <v>68</v>
      </c>
      <c r="B64" s="124">
        <v>0</v>
      </c>
      <c r="C64" s="125">
        <v>0</v>
      </c>
      <c r="D64" s="159">
        <f>B64-C64</f>
        <v>0</v>
      </c>
      <c r="E64" s="137"/>
      <c r="F64" s="81"/>
      <c r="H64" s="68"/>
      <c r="I64" s="68"/>
      <c r="J64" s="68"/>
      <c r="K64" s="69"/>
      <c r="L64" s="69"/>
      <c r="M64" s="69"/>
      <c r="N64" s="69"/>
    </row>
    <row r="65" spans="1:14" ht="15">
      <c r="A65" s="158" t="s">
        <v>74</v>
      </c>
      <c r="B65" s="124">
        <v>0</v>
      </c>
      <c r="C65" s="125">
        <v>0</v>
      </c>
      <c r="D65" s="159">
        <f>B65-C65</f>
        <v>0</v>
      </c>
      <c r="E65" s="65"/>
      <c r="F65" s="81"/>
      <c r="H65" s="68"/>
      <c r="I65" s="68"/>
      <c r="J65" s="68"/>
      <c r="K65" s="69"/>
      <c r="L65" s="69"/>
      <c r="M65" s="69"/>
      <c r="N65" s="69"/>
    </row>
    <row r="66" spans="1:14" ht="15.75" thickBot="1">
      <c r="A66" s="160" t="s">
        <v>69</v>
      </c>
      <c r="B66" s="161">
        <v>0</v>
      </c>
      <c r="C66" s="162">
        <v>0</v>
      </c>
      <c r="D66" s="163">
        <f>B66-C66</f>
        <v>0</v>
      </c>
      <c r="E66" s="65"/>
      <c r="F66" s="81"/>
      <c r="H66" s="68" t="s">
        <v>32</v>
      </c>
      <c r="I66" s="68"/>
      <c r="J66" s="68"/>
      <c r="K66" s="69"/>
      <c r="L66" s="69"/>
      <c r="M66" s="69"/>
      <c r="N66" s="69"/>
    </row>
    <row r="67" spans="1:14" ht="15">
      <c r="A67" s="91"/>
      <c r="B67" s="87"/>
      <c r="C67" s="92"/>
      <c r="D67" s="93"/>
      <c r="E67" s="65"/>
      <c r="F67" s="81"/>
      <c r="H67" s="68"/>
      <c r="I67" s="68"/>
      <c r="J67" s="68"/>
      <c r="K67" s="69"/>
      <c r="L67" s="69"/>
      <c r="M67" s="69"/>
      <c r="N67" s="69"/>
    </row>
    <row r="68" spans="1:14" ht="25.5">
      <c r="A68" s="94" t="s">
        <v>75</v>
      </c>
      <c r="B68" s="87" t="s">
        <v>16</v>
      </c>
      <c r="C68" s="95"/>
      <c r="D68" s="96"/>
      <c r="E68" s="65"/>
      <c r="F68" s="81"/>
      <c r="H68" s="68"/>
      <c r="I68" s="68"/>
      <c r="J68" s="68" t="s">
        <v>32</v>
      </c>
      <c r="K68" s="69"/>
      <c r="L68" s="69"/>
      <c r="M68" s="69"/>
      <c r="N68" s="69"/>
    </row>
    <row r="69" spans="1:14" ht="17.25" customHeight="1">
      <c r="A69" s="264" t="s">
        <v>76</v>
      </c>
      <c r="B69" s="264"/>
      <c r="C69" s="264"/>
      <c r="D69" s="264"/>
      <c r="E69" s="97" t="e">
        <f>D69+B19</f>
        <v>#VALUE!</v>
      </c>
      <c r="F69" s="68"/>
      <c r="H69" s="98" t="e">
        <f>E69-B18</f>
        <v>#VALUE!</v>
      </c>
      <c r="I69" s="68"/>
      <c r="J69" s="68"/>
      <c r="K69" s="69"/>
      <c r="L69" s="69"/>
      <c r="M69" s="69"/>
      <c r="N69" s="69"/>
    </row>
    <row r="70" spans="1:5" ht="21" customHeight="1">
      <c r="A70" s="99" t="s">
        <v>53</v>
      </c>
      <c r="B70" s="99" t="s">
        <v>54</v>
      </c>
      <c r="C70" s="100">
        <v>0</v>
      </c>
      <c r="D70" s="101"/>
      <c r="E70" s="102"/>
    </row>
    <row r="71" spans="1:5" ht="21" customHeight="1">
      <c r="A71" s="99" t="s">
        <v>55</v>
      </c>
      <c r="B71" s="99" t="s">
        <v>54</v>
      </c>
      <c r="C71" s="99">
        <v>0</v>
      </c>
      <c r="D71" s="101"/>
      <c r="E71" s="102"/>
    </row>
    <row r="72" spans="1:5" ht="18" customHeight="1">
      <c r="A72" s="99" t="s">
        <v>56</v>
      </c>
      <c r="B72" s="99" t="s">
        <v>54</v>
      </c>
      <c r="C72" s="99">
        <v>0</v>
      </c>
      <c r="D72" s="101"/>
      <c r="E72" s="102"/>
    </row>
    <row r="73" spans="1:5" ht="16.5" customHeight="1">
      <c r="A73" s="99" t="s">
        <v>57</v>
      </c>
      <c r="B73" s="99" t="s">
        <v>16</v>
      </c>
      <c r="C73" s="99">
        <v>0</v>
      </c>
      <c r="D73" s="101"/>
      <c r="E73" s="102"/>
    </row>
    <row r="74" spans="1:5" ht="15.75" customHeight="1">
      <c r="A74" s="258" t="s">
        <v>77</v>
      </c>
      <c r="B74" s="258"/>
      <c r="C74" s="258"/>
      <c r="D74" s="258"/>
      <c r="E74" s="102"/>
    </row>
    <row r="75" spans="1:5" ht="18.75" customHeight="1">
      <c r="A75" s="99" t="s">
        <v>78</v>
      </c>
      <c r="B75" s="99" t="s">
        <v>54</v>
      </c>
      <c r="C75" s="99">
        <v>0</v>
      </c>
      <c r="D75" s="101"/>
      <c r="E75" s="102"/>
    </row>
    <row r="76" spans="1:5" ht="21.75" customHeight="1">
      <c r="A76" s="99" t="s">
        <v>79</v>
      </c>
      <c r="B76" s="56" t="s">
        <v>54</v>
      </c>
      <c r="C76" s="56">
        <v>0</v>
      </c>
      <c r="D76" s="101"/>
      <c r="E76" s="102"/>
    </row>
    <row r="77" spans="1:5" ht="36" customHeight="1">
      <c r="A77" s="103" t="s">
        <v>80</v>
      </c>
      <c r="B77" s="99" t="s">
        <v>16</v>
      </c>
      <c r="C77" s="99">
        <v>1572</v>
      </c>
      <c r="D77" s="101"/>
      <c r="E77" s="102"/>
    </row>
    <row r="78" spans="1:4" ht="15">
      <c r="A78" s="69"/>
      <c r="B78" s="69"/>
      <c r="C78" s="69"/>
      <c r="D78" s="104"/>
    </row>
    <row r="79" spans="1:14" s="1" customFormat="1" ht="12.75">
      <c r="A79"/>
      <c r="B79"/>
      <c r="C79"/>
      <c r="D79"/>
      <c r="H79" s="1" t="s">
        <v>32</v>
      </c>
      <c r="K79"/>
      <c r="L79"/>
      <c r="M79"/>
      <c r="N79"/>
    </row>
    <row r="80" spans="1:14" s="1" customFormat="1" ht="12.75">
      <c r="A80" t="s">
        <v>81</v>
      </c>
      <c r="B80"/>
      <c r="C80"/>
      <c r="D80"/>
      <c r="K80"/>
      <c r="L80"/>
      <c r="M80"/>
      <c r="N80"/>
    </row>
    <row r="81" spans="1:14" s="1" customFormat="1" ht="12.75">
      <c r="A81"/>
      <c r="B81"/>
      <c r="C81"/>
      <c r="D81"/>
      <c r="H81" s="1" t="s">
        <v>32</v>
      </c>
      <c r="K81"/>
      <c r="L81"/>
      <c r="M81"/>
      <c r="N81"/>
    </row>
    <row r="82" spans="1:14" s="1" customFormat="1" ht="12.75">
      <c r="A82" t="s">
        <v>82</v>
      </c>
      <c r="B82"/>
      <c r="C82"/>
      <c r="D82"/>
      <c r="K82"/>
      <c r="L82"/>
      <c r="M82"/>
      <c r="N82"/>
    </row>
    <row r="86" spans="1:14" s="1" customFormat="1" ht="12.75">
      <c r="A86"/>
      <c r="B86"/>
      <c r="C86"/>
      <c r="D86"/>
      <c r="E86" s="1" t="s">
        <v>32</v>
      </c>
      <c r="K86"/>
      <c r="L86"/>
      <c r="M86"/>
      <c r="N86"/>
    </row>
  </sheetData>
  <sheetProtection selectLockedCells="1" selectUnlockedCells="1"/>
  <mergeCells count="13">
    <mergeCell ref="A1:D1"/>
    <mergeCell ref="A2:D2"/>
    <mergeCell ref="A3:D3"/>
    <mergeCell ref="A4:D4"/>
    <mergeCell ref="A5:D5"/>
    <mergeCell ref="A7:D7"/>
    <mergeCell ref="A74:D74"/>
    <mergeCell ref="A14:D14"/>
    <mergeCell ref="A29:D29"/>
    <mergeCell ref="A43:D43"/>
    <mergeCell ref="A48:D48"/>
    <mergeCell ref="A55:D55"/>
    <mergeCell ref="A69:D69"/>
  </mergeCells>
  <printOptions/>
  <pageMargins left="0.5597222222222222" right="0.7875" top="0.34097222222222223" bottom="0.7875" header="0.5118055555555555" footer="0.5118055555555555"/>
  <pageSetup fitToHeight="3" fitToWidth="2" horizontalDpi="300" verticalDpi="300" orientation="landscape" paperSize="12" r:id="rId1"/>
</worksheet>
</file>

<file path=xl/worksheets/sheet4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6"/>
  <sheetViews>
    <sheetView zoomScale="80" zoomScaleNormal="80" zoomScalePageLayoutView="0" workbookViewId="0" topLeftCell="A25">
      <selection activeCell="E39" sqref="E39:E42"/>
    </sheetView>
  </sheetViews>
  <sheetFormatPr defaultColWidth="11.57421875" defaultRowHeight="12.75"/>
  <cols>
    <col min="1" max="1" width="63.28125" style="0" customWidth="1"/>
    <col min="2" max="2" width="20.28125" style="0" customWidth="1"/>
    <col min="3" max="3" width="31.421875" style="0" customWidth="1"/>
    <col min="4" max="4" width="27.57421875" style="0" customWidth="1"/>
    <col min="5" max="5" width="16.8515625" style="1" customWidth="1"/>
    <col min="6" max="7" width="0" style="1" hidden="1" customWidth="1"/>
    <col min="8" max="8" width="11.57421875" style="1" customWidth="1"/>
    <col min="9" max="9" width="5.28125" style="1" customWidth="1"/>
    <col min="10" max="10" width="30.00390625" style="1" customWidth="1"/>
    <col min="11" max="12" width="23.28125" style="0" customWidth="1"/>
    <col min="13" max="13" width="6.57421875" style="0" customWidth="1"/>
    <col min="14" max="14" width="7.00390625" style="0" customWidth="1"/>
  </cols>
  <sheetData>
    <row r="1" spans="1:4" ht="18">
      <c r="A1" s="265" t="s">
        <v>0</v>
      </c>
      <c r="B1" s="265"/>
      <c r="C1" s="265"/>
      <c r="D1" s="265"/>
    </row>
    <row r="2" spans="1:4" ht="15.75">
      <c r="A2" s="266" t="s">
        <v>1</v>
      </c>
      <c r="B2" s="266"/>
      <c r="C2" s="266"/>
      <c r="D2" s="266"/>
    </row>
    <row r="3" spans="1:4" ht="15.75">
      <c r="A3" s="266" t="s">
        <v>2</v>
      </c>
      <c r="B3" s="266"/>
      <c r="C3" s="266"/>
      <c r="D3" s="266"/>
    </row>
    <row r="4" spans="1:4" ht="12.75">
      <c r="A4" s="267" t="s">
        <v>147</v>
      </c>
      <c r="B4" s="267"/>
      <c r="C4" s="267"/>
      <c r="D4" s="267"/>
    </row>
    <row r="5" spans="1:4" ht="12.75">
      <c r="A5" s="268" t="s">
        <v>171</v>
      </c>
      <c r="B5" s="267"/>
      <c r="C5" s="267"/>
      <c r="D5" s="267"/>
    </row>
    <row r="6" ht="9" customHeight="1">
      <c r="A6" s="2"/>
    </row>
    <row r="7" spans="1:4" ht="18" customHeight="1">
      <c r="A7" s="269" t="s">
        <v>4</v>
      </c>
      <c r="B7" s="269"/>
      <c r="C7" s="269"/>
      <c r="D7" s="269"/>
    </row>
    <row r="8" spans="1:8" ht="12.75">
      <c r="A8" s="2" t="s">
        <v>264</v>
      </c>
      <c r="C8" s="3"/>
      <c r="E8" s="132"/>
      <c r="F8" s="132"/>
      <c r="G8" s="132"/>
      <c r="H8" s="132"/>
    </row>
    <row r="9" spans="1:8" ht="12.75">
      <c r="A9" s="4" t="s">
        <v>5</v>
      </c>
      <c r="B9" s="4" t="s">
        <v>6</v>
      </c>
      <c r="C9" s="4" t="s">
        <v>7</v>
      </c>
      <c r="D9" s="5"/>
      <c r="E9" s="132"/>
      <c r="F9" s="132"/>
      <c r="G9" s="132"/>
      <c r="H9" s="132"/>
    </row>
    <row r="10" spans="1:8" ht="12.75">
      <c r="A10" s="6">
        <v>1</v>
      </c>
      <c r="B10" s="6">
        <v>2</v>
      </c>
      <c r="C10" s="6">
        <v>3</v>
      </c>
      <c r="D10" s="7">
        <v>4</v>
      </c>
      <c r="E10" s="132"/>
      <c r="F10" s="132"/>
      <c r="G10" s="132"/>
      <c r="H10" s="132"/>
    </row>
    <row r="11" spans="1:8" ht="12.75">
      <c r="A11" s="8" t="s">
        <v>8</v>
      </c>
      <c r="B11" s="9"/>
      <c r="C11" s="177" t="s">
        <v>172</v>
      </c>
      <c r="D11" s="10"/>
      <c r="E11" s="132"/>
      <c r="F11" s="132"/>
      <c r="G11" s="132"/>
      <c r="H11" s="132"/>
    </row>
    <row r="12" spans="1:8" ht="12.75">
      <c r="A12" s="8" t="s">
        <v>10</v>
      </c>
      <c r="B12" s="9"/>
      <c r="C12" s="177" t="s">
        <v>173</v>
      </c>
      <c r="D12" s="10"/>
      <c r="E12" s="132"/>
      <c r="F12" s="132"/>
      <c r="G12" s="132"/>
      <c r="H12" s="132"/>
    </row>
    <row r="13" spans="1:8" ht="12.75">
      <c r="A13" s="8" t="s">
        <v>12</v>
      </c>
      <c r="B13" s="9"/>
      <c r="C13" s="177" t="s">
        <v>174</v>
      </c>
      <c r="D13" s="10"/>
      <c r="E13" s="132"/>
      <c r="F13" s="132"/>
      <c r="G13" s="132"/>
      <c r="H13" s="132"/>
    </row>
    <row r="14" spans="1:8" ht="31.5" customHeight="1">
      <c r="A14" s="259" t="s">
        <v>14</v>
      </c>
      <c r="B14" s="259"/>
      <c r="C14" s="259"/>
      <c r="D14" s="259"/>
      <c r="E14" s="132"/>
      <c r="F14" s="132"/>
      <c r="G14" s="132"/>
      <c r="H14" s="132"/>
    </row>
    <row r="15" spans="1:8" ht="25.5">
      <c r="A15" s="11" t="s">
        <v>15</v>
      </c>
      <c r="B15" s="12" t="s">
        <v>16</v>
      </c>
      <c r="C15" s="13">
        <v>6957.83</v>
      </c>
      <c r="D15" s="14"/>
      <c r="E15" s="132"/>
      <c r="F15" s="132"/>
      <c r="G15" s="132"/>
      <c r="H15" s="132"/>
    </row>
    <row r="16" spans="1:8" ht="15">
      <c r="A16" s="8" t="s">
        <v>17</v>
      </c>
      <c r="B16" s="12" t="s">
        <v>16</v>
      </c>
      <c r="C16" s="13">
        <v>0</v>
      </c>
      <c r="D16" s="14"/>
      <c r="E16" s="132"/>
      <c r="F16" s="132"/>
      <c r="G16" s="132"/>
      <c r="H16" s="132"/>
    </row>
    <row r="17" spans="1:8" ht="15">
      <c r="A17" s="8" t="s">
        <v>18</v>
      </c>
      <c r="B17" s="12" t="s">
        <v>16</v>
      </c>
      <c r="C17" s="15">
        <v>3962.06</v>
      </c>
      <c r="D17" s="16"/>
      <c r="E17" s="132" t="e">
        <f>B17/12/1022.6</f>
        <v>#VALUE!</v>
      </c>
      <c r="F17" s="132"/>
      <c r="G17" s="132"/>
      <c r="H17" s="132"/>
    </row>
    <row r="18" spans="1:8" ht="31.5" customHeight="1">
      <c r="A18" s="17" t="s">
        <v>19</v>
      </c>
      <c r="B18" s="12" t="s">
        <v>16</v>
      </c>
      <c r="C18" s="15">
        <v>16554.66</v>
      </c>
      <c r="D18" s="16"/>
      <c r="E18" s="133">
        <f>C18-C20</f>
        <v>14575.17</v>
      </c>
      <c r="F18" s="132"/>
      <c r="G18" s="132"/>
      <c r="H18" s="132"/>
    </row>
    <row r="19" spans="1:8" ht="15">
      <c r="A19" s="8" t="s">
        <v>20</v>
      </c>
      <c r="B19" s="12" t="s">
        <v>16</v>
      </c>
      <c r="C19" s="15">
        <f>C18-C20-C21</f>
        <v>7893.474</v>
      </c>
      <c r="D19" s="16"/>
      <c r="E19" s="133">
        <f>E18-E39</f>
        <v>0</v>
      </c>
      <c r="F19" s="132"/>
      <c r="G19" s="132"/>
      <c r="H19" s="132"/>
    </row>
    <row r="20" spans="1:8" ht="15">
      <c r="A20" s="8" t="s">
        <v>21</v>
      </c>
      <c r="B20" s="12" t="s">
        <v>16</v>
      </c>
      <c r="C20" s="15">
        <f>(0+0.35)*6*114.1+1739.88</f>
        <v>1979.49</v>
      </c>
      <c r="D20" s="16"/>
      <c r="E20" s="134"/>
      <c r="F20" s="132"/>
      <c r="G20" s="132"/>
      <c r="H20" s="132"/>
    </row>
    <row r="21" spans="1:8" ht="15">
      <c r="A21" s="8" t="s">
        <v>22</v>
      </c>
      <c r="B21" s="12" t="s">
        <v>16</v>
      </c>
      <c r="C21" s="20">
        <f>114.1*4.88*12</f>
        <v>6681.696</v>
      </c>
      <c r="D21" s="16"/>
      <c r="E21" s="132"/>
      <c r="F21" s="132"/>
      <c r="G21" s="132"/>
      <c r="H21" s="132"/>
    </row>
    <row r="22" spans="1:8" ht="15">
      <c r="A22" s="21" t="s">
        <v>23</v>
      </c>
      <c r="B22" s="12" t="s">
        <v>16</v>
      </c>
      <c r="C22" s="15">
        <f>C23+C24+C25+C26+C27</f>
        <v>15923.927453999999</v>
      </c>
      <c r="D22" s="16" t="s">
        <v>24</v>
      </c>
      <c r="E22" s="18"/>
      <c r="F22" s="132"/>
      <c r="G22" s="132"/>
      <c r="H22" s="132"/>
    </row>
    <row r="23" spans="1:8" ht="15">
      <c r="A23" s="8" t="s">
        <v>25</v>
      </c>
      <c r="B23" s="12" t="s">
        <v>16</v>
      </c>
      <c r="C23" s="15">
        <f>C18*0.9619</f>
        <v>15923.927453999999</v>
      </c>
      <c r="D23" s="16"/>
      <c r="E23" s="62"/>
      <c r="F23" s="132"/>
      <c r="G23" s="132"/>
      <c r="H23" s="132"/>
    </row>
    <row r="24" spans="1:8" ht="15">
      <c r="A24" s="8" t="s">
        <v>26</v>
      </c>
      <c r="B24" s="12" t="s">
        <v>16</v>
      </c>
      <c r="C24" s="15">
        <v>0</v>
      </c>
      <c r="D24" s="22">
        <v>65.21</v>
      </c>
      <c r="E24" s="185"/>
      <c r="F24" s="132"/>
      <c r="G24" s="132"/>
      <c r="H24" s="132" t="s">
        <v>27</v>
      </c>
    </row>
    <row r="25" spans="1:8" ht="15">
      <c r="A25" s="8" t="s">
        <v>28</v>
      </c>
      <c r="B25" s="12" t="s">
        <v>16</v>
      </c>
      <c r="C25" s="15">
        <v>0</v>
      </c>
      <c r="D25" s="22">
        <v>119.63</v>
      </c>
      <c r="E25" s="134"/>
      <c r="F25" s="132"/>
      <c r="G25" s="132"/>
      <c r="H25" s="132"/>
    </row>
    <row r="26" spans="1:8" ht="15">
      <c r="A26" s="9" t="s">
        <v>29</v>
      </c>
      <c r="B26" s="12" t="s">
        <v>16</v>
      </c>
      <c r="C26" s="15">
        <v>0</v>
      </c>
      <c r="D26" s="22"/>
      <c r="E26" s="134"/>
      <c r="F26" s="132"/>
      <c r="G26" s="132"/>
      <c r="H26" s="132"/>
    </row>
    <row r="27" spans="1:8" ht="16.5" customHeight="1">
      <c r="A27" s="116" t="s">
        <v>112</v>
      </c>
      <c r="B27" s="12" t="s">
        <v>16</v>
      </c>
      <c r="C27" s="15">
        <v>0</v>
      </c>
      <c r="D27" s="22">
        <v>139.18</v>
      </c>
      <c r="E27" s="134" t="e">
        <f>B27/#REF!*1</f>
        <v>#VALUE!</v>
      </c>
      <c r="F27" s="132"/>
      <c r="G27" s="132"/>
      <c r="H27" s="132"/>
    </row>
    <row r="28" spans="1:8" ht="15">
      <c r="A28" s="8" t="s">
        <v>31</v>
      </c>
      <c r="B28" s="12" t="s">
        <v>16</v>
      </c>
      <c r="C28" s="15">
        <f>C15+C22</f>
        <v>22881.757454</v>
      </c>
      <c r="D28" s="16" t="s">
        <v>32</v>
      </c>
      <c r="E28" s="134" t="e">
        <f>B28/#REF!*1</f>
        <v>#VALUE!</v>
      </c>
      <c r="F28" s="132"/>
      <c r="G28" s="132"/>
      <c r="H28" s="132"/>
    </row>
    <row r="29" spans="1:8" ht="35.25" customHeight="1">
      <c r="A29" s="260" t="s">
        <v>33</v>
      </c>
      <c r="B29" s="260"/>
      <c r="C29" s="260"/>
      <c r="D29" s="260"/>
      <c r="E29" s="132"/>
      <c r="F29" s="132"/>
      <c r="G29" s="132"/>
      <c r="H29" s="132"/>
    </row>
    <row r="30" spans="1:8" ht="60">
      <c r="A30" s="23" t="s">
        <v>34</v>
      </c>
      <c r="B30" s="24" t="s">
        <v>35</v>
      </c>
      <c r="C30" s="25" t="s">
        <v>36</v>
      </c>
      <c r="D30" s="26" t="s">
        <v>37</v>
      </c>
      <c r="E30" s="132"/>
      <c r="F30" s="132"/>
      <c r="G30" s="132"/>
      <c r="H30" s="132"/>
    </row>
    <row r="31" spans="1:8" ht="15">
      <c r="A31" s="27" t="s">
        <v>38</v>
      </c>
      <c r="B31" s="28" t="s">
        <v>39</v>
      </c>
      <c r="C31" s="29" t="s">
        <v>40</v>
      </c>
      <c r="D31" s="107">
        <f>(0.17+0.16)*6*114.1</f>
        <v>225.91799999999998</v>
      </c>
      <c r="E31" s="132"/>
      <c r="F31" s="132"/>
      <c r="G31" s="132"/>
      <c r="H31" s="132"/>
    </row>
    <row r="32" spans="1:8" ht="15">
      <c r="A32" s="31" t="s">
        <v>41</v>
      </c>
      <c r="B32" s="32" t="s">
        <v>42</v>
      </c>
      <c r="C32" s="33" t="s">
        <v>43</v>
      </c>
      <c r="D32" s="34">
        <f>(3.03+3)*6*114.1</f>
        <v>4128.137999999999</v>
      </c>
      <c r="E32" s="132"/>
      <c r="F32" s="132"/>
      <c r="G32" s="132"/>
      <c r="H32" s="132"/>
    </row>
    <row r="33" spans="1:8" ht="15">
      <c r="A33" s="31" t="s">
        <v>44</v>
      </c>
      <c r="B33" s="32" t="s">
        <v>39</v>
      </c>
      <c r="C33" s="33" t="s">
        <v>45</v>
      </c>
      <c r="D33" s="108">
        <f>(0.2+0.21)*6*114.1</f>
        <v>280.686</v>
      </c>
      <c r="E33" s="132"/>
      <c r="F33" s="132"/>
      <c r="G33" s="132"/>
      <c r="H33" s="132"/>
    </row>
    <row r="34" spans="1:8" ht="15">
      <c r="A34" s="31" t="s">
        <v>123</v>
      </c>
      <c r="B34" s="32" t="s">
        <v>39</v>
      </c>
      <c r="C34" s="33" t="s">
        <v>40</v>
      </c>
      <c r="D34" s="108">
        <f>(0.74+0.71)*6*114.1</f>
        <v>992.6699999999998</v>
      </c>
      <c r="E34" s="132"/>
      <c r="F34" s="132"/>
      <c r="G34" s="132"/>
      <c r="H34" s="132"/>
    </row>
    <row r="35" spans="1:8" ht="15">
      <c r="A35" s="31" t="s">
        <v>90</v>
      </c>
      <c r="B35" s="106" t="s">
        <v>91</v>
      </c>
      <c r="C35" s="33" t="s">
        <v>40</v>
      </c>
      <c r="D35" s="108">
        <f>(1+1.27)*6*114.1</f>
        <v>1554.0420000000001</v>
      </c>
      <c r="E35" s="132"/>
      <c r="F35" s="132"/>
      <c r="G35" s="132"/>
      <c r="H35" s="132"/>
    </row>
    <row r="36" spans="1:8" ht="15">
      <c r="A36" s="31" t="s">
        <v>46</v>
      </c>
      <c r="B36" s="32" t="s">
        <v>42</v>
      </c>
      <c r="C36" s="35" t="s">
        <v>47</v>
      </c>
      <c r="D36" s="108">
        <f>4.88*114.1*12</f>
        <v>6681.696</v>
      </c>
      <c r="E36" s="132"/>
      <c r="F36" s="132"/>
      <c r="G36" s="132"/>
      <c r="H36" s="132"/>
    </row>
    <row r="37" spans="1:14" s="1" customFormat="1" ht="45">
      <c r="A37" s="36" t="s">
        <v>48</v>
      </c>
      <c r="B37" s="37" t="s">
        <v>49</v>
      </c>
      <c r="C37" s="131" t="s">
        <v>86</v>
      </c>
      <c r="D37" s="39">
        <v>2590.73</v>
      </c>
      <c r="E37" s="132"/>
      <c r="F37" s="132"/>
      <c r="G37" s="132"/>
      <c r="H37" s="132"/>
      <c r="K37"/>
      <c r="L37"/>
      <c r="M37"/>
      <c r="N37"/>
    </row>
    <row r="38" spans="1:14" s="1" customFormat="1" ht="45">
      <c r="A38" s="109" t="s">
        <v>95</v>
      </c>
      <c r="B38" s="110" t="s">
        <v>96</v>
      </c>
      <c r="C38" s="29" t="s">
        <v>97</v>
      </c>
      <c r="D38" s="112">
        <v>712.02</v>
      </c>
      <c r="E38" s="62"/>
      <c r="F38" s="132"/>
      <c r="G38" s="132"/>
      <c r="H38" s="132"/>
      <c r="K38"/>
      <c r="L38"/>
      <c r="M38"/>
      <c r="N38"/>
    </row>
    <row r="39" spans="1:14" s="1" customFormat="1" ht="15.75">
      <c r="A39" s="40" t="s">
        <v>50</v>
      </c>
      <c r="B39" s="41"/>
      <c r="C39" s="42"/>
      <c r="D39" s="113">
        <f>SUM(D31:D38)</f>
        <v>17165.899999999998</v>
      </c>
      <c r="E39" s="135">
        <f>D39-D37</f>
        <v>14575.169999999998</v>
      </c>
      <c r="F39" s="132"/>
      <c r="G39" s="132"/>
      <c r="H39" s="132"/>
      <c r="K39"/>
      <c r="L39"/>
      <c r="M39"/>
      <c r="N39"/>
    </row>
    <row r="40" spans="1:14" s="1" customFormat="1" ht="15">
      <c r="A40" s="43" t="s">
        <v>51</v>
      </c>
      <c r="B40" s="44" t="s">
        <v>16</v>
      </c>
      <c r="C40" s="45"/>
      <c r="D40" s="46">
        <f>C15+C20*0.9619-D37</f>
        <v>6271.171431000001</v>
      </c>
      <c r="E40" s="135"/>
      <c r="F40" s="132"/>
      <c r="G40" s="132"/>
      <c r="H40" s="132"/>
      <c r="K40"/>
      <c r="L40"/>
      <c r="M40"/>
      <c r="N40"/>
    </row>
    <row r="41" spans="1:14" s="1" customFormat="1" ht="15">
      <c r="A41" s="48" t="s">
        <v>17</v>
      </c>
      <c r="B41" s="49" t="s">
        <v>16</v>
      </c>
      <c r="C41" s="33"/>
      <c r="D41" s="14"/>
      <c r="E41" s="132"/>
      <c r="F41" s="132"/>
      <c r="G41" s="132"/>
      <c r="H41" s="132"/>
      <c r="K41"/>
      <c r="L41"/>
      <c r="M41"/>
      <c r="N41"/>
    </row>
    <row r="42" spans="1:14" s="1" customFormat="1" ht="15">
      <c r="A42" s="48" t="s">
        <v>18</v>
      </c>
      <c r="B42" s="49" t="s">
        <v>16</v>
      </c>
      <c r="C42" s="33"/>
      <c r="D42" s="14">
        <v>672.51</v>
      </c>
      <c r="E42" s="132"/>
      <c r="F42" s="132"/>
      <c r="G42" s="132"/>
      <c r="H42" s="132"/>
      <c r="K42"/>
      <c r="L42"/>
      <c r="M42"/>
      <c r="N42"/>
    </row>
    <row r="43" spans="1:14" s="1" customFormat="1" ht="24" customHeight="1">
      <c r="A43" s="261" t="s">
        <v>52</v>
      </c>
      <c r="B43" s="261"/>
      <c r="C43" s="261"/>
      <c r="D43" s="261"/>
      <c r="E43" s="62"/>
      <c r="F43" s="132"/>
      <c r="G43" s="132"/>
      <c r="H43" s="132"/>
      <c r="K43"/>
      <c r="L43"/>
      <c r="M43"/>
      <c r="N43"/>
    </row>
    <row r="44" spans="1:14" s="1" customFormat="1" ht="15">
      <c r="A44" s="48" t="s">
        <v>53</v>
      </c>
      <c r="B44" s="32" t="s">
        <v>54</v>
      </c>
      <c r="C44" s="33">
        <v>0</v>
      </c>
      <c r="D44" s="14">
        <v>0</v>
      </c>
      <c r="E44" s="132"/>
      <c r="F44" s="132"/>
      <c r="G44" s="132"/>
      <c r="H44" s="132"/>
      <c r="K44"/>
      <c r="L44"/>
      <c r="M44"/>
      <c r="N44"/>
    </row>
    <row r="45" spans="1:14" s="1" customFormat="1" ht="15">
      <c r="A45" s="48" t="s">
        <v>55</v>
      </c>
      <c r="B45" s="32" t="s">
        <v>54</v>
      </c>
      <c r="C45" s="33">
        <v>0</v>
      </c>
      <c r="D45" s="14">
        <v>0</v>
      </c>
      <c r="E45" s="132"/>
      <c r="F45" s="132"/>
      <c r="G45" s="132"/>
      <c r="H45" s="132"/>
      <c r="K45"/>
      <c r="L45"/>
      <c r="M45"/>
      <c r="N45"/>
    </row>
    <row r="46" spans="1:14" s="1" customFormat="1" ht="15">
      <c r="A46" s="50" t="s">
        <v>56</v>
      </c>
      <c r="B46" s="32" t="s">
        <v>54</v>
      </c>
      <c r="C46" s="33">
        <v>0</v>
      </c>
      <c r="D46" s="14">
        <v>0</v>
      </c>
      <c r="E46" s="132"/>
      <c r="F46" s="132"/>
      <c r="G46" s="132"/>
      <c r="H46" s="132"/>
      <c r="K46"/>
      <c r="L46"/>
      <c r="M46"/>
      <c r="N46"/>
    </row>
    <row r="47" spans="1:14" s="1" customFormat="1" ht="15">
      <c r="A47" s="48" t="s">
        <v>57</v>
      </c>
      <c r="B47" s="32" t="s">
        <v>16</v>
      </c>
      <c r="C47" s="33">
        <v>0</v>
      </c>
      <c r="D47" s="14">
        <v>0</v>
      </c>
      <c r="E47" s="132"/>
      <c r="F47" s="132"/>
      <c r="G47" s="132"/>
      <c r="H47" s="132"/>
      <c r="K47"/>
      <c r="L47"/>
      <c r="M47"/>
      <c r="N47"/>
    </row>
    <row r="48" spans="1:8" ht="20.25" customHeight="1">
      <c r="A48" s="262" t="s">
        <v>58</v>
      </c>
      <c r="B48" s="262"/>
      <c r="C48" s="262"/>
      <c r="D48" s="262"/>
      <c r="E48" s="132"/>
      <c r="F48" s="132"/>
      <c r="G48" s="132"/>
      <c r="H48" s="132"/>
    </row>
    <row r="49" spans="1:8" ht="25.5">
      <c r="A49" s="50" t="s">
        <v>59</v>
      </c>
      <c r="B49" s="32" t="s">
        <v>16</v>
      </c>
      <c r="C49" s="33"/>
      <c r="D49" s="14">
        <v>0</v>
      </c>
      <c r="E49" s="132"/>
      <c r="F49" s="132"/>
      <c r="G49" s="132"/>
      <c r="H49" s="132"/>
    </row>
    <row r="50" spans="1:8" ht="15">
      <c r="A50" s="48" t="s">
        <v>17</v>
      </c>
      <c r="B50" s="32" t="s">
        <v>16</v>
      </c>
      <c r="C50" s="33"/>
      <c r="D50" s="14">
        <v>0</v>
      </c>
      <c r="E50" s="132"/>
      <c r="F50" s="132"/>
      <c r="G50" s="132"/>
      <c r="H50" s="132"/>
    </row>
    <row r="51" spans="1:8" ht="15">
      <c r="A51" s="48" t="s">
        <v>18</v>
      </c>
      <c r="B51" s="32" t="s">
        <v>16</v>
      </c>
      <c r="C51" s="33"/>
      <c r="D51" s="51">
        <f>D54-D57-D58-D59</f>
        <v>159.85921600000074</v>
      </c>
      <c r="E51" s="132"/>
      <c r="F51" s="132"/>
      <c r="G51" s="132"/>
      <c r="H51" s="136"/>
    </row>
    <row r="52" spans="1:8" ht="25.5">
      <c r="A52" s="53" t="s">
        <v>60</v>
      </c>
      <c r="B52" s="32" t="s">
        <v>16</v>
      </c>
      <c r="C52" s="54"/>
      <c r="D52" s="55">
        <v>0</v>
      </c>
      <c r="E52" s="132"/>
      <c r="F52" s="132"/>
      <c r="G52" s="132"/>
      <c r="H52" s="132"/>
    </row>
    <row r="53" spans="1:10" ht="17.25" customHeight="1">
      <c r="A53" s="56" t="s">
        <v>17</v>
      </c>
      <c r="B53" s="32" t="s">
        <v>16</v>
      </c>
      <c r="C53" s="33"/>
      <c r="D53" s="14">
        <v>0</v>
      </c>
      <c r="E53" s="132"/>
      <c r="F53" s="132"/>
      <c r="G53" s="132"/>
      <c r="H53" s="132"/>
      <c r="I53" s="52"/>
      <c r="J53" s="52"/>
    </row>
    <row r="54" spans="1:14" ht="15">
      <c r="A54" s="59" t="s">
        <v>18</v>
      </c>
      <c r="B54" s="32" t="s">
        <v>16</v>
      </c>
      <c r="C54" s="60"/>
      <c r="D54" s="61">
        <v>2573.29</v>
      </c>
      <c r="E54" s="132"/>
      <c r="F54" s="132"/>
      <c r="G54" s="132"/>
      <c r="H54" s="132" t="s">
        <v>32</v>
      </c>
      <c r="I54" s="63"/>
      <c r="J54" s="63"/>
      <c r="K54" s="64"/>
      <c r="L54" s="64"/>
      <c r="M54" s="64"/>
      <c r="N54" s="64"/>
    </row>
    <row r="55" spans="1:14" ht="18" customHeight="1">
      <c r="A55" s="263" t="s">
        <v>61</v>
      </c>
      <c r="B55" s="263"/>
      <c r="C55" s="263"/>
      <c r="D55" s="263"/>
      <c r="E55" s="137"/>
      <c r="F55" s="138"/>
      <c r="G55" s="139"/>
      <c r="H55" s="132"/>
      <c r="I55" s="68"/>
      <c r="J55" s="68"/>
      <c r="K55" s="69"/>
      <c r="L55" s="69"/>
      <c r="M55" s="69"/>
      <c r="N55" s="69"/>
    </row>
    <row r="56" spans="1:14" ht="47.25">
      <c r="A56" s="70" t="s">
        <v>62</v>
      </c>
      <c r="B56" s="71" t="s">
        <v>63</v>
      </c>
      <c r="C56" s="72" t="s">
        <v>64</v>
      </c>
      <c r="D56" s="73" t="s">
        <v>65</v>
      </c>
      <c r="E56" s="137"/>
      <c r="F56" s="138"/>
      <c r="G56" s="139"/>
      <c r="H56" s="132"/>
      <c r="I56" s="68"/>
      <c r="J56" s="74"/>
      <c r="K56" s="69"/>
      <c r="L56" s="69"/>
      <c r="M56" s="69"/>
      <c r="N56" s="69"/>
    </row>
    <row r="57" spans="1:14" ht="15">
      <c r="A57" s="75" t="s">
        <v>66</v>
      </c>
      <c r="B57" s="117">
        <v>7070.14</v>
      </c>
      <c r="C57" s="118">
        <f>B57*0.9619</f>
        <v>6800.767666</v>
      </c>
      <c r="D57" s="119">
        <f>B57-C57</f>
        <v>269.3723340000006</v>
      </c>
      <c r="E57" s="140"/>
      <c r="F57" s="138"/>
      <c r="G57" s="139"/>
      <c r="H57" s="132"/>
      <c r="I57" s="68"/>
      <c r="J57" s="68"/>
      <c r="K57" s="69"/>
      <c r="L57" s="69"/>
      <c r="M57" s="69"/>
      <c r="N57" s="69"/>
    </row>
    <row r="58" spans="1:14" ht="15">
      <c r="A58" s="75" t="s">
        <v>67</v>
      </c>
      <c r="B58" s="117">
        <v>8608.16</v>
      </c>
      <c r="C58" s="118">
        <f>B58*0.9619</f>
        <v>8280.189104</v>
      </c>
      <c r="D58" s="119">
        <f>B58-C58</f>
        <v>327.9708960000007</v>
      </c>
      <c r="E58" s="137"/>
      <c r="F58" s="138"/>
      <c r="G58" s="139"/>
      <c r="H58" s="132"/>
      <c r="I58" s="68"/>
      <c r="J58" s="68"/>
      <c r="K58" s="69"/>
      <c r="L58" s="69"/>
      <c r="M58" s="69"/>
      <c r="N58" s="69"/>
    </row>
    <row r="59" spans="1:14" ht="15">
      <c r="A59" s="75" t="s">
        <v>68</v>
      </c>
      <c r="B59" s="120">
        <v>47666.34</v>
      </c>
      <c r="C59" s="118">
        <f>B59*0.9619</f>
        <v>45850.252446</v>
      </c>
      <c r="D59" s="119">
        <f>B59-C59</f>
        <v>1816.087553999998</v>
      </c>
      <c r="E59" s="137">
        <f>(2.07+1.8)*6*2301.2-0.37*2301.2*6</f>
        <v>48325.2</v>
      </c>
      <c r="F59" s="141"/>
      <c r="G59" s="142"/>
      <c r="H59" s="137"/>
      <c r="I59" s="68"/>
      <c r="J59" s="68"/>
      <c r="K59" s="69"/>
      <c r="L59" s="69"/>
      <c r="M59" s="69"/>
      <c r="N59" s="69"/>
    </row>
    <row r="60" spans="1:14" ht="15.75" thickBot="1">
      <c r="A60" s="150" t="s">
        <v>69</v>
      </c>
      <c r="B60" s="151">
        <v>0</v>
      </c>
      <c r="C60" s="152">
        <f>B60*1.16</f>
        <v>0</v>
      </c>
      <c r="D60" s="153">
        <f>B60-C60</f>
        <v>0</v>
      </c>
      <c r="E60" s="137"/>
      <c r="F60" s="141"/>
      <c r="G60" s="142"/>
      <c r="H60" s="132"/>
      <c r="I60" s="68"/>
      <c r="J60" s="68"/>
      <c r="K60" s="69"/>
      <c r="L60" s="69"/>
      <c r="M60" s="69"/>
      <c r="N60" s="69"/>
    </row>
    <row r="61" spans="1:14" ht="63">
      <c r="A61" s="154" t="s">
        <v>70</v>
      </c>
      <c r="B61" s="155" t="s">
        <v>71</v>
      </c>
      <c r="C61" s="156" t="s">
        <v>72</v>
      </c>
      <c r="D61" s="157" t="s">
        <v>73</v>
      </c>
      <c r="E61" s="137"/>
      <c r="F61" s="141"/>
      <c r="G61" s="132"/>
      <c r="H61" s="143"/>
      <c r="I61" s="68"/>
      <c r="J61" s="68"/>
      <c r="K61" s="69"/>
      <c r="L61" s="69"/>
      <c r="M61" s="69"/>
      <c r="N61" s="69"/>
    </row>
    <row r="62" spans="1:14" ht="15">
      <c r="A62" s="158" t="s">
        <v>66</v>
      </c>
      <c r="B62" s="124">
        <f>B57</f>
        <v>7070.14</v>
      </c>
      <c r="C62" s="125">
        <f>B62*0.9623</f>
        <v>6803.595722000001</v>
      </c>
      <c r="D62" s="159">
        <f>B62-C62</f>
        <v>266.5442779999994</v>
      </c>
      <c r="E62" s="137"/>
      <c r="F62" s="141"/>
      <c r="G62" s="132"/>
      <c r="H62" s="143"/>
      <c r="I62" s="68"/>
      <c r="J62" s="68" t="s">
        <v>32</v>
      </c>
      <c r="K62" s="69"/>
      <c r="L62" s="69"/>
      <c r="M62" s="69"/>
      <c r="N62" s="69"/>
    </row>
    <row r="63" spans="1:14" ht="15">
      <c r="A63" s="158" t="s">
        <v>67</v>
      </c>
      <c r="B63" s="124">
        <f>B58</f>
        <v>8608.16</v>
      </c>
      <c r="C63" s="125">
        <f>B63*0.9623</f>
        <v>8283.632368</v>
      </c>
      <c r="D63" s="159">
        <f>B63-C63</f>
        <v>324.52763199999936</v>
      </c>
      <c r="E63" s="137"/>
      <c r="F63" s="141"/>
      <c r="G63" s="132"/>
      <c r="H63" s="143"/>
      <c r="I63" s="68"/>
      <c r="J63" s="68"/>
      <c r="K63" s="69"/>
      <c r="L63" s="69"/>
      <c r="M63" s="69"/>
      <c r="N63" s="69"/>
    </row>
    <row r="64" spans="1:14" ht="15">
      <c r="A64" s="158" t="s">
        <v>68</v>
      </c>
      <c r="B64" s="124">
        <f>B59</f>
        <v>47666.34</v>
      </c>
      <c r="C64" s="125">
        <f>C59</f>
        <v>45850.252446</v>
      </c>
      <c r="D64" s="159">
        <f>B64-C64</f>
        <v>1816.087553999998</v>
      </c>
      <c r="E64" s="137"/>
      <c r="F64" s="141"/>
      <c r="G64" s="132"/>
      <c r="H64" s="143"/>
      <c r="I64" s="68"/>
      <c r="J64" s="68"/>
      <c r="K64" s="69"/>
      <c r="L64" s="69"/>
      <c r="M64" s="69"/>
      <c r="N64" s="69"/>
    </row>
    <row r="65" spans="1:14" ht="15">
      <c r="A65" s="158" t="s">
        <v>74</v>
      </c>
      <c r="B65" s="124">
        <v>0</v>
      </c>
      <c r="C65" s="125">
        <v>0</v>
      </c>
      <c r="D65" s="159">
        <f>B65-C65</f>
        <v>0</v>
      </c>
      <c r="E65" s="137"/>
      <c r="F65" s="141"/>
      <c r="G65" s="132"/>
      <c r="H65" s="143"/>
      <c r="I65" s="68"/>
      <c r="J65" s="68"/>
      <c r="K65" s="69"/>
      <c r="L65" s="69"/>
      <c r="M65" s="69"/>
      <c r="N65" s="69"/>
    </row>
    <row r="66" spans="1:14" ht="15.75" thickBot="1">
      <c r="A66" s="160" t="s">
        <v>69</v>
      </c>
      <c r="B66" s="161">
        <v>0</v>
      </c>
      <c r="C66" s="162">
        <v>0</v>
      </c>
      <c r="D66" s="163">
        <f>B66-C66</f>
        <v>0</v>
      </c>
      <c r="E66" s="137"/>
      <c r="F66" s="141"/>
      <c r="G66" s="132"/>
      <c r="H66" s="143" t="s">
        <v>32</v>
      </c>
      <c r="I66" s="68"/>
      <c r="J66" s="68"/>
      <c r="K66" s="69"/>
      <c r="L66" s="69"/>
      <c r="M66" s="69"/>
      <c r="N66" s="69"/>
    </row>
    <row r="67" spans="1:14" ht="15">
      <c r="A67" s="91"/>
      <c r="B67" s="87"/>
      <c r="C67" s="92"/>
      <c r="D67" s="93"/>
      <c r="E67" s="65"/>
      <c r="F67" s="81"/>
      <c r="H67" s="68"/>
      <c r="I67" s="68"/>
      <c r="J67" s="68"/>
      <c r="K67" s="69"/>
      <c r="L67" s="69"/>
      <c r="M67" s="69"/>
      <c r="N67" s="69"/>
    </row>
    <row r="68" spans="1:14" ht="25.5">
      <c r="A68" s="94" t="s">
        <v>75</v>
      </c>
      <c r="B68" s="87" t="s">
        <v>16</v>
      </c>
      <c r="C68" s="95"/>
      <c r="D68" s="96"/>
      <c r="E68" s="65"/>
      <c r="F68" s="81"/>
      <c r="H68" s="68"/>
      <c r="I68" s="68"/>
      <c r="J68" s="68" t="s">
        <v>32</v>
      </c>
      <c r="K68" s="69"/>
      <c r="L68" s="69"/>
      <c r="M68" s="69"/>
      <c r="N68" s="69"/>
    </row>
    <row r="69" spans="1:14" ht="17.25" customHeight="1">
      <c r="A69" s="264" t="s">
        <v>76</v>
      </c>
      <c r="B69" s="264"/>
      <c r="C69" s="264"/>
      <c r="D69" s="264"/>
      <c r="E69" s="97" t="e">
        <f>D69+B19</f>
        <v>#VALUE!</v>
      </c>
      <c r="F69" s="68"/>
      <c r="H69" s="98" t="e">
        <f>E69-B18</f>
        <v>#VALUE!</v>
      </c>
      <c r="I69" s="68"/>
      <c r="J69" s="68"/>
      <c r="K69" s="69"/>
      <c r="L69" s="69"/>
      <c r="M69" s="69"/>
      <c r="N69" s="69"/>
    </row>
    <row r="70" spans="1:5" ht="21" customHeight="1">
      <c r="A70" s="99" t="s">
        <v>53</v>
      </c>
      <c r="B70" s="99" t="s">
        <v>54</v>
      </c>
      <c r="C70" s="100">
        <v>0</v>
      </c>
      <c r="D70" s="101"/>
      <c r="E70" s="102"/>
    </row>
    <row r="71" spans="1:5" ht="21" customHeight="1">
      <c r="A71" s="99" t="s">
        <v>55</v>
      </c>
      <c r="B71" s="99" t="s">
        <v>54</v>
      </c>
      <c r="C71" s="99">
        <v>0</v>
      </c>
      <c r="D71" s="101"/>
      <c r="E71" s="102"/>
    </row>
    <row r="72" spans="1:5" ht="18" customHeight="1">
      <c r="A72" s="99" t="s">
        <v>56</v>
      </c>
      <c r="B72" s="99" t="s">
        <v>54</v>
      </c>
      <c r="C72" s="99">
        <v>0</v>
      </c>
      <c r="D72" s="101"/>
      <c r="E72" s="102"/>
    </row>
    <row r="73" spans="1:5" ht="16.5" customHeight="1">
      <c r="A73" s="99" t="s">
        <v>57</v>
      </c>
      <c r="B73" s="99" t="s">
        <v>16</v>
      </c>
      <c r="C73" s="99">
        <v>0</v>
      </c>
      <c r="D73" s="101"/>
      <c r="E73" s="102"/>
    </row>
    <row r="74" spans="1:5" ht="15.75" customHeight="1">
      <c r="A74" s="258" t="s">
        <v>77</v>
      </c>
      <c r="B74" s="258"/>
      <c r="C74" s="258"/>
      <c r="D74" s="258"/>
      <c r="E74" s="102"/>
    </row>
    <row r="75" spans="1:5" ht="18.75" customHeight="1">
      <c r="A75" s="99" t="s">
        <v>78</v>
      </c>
      <c r="B75" s="99" t="s">
        <v>54</v>
      </c>
      <c r="C75" s="99">
        <v>0</v>
      </c>
      <c r="D75" s="101"/>
      <c r="E75" s="102"/>
    </row>
    <row r="76" spans="1:5" ht="21.75" customHeight="1">
      <c r="A76" s="99" t="s">
        <v>79</v>
      </c>
      <c r="B76" s="56" t="s">
        <v>54</v>
      </c>
      <c r="C76" s="56">
        <v>0</v>
      </c>
      <c r="D76" s="101"/>
      <c r="E76" s="102"/>
    </row>
    <row r="77" spans="1:5" ht="36" customHeight="1">
      <c r="A77" s="103" t="s">
        <v>80</v>
      </c>
      <c r="B77" s="99" t="s">
        <v>16</v>
      </c>
      <c r="C77" s="99">
        <v>0</v>
      </c>
      <c r="D77" s="101"/>
      <c r="E77" s="102"/>
    </row>
    <row r="78" spans="1:4" ht="15">
      <c r="A78" s="69"/>
      <c r="B78" s="69"/>
      <c r="C78" s="69"/>
      <c r="D78" s="104"/>
    </row>
    <row r="79" spans="1:14" s="1" customFormat="1" ht="12.75">
      <c r="A79"/>
      <c r="B79"/>
      <c r="C79"/>
      <c r="D79"/>
      <c r="H79" s="1" t="s">
        <v>32</v>
      </c>
      <c r="K79"/>
      <c r="L79"/>
      <c r="M79"/>
      <c r="N79"/>
    </row>
    <row r="80" spans="1:14" s="1" customFormat="1" ht="12.75">
      <c r="A80" t="s">
        <v>81</v>
      </c>
      <c r="B80"/>
      <c r="C80"/>
      <c r="D80"/>
      <c r="K80"/>
      <c r="L80"/>
      <c r="M80"/>
      <c r="N80"/>
    </row>
    <row r="81" spans="1:14" s="1" customFormat="1" ht="12.75">
      <c r="A81"/>
      <c r="B81"/>
      <c r="C81"/>
      <c r="D81"/>
      <c r="H81" s="1" t="s">
        <v>32</v>
      </c>
      <c r="K81"/>
      <c r="L81"/>
      <c r="M81"/>
      <c r="N81"/>
    </row>
    <row r="82" spans="1:14" s="1" customFormat="1" ht="12.75">
      <c r="A82" t="s">
        <v>82</v>
      </c>
      <c r="B82"/>
      <c r="C82"/>
      <c r="D82"/>
      <c r="K82"/>
      <c r="L82"/>
      <c r="M82"/>
      <c r="N82"/>
    </row>
    <row r="86" spans="1:14" s="1" customFormat="1" ht="12.75">
      <c r="A86"/>
      <c r="B86"/>
      <c r="C86"/>
      <c r="D86"/>
      <c r="E86" s="1" t="s">
        <v>32</v>
      </c>
      <c r="K86"/>
      <c r="L86"/>
      <c r="M86"/>
      <c r="N86"/>
    </row>
  </sheetData>
  <sheetProtection selectLockedCells="1" selectUnlockedCells="1"/>
  <mergeCells count="13">
    <mergeCell ref="A1:D1"/>
    <mergeCell ref="A2:D2"/>
    <mergeCell ref="A3:D3"/>
    <mergeCell ref="A4:D4"/>
    <mergeCell ref="A5:D5"/>
    <mergeCell ref="A7:D7"/>
    <mergeCell ref="A74:D74"/>
    <mergeCell ref="A14:D14"/>
    <mergeCell ref="A29:D29"/>
    <mergeCell ref="A43:D43"/>
    <mergeCell ref="A48:D48"/>
    <mergeCell ref="A55:D55"/>
    <mergeCell ref="A69:D69"/>
  </mergeCells>
  <printOptions/>
  <pageMargins left="0.5597222222222222" right="0.7875" top="0.34097222222222223" bottom="0.7875" header="0.5118055555555555" footer="0.5118055555555555"/>
  <pageSetup fitToHeight="3" fitToWidth="2" horizontalDpi="300" verticalDpi="300" orientation="landscape" paperSize="12" r:id="rId1"/>
</worksheet>
</file>

<file path=xl/worksheets/sheet4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6"/>
  <sheetViews>
    <sheetView zoomScale="80" zoomScaleNormal="80" zoomScalePageLayoutView="0" workbookViewId="0" topLeftCell="A1">
      <selection activeCell="E18" sqref="E18:E20"/>
    </sheetView>
  </sheetViews>
  <sheetFormatPr defaultColWidth="11.57421875" defaultRowHeight="12.75"/>
  <cols>
    <col min="1" max="1" width="63.28125" style="0" customWidth="1"/>
    <col min="2" max="2" width="20.28125" style="0" customWidth="1"/>
    <col min="3" max="3" width="31.421875" style="0" customWidth="1"/>
    <col min="4" max="4" width="27.57421875" style="0" customWidth="1"/>
    <col min="5" max="5" width="16.8515625" style="1" customWidth="1"/>
    <col min="6" max="7" width="0" style="1" hidden="1" customWidth="1"/>
    <col min="8" max="8" width="11.57421875" style="1" customWidth="1"/>
    <col min="9" max="9" width="5.28125" style="1" customWidth="1"/>
    <col min="10" max="10" width="30.00390625" style="1" customWidth="1"/>
    <col min="11" max="12" width="23.28125" style="0" customWidth="1"/>
    <col min="13" max="13" width="6.57421875" style="0" customWidth="1"/>
    <col min="14" max="14" width="7.00390625" style="0" customWidth="1"/>
  </cols>
  <sheetData>
    <row r="1" spans="1:4" ht="18">
      <c r="A1" s="265" t="s">
        <v>0</v>
      </c>
      <c r="B1" s="265"/>
      <c r="C1" s="265"/>
      <c r="D1" s="265"/>
    </row>
    <row r="2" spans="1:4" ht="15.75">
      <c r="A2" s="266" t="s">
        <v>1</v>
      </c>
      <c r="B2" s="266"/>
      <c r="C2" s="266"/>
      <c r="D2" s="266"/>
    </row>
    <row r="3" spans="1:4" ht="15.75">
      <c r="A3" s="266" t="s">
        <v>2</v>
      </c>
      <c r="B3" s="266"/>
      <c r="C3" s="266"/>
      <c r="D3" s="266"/>
    </row>
    <row r="4" spans="1:4" ht="12.75">
      <c r="A4" s="267" t="s">
        <v>148</v>
      </c>
      <c r="B4" s="267"/>
      <c r="C4" s="267"/>
      <c r="D4" s="267"/>
    </row>
    <row r="5" spans="1:4" ht="12.75">
      <c r="A5" s="268" t="s">
        <v>171</v>
      </c>
      <c r="B5" s="267"/>
      <c r="C5" s="267"/>
      <c r="D5" s="267"/>
    </row>
    <row r="6" ht="9" customHeight="1">
      <c r="A6" s="2"/>
    </row>
    <row r="7" spans="1:4" ht="18" customHeight="1">
      <c r="A7" s="269" t="s">
        <v>4</v>
      </c>
      <c r="B7" s="269"/>
      <c r="C7" s="269"/>
      <c r="D7" s="269"/>
    </row>
    <row r="8" spans="1:3" ht="12.75">
      <c r="A8" s="2" t="s">
        <v>265</v>
      </c>
      <c r="C8" s="3"/>
    </row>
    <row r="9" spans="1:4" ht="12.75">
      <c r="A9" s="4" t="s">
        <v>5</v>
      </c>
      <c r="B9" s="4" t="s">
        <v>6</v>
      </c>
      <c r="C9" s="4" t="s">
        <v>7</v>
      </c>
      <c r="D9" s="5"/>
    </row>
    <row r="10" spans="1:4" ht="12.75">
      <c r="A10" s="6">
        <v>1</v>
      </c>
      <c r="B10" s="6">
        <v>2</v>
      </c>
      <c r="C10" s="6">
        <v>3</v>
      </c>
      <c r="D10" s="7">
        <v>4</v>
      </c>
    </row>
    <row r="11" spans="1:4" ht="12.75">
      <c r="A11" s="8" t="s">
        <v>8</v>
      </c>
      <c r="B11" s="9"/>
      <c r="C11" s="177" t="s">
        <v>172</v>
      </c>
      <c r="D11" s="10"/>
    </row>
    <row r="12" spans="1:4" ht="12.75">
      <c r="A12" s="8" t="s">
        <v>10</v>
      </c>
      <c r="B12" s="9"/>
      <c r="C12" s="177" t="s">
        <v>173</v>
      </c>
      <c r="D12" s="10"/>
    </row>
    <row r="13" spans="1:4" ht="12.75">
      <c r="A13" s="8" t="s">
        <v>12</v>
      </c>
      <c r="B13" s="9"/>
      <c r="C13" s="177" t="s">
        <v>174</v>
      </c>
      <c r="D13" s="10"/>
    </row>
    <row r="14" spans="1:4" ht="31.5" customHeight="1">
      <c r="A14" s="259" t="s">
        <v>14</v>
      </c>
      <c r="B14" s="259"/>
      <c r="C14" s="259"/>
      <c r="D14" s="259"/>
    </row>
    <row r="15" spans="1:5" ht="25.5">
      <c r="A15" s="11" t="s">
        <v>15</v>
      </c>
      <c r="B15" s="12" t="s">
        <v>16</v>
      </c>
      <c r="C15" s="13">
        <v>16254.31</v>
      </c>
      <c r="D15" s="14"/>
      <c r="E15" s="132"/>
    </row>
    <row r="16" spans="1:5" ht="15">
      <c r="A16" s="8" t="s">
        <v>17</v>
      </c>
      <c r="B16" s="12" t="s">
        <v>16</v>
      </c>
      <c r="C16" s="13">
        <v>0</v>
      </c>
      <c r="D16" s="14"/>
      <c r="E16" s="132"/>
    </row>
    <row r="17" spans="1:5" ht="15">
      <c r="A17" s="8" t="s">
        <v>18</v>
      </c>
      <c r="B17" s="12" t="s">
        <v>16</v>
      </c>
      <c r="C17" s="15">
        <v>9133.65</v>
      </c>
      <c r="D17" s="16"/>
      <c r="E17" s="132" t="e">
        <f>B17/12/1022.6</f>
        <v>#VALUE!</v>
      </c>
    </row>
    <row r="18" spans="1:5" ht="31.5" customHeight="1">
      <c r="A18" s="17" t="s">
        <v>19</v>
      </c>
      <c r="B18" s="12" t="s">
        <v>16</v>
      </c>
      <c r="C18" s="15">
        <v>13588.32</v>
      </c>
      <c r="D18" s="16"/>
      <c r="E18" s="133">
        <f>C18-C20</f>
        <v>9730.272</v>
      </c>
    </row>
    <row r="19" spans="1:5" ht="15">
      <c r="A19" s="8" t="s">
        <v>20</v>
      </c>
      <c r="B19" s="12" t="s">
        <v>16</v>
      </c>
      <c r="C19" s="15">
        <f>C18-C20-C21</f>
        <v>5115.744000000001</v>
      </c>
      <c r="D19" s="16"/>
      <c r="E19" s="133">
        <f>E18-E39</f>
        <v>-0.0019999999985884642</v>
      </c>
    </row>
    <row r="20" spans="1:5" ht="15">
      <c r="A20" s="8" t="s">
        <v>21</v>
      </c>
      <c r="B20" s="12" t="s">
        <v>16</v>
      </c>
      <c r="C20" s="15">
        <f>(2.5+2.96)*6*78.8+1276.56</f>
        <v>3858.048</v>
      </c>
      <c r="D20" s="16"/>
      <c r="E20" s="134"/>
    </row>
    <row r="21" spans="1:5" ht="15">
      <c r="A21" s="8" t="s">
        <v>22</v>
      </c>
      <c r="B21" s="12" t="s">
        <v>16</v>
      </c>
      <c r="C21" s="20">
        <f>78.8*4.88*12</f>
        <v>4614.528</v>
      </c>
      <c r="D21" s="16"/>
      <c r="E21" s="132"/>
    </row>
    <row r="22" spans="1:5" ht="15">
      <c r="A22" s="21" t="s">
        <v>23</v>
      </c>
      <c r="B22" s="12" t="s">
        <v>16</v>
      </c>
      <c r="C22" s="15">
        <f>C23+C24+C25+C26+C27</f>
        <v>13061.093184000001</v>
      </c>
      <c r="D22" s="16" t="s">
        <v>24</v>
      </c>
      <c r="E22" s="133" t="e">
        <f>B24+B25+B26+B27+B28</f>
        <v>#VALUE!</v>
      </c>
    </row>
    <row r="23" spans="1:5" ht="15">
      <c r="A23" s="8" t="s">
        <v>25</v>
      </c>
      <c r="B23" s="12" t="s">
        <v>16</v>
      </c>
      <c r="C23" s="15">
        <f>C18*0.9612</f>
        <v>13061.093184000001</v>
      </c>
      <c r="D23" s="16"/>
      <c r="E23" s="132"/>
    </row>
    <row r="24" spans="1:8" ht="15">
      <c r="A24" s="8" t="s">
        <v>26</v>
      </c>
      <c r="B24" s="12" t="s">
        <v>16</v>
      </c>
      <c r="C24" s="15">
        <v>0</v>
      </c>
      <c r="D24" s="22">
        <v>65.21</v>
      </c>
      <c r="E24" s="134" t="e">
        <f>B24/#REF!*1</f>
        <v>#VALUE!</v>
      </c>
      <c r="H24" s="1" t="s">
        <v>27</v>
      </c>
    </row>
    <row r="25" spans="1:5" ht="15">
      <c r="A25" s="8" t="s">
        <v>28</v>
      </c>
      <c r="B25" s="12" t="s">
        <v>16</v>
      </c>
      <c r="C25" s="15">
        <v>0</v>
      </c>
      <c r="D25" s="22">
        <v>119.63</v>
      </c>
      <c r="E25" s="134" t="e">
        <f>B25/#REF!*1</f>
        <v>#VALUE!</v>
      </c>
    </row>
    <row r="26" spans="1:5" ht="15">
      <c r="A26" s="9" t="s">
        <v>29</v>
      </c>
      <c r="B26" s="12" t="s">
        <v>16</v>
      </c>
      <c r="C26" s="15">
        <v>0</v>
      </c>
      <c r="D26" s="22"/>
      <c r="E26" s="134" t="e">
        <f>B26/#REF!*1</f>
        <v>#VALUE!</v>
      </c>
    </row>
    <row r="27" spans="1:5" ht="16.5" customHeight="1">
      <c r="A27" s="116" t="s">
        <v>112</v>
      </c>
      <c r="B27" s="12" t="s">
        <v>16</v>
      </c>
      <c r="C27" s="15">
        <v>0</v>
      </c>
      <c r="D27" s="22">
        <v>139.18</v>
      </c>
      <c r="E27" s="134" t="e">
        <f>B27/#REF!*1</f>
        <v>#VALUE!</v>
      </c>
    </row>
    <row r="28" spans="1:5" ht="15">
      <c r="A28" s="8" t="s">
        <v>31</v>
      </c>
      <c r="B28" s="12" t="s">
        <v>16</v>
      </c>
      <c r="C28" s="15">
        <f>C15+C22</f>
        <v>29315.403184000003</v>
      </c>
      <c r="D28" s="16" t="s">
        <v>32</v>
      </c>
      <c r="E28" s="134" t="e">
        <f>B28/#REF!*1</f>
        <v>#VALUE!</v>
      </c>
    </row>
    <row r="29" spans="1:5" ht="35.25" customHeight="1">
      <c r="A29" s="260" t="s">
        <v>33</v>
      </c>
      <c r="B29" s="260"/>
      <c r="C29" s="260"/>
      <c r="D29" s="260"/>
      <c r="E29" s="132"/>
    </row>
    <row r="30" spans="1:5" ht="60">
      <c r="A30" s="23" t="s">
        <v>34</v>
      </c>
      <c r="B30" s="24" t="s">
        <v>35</v>
      </c>
      <c r="C30" s="25" t="s">
        <v>36</v>
      </c>
      <c r="D30" s="26" t="s">
        <v>37</v>
      </c>
      <c r="E30" s="132"/>
    </row>
    <row r="31" spans="1:5" ht="15">
      <c r="A31" s="27" t="s">
        <v>38</v>
      </c>
      <c r="B31" s="28" t="s">
        <v>39</v>
      </c>
      <c r="C31" s="29" t="s">
        <v>40</v>
      </c>
      <c r="D31" s="107">
        <f>(0.17+0.16)*6*78.8</f>
        <v>156.024</v>
      </c>
      <c r="E31" s="132"/>
    </row>
    <row r="32" spans="1:5" ht="15">
      <c r="A32" s="31" t="s">
        <v>41</v>
      </c>
      <c r="B32" s="32" t="s">
        <v>42</v>
      </c>
      <c r="C32" s="33" t="s">
        <v>43</v>
      </c>
      <c r="D32" s="34">
        <f>(3.03+3)*6*78.8</f>
        <v>2850.9839999999995</v>
      </c>
      <c r="E32" s="132"/>
    </row>
    <row r="33" spans="1:5" ht="15">
      <c r="A33" s="31" t="s">
        <v>44</v>
      </c>
      <c r="B33" s="32" t="s">
        <v>39</v>
      </c>
      <c r="C33" s="33" t="s">
        <v>45</v>
      </c>
      <c r="D33" s="108">
        <f>(0.2+0.21)*6*78.8</f>
        <v>193.84799999999998</v>
      </c>
      <c r="E33" s="132"/>
    </row>
    <row r="34" spans="1:5" ht="15">
      <c r="A34" s="31" t="s">
        <v>123</v>
      </c>
      <c r="B34" s="32" t="s">
        <v>39</v>
      </c>
      <c r="C34" s="33" t="s">
        <v>40</v>
      </c>
      <c r="D34" s="108">
        <v>685.61</v>
      </c>
      <c r="E34" s="132"/>
    </row>
    <row r="35" spans="1:5" ht="15">
      <c r="A35" s="31" t="s">
        <v>90</v>
      </c>
      <c r="B35" s="106" t="s">
        <v>91</v>
      </c>
      <c r="C35" s="33" t="s">
        <v>40</v>
      </c>
      <c r="D35" s="108">
        <f>(1.33+1.27)*6*78.8</f>
        <v>1229.28</v>
      </c>
      <c r="E35" s="132"/>
    </row>
    <row r="36" spans="1:5" ht="15">
      <c r="A36" s="31" t="s">
        <v>46</v>
      </c>
      <c r="B36" s="32" t="s">
        <v>42</v>
      </c>
      <c r="C36" s="35" t="s">
        <v>47</v>
      </c>
      <c r="D36" s="108">
        <f>4.88*78.8*12</f>
        <v>4614.528</v>
      </c>
      <c r="E36" s="132"/>
    </row>
    <row r="37" spans="1:14" s="1" customFormat="1" ht="45">
      <c r="A37" s="36" t="s">
        <v>48</v>
      </c>
      <c r="B37" s="37" t="s">
        <v>49</v>
      </c>
      <c r="C37" s="131" t="s">
        <v>86</v>
      </c>
      <c r="D37" s="39">
        <v>0</v>
      </c>
      <c r="E37" s="132"/>
      <c r="K37"/>
      <c r="L37"/>
      <c r="M37"/>
      <c r="N37"/>
    </row>
    <row r="38" spans="1:14" s="1" customFormat="1" ht="45">
      <c r="A38" s="109" t="s">
        <v>95</v>
      </c>
      <c r="B38" s="110" t="s">
        <v>96</v>
      </c>
      <c r="C38" s="29" t="s">
        <v>97</v>
      </c>
      <c r="D38" s="112"/>
      <c r="E38" s="62"/>
      <c r="K38"/>
      <c r="L38"/>
      <c r="M38"/>
      <c r="N38"/>
    </row>
    <row r="39" spans="1:14" s="1" customFormat="1" ht="15.75">
      <c r="A39" s="40" t="s">
        <v>50</v>
      </c>
      <c r="B39" s="41"/>
      <c r="C39" s="42"/>
      <c r="D39" s="113">
        <f>SUM(D31:D38)</f>
        <v>9730.274</v>
      </c>
      <c r="E39" s="47">
        <f>D39-D37</f>
        <v>9730.274</v>
      </c>
      <c r="K39"/>
      <c r="L39"/>
      <c r="M39"/>
      <c r="N39"/>
    </row>
    <row r="40" spans="1:14" s="1" customFormat="1" ht="15">
      <c r="A40" s="43" t="s">
        <v>51</v>
      </c>
      <c r="B40" s="44" t="s">
        <v>16</v>
      </c>
      <c r="C40" s="45"/>
      <c r="D40" s="46">
        <f>C15+C20*0.9612-D37</f>
        <v>19962.6657376</v>
      </c>
      <c r="E40" s="47"/>
      <c r="K40"/>
      <c r="L40"/>
      <c r="M40"/>
      <c r="N40"/>
    </row>
    <row r="41" spans="1:14" s="1" customFormat="1" ht="15">
      <c r="A41" s="48" t="s">
        <v>17</v>
      </c>
      <c r="B41" s="49" t="s">
        <v>16</v>
      </c>
      <c r="C41" s="33"/>
      <c r="D41" s="14"/>
      <c r="E41" s="62"/>
      <c r="K41"/>
      <c r="L41"/>
      <c r="M41"/>
      <c r="N41"/>
    </row>
    <row r="42" spans="1:14" s="1" customFormat="1" ht="15">
      <c r="A42" s="48" t="s">
        <v>18</v>
      </c>
      <c r="B42" s="49" t="s">
        <v>16</v>
      </c>
      <c r="C42" s="33"/>
      <c r="D42" s="14">
        <v>8558.35</v>
      </c>
      <c r="E42" s="132"/>
      <c r="K42"/>
      <c r="L42"/>
      <c r="M42"/>
      <c r="N42"/>
    </row>
    <row r="43" spans="1:14" s="1" customFormat="1" ht="24" customHeight="1">
      <c r="A43" s="261" t="s">
        <v>52</v>
      </c>
      <c r="B43" s="261"/>
      <c r="C43" s="261"/>
      <c r="D43" s="261"/>
      <c r="E43" s="132"/>
      <c r="K43"/>
      <c r="L43"/>
      <c r="M43"/>
      <c r="N43"/>
    </row>
    <row r="44" spans="1:14" s="1" customFormat="1" ht="15">
      <c r="A44" s="48" t="s">
        <v>53</v>
      </c>
      <c r="B44" s="32" t="s">
        <v>54</v>
      </c>
      <c r="C44" s="33">
        <v>0</v>
      </c>
      <c r="D44" s="14">
        <v>0</v>
      </c>
      <c r="E44" s="132"/>
      <c r="K44"/>
      <c r="L44"/>
      <c r="M44"/>
      <c r="N44"/>
    </row>
    <row r="45" spans="1:14" s="1" customFormat="1" ht="15">
      <c r="A45" s="48" t="s">
        <v>55</v>
      </c>
      <c r="B45" s="32" t="s">
        <v>54</v>
      </c>
      <c r="C45" s="33">
        <v>0</v>
      </c>
      <c r="D45" s="14">
        <v>0</v>
      </c>
      <c r="E45" s="132"/>
      <c r="K45"/>
      <c r="L45"/>
      <c r="M45"/>
      <c r="N45"/>
    </row>
    <row r="46" spans="1:14" s="1" customFormat="1" ht="15">
      <c r="A46" s="50" t="s">
        <v>56</v>
      </c>
      <c r="B46" s="32" t="s">
        <v>54</v>
      </c>
      <c r="C46" s="33">
        <v>0</v>
      </c>
      <c r="D46" s="14">
        <v>0</v>
      </c>
      <c r="E46" s="132"/>
      <c r="K46"/>
      <c r="L46"/>
      <c r="M46"/>
      <c r="N46"/>
    </row>
    <row r="47" spans="1:14" s="1" customFormat="1" ht="15">
      <c r="A47" s="48" t="s">
        <v>57</v>
      </c>
      <c r="B47" s="32" t="s">
        <v>16</v>
      </c>
      <c r="C47" s="33">
        <v>0</v>
      </c>
      <c r="D47" s="14">
        <v>0</v>
      </c>
      <c r="E47" s="132"/>
      <c r="K47"/>
      <c r="L47"/>
      <c r="M47"/>
      <c r="N47"/>
    </row>
    <row r="48" spans="1:5" ht="20.25" customHeight="1">
      <c r="A48" s="262" t="s">
        <v>58</v>
      </c>
      <c r="B48" s="262"/>
      <c r="C48" s="262"/>
      <c r="D48" s="262"/>
      <c r="E48" s="132"/>
    </row>
    <row r="49" spans="1:5" ht="25.5">
      <c r="A49" s="50" t="s">
        <v>59</v>
      </c>
      <c r="B49" s="32" t="s">
        <v>16</v>
      </c>
      <c r="C49" s="33"/>
      <c r="D49" s="14">
        <v>0</v>
      </c>
      <c r="E49" s="132"/>
    </row>
    <row r="50" spans="1:5" ht="15">
      <c r="A50" s="48" t="s">
        <v>17</v>
      </c>
      <c r="B50" s="32" t="s">
        <v>16</v>
      </c>
      <c r="C50" s="33"/>
      <c r="D50" s="14">
        <v>0</v>
      </c>
      <c r="E50" s="132"/>
    </row>
    <row r="51" spans="1:8" ht="15">
      <c r="A51" s="48" t="s">
        <v>18</v>
      </c>
      <c r="B51" s="32" t="s">
        <v>16</v>
      </c>
      <c r="C51" s="33"/>
      <c r="D51" s="51">
        <f>D54-D57-D58-D59</f>
        <v>22272.899760000004</v>
      </c>
      <c r="E51" s="132"/>
      <c r="H51" s="52"/>
    </row>
    <row r="52" spans="1:5" ht="25.5">
      <c r="A52" s="53" t="s">
        <v>60</v>
      </c>
      <c r="B52" s="32" t="s">
        <v>16</v>
      </c>
      <c r="C52" s="54"/>
      <c r="D52" s="55">
        <v>0</v>
      </c>
      <c r="E52" s="132"/>
    </row>
    <row r="53" spans="1:10" ht="17.25" customHeight="1">
      <c r="A53" s="56" t="s">
        <v>17</v>
      </c>
      <c r="B53" s="32" t="s">
        <v>16</v>
      </c>
      <c r="C53" s="33"/>
      <c r="D53" s="14">
        <v>0</v>
      </c>
      <c r="E53" s="132"/>
      <c r="I53" s="52"/>
      <c r="J53" s="52"/>
    </row>
    <row r="54" spans="1:14" ht="15">
      <c r="A54" s="59" t="s">
        <v>18</v>
      </c>
      <c r="B54" s="32" t="s">
        <v>16</v>
      </c>
      <c r="C54" s="60"/>
      <c r="D54" s="61">
        <v>23735.07</v>
      </c>
      <c r="E54" s="132"/>
      <c r="H54" s="1" t="s">
        <v>32</v>
      </c>
      <c r="I54" s="63"/>
      <c r="J54" s="63"/>
      <c r="K54" s="64"/>
      <c r="L54" s="64"/>
      <c r="M54" s="64"/>
      <c r="N54" s="64"/>
    </row>
    <row r="55" spans="1:14" ht="18" customHeight="1">
      <c r="A55" s="263" t="s">
        <v>61</v>
      </c>
      <c r="B55" s="263"/>
      <c r="C55" s="263"/>
      <c r="D55" s="263"/>
      <c r="E55" s="137"/>
      <c r="F55" s="66"/>
      <c r="G55" s="67"/>
      <c r="I55" s="68"/>
      <c r="J55" s="68"/>
      <c r="K55" s="69"/>
      <c r="L55" s="69"/>
      <c r="M55" s="69"/>
      <c r="N55" s="69"/>
    </row>
    <row r="56" spans="1:14" ht="47.25">
      <c r="A56" s="70" t="s">
        <v>62</v>
      </c>
      <c r="B56" s="71" t="s">
        <v>63</v>
      </c>
      <c r="C56" s="72" t="s">
        <v>64</v>
      </c>
      <c r="D56" s="73" t="s">
        <v>65</v>
      </c>
      <c r="E56" s="137"/>
      <c r="F56" s="66"/>
      <c r="G56" s="67"/>
      <c r="I56" s="68"/>
      <c r="J56" s="74"/>
      <c r="K56" s="69"/>
      <c r="L56" s="69"/>
      <c r="M56" s="69"/>
      <c r="N56" s="69"/>
    </row>
    <row r="57" spans="1:14" ht="15">
      <c r="A57" s="75" t="s">
        <v>66</v>
      </c>
      <c r="B57" s="117">
        <v>4765.32</v>
      </c>
      <c r="C57" s="118">
        <f>B57*0.9612</f>
        <v>4580.425584</v>
      </c>
      <c r="D57" s="119">
        <f>B57-C57</f>
        <v>184.8944160000001</v>
      </c>
      <c r="E57" s="140"/>
      <c r="F57" s="66"/>
      <c r="G57" s="67"/>
      <c r="I57" s="68"/>
      <c r="J57" s="68"/>
      <c r="K57" s="69"/>
      <c r="L57" s="69"/>
      <c r="M57" s="69"/>
      <c r="N57" s="69"/>
    </row>
    <row r="58" spans="1:14" ht="15">
      <c r="A58" s="75" t="s">
        <v>67</v>
      </c>
      <c r="B58" s="117">
        <v>0</v>
      </c>
      <c r="C58" s="118">
        <f>B58*0.9705</f>
        <v>0</v>
      </c>
      <c r="D58" s="119">
        <f>B58-C58</f>
        <v>0</v>
      </c>
      <c r="E58" s="137"/>
      <c r="F58" s="66"/>
      <c r="G58" s="67"/>
      <c r="I58" s="68"/>
      <c r="J58" s="68"/>
      <c r="K58" s="69"/>
      <c r="L58" s="69"/>
      <c r="M58" s="69"/>
      <c r="N58" s="69"/>
    </row>
    <row r="59" spans="1:14" ht="15">
      <c r="A59" s="75" t="s">
        <v>68</v>
      </c>
      <c r="B59" s="120">
        <v>32919.48</v>
      </c>
      <c r="C59" s="118">
        <f>B59*0.9612</f>
        <v>31642.204176000007</v>
      </c>
      <c r="D59" s="119">
        <f>B59-C59</f>
        <v>1277.2758239999966</v>
      </c>
      <c r="E59" s="137">
        <f>(2.07+1.8)*6*2301.2-0.37*2301.2*6</f>
        <v>48325.2</v>
      </c>
      <c r="F59" s="81"/>
      <c r="G59" s="82"/>
      <c r="H59" s="65"/>
      <c r="I59" s="68"/>
      <c r="J59" s="68"/>
      <c r="K59" s="69"/>
      <c r="L59" s="69"/>
      <c r="M59" s="69"/>
      <c r="N59" s="69"/>
    </row>
    <row r="60" spans="1:14" ht="15.75" thickBot="1">
      <c r="A60" s="150" t="s">
        <v>69</v>
      </c>
      <c r="B60" s="151">
        <v>0</v>
      </c>
      <c r="C60" s="152">
        <f>B60*0.9705</f>
        <v>0</v>
      </c>
      <c r="D60" s="153">
        <f>B60-C60</f>
        <v>0</v>
      </c>
      <c r="E60" s="137"/>
      <c r="F60" s="81"/>
      <c r="G60" s="82"/>
      <c r="I60" s="68"/>
      <c r="J60" s="68"/>
      <c r="K60" s="69"/>
      <c r="L60" s="69"/>
      <c r="M60" s="69"/>
      <c r="N60" s="69"/>
    </row>
    <row r="61" spans="1:14" ht="63">
      <c r="A61" s="154" t="s">
        <v>70</v>
      </c>
      <c r="B61" s="155" t="s">
        <v>71</v>
      </c>
      <c r="C61" s="156" t="s">
        <v>72</v>
      </c>
      <c r="D61" s="157" t="s">
        <v>73</v>
      </c>
      <c r="E61" s="137"/>
      <c r="F61" s="81"/>
      <c r="H61" s="68"/>
      <c r="I61" s="68"/>
      <c r="J61" s="68"/>
      <c r="K61" s="69"/>
      <c r="L61" s="69"/>
      <c r="M61" s="69"/>
      <c r="N61" s="69"/>
    </row>
    <row r="62" spans="1:14" ht="15">
      <c r="A62" s="158" t="s">
        <v>66</v>
      </c>
      <c r="B62" s="124">
        <f>B57</f>
        <v>4765.32</v>
      </c>
      <c r="C62" s="125">
        <f>B62*0.9622</f>
        <v>4585.190904</v>
      </c>
      <c r="D62" s="159">
        <f>B62-C62</f>
        <v>180.12909599999966</v>
      </c>
      <c r="E62" s="137"/>
      <c r="F62" s="81"/>
      <c r="H62" s="68"/>
      <c r="I62" s="68"/>
      <c r="J62" s="68" t="s">
        <v>32</v>
      </c>
      <c r="K62" s="69"/>
      <c r="L62" s="69"/>
      <c r="M62" s="69"/>
      <c r="N62" s="69"/>
    </row>
    <row r="63" spans="1:14" ht="15">
      <c r="A63" s="158" t="s">
        <v>67</v>
      </c>
      <c r="B63" s="124">
        <f>B58</f>
        <v>0</v>
      </c>
      <c r="C63" s="125">
        <f>C58*1.0063</f>
        <v>0</v>
      </c>
      <c r="D63" s="159">
        <f>B63-C63</f>
        <v>0</v>
      </c>
      <c r="E63" s="137"/>
      <c r="F63" s="81"/>
      <c r="H63" s="68"/>
      <c r="I63" s="68"/>
      <c r="J63" s="68"/>
      <c r="K63" s="69"/>
      <c r="L63" s="69"/>
      <c r="M63" s="69"/>
      <c r="N63" s="69"/>
    </row>
    <row r="64" spans="1:14" ht="15">
      <c r="A64" s="158" t="s">
        <v>68</v>
      </c>
      <c r="B64" s="124">
        <f>B59</f>
        <v>32919.48</v>
      </c>
      <c r="C64" s="125">
        <f>C59</f>
        <v>31642.204176000007</v>
      </c>
      <c r="D64" s="159">
        <f>B64-C64</f>
        <v>1277.2758239999966</v>
      </c>
      <c r="E64" s="137"/>
      <c r="F64" s="81"/>
      <c r="H64" s="68"/>
      <c r="I64" s="68"/>
      <c r="J64" s="68"/>
      <c r="K64" s="69"/>
      <c r="L64" s="69"/>
      <c r="M64" s="69"/>
      <c r="N64" s="69"/>
    </row>
    <row r="65" spans="1:14" ht="15">
      <c r="A65" s="158" t="s">
        <v>74</v>
      </c>
      <c r="B65" s="124">
        <v>0</v>
      </c>
      <c r="C65" s="125">
        <v>0</v>
      </c>
      <c r="D65" s="159">
        <f>B65-C65</f>
        <v>0</v>
      </c>
      <c r="E65" s="65"/>
      <c r="F65" s="81"/>
      <c r="H65" s="68"/>
      <c r="I65" s="68"/>
      <c r="J65" s="68"/>
      <c r="K65" s="69"/>
      <c r="L65" s="69"/>
      <c r="M65" s="69"/>
      <c r="N65" s="69"/>
    </row>
    <row r="66" spans="1:14" ht="15.75" thickBot="1">
      <c r="A66" s="160" t="s">
        <v>69</v>
      </c>
      <c r="B66" s="161">
        <v>0</v>
      </c>
      <c r="C66" s="162">
        <v>0</v>
      </c>
      <c r="D66" s="163">
        <f>B66-C66</f>
        <v>0</v>
      </c>
      <c r="E66" s="65"/>
      <c r="F66" s="81"/>
      <c r="H66" s="68" t="s">
        <v>32</v>
      </c>
      <c r="I66" s="68"/>
      <c r="J66" s="68"/>
      <c r="K66" s="69"/>
      <c r="L66" s="69"/>
      <c r="M66" s="69"/>
      <c r="N66" s="69"/>
    </row>
    <row r="67" spans="1:14" ht="15">
      <c r="A67" s="91"/>
      <c r="B67" s="87"/>
      <c r="C67" s="92"/>
      <c r="D67" s="93"/>
      <c r="E67" s="65"/>
      <c r="F67" s="81"/>
      <c r="H67" s="68"/>
      <c r="I67" s="68"/>
      <c r="J67" s="68"/>
      <c r="K67" s="69"/>
      <c r="L67" s="69"/>
      <c r="M67" s="69"/>
      <c r="N67" s="69"/>
    </row>
    <row r="68" spans="1:14" ht="25.5">
      <c r="A68" s="94" t="s">
        <v>75</v>
      </c>
      <c r="B68" s="87" t="s">
        <v>16</v>
      </c>
      <c r="C68" s="95"/>
      <c r="D68" s="96"/>
      <c r="E68" s="65"/>
      <c r="F68" s="81"/>
      <c r="H68" s="68"/>
      <c r="I68" s="68"/>
      <c r="J68" s="68" t="s">
        <v>32</v>
      </c>
      <c r="K68" s="69"/>
      <c r="L68" s="69"/>
      <c r="M68" s="69"/>
      <c r="N68" s="69"/>
    </row>
    <row r="69" spans="1:14" ht="17.25" customHeight="1">
      <c r="A69" s="264" t="s">
        <v>76</v>
      </c>
      <c r="B69" s="264"/>
      <c r="C69" s="264"/>
      <c r="D69" s="264"/>
      <c r="E69" s="97" t="e">
        <f>D69+B19</f>
        <v>#VALUE!</v>
      </c>
      <c r="F69" s="68"/>
      <c r="H69" s="98" t="e">
        <f>E69-B18</f>
        <v>#VALUE!</v>
      </c>
      <c r="I69" s="68"/>
      <c r="J69" s="68"/>
      <c r="K69" s="69"/>
      <c r="L69" s="69"/>
      <c r="M69" s="69"/>
      <c r="N69" s="69"/>
    </row>
    <row r="70" spans="1:5" ht="21" customHeight="1">
      <c r="A70" s="99" t="s">
        <v>53</v>
      </c>
      <c r="B70" s="99" t="s">
        <v>54</v>
      </c>
      <c r="C70" s="100">
        <v>0</v>
      </c>
      <c r="D70" s="101"/>
      <c r="E70" s="102"/>
    </row>
    <row r="71" spans="1:5" ht="21" customHeight="1">
      <c r="A71" s="99" t="s">
        <v>55</v>
      </c>
      <c r="B71" s="99" t="s">
        <v>54</v>
      </c>
      <c r="C71" s="99">
        <v>0</v>
      </c>
      <c r="D71" s="101"/>
      <c r="E71" s="102"/>
    </row>
    <row r="72" spans="1:5" ht="18" customHeight="1">
      <c r="A72" s="99" t="s">
        <v>56</v>
      </c>
      <c r="B72" s="99" t="s">
        <v>54</v>
      </c>
      <c r="C72" s="99">
        <v>0</v>
      </c>
      <c r="D72" s="101"/>
      <c r="E72" s="102"/>
    </row>
    <row r="73" spans="1:5" ht="16.5" customHeight="1">
      <c r="A73" s="99" t="s">
        <v>57</v>
      </c>
      <c r="B73" s="99" t="s">
        <v>16</v>
      </c>
      <c r="C73" s="99">
        <v>0</v>
      </c>
      <c r="D73" s="101"/>
      <c r="E73" s="102"/>
    </row>
    <row r="74" spans="1:5" ht="15.75" customHeight="1">
      <c r="A74" s="258" t="s">
        <v>77</v>
      </c>
      <c r="B74" s="258"/>
      <c r="C74" s="258"/>
      <c r="D74" s="258"/>
      <c r="E74" s="102"/>
    </row>
    <row r="75" spans="1:5" ht="18.75" customHeight="1">
      <c r="A75" s="99" t="s">
        <v>78</v>
      </c>
      <c r="B75" s="99" t="s">
        <v>54</v>
      </c>
      <c r="C75" s="99">
        <v>0</v>
      </c>
      <c r="D75" s="101"/>
      <c r="E75" s="102"/>
    </row>
    <row r="76" spans="1:5" ht="21.75" customHeight="1">
      <c r="A76" s="99" t="s">
        <v>79</v>
      </c>
      <c r="B76" s="56" t="s">
        <v>54</v>
      </c>
      <c r="C76" s="56">
        <v>0</v>
      </c>
      <c r="D76" s="101"/>
      <c r="E76" s="102"/>
    </row>
    <row r="77" spans="1:5" ht="36" customHeight="1">
      <c r="A77" s="103" t="s">
        <v>80</v>
      </c>
      <c r="B77" s="99" t="s">
        <v>16</v>
      </c>
      <c r="C77" s="99">
        <v>0</v>
      </c>
      <c r="D77" s="101"/>
      <c r="E77" s="102"/>
    </row>
    <row r="78" spans="1:4" ht="15">
      <c r="A78" s="69"/>
      <c r="B78" s="69"/>
      <c r="C78" s="69"/>
      <c r="D78" s="104"/>
    </row>
    <row r="79" spans="1:14" s="1" customFormat="1" ht="12.75">
      <c r="A79"/>
      <c r="B79"/>
      <c r="C79"/>
      <c r="D79"/>
      <c r="H79" s="1" t="s">
        <v>32</v>
      </c>
      <c r="K79"/>
      <c r="L79"/>
      <c r="M79"/>
      <c r="N79"/>
    </row>
    <row r="80" spans="1:14" s="1" customFormat="1" ht="12.75">
      <c r="A80" t="s">
        <v>81</v>
      </c>
      <c r="B80"/>
      <c r="C80"/>
      <c r="D80"/>
      <c r="K80"/>
      <c r="L80"/>
      <c r="M80"/>
      <c r="N80"/>
    </row>
    <row r="81" spans="1:14" s="1" customFormat="1" ht="12.75">
      <c r="A81"/>
      <c r="B81"/>
      <c r="C81"/>
      <c r="D81"/>
      <c r="H81" s="1" t="s">
        <v>32</v>
      </c>
      <c r="K81"/>
      <c r="L81"/>
      <c r="M81"/>
      <c r="N81"/>
    </row>
    <row r="82" spans="1:14" s="1" customFormat="1" ht="12.75">
      <c r="A82" t="s">
        <v>82</v>
      </c>
      <c r="B82"/>
      <c r="C82"/>
      <c r="D82"/>
      <c r="K82"/>
      <c r="L82"/>
      <c r="M82"/>
      <c r="N82"/>
    </row>
    <row r="86" spans="1:14" s="1" customFormat="1" ht="12.75">
      <c r="A86"/>
      <c r="B86"/>
      <c r="C86"/>
      <c r="D86"/>
      <c r="E86" s="1" t="s">
        <v>32</v>
      </c>
      <c r="K86"/>
      <c r="L86"/>
      <c r="M86"/>
      <c r="N86"/>
    </row>
  </sheetData>
  <sheetProtection selectLockedCells="1" selectUnlockedCells="1"/>
  <mergeCells count="13">
    <mergeCell ref="A1:D1"/>
    <mergeCell ref="A2:D2"/>
    <mergeCell ref="A3:D3"/>
    <mergeCell ref="A4:D4"/>
    <mergeCell ref="A5:D5"/>
    <mergeCell ref="A7:D7"/>
    <mergeCell ref="A74:D74"/>
    <mergeCell ref="A14:D14"/>
    <mergeCell ref="A29:D29"/>
    <mergeCell ref="A43:D43"/>
    <mergeCell ref="A48:D48"/>
    <mergeCell ref="A55:D55"/>
    <mergeCell ref="A69:D69"/>
  </mergeCells>
  <printOptions/>
  <pageMargins left="0.5597222222222222" right="0.7875" top="0.34097222222222223" bottom="0.7875" header="0.5118055555555555" footer="0.5118055555555555"/>
  <pageSetup fitToHeight="3" fitToWidth="2" horizontalDpi="300" verticalDpi="300" orientation="landscape" paperSize="12" r:id="rId1"/>
</worksheet>
</file>

<file path=xl/worksheets/sheet4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6"/>
  <sheetViews>
    <sheetView zoomScale="80" zoomScaleNormal="80" zoomScalePageLayoutView="0" workbookViewId="0" topLeftCell="A5">
      <selection activeCell="E18" sqref="E18:E21"/>
    </sheetView>
  </sheetViews>
  <sheetFormatPr defaultColWidth="11.57421875" defaultRowHeight="12.75"/>
  <cols>
    <col min="1" max="1" width="63.28125" style="0" customWidth="1"/>
    <col min="2" max="2" width="20.28125" style="0" customWidth="1"/>
    <col min="3" max="3" width="31.421875" style="0" customWidth="1"/>
    <col min="4" max="4" width="27.57421875" style="0" customWidth="1"/>
    <col min="5" max="5" width="16.8515625" style="1" customWidth="1"/>
    <col min="6" max="7" width="0" style="1" hidden="1" customWidth="1"/>
    <col min="8" max="8" width="11.57421875" style="1" customWidth="1"/>
    <col min="9" max="9" width="5.28125" style="1" customWidth="1"/>
    <col min="10" max="10" width="30.00390625" style="1" customWidth="1"/>
    <col min="11" max="12" width="23.28125" style="0" customWidth="1"/>
    <col min="13" max="13" width="6.57421875" style="0" customWidth="1"/>
    <col min="14" max="14" width="7.00390625" style="0" customWidth="1"/>
  </cols>
  <sheetData>
    <row r="1" spans="1:4" ht="18">
      <c r="A1" s="265" t="s">
        <v>0</v>
      </c>
      <c r="B1" s="265"/>
      <c r="C1" s="265"/>
      <c r="D1" s="265"/>
    </row>
    <row r="2" spans="1:4" ht="15.75">
      <c r="A2" s="266" t="s">
        <v>1</v>
      </c>
      <c r="B2" s="266"/>
      <c r="C2" s="266"/>
      <c r="D2" s="266"/>
    </row>
    <row r="3" spans="1:4" ht="15.75">
      <c r="A3" s="266" t="s">
        <v>2</v>
      </c>
      <c r="B3" s="266"/>
      <c r="C3" s="266"/>
      <c r="D3" s="266"/>
    </row>
    <row r="4" spans="1:4" ht="12.75">
      <c r="A4" s="267" t="s">
        <v>149</v>
      </c>
      <c r="B4" s="267"/>
      <c r="C4" s="267"/>
      <c r="D4" s="267"/>
    </row>
    <row r="5" spans="1:4" ht="12.75">
      <c r="A5" s="268" t="s">
        <v>171</v>
      </c>
      <c r="B5" s="267"/>
      <c r="C5" s="267"/>
      <c r="D5" s="267"/>
    </row>
    <row r="6" ht="9" customHeight="1">
      <c r="A6" s="2"/>
    </row>
    <row r="7" spans="1:4" ht="18" customHeight="1">
      <c r="A7" s="269" t="s">
        <v>4</v>
      </c>
      <c r="B7" s="269"/>
      <c r="C7" s="269"/>
      <c r="D7" s="269"/>
    </row>
    <row r="8" spans="1:3" ht="12.75">
      <c r="A8" s="2" t="s">
        <v>266</v>
      </c>
      <c r="C8" s="3"/>
    </row>
    <row r="9" spans="1:4" ht="12.75">
      <c r="A9" s="4" t="s">
        <v>5</v>
      </c>
      <c r="B9" s="4" t="s">
        <v>6</v>
      </c>
      <c r="C9" s="4" t="s">
        <v>7</v>
      </c>
      <c r="D9" s="5"/>
    </row>
    <row r="10" spans="1:5" ht="12.75">
      <c r="A10" s="6">
        <v>1</v>
      </c>
      <c r="B10" s="6">
        <v>2</v>
      </c>
      <c r="C10" s="6">
        <v>3</v>
      </c>
      <c r="D10" s="7">
        <v>4</v>
      </c>
      <c r="E10" s="132"/>
    </row>
    <row r="11" spans="1:5" ht="12.75">
      <c r="A11" s="8" t="s">
        <v>8</v>
      </c>
      <c r="B11" s="9"/>
      <c r="C11" s="177" t="s">
        <v>172</v>
      </c>
      <c r="D11" s="10"/>
      <c r="E11" s="132"/>
    </row>
    <row r="12" spans="1:5" ht="12.75">
      <c r="A12" s="8" t="s">
        <v>10</v>
      </c>
      <c r="B12" s="9"/>
      <c r="C12" s="177" t="s">
        <v>173</v>
      </c>
      <c r="D12" s="10"/>
      <c r="E12" s="132"/>
    </row>
    <row r="13" spans="1:5" ht="12.75">
      <c r="A13" s="8" t="s">
        <v>12</v>
      </c>
      <c r="B13" s="9"/>
      <c r="C13" s="177" t="s">
        <v>174</v>
      </c>
      <c r="D13" s="10"/>
      <c r="E13" s="132"/>
    </row>
    <row r="14" spans="1:5" ht="31.5" customHeight="1">
      <c r="A14" s="259" t="s">
        <v>14</v>
      </c>
      <c r="B14" s="259"/>
      <c r="C14" s="259"/>
      <c r="D14" s="259"/>
      <c r="E14" s="132"/>
    </row>
    <row r="15" spans="1:5" ht="25.5">
      <c r="A15" s="11" t="s">
        <v>15</v>
      </c>
      <c r="B15" s="12" t="s">
        <v>16</v>
      </c>
      <c r="C15" s="13">
        <v>17418.74</v>
      </c>
      <c r="D15" s="14"/>
      <c r="E15" s="62"/>
    </row>
    <row r="16" spans="1:5" ht="15">
      <c r="A16" s="8" t="s">
        <v>17</v>
      </c>
      <c r="B16" s="12" t="s">
        <v>16</v>
      </c>
      <c r="C16" s="13">
        <v>0</v>
      </c>
      <c r="D16" s="14"/>
      <c r="E16" s="62"/>
    </row>
    <row r="17" spans="1:5" ht="15">
      <c r="A17" s="8" t="s">
        <v>18</v>
      </c>
      <c r="B17" s="12" t="s">
        <v>16</v>
      </c>
      <c r="C17" s="15">
        <v>7848.36</v>
      </c>
      <c r="D17" s="16"/>
      <c r="E17" s="62"/>
    </row>
    <row r="18" spans="1:5" ht="31.5" customHeight="1">
      <c r="A18" s="17" t="s">
        <v>19</v>
      </c>
      <c r="B18" s="12" t="s">
        <v>16</v>
      </c>
      <c r="C18" s="15">
        <v>14773.68</v>
      </c>
      <c r="D18" s="16"/>
      <c r="E18" s="133">
        <f>C18-C20</f>
        <v>11799.12</v>
      </c>
    </row>
    <row r="19" spans="1:5" ht="15">
      <c r="A19" s="8" t="s">
        <v>20</v>
      </c>
      <c r="B19" s="12" t="s">
        <v>16</v>
      </c>
      <c r="C19" s="15">
        <f>C18-C20-C21</f>
        <v>6341.328</v>
      </c>
      <c r="D19" s="16"/>
      <c r="E19" s="133">
        <f>E18-E39</f>
        <v>0</v>
      </c>
    </row>
    <row r="20" spans="1:5" ht="15">
      <c r="A20" s="8" t="s">
        <v>21</v>
      </c>
      <c r="B20" s="12" t="s">
        <v>16</v>
      </c>
      <c r="C20" s="15">
        <f>(0.32+0.48)*6*93.2+2527.2</f>
        <v>2974.56</v>
      </c>
      <c r="D20" s="16"/>
      <c r="E20" s="134"/>
    </row>
    <row r="21" spans="1:5" ht="15">
      <c r="A21" s="8" t="s">
        <v>22</v>
      </c>
      <c r="B21" s="12" t="s">
        <v>16</v>
      </c>
      <c r="C21" s="20">
        <f>93.2*4.88*12</f>
        <v>5457.792</v>
      </c>
      <c r="D21" s="16"/>
      <c r="E21" s="132"/>
    </row>
    <row r="22" spans="1:5" ht="15">
      <c r="A22" s="21" t="s">
        <v>23</v>
      </c>
      <c r="B22" s="12" t="s">
        <v>16</v>
      </c>
      <c r="C22" s="15">
        <f>C23+C24+C25+C26+C27</f>
        <v>20996.354016</v>
      </c>
      <c r="D22" s="16" t="s">
        <v>24</v>
      </c>
      <c r="E22" s="133" t="e">
        <f>B24+B25+B26+B27+B28</f>
        <v>#VALUE!</v>
      </c>
    </row>
    <row r="23" spans="1:5" ht="15">
      <c r="A23" s="8" t="s">
        <v>25</v>
      </c>
      <c r="B23" s="12" t="s">
        <v>16</v>
      </c>
      <c r="C23" s="15">
        <f>C18*1.4212</f>
        <v>20996.354016</v>
      </c>
      <c r="D23" s="16"/>
      <c r="E23" s="132"/>
    </row>
    <row r="24" spans="1:8" ht="15">
      <c r="A24" s="8" t="s">
        <v>26</v>
      </c>
      <c r="B24" s="12" t="s">
        <v>16</v>
      </c>
      <c r="C24" s="15">
        <v>0</v>
      </c>
      <c r="D24" s="22">
        <v>65.21</v>
      </c>
      <c r="E24" s="134" t="e">
        <f>B24/#REF!*1</f>
        <v>#VALUE!</v>
      </c>
      <c r="H24" s="1" t="s">
        <v>27</v>
      </c>
    </row>
    <row r="25" spans="1:5" ht="15">
      <c r="A25" s="8" t="s">
        <v>28</v>
      </c>
      <c r="B25" s="12" t="s">
        <v>16</v>
      </c>
      <c r="C25" s="15">
        <v>0</v>
      </c>
      <c r="D25" s="22">
        <v>119.63</v>
      </c>
      <c r="E25" s="134" t="e">
        <f>B25/#REF!*1</f>
        <v>#VALUE!</v>
      </c>
    </row>
    <row r="26" spans="1:5" ht="15">
      <c r="A26" s="9" t="s">
        <v>29</v>
      </c>
      <c r="B26" s="12" t="s">
        <v>16</v>
      </c>
      <c r="C26" s="15">
        <v>0</v>
      </c>
      <c r="D26" s="22"/>
      <c r="E26" s="134" t="e">
        <f>B26/#REF!*1</f>
        <v>#VALUE!</v>
      </c>
    </row>
    <row r="27" spans="1:5" ht="16.5" customHeight="1">
      <c r="A27" s="116" t="s">
        <v>112</v>
      </c>
      <c r="B27" s="12" t="s">
        <v>16</v>
      </c>
      <c r="C27" s="15">
        <v>0</v>
      </c>
      <c r="D27" s="22">
        <v>139.18</v>
      </c>
      <c r="E27" s="134" t="e">
        <f>B27/#REF!*1</f>
        <v>#VALUE!</v>
      </c>
    </row>
    <row r="28" spans="1:5" ht="15">
      <c r="A28" s="8" t="s">
        <v>31</v>
      </c>
      <c r="B28" s="12" t="s">
        <v>16</v>
      </c>
      <c r="C28" s="15">
        <f>C15+C22</f>
        <v>38415.094016</v>
      </c>
      <c r="D28" s="16" t="s">
        <v>32</v>
      </c>
      <c r="E28" s="134" t="e">
        <f>B28/#REF!*1</f>
        <v>#VALUE!</v>
      </c>
    </row>
    <row r="29" spans="1:5" ht="35.25" customHeight="1">
      <c r="A29" s="260" t="s">
        <v>33</v>
      </c>
      <c r="B29" s="260"/>
      <c r="C29" s="260"/>
      <c r="D29" s="260"/>
      <c r="E29" s="132"/>
    </row>
    <row r="30" spans="1:5" ht="60">
      <c r="A30" s="23" t="s">
        <v>34</v>
      </c>
      <c r="B30" s="24" t="s">
        <v>35</v>
      </c>
      <c r="C30" s="25" t="s">
        <v>36</v>
      </c>
      <c r="D30" s="26" t="s">
        <v>37</v>
      </c>
      <c r="E30" s="132"/>
    </row>
    <row r="31" spans="1:5" ht="15">
      <c r="A31" s="27" t="s">
        <v>38</v>
      </c>
      <c r="B31" s="28" t="s">
        <v>39</v>
      </c>
      <c r="C31" s="29" t="s">
        <v>40</v>
      </c>
      <c r="D31" s="107">
        <f>(0.17+0.16)*6*93.2</f>
        <v>184.536</v>
      </c>
      <c r="E31" s="132"/>
    </row>
    <row r="32" spans="1:5" ht="15">
      <c r="A32" s="31" t="s">
        <v>41</v>
      </c>
      <c r="B32" s="32" t="s">
        <v>42</v>
      </c>
      <c r="C32" s="33" t="s">
        <v>43</v>
      </c>
      <c r="D32" s="34">
        <f>(3.03+3)*6*93.2</f>
        <v>3371.975999999999</v>
      </c>
      <c r="E32" s="132"/>
    </row>
    <row r="33" spans="1:5" ht="15">
      <c r="A33" s="31" t="s">
        <v>44</v>
      </c>
      <c r="B33" s="32" t="s">
        <v>39</v>
      </c>
      <c r="C33" s="33" t="s">
        <v>45</v>
      </c>
      <c r="D33" s="108">
        <f>(0.2+0.21)*6*93.2</f>
        <v>229.272</v>
      </c>
      <c r="E33" s="132"/>
    </row>
    <row r="34" spans="1:5" ht="15">
      <c r="A34" s="31" t="s">
        <v>123</v>
      </c>
      <c r="B34" s="32" t="s">
        <v>39</v>
      </c>
      <c r="C34" s="33" t="s">
        <v>40</v>
      </c>
      <c r="D34" s="108">
        <f>(0.74+0.71)*6*93.2</f>
        <v>810.8399999999999</v>
      </c>
      <c r="E34" s="132"/>
    </row>
    <row r="35" spans="1:5" ht="15">
      <c r="A35" s="31" t="s">
        <v>90</v>
      </c>
      <c r="B35" s="106" t="s">
        <v>91</v>
      </c>
      <c r="C35" s="33" t="s">
        <v>40</v>
      </c>
      <c r="D35" s="108">
        <f>(1.33+1.27)*6*93.2</f>
        <v>1453.92</v>
      </c>
      <c r="E35" s="132"/>
    </row>
    <row r="36" spans="1:5" ht="15">
      <c r="A36" s="31" t="s">
        <v>46</v>
      </c>
      <c r="B36" s="32" t="s">
        <v>42</v>
      </c>
      <c r="C36" s="35" t="s">
        <v>47</v>
      </c>
      <c r="D36" s="108">
        <f>4.88*93.2*12</f>
        <v>5457.792</v>
      </c>
      <c r="E36" s="132"/>
    </row>
    <row r="37" spans="1:14" s="1" customFormat="1" ht="45">
      <c r="A37" s="36" t="s">
        <v>48</v>
      </c>
      <c r="B37" s="37" t="s">
        <v>49</v>
      </c>
      <c r="C37" s="131" t="s">
        <v>86</v>
      </c>
      <c r="D37" s="39">
        <v>0</v>
      </c>
      <c r="E37" s="132"/>
      <c r="K37"/>
      <c r="L37"/>
      <c r="M37"/>
      <c r="N37"/>
    </row>
    <row r="38" spans="1:14" s="1" customFormat="1" ht="45">
      <c r="A38" s="109" t="s">
        <v>95</v>
      </c>
      <c r="B38" s="110" t="s">
        <v>96</v>
      </c>
      <c r="C38" s="29" t="s">
        <v>97</v>
      </c>
      <c r="D38" s="112">
        <f>93.2*6*0.52</f>
        <v>290.78400000000005</v>
      </c>
      <c r="E38" s="132"/>
      <c r="K38"/>
      <c r="L38"/>
      <c r="M38"/>
      <c r="N38"/>
    </row>
    <row r="39" spans="1:14" s="1" customFormat="1" ht="15.75">
      <c r="A39" s="40" t="s">
        <v>50</v>
      </c>
      <c r="B39" s="41"/>
      <c r="C39" s="42"/>
      <c r="D39" s="113">
        <f>SUM(D31:D38)</f>
        <v>11799.119999999999</v>
      </c>
      <c r="E39" s="135">
        <f>D39-D37</f>
        <v>11799.119999999999</v>
      </c>
      <c r="K39"/>
      <c r="L39"/>
      <c r="M39"/>
      <c r="N39"/>
    </row>
    <row r="40" spans="1:14" s="1" customFormat="1" ht="15">
      <c r="A40" s="43" t="s">
        <v>51</v>
      </c>
      <c r="B40" s="44" t="s">
        <v>16</v>
      </c>
      <c r="C40" s="45"/>
      <c r="D40" s="46">
        <f>C15+C20*1.4212-D37</f>
        <v>21646.184672000003</v>
      </c>
      <c r="E40" s="135"/>
      <c r="K40"/>
      <c r="L40"/>
      <c r="M40"/>
      <c r="N40"/>
    </row>
    <row r="41" spans="1:14" s="1" customFormat="1" ht="15">
      <c r="A41" s="48" t="s">
        <v>17</v>
      </c>
      <c r="B41" s="49" t="s">
        <v>16</v>
      </c>
      <c r="C41" s="33"/>
      <c r="D41" s="14"/>
      <c r="E41" s="132"/>
      <c r="K41"/>
      <c r="L41"/>
      <c r="M41"/>
      <c r="N41"/>
    </row>
    <row r="42" spans="1:14" s="1" customFormat="1" ht="15">
      <c r="A42" s="48" t="s">
        <v>18</v>
      </c>
      <c r="B42" s="49" t="s">
        <v>16</v>
      </c>
      <c r="C42" s="33"/>
      <c r="D42" s="14">
        <v>443.93</v>
      </c>
      <c r="E42" s="132"/>
      <c r="K42"/>
      <c r="L42"/>
      <c r="M42"/>
      <c r="N42"/>
    </row>
    <row r="43" spans="1:14" s="1" customFormat="1" ht="24" customHeight="1">
      <c r="A43" s="261" t="s">
        <v>52</v>
      </c>
      <c r="B43" s="261"/>
      <c r="C43" s="261"/>
      <c r="D43" s="261"/>
      <c r="E43" s="132"/>
      <c r="K43"/>
      <c r="L43"/>
      <c r="M43"/>
      <c r="N43"/>
    </row>
    <row r="44" spans="1:14" s="1" customFormat="1" ht="15">
      <c r="A44" s="48" t="s">
        <v>53</v>
      </c>
      <c r="B44" s="32" t="s">
        <v>54</v>
      </c>
      <c r="C44" s="33">
        <v>0</v>
      </c>
      <c r="D44" s="14">
        <v>0</v>
      </c>
      <c r="E44" s="132"/>
      <c r="K44"/>
      <c r="L44"/>
      <c r="M44"/>
      <c r="N44"/>
    </row>
    <row r="45" spans="1:14" s="1" customFormat="1" ht="15">
      <c r="A45" s="48" t="s">
        <v>55</v>
      </c>
      <c r="B45" s="32" t="s">
        <v>54</v>
      </c>
      <c r="C45" s="33">
        <v>0</v>
      </c>
      <c r="D45" s="14">
        <v>0</v>
      </c>
      <c r="E45" s="132"/>
      <c r="K45"/>
      <c r="L45"/>
      <c r="M45"/>
      <c r="N45"/>
    </row>
    <row r="46" spans="1:14" s="1" customFormat="1" ht="15">
      <c r="A46" s="50" t="s">
        <v>56</v>
      </c>
      <c r="B46" s="32" t="s">
        <v>54</v>
      </c>
      <c r="C46" s="33">
        <v>0</v>
      </c>
      <c r="D46" s="14">
        <v>0</v>
      </c>
      <c r="E46" s="132"/>
      <c r="K46"/>
      <c r="L46"/>
      <c r="M46"/>
      <c r="N46"/>
    </row>
    <row r="47" spans="1:14" s="1" customFormat="1" ht="15">
      <c r="A47" s="48" t="s">
        <v>57</v>
      </c>
      <c r="B47" s="32" t="s">
        <v>16</v>
      </c>
      <c r="C47" s="33">
        <v>0</v>
      </c>
      <c r="D47" s="14">
        <v>0</v>
      </c>
      <c r="E47" s="132"/>
      <c r="K47"/>
      <c r="L47"/>
      <c r="M47"/>
      <c r="N47"/>
    </row>
    <row r="48" spans="1:5" ht="20.25" customHeight="1">
      <c r="A48" s="262" t="s">
        <v>58</v>
      </c>
      <c r="B48" s="262"/>
      <c r="C48" s="262"/>
      <c r="D48" s="262"/>
      <c r="E48" s="132"/>
    </row>
    <row r="49" spans="1:5" ht="25.5">
      <c r="A49" s="50" t="s">
        <v>59</v>
      </c>
      <c r="B49" s="32" t="s">
        <v>16</v>
      </c>
      <c r="C49" s="33"/>
      <c r="D49" s="14">
        <v>0</v>
      </c>
      <c r="E49" s="132"/>
    </row>
    <row r="50" spans="1:5" ht="15">
      <c r="A50" s="48" t="s">
        <v>17</v>
      </c>
      <c r="B50" s="32" t="s">
        <v>16</v>
      </c>
      <c r="C50" s="33"/>
      <c r="D50" s="14">
        <v>0</v>
      </c>
      <c r="E50" s="132"/>
    </row>
    <row r="51" spans="1:8" ht="15">
      <c r="A51" s="48" t="s">
        <v>18</v>
      </c>
      <c r="B51" s="32" t="s">
        <v>16</v>
      </c>
      <c r="C51" s="33"/>
      <c r="D51" s="51">
        <f>D54-D57-D58-D59</f>
        <v>22476.893116000003</v>
      </c>
      <c r="E51" s="132"/>
      <c r="H51" s="52"/>
    </row>
    <row r="52" spans="1:5" ht="25.5">
      <c r="A52" s="53" t="s">
        <v>60</v>
      </c>
      <c r="B52" s="32" t="s">
        <v>16</v>
      </c>
      <c r="C52" s="54"/>
      <c r="D52" s="55">
        <v>0</v>
      </c>
      <c r="E52" s="132"/>
    </row>
    <row r="53" spans="1:10" ht="17.25" customHeight="1">
      <c r="A53" s="56" t="s">
        <v>17</v>
      </c>
      <c r="B53" s="32" t="s">
        <v>16</v>
      </c>
      <c r="C53" s="33"/>
      <c r="D53" s="14">
        <v>0</v>
      </c>
      <c r="E53" s="132"/>
      <c r="I53" s="52"/>
      <c r="J53" s="52"/>
    </row>
    <row r="54" spans="1:14" ht="15">
      <c r="A54" s="59" t="s">
        <v>18</v>
      </c>
      <c r="B54" s="32" t="s">
        <v>16</v>
      </c>
      <c r="C54" s="60"/>
      <c r="D54" s="61">
        <v>1496.74</v>
      </c>
      <c r="E54" s="132"/>
      <c r="H54" s="1" t="s">
        <v>32</v>
      </c>
      <c r="I54" s="63"/>
      <c r="J54" s="63"/>
      <c r="K54" s="64"/>
      <c r="L54" s="64"/>
      <c r="M54" s="64"/>
      <c r="N54" s="64"/>
    </row>
    <row r="55" spans="1:14" ht="18" customHeight="1">
      <c r="A55" s="263" t="s">
        <v>61</v>
      </c>
      <c r="B55" s="263"/>
      <c r="C55" s="263"/>
      <c r="D55" s="263"/>
      <c r="E55" s="137"/>
      <c r="F55" s="66"/>
      <c r="G55" s="67"/>
      <c r="I55" s="68"/>
      <c r="J55" s="68"/>
      <c r="K55" s="69"/>
      <c r="L55" s="69"/>
      <c r="M55" s="69"/>
      <c r="N55" s="69"/>
    </row>
    <row r="56" spans="1:14" ht="47.25">
      <c r="A56" s="70" t="s">
        <v>62</v>
      </c>
      <c r="B56" s="71" t="s">
        <v>63</v>
      </c>
      <c r="C56" s="72" t="s">
        <v>64</v>
      </c>
      <c r="D56" s="73" t="s">
        <v>65</v>
      </c>
      <c r="E56" s="137"/>
      <c r="F56" s="66"/>
      <c r="G56" s="67"/>
      <c r="I56" s="68"/>
      <c r="J56" s="74"/>
      <c r="K56" s="69"/>
      <c r="L56" s="69"/>
      <c r="M56" s="69"/>
      <c r="N56" s="69"/>
    </row>
    <row r="57" spans="1:14" ht="15">
      <c r="A57" s="75" t="s">
        <v>66</v>
      </c>
      <c r="B57" s="117">
        <v>10875.23</v>
      </c>
      <c r="C57" s="118">
        <f>B57*1.4212</f>
        <v>15455.876876</v>
      </c>
      <c r="D57" s="119">
        <f>B57-C57</f>
        <v>-4580.646876000001</v>
      </c>
      <c r="E57" s="140"/>
      <c r="F57" s="66"/>
      <c r="G57" s="67"/>
      <c r="I57" s="68"/>
      <c r="J57" s="68"/>
      <c r="K57" s="69"/>
      <c r="L57" s="69"/>
      <c r="M57" s="69"/>
      <c r="N57" s="69"/>
    </row>
    <row r="58" spans="1:14" ht="15">
      <c r="A58" s="75" t="s">
        <v>67</v>
      </c>
      <c r="B58" s="117">
        <v>0</v>
      </c>
      <c r="C58" s="118">
        <f>B58*0.7476</f>
        <v>0</v>
      </c>
      <c r="D58" s="119">
        <f>B58-C58</f>
        <v>0</v>
      </c>
      <c r="E58" s="137"/>
      <c r="F58" s="66"/>
      <c r="G58" s="67"/>
      <c r="I58" s="68"/>
      <c r="J58" s="68"/>
      <c r="K58" s="69"/>
      <c r="L58" s="69"/>
      <c r="M58" s="69"/>
      <c r="N58" s="69"/>
    </row>
    <row r="59" spans="1:14" ht="15">
      <c r="A59" s="75" t="s">
        <v>68</v>
      </c>
      <c r="B59" s="120">
        <v>38935.2</v>
      </c>
      <c r="C59" s="118">
        <f>B59*1.4212</f>
        <v>55334.70624</v>
      </c>
      <c r="D59" s="119">
        <f>B59-C59</f>
        <v>-16399.506240000002</v>
      </c>
      <c r="E59" s="137">
        <f>(2.07+1.8)*6*2301.2-0.37*2301.2*6</f>
        <v>48325.2</v>
      </c>
      <c r="F59" s="81"/>
      <c r="G59" s="82"/>
      <c r="H59" s="65"/>
      <c r="I59" s="68"/>
      <c r="J59" s="68"/>
      <c r="K59" s="69"/>
      <c r="L59" s="69"/>
      <c r="M59" s="69"/>
      <c r="N59" s="69"/>
    </row>
    <row r="60" spans="1:14" ht="15.75" thickBot="1">
      <c r="A60" s="150" t="s">
        <v>69</v>
      </c>
      <c r="B60" s="151">
        <v>0</v>
      </c>
      <c r="C60" s="152">
        <f>B60*0.7476</f>
        <v>0</v>
      </c>
      <c r="D60" s="153">
        <f>B60-C60</f>
        <v>0</v>
      </c>
      <c r="E60" s="137"/>
      <c r="F60" s="81"/>
      <c r="G60" s="82"/>
      <c r="I60" s="68"/>
      <c r="J60" s="68"/>
      <c r="K60" s="69"/>
      <c r="L60" s="69"/>
      <c r="M60" s="69"/>
      <c r="N60" s="69"/>
    </row>
    <row r="61" spans="1:14" ht="63">
      <c r="A61" s="154" t="s">
        <v>70</v>
      </c>
      <c r="B61" s="155" t="s">
        <v>71</v>
      </c>
      <c r="C61" s="156" t="s">
        <v>72</v>
      </c>
      <c r="D61" s="157" t="s">
        <v>73</v>
      </c>
      <c r="E61" s="137"/>
      <c r="F61" s="81"/>
      <c r="H61" s="68"/>
      <c r="I61" s="68"/>
      <c r="J61" s="68"/>
      <c r="K61" s="69"/>
      <c r="L61" s="69"/>
      <c r="M61" s="69"/>
      <c r="N61" s="69"/>
    </row>
    <row r="62" spans="1:14" ht="15">
      <c r="A62" s="158" t="s">
        <v>66</v>
      </c>
      <c r="B62" s="124">
        <f>B57</f>
        <v>10875.23</v>
      </c>
      <c r="C62" s="125">
        <f>C57</f>
        <v>15455.876876</v>
      </c>
      <c r="D62" s="159">
        <f>B62-C62</f>
        <v>-4580.646876000001</v>
      </c>
      <c r="E62" s="137"/>
      <c r="F62" s="81"/>
      <c r="H62" s="68"/>
      <c r="I62" s="68"/>
      <c r="J62" s="68" t="s">
        <v>32</v>
      </c>
      <c r="K62" s="69"/>
      <c r="L62" s="69"/>
      <c r="M62" s="69"/>
      <c r="N62" s="69"/>
    </row>
    <row r="63" spans="1:14" ht="15">
      <c r="A63" s="158" t="s">
        <v>67</v>
      </c>
      <c r="B63" s="124">
        <f>B58</f>
        <v>0</v>
      </c>
      <c r="C63" s="125">
        <f>C58*1.0063</f>
        <v>0</v>
      </c>
      <c r="D63" s="159">
        <f>B63-C63</f>
        <v>0</v>
      </c>
      <c r="E63" s="137"/>
      <c r="F63" s="81"/>
      <c r="H63" s="68"/>
      <c r="I63" s="68"/>
      <c r="J63" s="68"/>
      <c r="K63" s="69"/>
      <c r="L63" s="69"/>
      <c r="M63" s="69"/>
      <c r="N63" s="69"/>
    </row>
    <row r="64" spans="1:14" ht="15">
      <c r="A64" s="158" t="s">
        <v>68</v>
      </c>
      <c r="B64" s="124">
        <f>B59</f>
        <v>38935.2</v>
      </c>
      <c r="C64" s="125">
        <f>C59</f>
        <v>55334.70624</v>
      </c>
      <c r="D64" s="159">
        <f>B64-C64</f>
        <v>-16399.506240000002</v>
      </c>
      <c r="E64" s="137"/>
      <c r="F64" s="81"/>
      <c r="H64" s="68"/>
      <c r="I64" s="68"/>
      <c r="J64" s="68"/>
      <c r="K64" s="69"/>
      <c r="L64" s="69"/>
      <c r="M64" s="69"/>
      <c r="N64" s="69"/>
    </row>
    <row r="65" spans="1:14" ht="15">
      <c r="A65" s="158" t="s">
        <v>74</v>
      </c>
      <c r="B65" s="124">
        <v>0</v>
      </c>
      <c r="C65" s="125">
        <f>C60*1.0063</f>
        <v>0</v>
      </c>
      <c r="D65" s="159">
        <f>B65-C65</f>
        <v>0</v>
      </c>
      <c r="E65" s="137"/>
      <c r="F65" s="81"/>
      <c r="H65" s="68"/>
      <c r="I65" s="68"/>
      <c r="J65" s="68"/>
      <c r="K65" s="69"/>
      <c r="L65" s="69"/>
      <c r="M65" s="69"/>
      <c r="N65" s="69"/>
    </row>
    <row r="66" spans="1:14" ht="15.75" thickBot="1">
      <c r="A66" s="160" t="s">
        <v>69</v>
      </c>
      <c r="B66" s="161">
        <v>0</v>
      </c>
      <c r="C66" s="167">
        <v>0</v>
      </c>
      <c r="D66" s="163">
        <f>B66-C66</f>
        <v>0</v>
      </c>
      <c r="E66" s="137"/>
      <c r="F66" s="81"/>
      <c r="H66" s="68" t="s">
        <v>32</v>
      </c>
      <c r="I66" s="68"/>
      <c r="J66" s="68"/>
      <c r="K66" s="69"/>
      <c r="L66" s="69"/>
      <c r="M66" s="69"/>
      <c r="N66" s="69"/>
    </row>
    <row r="67" spans="1:14" ht="15">
      <c r="A67" s="91"/>
      <c r="B67" s="87"/>
      <c r="C67" s="92"/>
      <c r="D67" s="93"/>
      <c r="E67" s="65"/>
      <c r="F67" s="81"/>
      <c r="H67" s="68"/>
      <c r="I67" s="68"/>
      <c r="J67" s="68"/>
      <c r="K67" s="69"/>
      <c r="L67" s="69"/>
      <c r="M67" s="69"/>
      <c r="N67" s="69"/>
    </row>
    <row r="68" spans="1:14" ht="25.5">
      <c r="A68" s="94" t="s">
        <v>75</v>
      </c>
      <c r="B68" s="87" t="s">
        <v>16</v>
      </c>
      <c r="C68" s="95"/>
      <c r="D68" s="96"/>
      <c r="E68" s="65"/>
      <c r="F68" s="81"/>
      <c r="H68" s="68"/>
      <c r="I68" s="68"/>
      <c r="J68" s="68" t="s">
        <v>32</v>
      </c>
      <c r="K68" s="69"/>
      <c r="L68" s="69"/>
      <c r="M68" s="69"/>
      <c r="N68" s="69"/>
    </row>
    <row r="69" spans="1:14" ht="17.25" customHeight="1">
      <c r="A69" s="264" t="s">
        <v>76</v>
      </c>
      <c r="B69" s="264"/>
      <c r="C69" s="264"/>
      <c r="D69" s="264"/>
      <c r="E69" s="97" t="e">
        <f>D69+B19</f>
        <v>#VALUE!</v>
      </c>
      <c r="F69" s="68"/>
      <c r="H69" s="98" t="e">
        <f>E69-B18</f>
        <v>#VALUE!</v>
      </c>
      <c r="I69" s="68"/>
      <c r="J69" s="68"/>
      <c r="K69" s="69"/>
      <c r="L69" s="69"/>
      <c r="M69" s="69"/>
      <c r="N69" s="69"/>
    </row>
    <row r="70" spans="1:5" ht="21" customHeight="1">
      <c r="A70" s="99" t="s">
        <v>53</v>
      </c>
      <c r="B70" s="99" t="s">
        <v>54</v>
      </c>
      <c r="C70" s="100">
        <v>0</v>
      </c>
      <c r="D70" s="101"/>
      <c r="E70" s="102"/>
    </row>
    <row r="71" spans="1:5" ht="21" customHeight="1">
      <c r="A71" s="99" t="s">
        <v>55</v>
      </c>
      <c r="B71" s="99" t="s">
        <v>54</v>
      </c>
      <c r="C71" s="99">
        <v>0</v>
      </c>
      <c r="D71" s="101"/>
      <c r="E71" s="102"/>
    </row>
    <row r="72" spans="1:5" ht="18" customHeight="1">
      <c r="A72" s="99" t="s">
        <v>56</v>
      </c>
      <c r="B72" s="99" t="s">
        <v>54</v>
      </c>
      <c r="C72" s="99">
        <v>0</v>
      </c>
      <c r="D72" s="101"/>
      <c r="E72" s="102"/>
    </row>
    <row r="73" spans="1:5" ht="16.5" customHeight="1">
      <c r="A73" s="99" t="s">
        <v>57</v>
      </c>
      <c r="B73" s="99" t="s">
        <v>16</v>
      </c>
      <c r="C73" s="99">
        <v>0</v>
      </c>
      <c r="D73" s="101"/>
      <c r="E73" s="102"/>
    </row>
    <row r="74" spans="1:5" ht="15.75" customHeight="1">
      <c r="A74" s="258" t="s">
        <v>77</v>
      </c>
      <c r="B74" s="258"/>
      <c r="C74" s="258"/>
      <c r="D74" s="258"/>
      <c r="E74" s="102"/>
    </row>
    <row r="75" spans="1:5" ht="18.75" customHeight="1">
      <c r="A75" s="99" t="s">
        <v>78</v>
      </c>
      <c r="B75" s="99" t="s">
        <v>54</v>
      </c>
      <c r="C75" s="99">
        <v>0</v>
      </c>
      <c r="D75" s="101"/>
      <c r="E75" s="102"/>
    </row>
    <row r="76" spans="1:5" ht="21.75" customHeight="1">
      <c r="A76" s="99" t="s">
        <v>79</v>
      </c>
      <c r="B76" s="56" t="s">
        <v>54</v>
      </c>
      <c r="C76" s="56">
        <v>1</v>
      </c>
      <c r="D76" s="101"/>
      <c r="E76" s="102"/>
    </row>
    <row r="77" spans="1:5" ht="36" customHeight="1">
      <c r="A77" s="103" t="s">
        <v>80</v>
      </c>
      <c r="B77" s="99" t="s">
        <v>16</v>
      </c>
      <c r="C77" s="99">
        <v>29490</v>
      </c>
      <c r="D77" s="101"/>
      <c r="E77" s="102"/>
    </row>
    <row r="78" spans="1:4" ht="15">
      <c r="A78" s="69"/>
      <c r="B78" s="69"/>
      <c r="C78" s="69"/>
      <c r="D78" s="104"/>
    </row>
    <row r="79" spans="1:14" s="1" customFormat="1" ht="12.75">
      <c r="A79"/>
      <c r="B79"/>
      <c r="C79"/>
      <c r="D79"/>
      <c r="H79" s="1" t="s">
        <v>32</v>
      </c>
      <c r="K79"/>
      <c r="L79"/>
      <c r="M79"/>
      <c r="N79"/>
    </row>
    <row r="80" spans="1:14" s="1" customFormat="1" ht="12.75">
      <c r="A80" t="s">
        <v>81</v>
      </c>
      <c r="B80"/>
      <c r="C80"/>
      <c r="D80"/>
      <c r="K80"/>
      <c r="L80"/>
      <c r="M80"/>
      <c r="N80"/>
    </row>
    <row r="81" spans="1:14" s="1" customFormat="1" ht="12.75">
      <c r="A81"/>
      <c r="B81"/>
      <c r="C81"/>
      <c r="D81"/>
      <c r="H81" s="1" t="s">
        <v>32</v>
      </c>
      <c r="K81"/>
      <c r="L81"/>
      <c r="M81"/>
      <c r="N81"/>
    </row>
    <row r="82" spans="1:14" s="1" customFormat="1" ht="12.75">
      <c r="A82" t="s">
        <v>82</v>
      </c>
      <c r="B82"/>
      <c r="C82"/>
      <c r="D82"/>
      <c r="K82"/>
      <c r="L82"/>
      <c r="M82"/>
      <c r="N82"/>
    </row>
    <row r="86" spans="1:14" s="1" customFormat="1" ht="12.75">
      <c r="A86"/>
      <c r="B86"/>
      <c r="C86"/>
      <c r="D86"/>
      <c r="E86" s="1" t="s">
        <v>32</v>
      </c>
      <c r="K86"/>
      <c r="L86"/>
      <c r="M86"/>
      <c r="N86"/>
    </row>
  </sheetData>
  <sheetProtection selectLockedCells="1" selectUnlockedCells="1"/>
  <mergeCells count="13">
    <mergeCell ref="A1:D1"/>
    <mergeCell ref="A2:D2"/>
    <mergeCell ref="A3:D3"/>
    <mergeCell ref="A4:D4"/>
    <mergeCell ref="A5:D5"/>
    <mergeCell ref="A7:D7"/>
    <mergeCell ref="A74:D74"/>
    <mergeCell ref="A14:D14"/>
    <mergeCell ref="A29:D29"/>
    <mergeCell ref="A43:D43"/>
    <mergeCell ref="A48:D48"/>
    <mergeCell ref="A55:D55"/>
    <mergeCell ref="A69:D69"/>
  </mergeCells>
  <printOptions/>
  <pageMargins left="0.5597222222222222" right="0.7875" top="0.34097222222222223" bottom="0.7875" header="0.5118055555555555" footer="0.5118055555555555"/>
  <pageSetup fitToHeight="3" fitToWidth="2" horizontalDpi="300" verticalDpi="300" orientation="landscape" paperSize="12" r:id="rId1"/>
</worksheet>
</file>

<file path=xl/worksheets/sheet4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6"/>
  <sheetViews>
    <sheetView zoomScale="80" zoomScaleNormal="80" zoomScalePageLayoutView="0" workbookViewId="0" topLeftCell="A8">
      <selection activeCell="E17" sqref="E17:H20"/>
    </sheetView>
  </sheetViews>
  <sheetFormatPr defaultColWidth="11.57421875" defaultRowHeight="12.75"/>
  <cols>
    <col min="1" max="1" width="63.28125" style="0" customWidth="1"/>
    <col min="2" max="2" width="20.28125" style="0" customWidth="1"/>
    <col min="3" max="3" width="31.421875" style="0" customWidth="1"/>
    <col min="4" max="4" width="27.57421875" style="0" customWidth="1"/>
    <col min="5" max="5" width="16.8515625" style="1" customWidth="1"/>
    <col min="6" max="7" width="0" style="1" hidden="1" customWidth="1"/>
    <col min="8" max="8" width="11.57421875" style="1" customWidth="1"/>
    <col min="9" max="9" width="5.28125" style="1" customWidth="1"/>
    <col min="10" max="10" width="30.00390625" style="1" customWidth="1"/>
    <col min="11" max="12" width="23.28125" style="0" customWidth="1"/>
    <col min="13" max="13" width="6.57421875" style="0" customWidth="1"/>
    <col min="14" max="14" width="7.00390625" style="0" customWidth="1"/>
  </cols>
  <sheetData>
    <row r="1" spans="1:4" ht="18">
      <c r="A1" s="265" t="s">
        <v>0</v>
      </c>
      <c r="B1" s="265"/>
      <c r="C1" s="265"/>
      <c r="D1" s="265"/>
    </row>
    <row r="2" spans="1:4" ht="15.75">
      <c r="A2" s="266" t="s">
        <v>1</v>
      </c>
      <c r="B2" s="266"/>
      <c r="C2" s="266"/>
      <c r="D2" s="266"/>
    </row>
    <row r="3" spans="1:4" ht="15.75">
      <c r="A3" s="266" t="s">
        <v>2</v>
      </c>
      <c r="B3" s="266"/>
      <c r="C3" s="266"/>
      <c r="D3" s="266"/>
    </row>
    <row r="4" spans="1:4" ht="12.75">
      <c r="A4" s="267" t="s">
        <v>150</v>
      </c>
      <c r="B4" s="267"/>
      <c r="C4" s="267"/>
      <c r="D4" s="267"/>
    </row>
    <row r="5" spans="1:4" ht="12.75">
      <c r="A5" s="268" t="s">
        <v>171</v>
      </c>
      <c r="B5" s="267"/>
      <c r="C5" s="267"/>
      <c r="D5" s="267"/>
    </row>
    <row r="6" ht="15.75" customHeight="1">
      <c r="A6" s="2" t="s">
        <v>267</v>
      </c>
    </row>
    <row r="7" spans="1:4" ht="18" customHeight="1">
      <c r="A7" s="269" t="s">
        <v>4</v>
      </c>
      <c r="B7" s="269"/>
      <c r="C7" s="269"/>
      <c r="D7" s="269"/>
    </row>
    <row r="8" spans="1:3" ht="12.75">
      <c r="A8" s="2"/>
      <c r="C8" s="3"/>
    </row>
    <row r="9" spans="1:4" ht="12.75">
      <c r="A9" s="4" t="s">
        <v>5</v>
      </c>
      <c r="B9" s="4" t="s">
        <v>6</v>
      </c>
      <c r="C9" s="4" t="s">
        <v>7</v>
      </c>
      <c r="D9" s="5"/>
    </row>
    <row r="10" spans="1:4" ht="12.75">
      <c r="A10" s="6">
        <v>1</v>
      </c>
      <c r="B10" s="6">
        <v>2</v>
      </c>
      <c r="C10" s="6">
        <v>3</v>
      </c>
      <c r="D10" s="7">
        <v>4</v>
      </c>
    </row>
    <row r="11" spans="1:4" ht="12.75">
      <c r="A11" s="8" t="s">
        <v>8</v>
      </c>
      <c r="B11" s="9"/>
      <c r="C11" s="177" t="s">
        <v>172</v>
      </c>
      <c r="D11" s="10"/>
    </row>
    <row r="12" spans="1:4" ht="12.75">
      <c r="A12" s="8" t="s">
        <v>10</v>
      </c>
      <c r="B12" s="9"/>
      <c r="C12" s="177" t="s">
        <v>173</v>
      </c>
      <c r="D12" s="10"/>
    </row>
    <row r="13" spans="1:4" ht="12.75">
      <c r="A13" s="8" t="s">
        <v>12</v>
      </c>
      <c r="B13" s="9"/>
      <c r="C13" s="177" t="s">
        <v>174</v>
      </c>
      <c r="D13" s="10"/>
    </row>
    <row r="14" spans="1:4" ht="31.5" customHeight="1">
      <c r="A14" s="259" t="s">
        <v>14</v>
      </c>
      <c r="B14" s="259"/>
      <c r="C14" s="259"/>
      <c r="D14" s="259"/>
    </row>
    <row r="15" spans="1:5" ht="25.5">
      <c r="A15" s="11" t="s">
        <v>15</v>
      </c>
      <c r="B15" s="12" t="s">
        <v>16</v>
      </c>
      <c r="C15" s="13">
        <v>-3266.08</v>
      </c>
      <c r="D15" s="14"/>
      <c r="E15" s="62"/>
    </row>
    <row r="16" spans="1:5" ht="15">
      <c r="A16" s="8" t="s">
        <v>17</v>
      </c>
      <c r="B16" s="12" t="s">
        <v>16</v>
      </c>
      <c r="C16" s="13">
        <v>0</v>
      </c>
      <c r="D16" s="14"/>
      <c r="E16" s="62"/>
    </row>
    <row r="17" spans="1:8" ht="15">
      <c r="A17" s="8" t="s">
        <v>18</v>
      </c>
      <c r="B17" s="12" t="s">
        <v>16</v>
      </c>
      <c r="C17" s="15">
        <v>9355.6</v>
      </c>
      <c r="D17" s="16"/>
      <c r="E17" s="132" t="e">
        <f>B17/12/1022.6</f>
        <v>#VALUE!</v>
      </c>
      <c r="F17" s="132"/>
      <c r="G17" s="132"/>
      <c r="H17" s="132"/>
    </row>
    <row r="18" spans="1:8" ht="31.5" customHeight="1">
      <c r="A18" s="17" t="s">
        <v>19</v>
      </c>
      <c r="B18" s="12" t="s">
        <v>16</v>
      </c>
      <c r="C18" s="15">
        <v>18369.18</v>
      </c>
      <c r="D18" s="16"/>
      <c r="E18" s="133">
        <f>C18-C20</f>
        <v>15322.284</v>
      </c>
      <c r="F18" s="132"/>
      <c r="G18" s="132"/>
      <c r="H18" s="132"/>
    </row>
    <row r="19" spans="1:8" ht="15">
      <c r="A19" s="8" t="s">
        <v>20</v>
      </c>
      <c r="B19" s="12" t="s">
        <v>16</v>
      </c>
      <c r="C19" s="15">
        <f>C18-C20-C21</f>
        <v>8248.235999999999</v>
      </c>
      <c r="D19" s="16"/>
      <c r="E19" s="133">
        <f>E18-E39</f>
        <v>0</v>
      </c>
      <c r="F19" s="132"/>
      <c r="G19" s="132"/>
      <c r="H19" s="132"/>
    </row>
    <row r="20" spans="1:8" ht="15">
      <c r="A20" s="8" t="s">
        <v>21</v>
      </c>
      <c r="B20" s="12" t="s">
        <v>16</v>
      </c>
      <c r="C20" s="15">
        <f>(0.72+0.9)*6*120.8+1872.72</f>
        <v>3046.896</v>
      </c>
      <c r="D20" s="16"/>
      <c r="E20" s="134"/>
      <c r="F20" s="132"/>
      <c r="G20" s="132"/>
      <c r="H20" s="132"/>
    </row>
    <row r="21" spans="1:5" ht="15">
      <c r="A21" s="8" t="s">
        <v>22</v>
      </c>
      <c r="B21" s="12" t="s">
        <v>16</v>
      </c>
      <c r="C21" s="20">
        <f>120.8*4.88*12</f>
        <v>7074.048000000001</v>
      </c>
      <c r="D21" s="16"/>
      <c r="E21" s="132"/>
    </row>
    <row r="22" spans="1:5" ht="15">
      <c r="A22" s="21" t="s">
        <v>23</v>
      </c>
      <c r="B22" s="12" t="s">
        <v>16</v>
      </c>
      <c r="C22" s="15">
        <f>C23+C24+C25+C26+C27</f>
        <v>19565.013618</v>
      </c>
      <c r="D22" s="16" t="s">
        <v>24</v>
      </c>
      <c r="E22" s="133" t="e">
        <f>B24+B25+B26+B27+B28</f>
        <v>#VALUE!</v>
      </c>
    </row>
    <row r="23" spans="1:5" ht="15">
      <c r="A23" s="8" t="s">
        <v>25</v>
      </c>
      <c r="B23" s="12" t="s">
        <v>16</v>
      </c>
      <c r="C23" s="15">
        <f>C18*1.0651</f>
        <v>19565.013618</v>
      </c>
      <c r="D23" s="16"/>
      <c r="E23" s="132"/>
    </row>
    <row r="24" spans="1:8" ht="15">
      <c r="A24" s="8" t="s">
        <v>26</v>
      </c>
      <c r="B24" s="12" t="s">
        <v>16</v>
      </c>
      <c r="C24" s="15">
        <v>0</v>
      </c>
      <c r="D24" s="22">
        <v>65.21</v>
      </c>
      <c r="E24" s="134" t="e">
        <f>B24/#REF!*1</f>
        <v>#VALUE!</v>
      </c>
      <c r="H24" s="1" t="s">
        <v>27</v>
      </c>
    </row>
    <row r="25" spans="1:5" ht="15">
      <c r="A25" s="8" t="s">
        <v>28</v>
      </c>
      <c r="B25" s="12" t="s">
        <v>16</v>
      </c>
      <c r="C25" s="15">
        <v>0</v>
      </c>
      <c r="D25" s="22">
        <v>119.63</v>
      </c>
      <c r="E25" s="134" t="e">
        <f>B25/#REF!*1</f>
        <v>#VALUE!</v>
      </c>
    </row>
    <row r="26" spans="1:5" ht="15">
      <c r="A26" s="9" t="s">
        <v>29</v>
      </c>
      <c r="B26" s="12" t="s">
        <v>16</v>
      </c>
      <c r="C26" s="15">
        <v>0</v>
      </c>
      <c r="D26" s="22"/>
      <c r="E26" s="134" t="e">
        <f>B26/#REF!*1</f>
        <v>#VALUE!</v>
      </c>
    </row>
    <row r="27" spans="1:5" ht="16.5" customHeight="1">
      <c r="A27" s="116" t="s">
        <v>112</v>
      </c>
      <c r="B27" s="12" t="s">
        <v>16</v>
      </c>
      <c r="C27" s="15">
        <v>0</v>
      </c>
      <c r="D27" s="22">
        <v>139.18</v>
      </c>
      <c r="E27" s="134" t="e">
        <f>B27/#REF!*1</f>
        <v>#VALUE!</v>
      </c>
    </row>
    <row r="28" spans="1:5" ht="15">
      <c r="A28" s="8" t="s">
        <v>31</v>
      </c>
      <c r="B28" s="12" t="s">
        <v>16</v>
      </c>
      <c r="C28" s="15">
        <f>C15+C22</f>
        <v>16298.933618000001</v>
      </c>
      <c r="D28" s="16" t="s">
        <v>32</v>
      </c>
      <c r="E28" s="134" t="e">
        <f>B28/#REF!*1</f>
        <v>#VALUE!</v>
      </c>
    </row>
    <row r="29" spans="1:5" ht="35.25" customHeight="1">
      <c r="A29" s="260" t="s">
        <v>33</v>
      </c>
      <c r="B29" s="260"/>
      <c r="C29" s="260"/>
      <c r="D29" s="260"/>
      <c r="E29" s="132"/>
    </row>
    <row r="30" spans="1:5" ht="60">
      <c r="A30" s="23" t="s">
        <v>34</v>
      </c>
      <c r="B30" s="24" t="s">
        <v>35</v>
      </c>
      <c r="C30" s="25" t="s">
        <v>36</v>
      </c>
      <c r="D30" s="26" t="s">
        <v>37</v>
      </c>
      <c r="E30" s="132"/>
    </row>
    <row r="31" spans="1:5" ht="15">
      <c r="A31" s="27" t="s">
        <v>38</v>
      </c>
      <c r="B31" s="28" t="s">
        <v>39</v>
      </c>
      <c r="C31" s="29" t="s">
        <v>40</v>
      </c>
      <c r="D31" s="107">
        <f>(0.17+0.16)*6*120.8</f>
        <v>239.184</v>
      </c>
      <c r="E31" s="132"/>
    </row>
    <row r="32" spans="1:5" ht="15">
      <c r="A32" s="31" t="s">
        <v>41</v>
      </c>
      <c r="B32" s="32" t="s">
        <v>42</v>
      </c>
      <c r="C32" s="33" t="s">
        <v>43</v>
      </c>
      <c r="D32" s="34">
        <f>(3.03+3)*6*120.8</f>
        <v>4370.543999999999</v>
      </c>
      <c r="E32" s="132"/>
    </row>
    <row r="33" spans="1:5" ht="15">
      <c r="A33" s="31" t="s">
        <v>44</v>
      </c>
      <c r="B33" s="32" t="s">
        <v>39</v>
      </c>
      <c r="C33" s="33" t="s">
        <v>45</v>
      </c>
      <c r="D33" s="108">
        <f>(0.2+0.21)*6*120.8</f>
        <v>297.168</v>
      </c>
      <c r="E33" s="132"/>
    </row>
    <row r="34" spans="1:5" ht="15">
      <c r="A34" s="31" t="s">
        <v>123</v>
      </c>
      <c r="B34" s="32" t="s">
        <v>39</v>
      </c>
      <c r="C34" s="33" t="s">
        <v>40</v>
      </c>
      <c r="D34" s="108">
        <f>(0.74+0.71)*6*120.8</f>
        <v>1050.9599999999998</v>
      </c>
      <c r="E34" s="132"/>
    </row>
    <row r="35" spans="1:5" ht="15">
      <c r="A35" s="31" t="s">
        <v>90</v>
      </c>
      <c r="B35" s="106" t="s">
        <v>91</v>
      </c>
      <c r="C35" s="33" t="s">
        <v>40</v>
      </c>
      <c r="D35" s="108">
        <f>(1.33+1.27)*6*120.8</f>
        <v>1884.48</v>
      </c>
      <c r="E35" s="132"/>
    </row>
    <row r="36" spans="1:5" ht="15">
      <c r="A36" s="31" t="s">
        <v>46</v>
      </c>
      <c r="B36" s="32" t="s">
        <v>42</v>
      </c>
      <c r="C36" s="35" t="s">
        <v>47</v>
      </c>
      <c r="D36" s="108">
        <f>4.88*120.8*12</f>
        <v>7074.048000000001</v>
      </c>
      <c r="E36" s="132"/>
    </row>
    <row r="37" spans="1:14" s="1" customFormat="1" ht="45">
      <c r="A37" s="36" t="s">
        <v>48</v>
      </c>
      <c r="B37" s="37" t="s">
        <v>49</v>
      </c>
      <c r="C37" s="131"/>
      <c r="D37" s="39">
        <v>0</v>
      </c>
      <c r="E37" s="132"/>
      <c r="K37"/>
      <c r="L37"/>
      <c r="M37"/>
      <c r="N37"/>
    </row>
    <row r="38" spans="1:14" s="1" customFormat="1" ht="45">
      <c r="A38" s="109" t="s">
        <v>95</v>
      </c>
      <c r="B38" s="110" t="s">
        <v>96</v>
      </c>
      <c r="C38" s="29" t="s">
        <v>97</v>
      </c>
      <c r="D38" s="112">
        <v>405.9</v>
      </c>
      <c r="E38" s="132"/>
      <c r="K38"/>
      <c r="L38"/>
      <c r="M38"/>
      <c r="N38"/>
    </row>
    <row r="39" spans="1:14" s="1" customFormat="1" ht="15.75">
      <c r="A39" s="40" t="s">
        <v>50</v>
      </c>
      <c r="B39" s="41"/>
      <c r="C39" s="42"/>
      <c r="D39" s="113">
        <f>SUM(D31:D38)</f>
        <v>15322.284</v>
      </c>
      <c r="E39" s="135">
        <f>D39-D37</f>
        <v>15322.284</v>
      </c>
      <c r="K39"/>
      <c r="L39"/>
      <c r="M39"/>
      <c r="N39"/>
    </row>
    <row r="40" spans="1:14" s="1" customFormat="1" ht="15">
      <c r="A40" s="43" t="s">
        <v>51</v>
      </c>
      <c r="B40" s="44" t="s">
        <v>16</v>
      </c>
      <c r="C40" s="45"/>
      <c r="D40" s="46">
        <f>C15+C20*1.0651-D37</f>
        <v>-20.831070400000044</v>
      </c>
      <c r="E40" s="135"/>
      <c r="K40"/>
      <c r="L40"/>
      <c r="M40"/>
      <c r="N40"/>
    </row>
    <row r="41" spans="1:14" s="1" customFormat="1" ht="15">
      <c r="A41" s="48" t="s">
        <v>17</v>
      </c>
      <c r="B41" s="49" t="s">
        <v>16</v>
      </c>
      <c r="C41" s="33"/>
      <c r="D41" s="14"/>
      <c r="E41" s="62"/>
      <c r="K41"/>
      <c r="L41"/>
      <c r="M41"/>
      <c r="N41"/>
    </row>
    <row r="42" spans="1:14" s="1" customFormat="1" ht="15">
      <c r="A42" s="48" t="s">
        <v>18</v>
      </c>
      <c r="B42" s="49" t="s">
        <v>16</v>
      </c>
      <c r="C42" s="33"/>
      <c r="D42" s="14">
        <v>7801.33</v>
      </c>
      <c r="E42" s="62"/>
      <c r="K42"/>
      <c r="L42"/>
      <c r="M42"/>
      <c r="N42"/>
    </row>
    <row r="43" spans="1:14" s="1" customFormat="1" ht="24" customHeight="1">
      <c r="A43" s="261" t="s">
        <v>52</v>
      </c>
      <c r="B43" s="261"/>
      <c r="C43" s="261"/>
      <c r="D43" s="261"/>
      <c r="E43" s="132"/>
      <c r="K43"/>
      <c r="L43"/>
      <c r="M43"/>
      <c r="N43"/>
    </row>
    <row r="44" spans="1:14" s="1" customFormat="1" ht="15">
      <c r="A44" s="48" t="s">
        <v>53</v>
      </c>
      <c r="B44" s="32" t="s">
        <v>54</v>
      </c>
      <c r="C44" s="33">
        <v>0</v>
      </c>
      <c r="D44" s="14">
        <v>0</v>
      </c>
      <c r="E44" s="132"/>
      <c r="K44"/>
      <c r="L44"/>
      <c r="M44"/>
      <c r="N44"/>
    </row>
    <row r="45" spans="1:14" s="1" customFormat="1" ht="15">
      <c r="A45" s="48" t="s">
        <v>55</v>
      </c>
      <c r="B45" s="32" t="s">
        <v>54</v>
      </c>
      <c r="C45" s="33">
        <v>0</v>
      </c>
      <c r="D45" s="14">
        <v>0</v>
      </c>
      <c r="E45" s="132"/>
      <c r="K45"/>
      <c r="L45"/>
      <c r="M45"/>
      <c r="N45"/>
    </row>
    <row r="46" spans="1:14" s="1" customFormat="1" ht="15">
      <c r="A46" s="50" t="s">
        <v>56</v>
      </c>
      <c r="B46" s="32" t="s">
        <v>54</v>
      </c>
      <c r="C46" s="33">
        <v>0</v>
      </c>
      <c r="D46" s="14">
        <v>0</v>
      </c>
      <c r="E46" s="132"/>
      <c r="K46"/>
      <c r="L46"/>
      <c r="M46"/>
      <c r="N46"/>
    </row>
    <row r="47" spans="1:14" s="1" customFormat="1" ht="15">
      <c r="A47" s="48" t="s">
        <v>57</v>
      </c>
      <c r="B47" s="32" t="s">
        <v>16</v>
      </c>
      <c r="C47" s="33">
        <v>0</v>
      </c>
      <c r="D47" s="14">
        <v>0</v>
      </c>
      <c r="E47" s="132"/>
      <c r="K47"/>
      <c r="L47"/>
      <c r="M47"/>
      <c r="N47"/>
    </row>
    <row r="48" spans="1:5" ht="20.25" customHeight="1">
      <c r="A48" s="262" t="s">
        <v>58</v>
      </c>
      <c r="B48" s="262"/>
      <c r="C48" s="262"/>
      <c r="D48" s="262"/>
      <c r="E48" s="132"/>
    </row>
    <row r="49" spans="1:5" ht="25.5">
      <c r="A49" s="50" t="s">
        <v>59</v>
      </c>
      <c r="B49" s="32" t="s">
        <v>16</v>
      </c>
      <c r="C49" s="33"/>
      <c r="D49" s="14">
        <v>0</v>
      </c>
      <c r="E49" s="132"/>
    </row>
    <row r="50" spans="1:5" ht="15">
      <c r="A50" s="48" t="s">
        <v>17</v>
      </c>
      <c r="B50" s="32" t="s">
        <v>16</v>
      </c>
      <c r="C50" s="33"/>
      <c r="D50" s="14">
        <v>0</v>
      </c>
      <c r="E50" s="132"/>
    </row>
    <row r="51" spans="1:8" ht="15">
      <c r="A51" s="48" t="s">
        <v>18</v>
      </c>
      <c r="B51" s="32" t="s">
        <v>16</v>
      </c>
      <c r="C51" s="33"/>
      <c r="D51" s="51">
        <f>D54-D57-D58-D59</f>
        <v>29602.78239</v>
      </c>
      <c r="E51" s="132"/>
      <c r="H51" s="52"/>
    </row>
    <row r="52" spans="1:5" ht="25.5">
      <c r="A52" s="53" t="s">
        <v>60</v>
      </c>
      <c r="B52" s="32" t="s">
        <v>16</v>
      </c>
      <c r="C52" s="54"/>
      <c r="D52" s="55">
        <v>0</v>
      </c>
      <c r="E52" s="132"/>
    </row>
    <row r="53" spans="1:10" ht="17.25" customHeight="1">
      <c r="A53" s="56" t="s">
        <v>17</v>
      </c>
      <c r="B53" s="32" t="s">
        <v>16</v>
      </c>
      <c r="C53" s="33"/>
      <c r="D53" s="14">
        <v>0</v>
      </c>
      <c r="E53" s="132"/>
      <c r="I53" s="52"/>
      <c r="J53" s="52"/>
    </row>
    <row r="54" spans="1:14" ht="15">
      <c r="A54" s="59" t="s">
        <v>18</v>
      </c>
      <c r="B54" s="32" t="s">
        <v>16</v>
      </c>
      <c r="C54" s="60"/>
      <c r="D54" s="61">
        <v>25668.21</v>
      </c>
      <c r="E54" s="132"/>
      <c r="H54" s="1" t="s">
        <v>32</v>
      </c>
      <c r="I54" s="63"/>
      <c r="J54" s="63"/>
      <c r="K54" s="64"/>
      <c r="L54" s="64"/>
      <c r="M54" s="64"/>
      <c r="N54" s="64"/>
    </row>
    <row r="55" spans="1:14" ht="18" customHeight="1">
      <c r="A55" s="263" t="s">
        <v>61</v>
      </c>
      <c r="B55" s="263"/>
      <c r="C55" s="263"/>
      <c r="D55" s="263"/>
      <c r="E55" s="137"/>
      <c r="F55" s="66"/>
      <c r="G55" s="67"/>
      <c r="I55" s="68"/>
      <c r="J55" s="68"/>
      <c r="K55" s="69"/>
      <c r="L55" s="69"/>
      <c r="M55" s="69"/>
      <c r="N55" s="69"/>
    </row>
    <row r="56" spans="1:14" ht="47.25">
      <c r="A56" s="70" t="s">
        <v>62</v>
      </c>
      <c r="B56" s="71" t="s">
        <v>63</v>
      </c>
      <c r="C56" s="72" t="s">
        <v>64</v>
      </c>
      <c r="D56" s="73" t="s">
        <v>65</v>
      </c>
      <c r="E56" s="137"/>
      <c r="F56" s="66"/>
      <c r="G56" s="67"/>
      <c r="I56" s="68"/>
      <c r="J56" s="74"/>
      <c r="K56" s="69"/>
      <c r="L56" s="69"/>
      <c r="M56" s="69"/>
      <c r="N56" s="69"/>
    </row>
    <row r="57" spans="1:14" ht="15">
      <c r="A57" s="75" t="s">
        <v>66</v>
      </c>
      <c r="B57" s="117">
        <v>9973.5</v>
      </c>
      <c r="C57" s="118">
        <f>B57*1.0651</f>
        <v>10622.77485</v>
      </c>
      <c r="D57" s="119">
        <f>B57-C57</f>
        <v>-649.2748499999998</v>
      </c>
      <c r="E57" s="140"/>
      <c r="F57" s="66"/>
      <c r="G57" s="67"/>
      <c r="I57" s="68"/>
      <c r="J57" s="68"/>
      <c r="K57" s="69"/>
      <c r="L57" s="69"/>
      <c r="M57" s="69"/>
      <c r="N57" s="69"/>
    </row>
    <row r="58" spans="1:14" ht="15">
      <c r="A58" s="75" t="s">
        <v>67</v>
      </c>
      <c r="B58" s="117">
        <v>0</v>
      </c>
      <c r="C58" s="118">
        <f>B58*0.7476</f>
        <v>0</v>
      </c>
      <c r="D58" s="119">
        <f>B58-C58</f>
        <v>0</v>
      </c>
      <c r="E58" s="137"/>
      <c r="F58" s="66"/>
      <c r="G58" s="67"/>
      <c r="I58" s="68"/>
      <c r="J58" s="68"/>
      <c r="K58" s="69"/>
      <c r="L58" s="69"/>
      <c r="M58" s="69"/>
      <c r="N58" s="69"/>
    </row>
    <row r="59" spans="1:14" ht="15">
      <c r="A59" s="75" t="s">
        <v>68</v>
      </c>
      <c r="B59" s="120">
        <v>50465.4</v>
      </c>
      <c r="C59" s="118">
        <f>B59*1.0651</f>
        <v>53750.69754</v>
      </c>
      <c r="D59" s="119">
        <f>B59-C59</f>
        <v>-3285.2975399999996</v>
      </c>
      <c r="E59" s="137">
        <f>(2.07+1.8)*6*2301.2-0.37*2301.2*6</f>
        <v>48325.2</v>
      </c>
      <c r="F59" s="81"/>
      <c r="G59" s="82"/>
      <c r="H59" s="65"/>
      <c r="I59" s="68"/>
      <c r="J59" s="68"/>
      <c r="K59" s="69"/>
      <c r="L59" s="69"/>
      <c r="M59" s="69"/>
      <c r="N59" s="69"/>
    </row>
    <row r="60" spans="1:14" ht="15.75" thickBot="1">
      <c r="A60" s="150" t="s">
        <v>69</v>
      </c>
      <c r="B60" s="151">
        <v>0</v>
      </c>
      <c r="C60" s="152">
        <f>B60*0.7476</f>
        <v>0</v>
      </c>
      <c r="D60" s="153">
        <f>B60-C60</f>
        <v>0</v>
      </c>
      <c r="E60" s="137"/>
      <c r="F60" s="81"/>
      <c r="G60" s="82"/>
      <c r="I60" s="68"/>
      <c r="J60" s="68"/>
      <c r="K60" s="69"/>
      <c r="L60" s="69"/>
      <c r="M60" s="69"/>
      <c r="N60" s="69"/>
    </row>
    <row r="61" spans="1:14" ht="63">
      <c r="A61" s="154" t="s">
        <v>70</v>
      </c>
      <c r="B61" s="155" t="s">
        <v>71</v>
      </c>
      <c r="C61" s="156" t="s">
        <v>72</v>
      </c>
      <c r="D61" s="157" t="s">
        <v>73</v>
      </c>
      <c r="E61" s="137"/>
      <c r="F61" s="81"/>
      <c r="H61" s="68"/>
      <c r="I61" s="68"/>
      <c r="J61" s="68"/>
      <c r="K61" s="69"/>
      <c r="L61" s="69"/>
      <c r="M61" s="69"/>
      <c r="N61" s="69"/>
    </row>
    <row r="62" spans="1:14" ht="15">
      <c r="A62" s="158" t="s">
        <v>66</v>
      </c>
      <c r="B62" s="124">
        <f>B57</f>
        <v>9973.5</v>
      </c>
      <c r="C62" s="125">
        <f>C57</f>
        <v>10622.77485</v>
      </c>
      <c r="D62" s="159">
        <f>B62-C62</f>
        <v>-649.2748499999998</v>
      </c>
      <c r="E62" s="137"/>
      <c r="F62" s="81"/>
      <c r="H62" s="68"/>
      <c r="I62" s="68"/>
      <c r="J62" s="68" t="s">
        <v>32</v>
      </c>
      <c r="K62" s="69"/>
      <c r="L62" s="69"/>
      <c r="M62" s="69"/>
      <c r="N62" s="69"/>
    </row>
    <row r="63" spans="1:14" ht="15">
      <c r="A63" s="158" t="s">
        <v>67</v>
      </c>
      <c r="B63" s="124">
        <f>B58</f>
        <v>0</v>
      </c>
      <c r="C63" s="125">
        <f>C58*1.0063</f>
        <v>0</v>
      </c>
      <c r="D63" s="159">
        <f>B63-C63</f>
        <v>0</v>
      </c>
      <c r="E63" s="137"/>
      <c r="F63" s="81"/>
      <c r="H63" s="68"/>
      <c r="I63" s="68"/>
      <c r="J63" s="68"/>
      <c r="K63" s="69"/>
      <c r="L63" s="69"/>
      <c r="M63" s="69"/>
      <c r="N63" s="69"/>
    </row>
    <row r="64" spans="1:14" ht="15">
      <c r="A64" s="158" t="s">
        <v>68</v>
      </c>
      <c r="B64" s="124">
        <f>B59</f>
        <v>50465.4</v>
      </c>
      <c r="C64" s="125">
        <f>C59</f>
        <v>53750.69754</v>
      </c>
      <c r="D64" s="159">
        <f>B64-C64</f>
        <v>-3285.2975399999996</v>
      </c>
      <c r="E64" s="137"/>
      <c r="F64" s="81"/>
      <c r="H64" s="68"/>
      <c r="I64" s="68"/>
      <c r="J64" s="68"/>
      <c r="K64" s="69"/>
      <c r="L64" s="69"/>
      <c r="M64" s="69"/>
      <c r="N64" s="69"/>
    </row>
    <row r="65" spans="1:14" ht="15">
      <c r="A65" s="158" t="s">
        <v>74</v>
      </c>
      <c r="B65" s="124">
        <v>0</v>
      </c>
      <c r="C65" s="125">
        <v>0</v>
      </c>
      <c r="D65" s="159">
        <f>B65-C65</f>
        <v>0</v>
      </c>
      <c r="E65" s="137"/>
      <c r="F65" s="81"/>
      <c r="H65" s="68"/>
      <c r="I65" s="68"/>
      <c r="J65" s="68"/>
      <c r="K65" s="69"/>
      <c r="L65" s="69"/>
      <c r="M65" s="69"/>
      <c r="N65" s="69"/>
    </row>
    <row r="66" spans="1:14" ht="15.75" thickBot="1">
      <c r="A66" s="160" t="s">
        <v>69</v>
      </c>
      <c r="B66" s="161">
        <v>0</v>
      </c>
      <c r="C66" s="162">
        <v>0</v>
      </c>
      <c r="D66" s="163">
        <f>B66-C66</f>
        <v>0</v>
      </c>
      <c r="E66" s="137"/>
      <c r="F66" s="81"/>
      <c r="H66" s="68" t="s">
        <v>32</v>
      </c>
      <c r="I66" s="68"/>
      <c r="J66" s="68"/>
      <c r="K66" s="69"/>
      <c r="L66" s="69"/>
      <c r="M66" s="69"/>
      <c r="N66" s="69"/>
    </row>
    <row r="67" spans="1:14" ht="15">
      <c r="A67" s="91"/>
      <c r="B67" s="124"/>
      <c r="C67" s="127"/>
      <c r="D67" s="128"/>
      <c r="E67" s="137"/>
      <c r="F67" s="81"/>
      <c r="H67" s="68"/>
      <c r="I67" s="68"/>
      <c r="J67" s="68"/>
      <c r="K67" s="69"/>
      <c r="L67" s="69"/>
      <c r="M67" s="69"/>
      <c r="N67" s="69"/>
    </row>
    <row r="68" spans="1:14" ht="25.5">
      <c r="A68" s="94" t="s">
        <v>75</v>
      </c>
      <c r="B68" s="87" t="s">
        <v>16</v>
      </c>
      <c r="C68" s="95"/>
      <c r="D68" s="96"/>
      <c r="E68" s="137"/>
      <c r="F68" s="81"/>
      <c r="H68" s="68"/>
      <c r="I68" s="68"/>
      <c r="J68" s="68" t="s">
        <v>32</v>
      </c>
      <c r="K68" s="69"/>
      <c r="L68" s="69"/>
      <c r="M68" s="69"/>
      <c r="N68" s="69"/>
    </row>
    <row r="69" spans="1:14" ht="17.25" customHeight="1">
      <c r="A69" s="264" t="s">
        <v>76</v>
      </c>
      <c r="B69" s="264"/>
      <c r="C69" s="264"/>
      <c r="D69" s="264"/>
      <c r="E69" s="144" t="e">
        <f>D69+B19</f>
        <v>#VALUE!</v>
      </c>
      <c r="F69" s="68"/>
      <c r="H69" s="98" t="e">
        <f>E69-B18</f>
        <v>#VALUE!</v>
      </c>
      <c r="I69" s="68"/>
      <c r="J69" s="68"/>
      <c r="K69" s="69"/>
      <c r="L69" s="69"/>
      <c r="M69" s="69"/>
      <c r="N69" s="69"/>
    </row>
    <row r="70" spans="1:5" ht="21" customHeight="1">
      <c r="A70" s="99" t="s">
        <v>53</v>
      </c>
      <c r="B70" s="99" t="s">
        <v>54</v>
      </c>
      <c r="C70" s="100">
        <v>0</v>
      </c>
      <c r="D70" s="101"/>
      <c r="E70" s="146"/>
    </row>
    <row r="71" spans="1:5" ht="21" customHeight="1">
      <c r="A71" s="99" t="s">
        <v>55</v>
      </c>
      <c r="B71" s="99" t="s">
        <v>54</v>
      </c>
      <c r="C71" s="99">
        <v>0</v>
      </c>
      <c r="D71" s="101"/>
      <c r="E71" s="146"/>
    </row>
    <row r="72" spans="1:5" ht="18" customHeight="1">
      <c r="A72" s="99" t="s">
        <v>56</v>
      </c>
      <c r="B72" s="99" t="s">
        <v>54</v>
      </c>
      <c r="C72" s="99">
        <v>0</v>
      </c>
      <c r="D72" s="101"/>
      <c r="E72" s="146"/>
    </row>
    <row r="73" spans="1:5" ht="16.5" customHeight="1">
      <c r="A73" s="99" t="s">
        <v>57</v>
      </c>
      <c r="B73" s="99" t="s">
        <v>16</v>
      </c>
      <c r="C73" s="99">
        <v>0</v>
      </c>
      <c r="D73" s="101"/>
      <c r="E73" s="146"/>
    </row>
    <row r="74" spans="1:5" ht="15.75" customHeight="1">
      <c r="A74" s="258" t="s">
        <v>77</v>
      </c>
      <c r="B74" s="258"/>
      <c r="C74" s="258"/>
      <c r="D74" s="258"/>
      <c r="E74" s="146"/>
    </row>
    <row r="75" spans="1:5" ht="18.75" customHeight="1">
      <c r="A75" s="99" t="s">
        <v>78</v>
      </c>
      <c r="B75" s="99" t="s">
        <v>54</v>
      </c>
      <c r="C75" s="99">
        <v>1</v>
      </c>
      <c r="D75" s="101"/>
      <c r="E75" s="146"/>
    </row>
    <row r="76" spans="1:5" ht="21.75" customHeight="1">
      <c r="A76" s="99" t="s">
        <v>79</v>
      </c>
      <c r="B76" s="56" t="s">
        <v>54</v>
      </c>
      <c r="C76" s="56">
        <v>0</v>
      </c>
      <c r="D76" s="101"/>
      <c r="E76" s="146"/>
    </row>
    <row r="77" spans="1:5" ht="36" customHeight="1">
      <c r="A77" s="103" t="s">
        <v>80</v>
      </c>
      <c r="B77" s="99" t="s">
        <v>16</v>
      </c>
      <c r="C77" s="99">
        <v>0</v>
      </c>
      <c r="D77" s="101"/>
      <c r="E77" s="146"/>
    </row>
    <row r="78" spans="1:5" ht="15">
      <c r="A78" s="69"/>
      <c r="B78" s="69"/>
      <c r="C78" s="69"/>
      <c r="D78" s="104"/>
      <c r="E78" s="132"/>
    </row>
    <row r="79" spans="1:14" s="1" customFormat="1" ht="12.75">
      <c r="A79"/>
      <c r="B79"/>
      <c r="C79"/>
      <c r="D79"/>
      <c r="E79" s="132"/>
      <c r="H79" s="1" t="s">
        <v>32</v>
      </c>
      <c r="K79"/>
      <c r="L79"/>
      <c r="M79"/>
      <c r="N79"/>
    </row>
    <row r="80" spans="1:14" s="1" customFormat="1" ht="12.75">
      <c r="A80" t="s">
        <v>81</v>
      </c>
      <c r="B80"/>
      <c r="C80"/>
      <c r="D80"/>
      <c r="E80" s="132"/>
      <c r="K80"/>
      <c r="L80"/>
      <c r="M80"/>
      <c r="N80"/>
    </row>
    <row r="81" spans="1:14" s="1" customFormat="1" ht="12.75">
      <c r="A81"/>
      <c r="B81"/>
      <c r="C81"/>
      <c r="D81"/>
      <c r="H81" s="1" t="s">
        <v>32</v>
      </c>
      <c r="K81"/>
      <c r="L81"/>
      <c r="M81"/>
      <c r="N81"/>
    </row>
    <row r="82" spans="1:14" s="1" customFormat="1" ht="12.75">
      <c r="A82" t="s">
        <v>82</v>
      </c>
      <c r="B82"/>
      <c r="C82"/>
      <c r="D82"/>
      <c r="K82"/>
      <c r="L82"/>
      <c r="M82"/>
      <c r="N82"/>
    </row>
    <row r="86" spans="1:14" s="1" customFormat="1" ht="12.75">
      <c r="A86"/>
      <c r="B86"/>
      <c r="C86"/>
      <c r="D86"/>
      <c r="E86" s="1" t="s">
        <v>32</v>
      </c>
      <c r="K86"/>
      <c r="L86"/>
      <c r="M86"/>
      <c r="N86"/>
    </row>
  </sheetData>
  <sheetProtection selectLockedCells="1" selectUnlockedCells="1"/>
  <mergeCells count="13">
    <mergeCell ref="A1:D1"/>
    <mergeCell ref="A2:D2"/>
    <mergeCell ref="A3:D3"/>
    <mergeCell ref="A4:D4"/>
    <mergeCell ref="A5:D5"/>
    <mergeCell ref="A7:D7"/>
    <mergeCell ref="A74:D74"/>
    <mergeCell ref="A14:D14"/>
    <mergeCell ref="A29:D29"/>
    <mergeCell ref="A43:D43"/>
    <mergeCell ref="A48:D48"/>
    <mergeCell ref="A55:D55"/>
    <mergeCell ref="A69:D69"/>
  </mergeCells>
  <printOptions/>
  <pageMargins left="0.5597222222222222" right="0.7875" top="0.34097222222222223" bottom="0.7875" header="0.5118055555555555" footer="0.5118055555555555"/>
  <pageSetup fitToHeight="3" fitToWidth="2" horizontalDpi="300" verticalDpi="300" orientation="landscape" paperSize="12" r:id="rId1"/>
</worksheet>
</file>

<file path=xl/worksheets/sheet4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5"/>
  <sheetViews>
    <sheetView zoomScale="80" zoomScaleNormal="80" zoomScalePageLayoutView="0" workbookViewId="0" topLeftCell="A19">
      <selection activeCell="E38" sqref="E38:E39"/>
    </sheetView>
  </sheetViews>
  <sheetFormatPr defaultColWidth="11.57421875" defaultRowHeight="12.75"/>
  <cols>
    <col min="1" max="1" width="63.28125" style="0" customWidth="1"/>
    <col min="2" max="2" width="20.28125" style="0" customWidth="1"/>
    <col min="3" max="3" width="31.421875" style="0" customWidth="1"/>
    <col min="4" max="4" width="27.57421875" style="0" customWidth="1"/>
    <col min="5" max="5" width="16.8515625" style="1" customWidth="1"/>
    <col min="6" max="7" width="0" style="1" hidden="1" customWidth="1"/>
    <col min="8" max="8" width="11.57421875" style="1" customWidth="1"/>
    <col min="9" max="9" width="5.28125" style="1" customWidth="1"/>
    <col min="10" max="10" width="30.00390625" style="1" customWidth="1"/>
    <col min="11" max="12" width="23.28125" style="0" customWidth="1"/>
    <col min="13" max="13" width="6.57421875" style="0" customWidth="1"/>
    <col min="14" max="14" width="7.00390625" style="0" customWidth="1"/>
  </cols>
  <sheetData>
    <row r="1" spans="1:4" ht="18">
      <c r="A1" s="265" t="s">
        <v>0</v>
      </c>
      <c r="B1" s="265"/>
      <c r="C1" s="265"/>
      <c r="D1" s="265"/>
    </row>
    <row r="2" spans="1:4" ht="15.75">
      <c r="A2" s="266" t="s">
        <v>1</v>
      </c>
      <c r="B2" s="266"/>
      <c r="C2" s="266"/>
      <c r="D2" s="266"/>
    </row>
    <row r="3" spans="1:4" ht="15.75">
      <c r="A3" s="266" t="s">
        <v>2</v>
      </c>
      <c r="B3" s="266"/>
      <c r="C3" s="266"/>
      <c r="D3" s="266"/>
    </row>
    <row r="4" spans="1:4" ht="12.75">
      <c r="A4" s="267" t="s">
        <v>151</v>
      </c>
      <c r="B4" s="267"/>
      <c r="C4" s="267"/>
      <c r="D4" s="267"/>
    </row>
    <row r="5" spans="1:4" ht="12.75">
      <c r="A5" s="268" t="s">
        <v>171</v>
      </c>
      <c r="B5" s="267"/>
      <c r="C5" s="267"/>
      <c r="D5" s="267"/>
    </row>
    <row r="6" ht="9" customHeight="1">
      <c r="A6" s="2"/>
    </row>
    <row r="7" spans="1:4" ht="18" customHeight="1">
      <c r="A7" s="269" t="s">
        <v>4</v>
      </c>
      <c r="B7" s="269"/>
      <c r="C7" s="269"/>
      <c r="D7" s="269"/>
    </row>
    <row r="8" spans="1:3" ht="12.75">
      <c r="A8" s="2" t="s">
        <v>268</v>
      </c>
      <c r="C8" s="3"/>
    </row>
    <row r="9" spans="1:4" ht="12.75">
      <c r="A9" s="4" t="s">
        <v>5</v>
      </c>
      <c r="B9" s="4" t="s">
        <v>6</v>
      </c>
      <c r="C9" s="4" t="s">
        <v>7</v>
      </c>
      <c r="D9" s="5"/>
    </row>
    <row r="10" spans="1:4" ht="12.75">
      <c r="A10" s="6">
        <v>1</v>
      </c>
      <c r="B10" s="6">
        <v>2</v>
      </c>
      <c r="C10" s="6">
        <v>3</v>
      </c>
      <c r="D10" s="7">
        <v>4</v>
      </c>
    </row>
    <row r="11" spans="1:4" ht="12.75">
      <c r="A11" s="8" t="s">
        <v>8</v>
      </c>
      <c r="B11" s="9"/>
      <c r="C11" s="177" t="s">
        <v>172</v>
      </c>
      <c r="D11" s="10"/>
    </row>
    <row r="12" spans="1:8" ht="12.75">
      <c r="A12" s="8" t="s">
        <v>10</v>
      </c>
      <c r="B12" s="9"/>
      <c r="C12" s="177" t="s">
        <v>173</v>
      </c>
      <c r="D12" s="10"/>
      <c r="E12" s="132"/>
      <c r="F12" s="132"/>
      <c r="G12" s="132"/>
      <c r="H12" s="132"/>
    </row>
    <row r="13" spans="1:8" ht="12.75">
      <c r="A13" s="8" t="s">
        <v>12</v>
      </c>
      <c r="B13" s="9"/>
      <c r="C13" s="177" t="s">
        <v>174</v>
      </c>
      <c r="D13" s="10"/>
      <c r="E13" s="132"/>
      <c r="F13" s="132"/>
      <c r="G13" s="132"/>
      <c r="H13" s="132"/>
    </row>
    <row r="14" spans="1:8" ht="31.5" customHeight="1">
      <c r="A14" s="259" t="s">
        <v>14</v>
      </c>
      <c r="B14" s="259"/>
      <c r="C14" s="259"/>
      <c r="D14" s="259"/>
      <c r="E14" s="132"/>
      <c r="F14" s="132"/>
      <c r="G14" s="132"/>
      <c r="H14" s="132"/>
    </row>
    <row r="15" spans="1:8" ht="25.5">
      <c r="A15" s="11" t="s">
        <v>15</v>
      </c>
      <c r="B15" s="12" t="s">
        <v>16</v>
      </c>
      <c r="C15" s="13">
        <v>23886.36</v>
      </c>
      <c r="D15" s="14"/>
      <c r="E15" s="132"/>
      <c r="F15" s="132"/>
      <c r="G15" s="132"/>
      <c r="H15" s="132"/>
    </row>
    <row r="16" spans="1:8" ht="15">
      <c r="A16" s="8" t="s">
        <v>17</v>
      </c>
      <c r="B16" s="12" t="s">
        <v>16</v>
      </c>
      <c r="C16" s="13">
        <v>0</v>
      </c>
      <c r="D16" s="14"/>
      <c r="E16" s="132"/>
      <c r="F16" s="132"/>
      <c r="G16" s="132"/>
      <c r="H16" s="132"/>
    </row>
    <row r="17" spans="1:8" ht="15">
      <c r="A17" s="8" t="s">
        <v>18</v>
      </c>
      <c r="B17" s="12" t="s">
        <v>16</v>
      </c>
      <c r="C17" s="15">
        <v>15215.41</v>
      </c>
      <c r="D17" s="16"/>
      <c r="E17" s="62"/>
      <c r="F17" s="132"/>
      <c r="G17" s="132"/>
      <c r="H17" s="132"/>
    </row>
    <row r="18" spans="1:8" ht="31.5" customHeight="1">
      <c r="A18" s="17" t="s">
        <v>19</v>
      </c>
      <c r="B18" s="12" t="s">
        <v>16</v>
      </c>
      <c r="C18" s="15">
        <v>21675.78</v>
      </c>
      <c r="D18" s="16"/>
      <c r="E18" s="133">
        <f>C18-C20</f>
        <v>15235.23</v>
      </c>
      <c r="F18" s="132"/>
      <c r="G18" s="132"/>
      <c r="H18" s="132"/>
    </row>
    <row r="19" spans="1:8" ht="15">
      <c r="A19" s="8" t="s">
        <v>20</v>
      </c>
      <c r="B19" s="12" t="s">
        <v>16</v>
      </c>
      <c r="C19" s="15">
        <f>C18-C20-C21</f>
        <v>7639.9980000000005</v>
      </c>
      <c r="D19" s="16"/>
      <c r="E19" s="133">
        <f>E18-E38</f>
        <v>0.004000000002633897</v>
      </c>
      <c r="F19" s="132"/>
      <c r="G19" s="132"/>
      <c r="H19" s="132"/>
    </row>
    <row r="20" spans="1:8" ht="15">
      <c r="A20" s="8" t="s">
        <v>21</v>
      </c>
      <c r="B20" s="12" t="s">
        <v>16</v>
      </c>
      <c r="C20" s="15">
        <f>(1.75+1.35)*6*129.7+4028.13</f>
        <v>6440.55</v>
      </c>
      <c r="D20" s="16"/>
      <c r="E20" s="134"/>
      <c r="F20" s="132"/>
      <c r="G20" s="132"/>
      <c r="H20" s="132"/>
    </row>
    <row r="21" spans="1:8" ht="15">
      <c r="A21" s="8" t="s">
        <v>22</v>
      </c>
      <c r="B21" s="12" t="s">
        <v>16</v>
      </c>
      <c r="C21" s="20">
        <f>129.7*4.88*12</f>
        <v>7595.231999999999</v>
      </c>
      <c r="D21" s="16"/>
      <c r="E21" s="132"/>
      <c r="F21" s="132"/>
      <c r="G21" s="132"/>
      <c r="H21" s="132"/>
    </row>
    <row r="22" spans="1:8" ht="15">
      <c r="A22" s="21" t="s">
        <v>23</v>
      </c>
      <c r="B22" s="12" t="s">
        <v>16</v>
      </c>
      <c r="C22" s="15">
        <f>C23+C24+C25+C26+C27</f>
        <v>35045.401104</v>
      </c>
      <c r="D22" s="16" t="s">
        <v>24</v>
      </c>
      <c r="E22" s="18"/>
      <c r="F22" s="132"/>
      <c r="G22" s="132"/>
      <c r="H22" s="132"/>
    </row>
    <row r="23" spans="1:8" ht="15">
      <c r="A23" s="8" t="s">
        <v>25</v>
      </c>
      <c r="B23" s="12" t="s">
        <v>16</v>
      </c>
      <c r="C23" s="15">
        <f>C18*1.6168</f>
        <v>35045.401104</v>
      </c>
      <c r="D23" s="16"/>
      <c r="E23" s="62"/>
      <c r="F23" s="132"/>
      <c r="G23" s="132"/>
      <c r="H23" s="132"/>
    </row>
    <row r="24" spans="1:8" ht="15">
      <c r="A24" s="8" t="s">
        <v>26</v>
      </c>
      <c r="B24" s="12" t="s">
        <v>16</v>
      </c>
      <c r="C24" s="15">
        <v>0</v>
      </c>
      <c r="D24" s="22">
        <v>65.21</v>
      </c>
      <c r="E24" s="134" t="e">
        <f>B24/#REF!*1</f>
        <v>#VALUE!</v>
      </c>
      <c r="F24" s="132"/>
      <c r="G24" s="132"/>
      <c r="H24" s="132" t="s">
        <v>27</v>
      </c>
    </row>
    <row r="25" spans="1:8" ht="15">
      <c r="A25" s="8" t="s">
        <v>28</v>
      </c>
      <c r="B25" s="12" t="s">
        <v>16</v>
      </c>
      <c r="C25" s="15">
        <v>0</v>
      </c>
      <c r="D25" s="22">
        <v>119.63</v>
      </c>
      <c r="E25" s="134" t="e">
        <f>B25/#REF!*1</f>
        <v>#VALUE!</v>
      </c>
      <c r="F25" s="132"/>
      <c r="G25" s="132"/>
      <c r="H25" s="132"/>
    </row>
    <row r="26" spans="1:8" ht="15">
      <c r="A26" s="9" t="s">
        <v>29</v>
      </c>
      <c r="B26" s="12" t="s">
        <v>16</v>
      </c>
      <c r="C26" s="15">
        <v>0</v>
      </c>
      <c r="D26" s="22"/>
      <c r="E26" s="134" t="e">
        <f>B26/#REF!*1</f>
        <v>#VALUE!</v>
      </c>
      <c r="F26" s="132"/>
      <c r="G26" s="132"/>
      <c r="H26" s="132"/>
    </row>
    <row r="27" spans="1:8" ht="16.5" customHeight="1">
      <c r="A27" s="116" t="s">
        <v>112</v>
      </c>
      <c r="B27" s="12" t="s">
        <v>16</v>
      </c>
      <c r="C27" s="15">
        <v>0</v>
      </c>
      <c r="D27" s="22">
        <v>139.18</v>
      </c>
      <c r="E27" s="134" t="e">
        <f>B27/#REF!*1</f>
        <v>#VALUE!</v>
      </c>
      <c r="F27" s="132"/>
      <c r="G27" s="132"/>
      <c r="H27" s="132"/>
    </row>
    <row r="28" spans="1:8" ht="15">
      <c r="A28" s="8" t="s">
        <v>31</v>
      </c>
      <c r="B28" s="12" t="s">
        <v>16</v>
      </c>
      <c r="C28" s="15">
        <f>C15+C22</f>
        <v>58931.761104</v>
      </c>
      <c r="D28" s="16" t="s">
        <v>32</v>
      </c>
      <c r="E28" s="134" t="e">
        <f>B28/#REF!*1</f>
        <v>#VALUE!</v>
      </c>
      <c r="F28" s="132"/>
      <c r="G28" s="132"/>
      <c r="H28" s="132"/>
    </row>
    <row r="29" spans="1:8" ht="35.25" customHeight="1">
      <c r="A29" s="260" t="s">
        <v>33</v>
      </c>
      <c r="B29" s="260"/>
      <c r="C29" s="260"/>
      <c r="D29" s="260"/>
      <c r="E29" s="132"/>
      <c r="F29" s="132"/>
      <c r="G29" s="132"/>
      <c r="H29" s="132"/>
    </row>
    <row r="30" spans="1:8" ht="60">
      <c r="A30" s="23" t="s">
        <v>34</v>
      </c>
      <c r="B30" s="24" t="s">
        <v>35</v>
      </c>
      <c r="C30" s="25" t="s">
        <v>36</v>
      </c>
      <c r="D30" s="26" t="s">
        <v>37</v>
      </c>
      <c r="E30" s="132"/>
      <c r="F30" s="132"/>
      <c r="G30" s="132"/>
      <c r="H30" s="132"/>
    </row>
    <row r="31" spans="1:8" ht="15">
      <c r="A31" s="27" t="s">
        <v>38</v>
      </c>
      <c r="B31" s="28" t="s">
        <v>39</v>
      </c>
      <c r="C31" s="29" t="s">
        <v>40</v>
      </c>
      <c r="D31" s="107">
        <f>(0.17+0.16)*6*129.7</f>
        <v>256.806</v>
      </c>
      <c r="E31" s="132"/>
      <c r="F31" s="132"/>
      <c r="G31" s="132"/>
      <c r="H31" s="132"/>
    </row>
    <row r="32" spans="1:8" ht="15">
      <c r="A32" s="31" t="s">
        <v>41</v>
      </c>
      <c r="B32" s="32" t="s">
        <v>42</v>
      </c>
      <c r="C32" s="33" t="s">
        <v>43</v>
      </c>
      <c r="D32" s="34">
        <f>(3.03+3)*6*129.7</f>
        <v>4692.5459999999985</v>
      </c>
      <c r="E32" s="132"/>
      <c r="F32" s="132"/>
      <c r="G32" s="132"/>
      <c r="H32" s="132"/>
    </row>
    <row r="33" spans="1:8" ht="15">
      <c r="A33" s="31" t="s">
        <v>44</v>
      </c>
      <c r="B33" s="32" t="s">
        <v>39</v>
      </c>
      <c r="C33" s="33" t="s">
        <v>45</v>
      </c>
      <c r="D33" s="108">
        <f>(0.2+0.21)*6*129.7</f>
        <v>319.06199999999995</v>
      </c>
      <c r="E33" s="132"/>
      <c r="F33" s="132"/>
      <c r="G33" s="132"/>
      <c r="H33" s="132"/>
    </row>
    <row r="34" spans="1:8" ht="15">
      <c r="A34" s="204" t="s">
        <v>253</v>
      </c>
      <c r="B34" s="32" t="s">
        <v>39</v>
      </c>
      <c r="C34" s="33" t="s">
        <v>40</v>
      </c>
      <c r="D34" s="108">
        <v>348.26</v>
      </c>
      <c r="E34" s="132"/>
      <c r="F34" s="132"/>
      <c r="G34" s="132"/>
      <c r="H34" s="132"/>
    </row>
    <row r="35" spans="1:8" ht="15">
      <c r="A35" s="31" t="s">
        <v>90</v>
      </c>
      <c r="B35" s="106" t="s">
        <v>91</v>
      </c>
      <c r="C35" s="33" t="s">
        <v>40</v>
      </c>
      <c r="D35" s="108">
        <f>(1.33+1.27)*6*129.7</f>
        <v>2023.32</v>
      </c>
      <c r="E35" s="132"/>
      <c r="F35" s="132"/>
      <c r="G35" s="132"/>
      <c r="H35" s="132"/>
    </row>
    <row r="36" spans="1:8" ht="15">
      <c r="A36" s="31" t="s">
        <v>46</v>
      </c>
      <c r="B36" s="32" t="s">
        <v>42</v>
      </c>
      <c r="C36" s="35" t="s">
        <v>47</v>
      </c>
      <c r="D36" s="108">
        <f>4.88*129.7*12</f>
        <v>7595.231999999999</v>
      </c>
      <c r="E36" s="132"/>
      <c r="F36" s="132"/>
      <c r="G36" s="132"/>
      <c r="H36" s="132"/>
    </row>
    <row r="37" spans="1:14" s="1" customFormat="1" ht="45">
      <c r="A37" s="36" t="s">
        <v>48</v>
      </c>
      <c r="B37" s="37" t="s">
        <v>49</v>
      </c>
      <c r="C37" s="131"/>
      <c r="D37" s="39">
        <v>0</v>
      </c>
      <c r="E37" s="132"/>
      <c r="F37" s="132"/>
      <c r="G37" s="132"/>
      <c r="H37" s="132"/>
      <c r="K37"/>
      <c r="L37"/>
      <c r="M37"/>
      <c r="N37"/>
    </row>
    <row r="38" spans="1:14" s="1" customFormat="1" ht="15.75">
      <c r="A38" s="40" t="s">
        <v>50</v>
      </c>
      <c r="B38" s="41"/>
      <c r="C38" s="42"/>
      <c r="D38" s="113">
        <f>SUM(D31:D37)</f>
        <v>15235.225999999997</v>
      </c>
      <c r="E38" s="135">
        <f>D38-D37</f>
        <v>15235.225999999997</v>
      </c>
      <c r="F38" s="132"/>
      <c r="G38" s="132"/>
      <c r="H38" s="132"/>
      <c r="K38"/>
      <c r="L38"/>
      <c r="M38"/>
      <c r="N38"/>
    </row>
    <row r="39" spans="1:14" s="1" customFormat="1" ht="15">
      <c r="A39" s="43" t="s">
        <v>51</v>
      </c>
      <c r="B39" s="44" t="s">
        <v>16</v>
      </c>
      <c r="C39" s="45"/>
      <c r="D39" s="46">
        <f>C15+C20*1.6168-D37</f>
        <v>34299.44124</v>
      </c>
      <c r="E39" s="135"/>
      <c r="F39" s="132"/>
      <c r="G39" s="132"/>
      <c r="H39" s="132"/>
      <c r="K39"/>
      <c r="L39"/>
      <c r="M39"/>
      <c r="N39"/>
    </row>
    <row r="40" spans="1:14" s="1" customFormat="1" ht="15">
      <c r="A40" s="48" t="s">
        <v>17</v>
      </c>
      <c r="B40" s="49" t="s">
        <v>16</v>
      </c>
      <c r="C40" s="33"/>
      <c r="D40" s="14"/>
      <c r="E40" s="62"/>
      <c r="F40" s="132"/>
      <c r="G40" s="132"/>
      <c r="H40" s="132"/>
      <c r="K40"/>
      <c r="L40"/>
      <c r="M40"/>
      <c r="N40"/>
    </row>
    <row r="41" spans="1:14" s="1" customFormat="1" ht="15">
      <c r="A41" s="48" t="s">
        <v>18</v>
      </c>
      <c r="B41" s="49" t="s">
        <v>16</v>
      </c>
      <c r="C41" s="33"/>
      <c r="D41" s="14">
        <v>0</v>
      </c>
      <c r="E41" s="62"/>
      <c r="F41" s="132"/>
      <c r="G41" s="132"/>
      <c r="H41" s="132"/>
      <c r="K41"/>
      <c r="L41"/>
      <c r="M41"/>
      <c r="N41"/>
    </row>
    <row r="42" spans="1:14" s="1" customFormat="1" ht="24" customHeight="1">
      <c r="A42" s="261" t="s">
        <v>52</v>
      </c>
      <c r="B42" s="261"/>
      <c r="C42" s="261"/>
      <c r="D42" s="261"/>
      <c r="E42" s="132"/>
      <c r="F42" s="132"/>
      <c r="G42" s="132"/>
      <c r="H42" s="132"/>
      <c r="K42"/>
      <c r="L42"/>
      <c r="M42"/>
      <c r="N42"/>
    </row>
    <row r="43" spans="1:14" s="1" customFormat="1" ht="15">
      <c r="A43" s="48" t="s">
        <v>53</v>
      </c>
      <c r="B43" s="32" t="s">
        <v>54</v>
      </c>
      <c r="C43" s="33">
        <v>0</v>
      </c>
      <c r="D43" s="14">
        <v>0</v>
      </c>
      <c r="E43" s="132"/>
      <c r="F43" s="132"/>
      <c r="G43" s="132"/>
      <c r="H43" s="132"/>
      <c r="K43"/>
      <c r="L43"/>
      <c r="M43"/>
      <c r="N43"/>
    </row>
    <row r="44" spans="1:14" s="1" customFormat="1" ht="15">
      <c r="A44" s="48" t="s">
        <v>55</v>
      </c>
      <c r="B44" s="32" t="s">
        <v>54</v>
      </c>
      <c r="C44" s="33">
        <v>0</v>
      </c>
      <c r="D44" s="14">
        <v>0</v>
      </c>
      <c r="E44" s="132"/>
      <c r="F44" s="132"/>
      <c r="G44" s="132"/>
      <c r="H44" s="132"/>
      <c r="K44"/>
      <c r="L44"/>
      <c r="M44"/>
      <c r="N44"/>
    </row>
    <row r="45" spans="1:14" s="1" customFormat="1" ht="15">
      <c r="A45" s="50" t="s">
        <v>56</v>
      </c>
      <c r="B45" s="32" t="s">
        <v>54</v>
      </c>
      <c r="C45" s="33">
        <v>0</v>
      </c>
      <c r="D45" s="14">
        <v>0</v>
      </c>
      <c r="E45" s="132"/>
      <c r="F45" s="132"/>
      <c r="G45" s="132"/>
      <c r="H45" s="132"/>
      <c r="K45"/>
      <c r="L45"/>
      <c r="M45"/>
      <c r="N45"/>
    </row>
    <row r="46" spans="1:14" s="1" customFormat="1" ht="15">
      <c r="A46" s="48" t="s">
        <v>57</v>
      </c>
      <c r="B46" s="32" t="s">
        <v>16</v>
      </c>
      <c r="C46" s="33">
        <v>0</v>
      </c>
      <c r="D46" s="14">
        <v>0</v>
      </c>
      <c r="E46" s="132"/>
      <c r="F46" s="132"/>
      <c r="G46" s="132"/>
      <c r="H46" s="132"/>
      <c r="K46"/>
      <c r="L46"/>
      <c r="M46"/>
      <c r="N46"/>
    </row>
    <row r="47" spans="1:8" ht="20.25" customHeight="1">
      <c r="A47" s="262" t="s">
        <v>58</v>
      </c>
      <c r="B47" s="262"/>
      <c r="C47" s="262"/>
      <c r="D47" s="262"/>
      <c r="E47" s="132"/>
      <c r="F47" s="132"/>
      <c r="G47" s="132"/>
      <c r="H47" s="132"/>
    </row>
    <row r="48" spans="1:8" ht="25.5">
      <c r="A48" s="50" t="s">
        <v>59</v>
      </c>
      <c r="B48" s="32" t="s">
        <v>16</v>
      </c>
      <c r="C48" s="33"/>
      <c r="D48" s="14">
        <v>0</v>
      </c>
      <c r="E48" s="132"/>
      <c r="F48" s="132"/>
      <c r="G48" s="132"/>
      <c r="H48" s="132"/>
    </row>
    <row r="49" spans="1:8" ht="15">
      <c r="A49" s="48" t="s">
        <v>17</v>
      </c>
      <c r="B49" s="32" t="s">
        <v>16</v>
      </c>
      <c r="C49" s="33"/>
      <c r="D49" s="14">
        <v>0</v>
      </c>
      <c r="E49" s="132"/>
      <c r="F49" s="132"/>
      <c r="G49" s="132"/>
      <c r="H49" s="132"/>
    </row>
    <row r="50" spans="1:8" ht="15">
      <c r="A50" s="48" t="s">
        <v>18</v>
      </c>
      <c r="B50" s="32" t="s">
        <v>16</v>
      </c>
      <c r="C50" s="33"/>
      <c r="D50" s="51">
        <f>D53-D56-D57-D58</f>
        <v>2874.7444319999995</v>
      </c>
      <c r="E50" s="132"/>
      <c r="F50" s="132"/>
      <c r="G50" s="132"/>
      <c r="H50" s="136"/>
    </row>
    <row r="51" spans="1:8" ht="25.5">
      <c r="A51" s="53" t="s">
        <v>60</v>
      </c>
      <c r="B51" s="32" t="s">
        <v>16</v>
      </c>
      <c r="C51" s="54"/>
      <c r="D51" s="55">
        <v>0</v>
      </c>
      <c r="E51" s="132"/>
      <c r="F51" s="132"/>
      <c r="G51" s="132"/>
      <c r="H51" s="132"/>
    </row>
    <row r="52" spans="1:10" ht="17.25" customHeight="1">
      <c r="A52" s="56" t="s">
        <v>17</v>
      </c>
      <c r="B52" s="32" t="s">
        <v>16</v>
      </c>
      <c r="C52" s="33"/>
      <c r="D52" s="14">
        <v>0</v>
      </c>
      <c r="E52" s="132"/>
      <c r="F52" s="132"/>
      <c r="G52" s="132"/>
      <c r="H52" s="132"/>
      <c r="I52" s="52"/>
      <c r="J52" s="52"/>
    </row>
    <row r="53" spans="1:14" ht="15">
      <c r="A53" s="59" t="s">
        <v>18</v>
      </c>
      <c r="B53" s="32" t="s">
        <v>16</v>
      </c>
      <c r="C53" s="60"/>
      <c r="D53" s="61">
        <v>0</v>
      </c>
      <c r="E53" s="132"/>
      <c r="F53" s="132"/>
      <c r="G53" s="132"/>
      <c r="H53" s="132" t="s">
        <v>32</v>
      </c>
      <c r="I53" s="63"/>
      <c r="J53" s="63"/>
      <c r="K53" s="64"/>
      <c r="L53" s="64"/>
      <c r="M53" s="64"/>
      <c r="N53" s="64"/>
    </row>
    <row r="54" spans="1:14" ht="18" customHeight="1">
      <c r="A54" s="263" t="s">
        <v>61</v>
      </c>
      <c r="B54" s="263"/>
      <c r="C54" s="263"/>
      <c r="D54" s="263"/>
      <c r="E54" s="137"/>
      <c r="F54" s="138"/>
      <c r="G54" s="139"/>
      <c r="H54" s="132"/>
      <c r="I54" s="68"/>
      <c r="J54" s="68"/>
      <c r="K54" s="69"/>
      <c r="L54" s="69"/>
      <c r="M54" s="69"/>
      <c r="N54" s="69"/>
    </row>
    <row r="55" spans="1:14" ht="47.25">
      <c r="A55" s="70" t="s">
        <v>62</v>
      </c>
      <c r="B55" s="71" t="s">
        <v>63</v>
      </c>
      <c r="C55" s="72" t="s">
        <v>64</v>
      </c>
      <c r="D55" s="73" t="s">
        <v>65</v>
      </c>
      <c r="E55" s="137"/>
      <c r="F55" s="138"/>
      <c r="G55" s="139"/>
      <c r="H55" s="132"/>
      <c r="I55" s="68"/>
      <c r="J55" s="74"/>
      <c r="K55" s="69"/>
      <c r="L55" s="69"/>
      <c r="M55" s="69"/>
      <c r="N55" s="69"/>
    </row>
    <row r="56" spans="1:14" ht="15">
      <c r="A56" s="75" t="s">
        <v>66</v>
      </c>
      <c r="B56" s="117">
        <v>4660.74</v>
      </c>
      <c r="C56" s="118">
        <f>B56*1.6168</f>
        <v>7535.484431999999</v>
      </c>
      <c r="D56" s="119">
        <f>B56-C56</f>
        <v>-2874.7444319999995</v>
      </c>
      <c r="E56" s="140"/>
      <c r="F56" s="138"/>
      <c r="G56" s="139"/>
      <c r="H56" s="132"/>
      <c r="I56" s="68"/>
      <c r="J56" s="68"/>
      <c r="K56" s="69"/>
      <c r="L56" s="69"/>
      <c r="M56" s="69"/>
      <c r="N56" s="69"/>
    </row>
    <row r="57" spans="1:14" ht="15">
      <c r="A57" s="75" t="s">
        <v>67</v>
      </c>
      <c r="B57" s="117">
        <v>0</v>
      </c>
      <c r="C57" s="118">
        <f>B57*0.7476</f>
        <v>0</v>
      </c>
      <c r="D57" s="119">
        <f>B57-C57</f>
        <v>0</v>
      </c>
      <c r="E57" s="137"/>
      <c r="F57" s="138"/>
      <c r="G57" s="139"/>
      <c r="H57" s="132"/>
      <c r="I57" s="68"/>
      <c r="J57" s="68"/>
      <c r="K57" s="69"/>
      <c r="L57" s="69"/>
      <c r="M57" s="69"/>
      <c r="N57" s="69"/>
    </row>
    <row r="58" spans="1:14" ht="15">
      <c r="A58" s="75" t="s">
        <v>68</v>
      </c>
      <c r="B58" s="120">
        <v>0</v>
      </c>
      <c r="C58" s="118">
        <f>B58*0.7699</f>
        <v>0</v>
      </c>
      <c r="D58" s="119">
        <f>B58-C58</f>
        <v>0</v>
      </c>
      <c r="E58" s="137">
        <f>(2.07+1.8)*6*2301.2-0.37*2301.2*6</f>
        <v>48325.2</v>
      </c>
      <c r="F58" s="141"/>
      <c r="G58" s="142"/>
      <c r="H58" s="137"/>
      <c r="I58" s="68"/>
      <c r="J58" s="68"/>
      <c r="K58" s="69"/>
      <c r="L58" s="69"/>
      <c r="M58" s="69"/>
      <c r="N58" s="69"/>
    </row>
    <row r="59" spans="1:14" ht="15.75" thickBot="1">
      <c r="A59" s="150" t="s">
        <v>69</v>
      </c>
      <c r="B59" s="151">
        <v>0</v>
      </c>
      <c r="C59" s="152">
        <f>B59*0.7476</f>
        <v>0</v>
      </c>
      <c r="D59" s="153">
        <f>B59-C59</f>
        <v>0</v>
      </c>
      <c r="E59" s="137"/>
      <c r="F59" s="141"/>
      <c r="G59" s="142"/>
      <c r="H59" s="132"/>
      <c r="I59" s="68"/>
      <c r="J59" s="68"/>
      <c r="K59" s="69"/>
      <c r="L59" s="69"/>
      <c r="M59" s="69"/>
      <c r="N59" s="69"/>
    </row>
    <row r="60" spans="1:14" ht="63">
      <c r="A60" s="154" t="s">
        <v>70</v>
      </c>
      <c r="B60" s="155" t="s">
        <v>71</v>
      </c>
      <c r="C60" s="156" t="s">
        <v>72</v>
      </c>
      <c r="D60" s="157" t="s">
        <v>73</v>
      </c>
      <c r="E60" s="137"/>
      <c r="F60" s="141"/>
      <c r="G60" s="132"/>
      <c r="H60" s="143"/>
      <c r="I60" s="68"/>
      <c r="J60" s="68"/>
      <c r="K60" s="69"/>
      <c r="L60" s="69"/>
      <c r="M60" s="69"/>
      <c r="N60" s="69"/>
    </row>
    <row r="61" spans="1:14" ht="15">
      <c r="A61" s="158" t="s">
        <v>66</v>
      </c>
      <c r="B61" s="124">
        <f>B56</f>
        <v>4660.74</v>
      </c>
      <c r="C61" s="125">
        <f>C56</f>
        <v>7535.484431999999</v>
      </c>
      <c r="D61" s="159">
        <f>B61-C61</f>
        <v>-2874.7444319999995</v>
      </c>
      <c r="E61" s="137"/>
      <c r="F61" s="141"/>
      <c r="G61" s="132"/>
      <c r="H61" s="143"/>
      <c r="I61" s="68"/>
      <c r="J61" s="68" t="s">
        <v>32</v>
      </c>
      <c r="K61" s="69"/>
      <c r="L61" s="69"/>
      <c r="M61" s="69"/>
      <c r="N61" s="69"/>
    </row>
    <row r="62" spans="1:14" ht="15">
      <c r="A62" s="158" t="s">
        <v>67</v>
      </c>
      <c r="B62" s="124">
        <v>0</v>
      </c>
      <c r="C62" s="125">
        <v>0</v>
      </c>
      <c r="D62" s="159">
        <f>B62-C62</f>
        <v>0</v>
      </c>
      <c r="E62" s="137"/>
      <c r="F62" s="141"/>
      <c r="G62" s="132"/>
      <c r="H62" s="143"/>
      <c r="I62" s="68"/>
      <c r="J62" s="68"/>
      <c r="K62" s="69"/>
      <c r="L62" s="69"/>
      <c r="M62" s="69"/>
      <c r="N62" s="69"/>
    </row>
    <row r="63" spans="1:14" ht="15">
      <c r="A63" s="158" t="s">
        <v>68</v>
      </c>
      <c r="B63" s="124">
        <v>0</v>
      </c>
      <c r="C63" s="125">
        <v>0</v>
      </c>
      <c r="D63" s="159">
        <f>B63-C63</f>
        <v>0</v>
      </c>
      <c r="E63" s="137"/>
      <c r="F63" s="141"/>
      <c r="G63" s="132"/>
      <c r="H63" s="143"/>
      <c r="I63" s="68"/>
      <c r="J63" s="68"/>
      <c r="K63" s="69"/>
      <c r="L63" s="69"/>
      <c r="M63" s="69"/>
      <c r="N63" s="69"/>
    </row>
    <row r="64" spans="1:14" ht="15">
      <c r="A64" s="158" t="s">
        <v>74</v>
      </c>
      <c r="B64" s="124">
        <v>0</v>
      </c>
      <c r="C64" s="125">
        <v>0</v>
      </c>
      <c r="D64" s="159">
        <f>B64-C64</f>
        <v>0</v>
      </c>
      <c r="E64" s="137"/>
      <c r="F64" s="141"/>
      <c r="G64" s="132"/>
      <c r="H64" s="143"/>
      <c r="I64" s="68"/>
      <c r="J64" s="68"/>
      <c r="K64" s="69"/>
      <c r="L64" s="69"/>
      <c r="M64" s="69"/>
      <c r="N64" s="69"/>
    </row>
    <row r="65" spans="1:14" ht="15.75" thickBot="1">
      <c r="A65" s="160" t="s">
        <v>69</v>
      </c>
      <c r="B65" s="161">
        <v>0</v>
      </c>
      <c r="C65" s="162">
        <v>0</v>
      </c>
      <c r="D65" s="163">
        <f>B65-C65</f>
        <v>0</v>
      </c>
      <c r="E65" s="137"/>
      <c r="F65" s="141"/>
      <c r="G65" s="132"/>
      <c r="H65" s="143" t="s">
        <v>32</v>
      </c>
      <c r="I65" s="68"/>
      <c r="J65" s="68"/>
      <c r="K65" s="69"/>
      <c r="L65" s="69"/>
      <c r="M65" s="69"/>
      <c r="N65" s="69"/>
    </row>
    <row r="66" spans="1:14" ht="15">
      <c r="A66" s="91"/>
      <c r="B66" s="87"/>
      <c r="C66" s="92"/>
      <c r="D66" s="93"/>
      <c r="E66" s="137"/>
      <c r="F66" s="141"/>
      <c r="G66" s="132"/>
      <c r="H66" s="143"/>
      <c r="I66" s="68"/>
      <c r="J66" s="68"/>
      <c r="K66" s="69"/>
      <c r="L66" s="69"/>
      <c r="M66" s="69"/>
      <c r="N66" s="69"/>
    </row>
    <row r="67" spans="1:14" ht="25.5">
      <c r="A67" s="94" t="s">
        <v>75</v>
      </c>
      <c r="B67" s="87" t="s">
        <v>16</v>
      </c>
      <c r="C67" s="95"/>
      <c r="D67" s="96"/>
      <c r="E67" s="137"/>
      <c r="F67" s="141"/>
      <c r="G67" s="132"/>
      <c r="H67" s="143"/>
      <c r="I67" s="68"/>
      <c r="J67" s="68" t="s">
        <v>32</v>
      </c>
      <c r="K67" s="69"/>
      <c r="L67" s="69"/>
      <c r="M67" s="69"/>
      <c r="N67" s="69"/>
    </row>
    <row r="68" spans="1:14" ht="17.25" customHeight="1">
      <c r="A68" s="264" t="s">
        <v>76</v>
      </c>
      <c r="B68" s="264"/>
      <c r="C68" s="264"/>
      <c r="D68" s="264"/>
      <c r="E68" s="144" t="e">
        <f>D68+B19</f>
        <v>#VALUE!</v>
      </c>
      <c r="F68" s="143"/>
      <c r="G68" s="132"/>
      <c r="H68" s="145" t="e">
        <f>E68-B18</f>
        <v>#VALUE!</v>
      </c>
      <c r="I68" s="68"/>
      <c r="J68" s="68"/>
      <c r="K68" s="69"/>
      <c r="L68" s="69"/>
      <c r="M68" s="69"/>
      <c r="N68" s="69"/>
    </row>
    <row r="69" spans="1:8" ht="21" customHeight="1">
      <c r="A69" s="99" t="s">
        <v>53</v>
      </c>
      <c r="B69" s="99" t="s">
        <v>54</v>
      </c>
      <c r="C69" s="100">
        <v>0</v>
      </c>
      <c r="D69" s="101"/>
      <c r="E69" s="146"/>
      <c r="F69" s="132"/>
      <c r="G69" s="132"/>
      <c r="H69" s="132"/>
    </row>
    <row r="70" spans="1:8" ht="21" customHeight="1">
      <c r="A70" s="99" t="s">
        <v>55</v>
      </c>
      <c r="B70" s="99" t="s">
        <v>54</v>
      </c>
      <c r="C70" s="99">
        <v>0</v>
      </c>
      <c r="D70" s="101"/>
      <c r="E70" s="146"/>
      <c r="F70" s="132"/>
      <c r="G70" s="132"/>
      <c r="H70" s="132"/>
    </row>
    <row r="71" spans="1:8" ht="18" customHeight="1">
      <c r="A71" s="99" t="s">
        <v>56</v>
      </c>
      <c r="B71" s="99" t="s">
        <v>54</v>
      </c>
      <c r="C71" s="99">
        <v>0</v>
      </c>
      <c r="D71" s="101"/>
      <c r="E71" s="146"/>
      <c r="F71" s="132"/>
      <c r="G71" s="132"/>
      <c r="H71" s="132"/>
    </row>
    <row r="72" spans="1:8" ht="16.5" customHeight="1">
      <c r="A72" s="99" t="s">
        <v>57</v>
      </c>
      <c r="B72" s="99" t="s">
        <v>16</v>
      </c>
      <c r="C72" s="99">
        <v>0</v>
      </c>
      <c r="D72" s="101"/>
      <c r="E72" s="146"/>
      <c r="F72" s="132"/>
      <c r="G72" s="132"/>
      <c r="H72" s="132"/>
    </row>
    <row r="73" spans="1:8" ht="15.75" customHeight="1">
      <c r="A73" s="258" t="s">
        <v>77</v>
      </c>
      <c r="B73" s="258"/>
      <c r="C73" s="258"/>
      <c r="D73" s="258"/>
      <c r="E73" s="146"/>
      <c r="F73" s="132"/>
      <c r="G73" s="132"/>
      <c r="H73" s="132"/>
    </row>
    <row r="74" spans="1:8" ht="18.75" customHeight="1">
      <c r="A74" s="99" t="s">
        <v>78</v>
      </c>
      <c r="B74" s="99" t="s">
        <v>54</v>
      </c>
      <c r="C74" s="99">
        <v>0</v>
      </c>
      <c r="D74" s="101"/>
      <c r="E74" s="146"/>
      <c r="F74" s="132"/>
      <c r="G74" s="132"/>
      <c r="H74" s="132"/>
    </row>
    <row r="75" spans="1:8" ht="21.75" customHeight="1">
      <c r="A75" s="99" t="s">
        <v>79</v>
      </c>
      <c r="B75" s="56" t="s">
        <v>54</v>
      </c>
      <c r="C75" s="56">
        <v>0</v>
      </c>
      <c r="D75" s="101"/>
      <c r="E75" s="146"/>
      <c r="F75" s="132"/>
      <c r="G75" s="132"/>
      <c r="H75" s="132"/>
    </row>
    <row r="76" spans="1:8" ht="36" customHeight="1">
      <c r="A76" s="103" t="s">
        <v>80</v>
      </c>
      <c r="B76" s="99" t="s">
        <v>16</v>
      </c>
      <c r="C76" s="99">
        <v>0</v>
      </c>
      <c r="D76" s="101"/>
      <c r="E76" s="146"/>
      <c r="F76" s="132"/>
      <c r="G76" s="132"/>
      <c r="H76" s="132"/>
    </row>
    <row r="77" spans="1:8" ht="15">
      <c r="A77" s="69"/>
      <c r="B77" s="69"/>
      <c r="C77" s="69"/>
      <c r="D77" s="104"/>
      <c r="E77" s="132"/>
      <c r="F77" s="132"/>
      <c r="G77" s="132"/>
      <c r="H77" s="132"/>
    </row>
    <row r="78" spans="1:14" s="1" customFormat="1" ht="12.75">
      <c r="A78"/>
      <c r="B78"/>
      <c r="C78"/>
      <c r="D78"/>
      <c r="E78" s="132"/>
      <c r="F78" s="132"/>
      <c r="G78" s="132"/>
      <c r="H78" s="132" t="s">
        <v>32</v>
      </c>
      <c r="K78"/>
      <c r="L78"/>
      <c r="M78"/>
      <c r="N78"/>
    </row>
    <row r="79" spans="1:14" s="1" customFormat="1" ht="12.75">
      <c r="A79" t="s">
        <v>81</v>
      </c>
      <c r="B79"/>
      <c r="C79"/>
      <c r="D79"/>
      <c r="E79" s="132"/>
      <c r="F79" s="132"/>
      <c r="G79" s="132"/>
      <c r="H79" s="132"/>
      <c r="K79"/>
      <c r="L79"/>
      <c r="M79"/>
      <c r="N79"/>
    </row>
    <row r="80" spans="1:14" s="1" customFormat="1" ht="12.75">
      <c r="A80"/>
      <c r="B80"/>
      <c r="C80"/>
      <c r="D80"/>
      <c r="E80" s="132"/>
      <c r="F80" s="132"/>
      <c r="G80" s="132"/>
      <c r="H80" s="132" t="s">
        <v>32</v>
      </c>
      <c r="K80"/>
      <c r="L80"/>
      <c r="M80"/>
      <c r="N80"/>
    </row>
    <row r="81" spans="1:14" s="1" customFormat="1" ht="12.75">
      <c r="A81" t="s">
        <v>82</v>
      </c>
      <c r="B81"/>
      <c r="C81"/>
      <c r="D81"/>
      <c r="E81" s="132"/>
      <c r="F81" s="132"/>
      <c r="G81" s="132"/>
      <c r="H81" s="132"/>
      <c r="K81"/>
      <c r="L81"/>
      <c r="M81"/>
      <c r="N81"/>
    </row>
    <row r="82" spans="5:8" ht="12.75">
      <c r="E82" s="132"/>
      <c r="F82" s="132"/>
      <c r="G82" s="132"/>
      <c r="H82" s="132"/>
    </row>
    <row r="83" spans="5:8" ht="12.75">
      <c r="E83" s="132"/>
      <c r="F83" s="132"/>
      <c r="G83" s="132"/>
      <c r="H83" s="132"/>
    </row>
    <row r="84" spans="5:8" ht="12.75">
      <c r="E84" s="132"/>
      <c r="F84" s="132"/>
      <c r="G84" s="132"/>
      <c r="H84" s="132"/>
    </row>
    <row r="85" spans="1:14" s="1" customFormat="1" ht="12.75">
      <c r="A85"/>
      <c r="B85"/>
      <c r="C85"/>
      <c r="D85"/>
      <c r="E85" s="1" t="s">
        <v>32</v>
      </c>
      <c r="K85"/>
      <c r="L85"/>
      <c r="M85"/>
      <c r="N85"/>
    </row>
  </sheetData>
  <sheetProtection selectLockedCells="1" selectUnlockedCells="1"/>
  <mergeCells count="13">
    <mergeCell ref="A1:D1"/>
    <mergeCell ref="A2:D2"/>
    <mergeCell ref="A3:D3"/>
    <mergeCell ref="A4:D4"/>
    <mergeCell ref="A5:D5"/>
    <mergeCell ref="A7:D7"/>
    <mergeCell ref="A73:D73"/>
    <mergeCell ref="A14:D14"/>
    <mergeCell ref="A29:D29"/>
    <mergeCell ref="A42:D42"/>
    <mergeCell ref="A47:D47"/>
    <mergeCell ref="A54:D54"/>
    <mergeCell ref="A68:D68"/>
  </mergeCells>
  <printOptions/>
  <pageMargins left="0.5597222222222222" right="0.7875" top="0.34097222222222223" bottom="0.7875" header="0.5118055555555555" footer="0.5118055555555555"/>
  <pageSetup fitToHeight="3" fitToWidth="2" horizontalDpi="300" verticalDpi="300" orientation="landscape" paperSize="12" r:id="rId1"/>
</worksheet>
</file>

<file path=xl/worksheets/sheet4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6"/>
  <sheetViews>
    <sheetView zoomScale="80" zoomScaleNormal="80" zoomScalePageLayoutView="0" workbookViewId="0" topLeftCell="A1">
      <selection activeCell="E15" sqref="E15:H56"/>
    </sheetView>
  </sheetViews>
  <sheetFormatPr defaultColWidth="11.57421875" defaultRowHeight="12.75"/>
  <cols>
    <col min="1" max="1" width="63.28125" style="0" customWidth="1"/>
    <col min="2" max="2" width="20.28125" style="0" customWidth="1"/>
    <col min="3" max="3" width="31.421875" style="0" customWidth="1"/>
    <col min="4" max="4" width="27.57421875" style="0" customWidth="1"/>
    <col min="5" max="5" width="16.8515625" style="1" customWidth="1"/>
    <col min="6" max="7" width="0" style="1" hidden="1" customWidth="1"/>
    <col min="8" max="8" width="11.57421875" style="1" customWidth="1"/>
    <col min="9" max="9" width="5.28125" style="1" customWidth="1"/>
    <col min="10" max="10" width="30.00390625" style="1" customWidth="1"/>
    <col min="11" max="12" width="23.28125" style="0" customWidth="1"/>
    <col min="13" max="13" width="6.57421875" style="0" customWidth="1"/>
    <col min="14" max="14" width="7.00390625" style="0" customWidth="1"/>
  </cols>
  <sheetData>
    <row r="1" spans="1:4" ht="18">
      <c r="A1" s="265" t="s">
        <v>0</v>
      </c>
      <c r="B1" s="265"/>
      <c r="C1" s="265"/>
      <c r="D1" s="265"/>
    </row>
    <row r="2" spans="1:4" ht="15.75">
      <c r="A2" s="266" t="s">
        <v>1</v>
      </c>
      <c r="B2" s="266"/>
      <c r="C2" s="266"/>
      <c r="D2" s="266"/>
    </row>
    <row r="3" spans="1:4" ht="15.75">
      <c r="A3" s="266" t="s">
        <v>2</v>
      </c>
      <c r="B3" s="266"/>
      <c r="C3" s="266"/>
      <c r="D3" s="266"/>
    </row>
    <row r="4" spans="1:4" ht="12.75">
      <c r="A4" s="267" t="s">
        <v>152</v>
      </c>
      <c r="B4" s="267"/>
      <c r="C4" s="267"/>
      <c r="D4" s="267"/>
    </row>
    <row r="5" spans="1:4" ht="12.75">
      <c r="A5" s="268" t="s">
        <v>171</v>
      </c>
      <c r="B5" s="267"/>
      <c r="C5" s="267"/>
      <c r="D5" s="267"/>
    </row>
    <row r="6" ht="9" customHeight="1">
      <c r="A6" s="2"/>
    </row>
    <row r="7" spans="1:4" ht="18" customHeight="1">
      <c r="A7" s="269" t="s">
        <v>4</v>
      </c>
      <c r="B7" s="269"/>
      <c r="C7" s="269"/>
      <c r="D7" s="269"/>
    </row>
    <row r="8" spans="1:3" ht="12.75">
      <c r="A8" s="2" t="s">
        <v>269</v>
      </c>
      <c r="C8" s="3"/>
    </row>
    <row r="9" spans="1:4" ht="12.75">
      <c r="A9" s="4" t="s">
        <v>5</v>
      </c>
      <c r="B9" s="4" t="s">
        <v>6</v>
      </c>
      <c r="C9" s="4" t="s">
        <v>7</v>
      </c>
      <c r="D9" s="5"/>
    </row>
    <row r="10" spans="1:4" ht="12.75">
      <c r="A10" s="6">
        <v>1</v>
      </c>
      <c r="B10" s="6">
        <v>2</v>
      </c>
      <c r="C10" s="6">
        <v>3</v>
      </c>
      <c r="D10" s="7">
        <v>4</v>
      </c>
    </row>
    <row r="11" spans="1:4" ht="12.75">
      <c r="A11" s="8" t="s">
        <v>8</v>
      </c>
      <c r="B11" s="9"/>
      <c r="C11" s="177" t="s">
        <v>172</v>
      </c>
      <c r="D11" s="10"/>
    </row>
    <row r="12" spans="1:4" ht="12.75">
      <c r="A12" s="8" t="s">
        <v>10</v>
      </c>
      <c r="B12" s="9"/>
      <c r="C12" s="177" t="s">
        <v>173</v>
      </c>
      <c r="D12" s="10"/>
    </row>
    <row r="13" spans="1:4" ht="12.75">
      <c r="A13" s="8" t="s">
        <v>12</v>
      </c>
      <c r="B13" s="9"/>
      <c r="C13" s="177" t="s">
        <v>174</v>
      </c>
      <c r="D13" s="10"/>
    </row>
    <row r="14" spans="1:8" ht="31.5" customHeight="1">
      <c r="A14" s="259" t="s">
        <v>14</v>
      </c>
      <c r="B14" s="259"/>
      <c r="C14" s="259"/>
      <c r="D14" s="259"/>
      <c r="E14" s="132"/>
      <c r="F14" s="132"/>
      <c r="G14" s="132"/>
      <c r="H14" s="132"/>
    </row>
    <row r="15" spans="1:8" ht="25.5">
      <c r="A15" s="11" t="s">
        <v>15</v>
      </c>
      <c r="B15" s="12" t="s">
        <v>16</v>
      </c>
      <c r="C15" s="13">
        <v>16079.95</v>
      </c>
      <c r="D15" s="14"/>
      <c r="E15" s="132"/>
      <c r="F15" s="132"/>
      <c r="G15" s="132"/>
      <c r="H15" s="132"/>
    </row>
    <row r="16" spans="1:8" ht="15">
      <c r="A16" s="8" t="s">
        <v>17</v>
      </c>
      <c r="B16" s="12" t="s">
        <v>16</v>
      </c>
      <c r="C16" s="13">
        <v>0</v>
      </c>
      <c r="D16" s="14"/>
      <c r="E16" s="132"/>
      <c r="F16" s="132"/>
      <c r="G16" s="132"/>
      <c r="H16" s="132"/>
    </row>
    <row r="17" spans="1:8" ht="15">
      <c r="A17" s="8" t="s">
        <v>18</v>
      </c>
      <c r="B17" s="12" t="s">
        <v>16</v>
      </c>
      <c r="C17" s="15">
        <v>1213.84</v>
      </c>
      <c r="D17" s="16"/>
      <c r="E17" s="132" t="e">
        <f>B17/12/1022.6</f>
        <v>#VALUE!</v>
      </c>
      <c r="F17" s="132"/>
      <c r="G17" s="132"/>
      <c r="H17" s="132"/>
    </row>
    <row r="18" spans="1:8" ht="31.5" customHeight="1">
      <c r="A18" s="17" t="s">
        <v>19</v>
      </c>
      <c r="B18" s="12" t="s">
        <v>16</v>
      </c>
      <c r="C18" s="15">
        <v>14277.78</v>
      </c>
      <c r="D18" s="16"/>
      <c r="E18" s="133">
        <f>C18-C20</f>
        <v>12152.25</v>
      </c>
      <c r="F18" s="132"/>
      <c r="G18" s="132"/>
      <c r="H18" s="132"/>
    </row>
    <row r="19" spans="1:8" ht="15">
      <c r="A19" s="8" t="s">
        <v>20</v>
      </c>
      <c r="B19" s="12" t="s">
        <v>16</v>
      </c>
      <c r="C19" s="15">
        <f>C18-C20-C21</f>
        <v>6161.562</v>
      </c>
      <c r="D19" s="16"/>
      <c r="E19" s="133">
        <f>E18-E39</f>
        <v>0</v>
      </c>
      <c r="F19" s="132"/>
      <c r="G19" s="132"/>
      <c r="H19" s="132"/>
    </row>
    <row r="20" spans="1:8" ht="15">
      <c r="A20" s="8" t="s">
        <v>21</v>
      </c>
      <c r="B20" s="12" t="s">
        <v>16</v>
      </c>
      <c r="C20" s="15">
        <f>(0.85)*6*102.3+1603.8</f>
        <v>2125.5299999999997</v>
      </c>
      <c r="D20" s="16"/>
      <c r="E20" s="134"/>
      <c r="F20" s="132"/>
      <c r="G20" s="132"/>
      <c r="H20" s="132"/>
    </row>
    <row r="21" spans="1:8" ht="15">
      <c r="A21" s="8" t="s">
        <v>22</v>
      </c>
      <c r="B21" s="12" t="s">
        <v>16</v>
      </c>
      <c r="C21" s="20">
        <f>102.3*4.88*12</f>
        <v>5990.688</v>
      </c>
      <c r="D21" s="16"/>
      <c r="E21" s="132"/>
      <c r="F21" s="132"/>
      <c r="G21" s="132"/>
      <c r="H21" s="132"/>
    </row>
    <row r="22" spans="1:8" ht="15">
      <c r="A22" s="21" t="s">
        <v>23</v>
      </c>
      <c r="B22" s="12" t="s">
        <v>16</v>
      </c>
      <c r="C22" s="15">
        <f>C23+C24+C25+C26+C27</f>
        <v>14273.496666000001</v>
      </c>
      <c r="D22" s="16" t="s">
        <v>24</v>
      </c>
      <c r="E22" s="133" t="e">
        <f>B24+B25+B26+B27+B28</f>
        <v>#VALUE!</v>
      </c>
      <c r="F22" s="132"/>
      <c r="G22" s="132"/>
      <c r="H22" s="132"/>
    </row>
    <row r="23" spans="1:8" ht="15">
      <c r="A23" s="8" t="s">
        <v>25</v>
      </c>
      <c r="B23" s="12" t="s">
        <v>16</v>
      </c>
      <c r="C23" s="15">
        <f>C18*0.9997</f>
        <v>14273.496666000001</v>
      </c>
      <c r="D23" s="16"/>
      <c r="E23" s="132"/>
      <c r="F23" s="132"/>
      <c r="G23" s="132"/>
      <c r="H23" s="132"/>
    </row>
    <row r="24" spans="1:8" ht="15">
      <c r="A24" s="8" t="s">
        <v>26</v>
      </c>
      <c r="B24" s="12" t="s">
        <v>16</v>
      </c>
      <c r="C24" s="15">
        <v>0</v>
      </c>
      <c r="D24" s="22">
        <v>65.21</v>
      </c>
      <c r="E24" s="134" t="e">
        <f>B24/#REF!*1</f>
        <v>#VALUE!</v>
      </c>
      <c r="F24" s="132"/>
      <c r="G24" s="132"/>
      <c r="H24" s="132" t="s">
        <v>27</v>
      </c>
    </row>
    <row r="25" spans="1:8" ht="15">
      <c r="A25" s="8" t="s">
        <v>28</v>
      </c>
      <c r="B25" s="12" t="s">
        <v>16</v>
      </c>
      <c r="C25" s="15">
        <v>0</v>
      </c>
      <c r="D25" s="22">
        <v>119.63</v>
      </c>
      <c r="E25" s="134" t="e">
        <f>B25/#REF!*1</f>
        <v>#VALUE!</v>
      </c>
      <c r="F25" s="132"/>
      <c r="G25" s="132"/>
      <c r="H25" s="132"/>
    </row>
    <row r="26" spans="1:8" ht="15">
      <c r="A26" s="9" t="s">
        <v>29</v>
      </c>
      <c r="B26" s="12" t="s">
        <v>16</v>
      </c>
      <c r="C26" s="15">
        <v>0</v>
      </c>
      <c r="D26" s="22"/>
      <c r="E26" s="134" t="e">
        <f>B26/#REF!*1</f>
        <v>#VALUE!</v>
      </c>
      <c r="F26" s="132"/>
      <c r="G26" s="132"/>
      <c r="H26" s="132"/>
    </row>
    <row r="27" spans="1:8" ht="16.5" customHeight="1">
      <c r="A27" s="116" t="s">
        <v>112</v>
      </c>
      <c r="B27" s="12" t="s">
        <v>16</v>
      </c>
      <c r="C27" s="15">
        <v>0</v>
      </c>
      <c r="D27" s="22">
        <v>139.18</v>
      </c>
      <c r="E27" s="134" t="e">
        <f>B27/#REF!*1</f>
        <v>#VALUE!</v>
      </c>
      <c r="F27" s="132"/>
      <c r="G27" s="132"/>
      <c r="H27" s="132"/>
    </row>
    <row r="28" spans="1:8" ht="15">
      <c r="A28" s="8" t="s">
        <v>31</v>
      </c>
      <c r="B28" s="12" t="s">
        <v>16</v>
      </c>
      <c r="C28" s="15">
        <f>C15+C22</f>
        <v>30353.446666000003</v>
      </c>
      <c r="D28" s="16" t="s">
        <v>32</v>
      </c>
      <c r="E28" s="134" t="e">
        <f>B28/#REF!*1</f>
        <v>#VALUE!</v>
      </c>
      <c r="F28" s="132"/>
      <c r="G28" s="132"/>
      <c r="H28" s="132"/>
    </row>
    <row r="29" spans="1:8" ht="35.25" customHeight="1">
      <c r="A29" s="260" t="s">
        <v>33</v>
      </c>
      <c r="B29" s="260"/>
      <c r="C29" s="260"/>
      <c r="D29" s="260"/>
      <c r="E29" s="132"/>
      <c r="F29" s="132"/>
      <c r="G29" s="132"/>
      <c r="H29" s="132"/>
    </row>
    <row r="30" spans="1:8" ht="60">
      <c r="A30" s="23" t="s">
        <v>34</v>
      </c>
      <c r="B30" s="24" t="s">
        <v>35</v>
      </c>
      <c r="C30" s="25" t="s">
        <v>36</v>
      </c>
      <c r="D30" s="26" t="s">
        <v>37</v>
      </c>
      <c r="E30" s="132"/>
      <c r="F30" s="132"/>
      <c r="G30" s="132"/>
      <c r="H30" s="132"/>
    </row>
    <row r="31" spans="1:8" ht="15">
      <c r="A31" s="27" t="s">
        <v>38</v>
      </c>
      <c r="B31" s="28" t="s">
        <v>39</v>
      </c>
      <c r="C31" s="29" t="s">
        <v>40</v>
      </c>
      <c r="D31" s="107">
        <f>(0.17+0.16)*6*102.3</f>
        <v>202.554</v>
      </c>
      <c r="E31" s="132"/>
      <c r="F31" s="132"/>
      <c r="G31" s="132"/>
      <c r="H31" s="132"/>
    </row>
    <row r="32" spans="1:8" ht="15">
      <c r="A32" s="31" t="s">
        <v>41</v>
      </c>
      <c r="B32" s="32" t="s">
        <v>42</v>
      </c>
      <c r="C32" s="33" t="s">
        <v>43</v>
      </c>
      <c r="D32" s="34">
        <f>(3.03+3)*6*102.3</f>
        <v>3701.213999999999</v>
      </c>
      <c r="E32" s="132"/>
      <c r="F32" s="132"/>
      <c r="G32" s="132"/>
      <c r="H32" s="132"/>
    </row>
    <row r="33" spans="1:8" ht="15">
      <c r="A33" s="31" t="s">
        <v>44</v>
      </c>
      <c r="B33" s="32" t="s">
        <v>39</v>
      </c>
      <c r="C33" s="33" t="s">
        <v>45</v>
      </c>
      <c r="D33" s="108">
        <f>(0.2+0.21)*6*102.3</f>
        <v>251.658</v>
      </c>
      <c r="E33" s="132"/>
      <c r="F33" s="132"/>
      <c r="G33" s="132"/>
      <c r="H33" s="132"/>
    </row>
    <row r="34" spans="1:8" ht="15">
      <c r="A34" s="204" t="s">
        <v>255</v>
      </c>
      <c r="B34" s="32" t="s">
        <v>39</v>
      </c>
      <c r="C34" s="33" t="s">
        <v>40</v>
      </c>
      <c r="D34" s="108">
        <f>(0.23+0.22)*6*102.3</f>
        <v>276.21000000000004</v>
      </c>
      <c r="E34" s="132"/>
      <c r="F34" s="132"/>
      <c r="G34" s="132"/>
      <c r="H34" s="132"/>
    </row>
    <row r="35" spans="1:8" ht="15">
      <c r="A35" s="31" t="s">
        <v>90</v>
      </c>
      <c r="B35" s="106" t="s">
        <v>91</v>
      </c>
      <c r="C35" s="33" t="s">
        <v>40</v>
      </c>
      <c r="D35" s="108">
        <f>(0.6+1.27)*6*102.3</f>
        <v>1147.806</v>
      </c>
      <c r="E35" s="132"/>
      <c r="F35" s="132"/>
      <c r="G35" s="132"/>
      <c r="H35" s="132"/>
    </row>
    <row r="36" spans="1:8" ht="15">
      <c r="A36" s="31" t="s">
        <v>46</v>
      </c>
      <c r="B36" s="32" t="s">
        <v>42</v>
      </c>
      <c r="C36" s="35" t="s">
        <v>47</v>
      </c>
      <c r="D36" s="108">
        <f>4.88*102.3*12</f>
        <v>5990.688</v>
      </c>
      <c r="E36" s="132"/>
      <c r="F36" s="132"/>
      <c r="G36" s="132"/>
      <c r="H36" s="132"/>
    </row>
    <row r="37" spans="1:14" s="1" customFormat="1" ht="45">
      <c r="A37" s="36" t="s">
        <v>48</v>
      </c>
      <c r="B37" s="37" t="s">
        <v>49</v>
      </c>
      <c r="C37" s="131"/>
      <c r="D37" s="39">
        <v>0</v>
      </c>
      <c r="E37" s="132"/>
      <c r="F37" s="132"/>
      <c r="G37" s="132"/>
      <c r="H37" s="132"/>
      <c r="K37"/>
      <c r="L37"/>
      <c r="M37"/>
      <c r="N37"/>
    </row>
    <row r="38" spans="1:14" s="1" customFormat="1" ht="45">
      <c r="A38" s="109" t="s">
        <v>95</v>
      </c>
      <c r="B38" s="110" t="s">
        <v>96</v>
      </c>
      <c r="C38" s="29" t="s">
        <v>97</v>
      </c>
      <c r="D38" s="112">
        <v>582.12</v>
      </c>
      <c r="E38" s="132"/>
      <c r="F38" s="132"/>
      <c r="G38" s="132"/>
      <c r="H38" s="132"/>
      <c r="K38"/>
      <c r="L38"/>
      <c r="M38"/>
      <c r="N38"/>
    </row>
    <row r="39" spans="1:14" s="1" customFormat="1" ht="15.75">
      <c r="A39" s="40" t="s">
        <v>50</v>
      </c>
      <c r="B39" s="41"/>
      <c r="C39" s="42"/>
      <c r="D39" s="113">
        <f>SUM(D31:D38)</f>
        <v>12152.25</v>
      </c>
      <c r="E39" s="135">
        <f>D39-D37</f>
        <v>12152.25</v>
      </c>
      <c r="F39" s="132"/>
      <c r="G39" s="132"/>
      <c r="H39" s="132"/>
      <c r="K39"/>
      <c r="L39"/>
      <c r="M39"/>
      <c r="N39"/>
    </row>
    <row r="40" spans="1:14" s="1" customFormat="1" ht="15">
      <c r="A40" s="43" t="s">
        <v>51</v>
      </c>
      <c r="B40" s="44" t="s">
        <v>16</v>
      </c>
      <c r="C40" s="45"/>
      <c r="D40" s="46">
        <f>C15+C20*0.9997-D37</f>
        <v>18204.842341</v>
      </c>
      <c r="E40" s="135"/>
      <c r="F40" s="132"/>
      <c r="G40" s="132"/>
      <c r="H40" s="132"/>
      <c r="K40"/>
      <c r="L40"/>
      <c r="M40"/>
      <c r="N40"/>
    </row>
    <row r="41" spans="1:14" s="1" customFormat="1" ht="15">
      <c r="A41" s="48" t="s">
        <v>17</v>
      </c>
      <c r="B41" s="49" t="s">
        <v>16</v>
      </c>
      <c r="C41" s="33"/>
      <c r="D41" s="14"/>
      <c r="E41" s="132"/>
      <c r="F41" s="132"/>
      <c r="G41" s="132"/>
      <c r="H41" s="132"/>
      <c r="K41"/>
      <c r="L41"/>
      <c r="M41"/>
      <c r="N41"/>
    </row>
    <row r="42" spans="1:14" s="1" customFormat="1" ht="15">
      <c r="A42" s="48" t="s">
        <v>18</v>
      </c>
      <c r="B42" s="49" t="s">
        <v>16</v>
      </c>
      <c r="C42" s="33"/>
      <c r="D42" s="14">
        <v>468.94</v>
      </c>
      <c r="E42" s="132"/>
      <c r="F42" s="132"/>
      <c r="G42" s="132"/>
      <c r="H42" s="132"/>
      <c r="K42"/>
      <c r="L42"/>
      <c r="M42"/>
      <c r="N42"/>
    </row>
    <row r="43" spans="1:14" s="1" customFormat="1" ht="24" customHeight="1">
      <c r="A43" s="261" t="s">
        <v>52</v>
      </c>
      <c r="B43" s="261"/>
      <c r="C43" s="261"/>
      <c r="D43" s="261"/>
      <c r="E43" s="132"/>
      <c r="F43" s="132"/>
      <c r="G43" s="132"/>
      <c r="H43" s="132"/>
      <c r="K43"/>
      <c r="L43"/>
      <c r="M43"/>
      <c r="N43"/>
    </row>
    <row r="44" spans="1:14" s="1" customFormat="1" ht="15">
      <c r="A44" s="48" t="s">
        <v>53</v>
      </c>
      <c r="B44" s="32" t="s">
        <v>54</v>
      </c>
      <c r="C44" s="33">
        <v>0</v>
      </c>
      <c r="D44" s="14">
        <v>0</v>
      </c>
      <c r="E44" s="132"/>
      <c r="F44" s="132"/>
      <c r="G44" s="132"/>
      <c r="H44" s="132"/>
      <c r="K44"/>
      <c r="L44"/>
      <c r="M44"/>
      <c r="N44"/>
    </row>
    <row r="45" spans="1:14" s="1" customFormat="1" ht="15">
      <c r="A45" s="48" t="s">
        <v>55</v>
      </c>
      <c r="B45" s="32" t="s">
        <v>54</v>
      </c>
      <c r="C45" s="33">
        <v>0</v>
      </c>
      <c r="D45" s="14">
        <v>0</v>
      </c>
      <c r="E45" s="132"/>
      <c r="F45" s="132"/>
      <c r="G45" s="132"/>
      <c r="H45" s="132"/>
      <c r="K45"/>
      <c r="L45"/>
      <c r="M45"/>
      <c r="N45"/>
    </row>
    <row r="46" spans="1:14" s="1" customFormat="1" ht="15">
      <c r="A46" s="50" t="s">
        <v>56</v>
      </c>
      <c r="B46" s="32" t="s">
        <v>54</v>
      </c>
      <c r="C46" s="33">
        <v>0</v>
      </c>
      <c r="D46" s="14">
        <v>0</v>
      </c>
      <c r="E46" s="132"/>
      <c r="F46" s="132"/>
      <c r="G46" s="132"/>
      <c r="H46" s="132"/>
      <c r="K46"/>
      <c r="L46"/>
      <c r="M46"/>
      <c r="N46"/>
    </row>
    <row r="47" spans="1:14" s="1" customFormat="1" ht="15">
      <c r="A47" s="48" t="s">
        <v>57</v>
      </c>
      <c r="B47" s="32" t="s">
        <v>16</v>
      </c>
      <c r="C47" s="33">
        <v>0</v>
      </c>
      <c r="D47" s="14">
        <v>0</v>
      </c>
      <c r="E47" s="132"/>
      <c r="F47" s="132"/>
      <c r="G47" s="132"/>
      <c r="H47" s="132"/>
      <c r="K47"/>
      <c r="L47"/>
      <c r="M47"/>
      <c r="N47"/>
    </row>
    <row r="48" spans="1:8" ht="20.25" customHeight="1">
      <c r="A48" s="262" t="s">
        <v>58</v>
      </c>
      <c r="B48" s="262"/>
      <c r="C48" s="262"/>
      <c r="D48" s="262"/>
      <c r="E48" s="132"/>
      <c r="F48" s="132"/>
      <c r="G48" s="132"/>
      <c r="H48" s="132"/>
    </row>
    <row r="49" spans="1:8" ht="25.5">
      <c r="A49" s="50" t="s">
        <v>59</v>
      </c>
      <c r="B49" s="32" t="s">
        <v>16</v>
      </c>
      <c r="C49" s="33"/>
      <c r="D49" s="14">
        <v>0</v>
      </c>
      <c r="E49" s="132"/>
      <c r="F49" s="132"/>
      <c r="G49" s="132"/>
      <c r="H49" s="132"/>
    </row>
    <row r="50" spans="1:8" ht="15">
      <c r="A50" s="48" t="s">
        <v>17</v>
      </c>
      <c r="B50" s="32" t="s">
        <v>16</v>
      </c>
      <c r="C50" s="33"/>
      <c r="D50" s="14">
        <v>0</v>
      </c>
      <c r="E50" s="132"/>
      <c r="F50" s="132"/>
      <c r="G50" s="132"/>
      <c r="H50" s="132"/>
    </row>
    <row r="51" spans="1:8" ht="15">
      <c r="A51" s="48" t="s">
        <v>18</v>
      </c>
      <c r="B51" s="32" t="s">
        <v>16</v>
      </c>
      <c r="C51" s="33"/>
      <c r="D51" s="51">
        <f>D54-D57-D58-D59</f>
        <v>143.55664000000058</v>
      </c>
      <c r="E51" s="132"/>
      <c r="F51" s="132"/>
      <c r="G51" s="132"/>
      <c r="H51" s="136"/>
    </row>
    <row r="52" spans="1:8" ht="25.5">
      <c r="A52" s="53" t="s">
        <v>60</v>
      </c>
      <c r="B52" s="32" t="s">
        <v>16</v>
      </c>
      <c r="C52" s="54"/>
      <c r="D52" s="55">
        <v>0</v>
      </c>
      <c r="E52" s="132"/>
      <c r="F52" s="132"/>
      <c r="G52" s="132"/>
      <c r="H52" s="132"/>
    </row>
    <row r="53" spans="1:10" ht="17.25" customHeight="1">
      <c r="A53" s="56" t="s">
        <v>17</v>
      </c>
      <c r="B53" s="32" t="s">
        <v>16</v>
      </c>
      <c r="C53" s="57"/>
      <c r="D53" s="58">
        <v>0</v>
      </c>
      <c r="E53" s="132"/>
      <c r="F53" s="132"/>
      <c r="G53" s="132"/>
      <c r="H53" s="132"/>
      <c r="I53" s="52"/>
      <c r="J53" s="52"/>
    </row>
    <row r="54" spans="1:14" ht="15">
      <c r="A54" s="59" t="s">
        <v>18</v>
      </c>
      <c r="B54" s="32" t="s">
        <v>16</v>
      </c>
      <c r="C54" s="60"/>
      <c r="D54" s="61">
        <v>144.88</v>
      </c>
      <c r="E54" s="132"/>
      <c r="F54" s="132"/>
      <c r="G54" s="132"/>
      <c r="H54" s="132" t="s">
        <v>32</v>
      </c>
      <c r="I54" s="63"/>
      <c r="J54" s="63"/>
      <c r="K54" s="64"/>
      <c r="L54" s="64"/>
      <c r="M54" s="64"/>
      <c r="N54" s="64"/>
    </row>
    <row r="55" spans="1:14" ht="18" customHeight="1">
      <c r="A55" s="263" t="s">
        <v>61</v>
      </c>
      <c r="B55" s="263"/>
      <c r="C55" s="263"/>
      <c r="D55" s="263"/>
      <c r="E55" s="137"/>
      <c r="F55" s="138"/>
      <c r="G55" s="139"/>
      <c r="H55" s="132"/>
      <c r="I55" s="68"/>
      <c r="J55" s="68"/>
      <c r="K55" s="69"/>
      <c r="L55" s="69"/>
      <c r="M55" s="69"/>
      <c r="N55" s="69"/>
    </row>
    <row r="56" spans="1:14" ht="47.25">
      <c r="A56" s="70" t="s">
        <v>62</v>
      </c>
      <c r="B56" s="71" t="s">
        <v>63</v>
      </c>
      <c r="C56" s="72" t="s">
        <v>64</v>
      </c>
      <c r="D56" s="73" t="s">
        <v>65</v>
      </c>
      <c r="E56" s="137"/>
      <c r="F56" s="138"/>
      <c r="G56" s="139"/>
      <c r="H56" s="132"/>
      <c r="I56" s="68"/>
      <c r="J56" s="74"/>
      <c r="K56" s="69"/>
      <c r="L56" s="69"/>
      <c r="M56" s="69"/>
      <c r="N56" s="69"/>
    </row>
    <row r="57" spans="1:14" ht="15">
      <c r="A57" s="75" t="s">
        <v>66</v>
      </c>
      <c r="B57" s="117">
        <v>4411.2</v>
      </c>
      <c r="C57" s="118">
        <f>B57*0.9997</f>
        <v>4409.87664</v>
      </c>
      <c r="D57" s="119">
        <f>B57-C57</f>
        <v>1.3233599999994112</v>
      </c>
      <c r="E57" s="140"/>
      <c r="F57" s="138"/>
      <c r="G57" s="139"/>
      <c r="H57" s="132"/>
      <c r="I57" s="68"/>
      <c r="J57" s="68"/>
      <c r="K57" s="69"/>
      <c r="L57" s="69"/>
      <c r="M57" s="69"/>
      <c r="N57" s="69"/>
    </row>
    <row r="58" spans="1:14" ht="15">
      <c r="A58" s="75" t="s">
        <v>67</v>
      </c>
      <c r="B58" s="117">
        <v>0</v>
      </c>
      <c r="C58" s="118">
        <f>B58*0.9685</f>
        <v>0</v>
      </c>
      <c r="D58" s="119">
        <f>B58-C58</f>
        <v>0</v>
      </c>
      <c r="E58" s="137"/>
      <c r="F58" s="138"/>
      <c r="G58" s="139"/>
      <c r="H58" s="132"/>
      <c r="I58" s="68"/>
      <c r="J58" s="68"/>
      <c r="K58" s="69"/>
      <c r="L58" s="69"/>
      <c r="M58" s="69"/>
      <c r="N58" s="69"/>
    </row>
    <row r="59" spans="1:14" ht="15">
      <c r="A59" s="75" t="s">
        <v>68</v>
      </c>
      <c r="B59" s="120">
        <v>0</v>
      </c>
      <c r="C59" s="118">
        <f>B59*0.9685</f>
        <v>0</v>
      </c>
      <c r="D59" s="119">
        <f>B59-C59</f>
        <v>0</v>
      </c>
      <c r="E59" s="137">
        <f>(2.07+1.8)*6*2301.2-0.37*2301.2*6</f>
        <v>48325.2</v>
      </c>
      <c r="F59" s="141"/>
      <c r="G59" s="142"/>
      <c r="H59" s="137"/>
      <c r="I59" s="68"/>
      <c r="J59" s="68"/>
      <c r="K59" s="69"/>
      <c r="L59" s="69"/>
      <c r="M59" s="69"/>
      <c r="N59" s="69"/>
    </row>
    <row r="60" spans="1:14" ht="15.75" thickBot="1">
      <c r="A60" s="150" t="s">
        <v>69</v>
      </c>
      <c r="B60" s="151">
        <v>0</v>
      </c>
      <c r="C60" s="152">
        <f>B60*0.9685</f>
        <v>0</v>
      </c>
      <c r="D60" s="153">
        <f>B60-C60</f>
        <v>0</v>
      </c>
      <c r="E60" s="137"/>
      <c r="F60" s="141"/>
      <c r="G60" s="142"/>
      <c r="H60" s="132"/>
      <c r="I60" s="68"/>
      <c r="J60" s="68"/>
      <c r="K60" s="69"/>
      <c r="L60" s="69"/>
      <c r="M60" s="69"/>
      <c r="N60" s="69"/>
    </row>
    <row r="61" spans="1:14" ht="63">
      <c r="A61" s="154" t="s">
        <v>70</v>
      </c>
      <c r="B61" s="155" t="s">
        <v>71</v>
      </c>
      <c r="C61" s="156" t="s">
        <v>72</v>
      </c>
      <c r="D61" s="157" t="s">
        <v>73</v>
      </c>
      <c r="E61" s="137"/>
      <c r="F61" s="141"/>
      <c r="G61" s="132"/>
      <c r="H61" s="143"/>
      <c r="I61" s="68"/>
      <c r="J61" s="68"/>
      <c r="K61" s="69"/>
      <c r="L61" s="69"/>
      <c r="M61" s="69"/>
      <c r="N61" s="69"/>
    </row>
    <row r="62" spans="1:14" ht="15">
      <c r="A62" s="158" t="s">
        <v>66</v>
      </c>
      <c r="B62" s="124">
        <f>B57</f>
        <v>4411.2</v>
      </c>
      <c r="C62" s="125">
        <f>C57</f>
        <v>4409.87664</v>
      </c>
      <c r="D62" s="159">
        <f>B62-C62</f>
        <v>1.3233599999994112</v>
      </c>
      <c r="E62" s="137"/>
      <c r="F62" s="141"/>
      <c r="G62" s="132"/>
      <c r="H62" s="143"/>
      <c r="I62" s="68"/>
      <c r="J62" s="68" t="s">
        <v>32</v>
      </c>
      <c r="K62" s="69"/>
      <c r="L62" s="69"/>
      <c r="M62" s="69"/>
      <c r="N62" s="69"/>
    </row>
    <row r="63" spans="1:14" ht="15">
      <c r="A63" s="158" t="s">
        <v>67</v>
      </c>
      <c r="B63" s="124">
        <v>0</v>
      </c>
      <c r="C63" s="125">
        <v>0</v>
      </c>
      <c r="D63" s="159">
        <f>B63-C63</f>
        <v>0</v>
      </c>
      <c r="E63" s="137"/>
      <c r="F63" s="141"/>
      <c r="G63" s="132"/>
      <c r="H63" s="143"/>
      <c r="I63" s="68"/>
      <c r="J63" s="68"/>
      <c r="K63" s="69"/>
      <c r="L63" s="69"/>
      <c r="M63" s="69"/>
      <c r="N63" s="69"/>
    </row>
    <row r="64" spans="1:14" ht="15">
      <c r="A64" s="158" t="s">
        <v>68</v>
      </c>
      <c r="B64" s="124">
        <v>0</v>
      </c>
      <c r="C64" s="125">
        <v>0</v>
      </c>
      <c r="D64" s="159">
        <f>B64-C64</f>
        <v>0</v>
      </c>
      <c r="E64" s="137"/>
      <c r="F64" s="141"/>
      <c r="G64" s="132"/>
      <c r="H64" s="143"/>
      <c r="I64" s="68"/>
      <c r="J64" s="68"/>
      <c r="K64" s="69"/>
      <c r="L64" s="69"/>
      <c r="M64" s="69"/>
      <c r="N64" s="69"/>
    </row>
    <row r="65" spans="1:14" ht="15">
      <c r="A65" s="158" t="s">
        <v>74</v>
      </c>
      <c r="B65" s="124">
        <v>0</v>
      </c>
      <c r="C65" s="125">
        <v>0</v>
      </c>
      <c r="D65" s="159">
        <f>B65-C65</f>
        <v>0</v>
      </c>
      <c r="E65" s="137"/>
      <c r="F65" s="141"/>
      <c r="G65" s="132"/>
      <c r="H65" s="143"/>
      <c r="I65" s="68"/>
      <c r="J65" s="68"/>
      <c r="K65" s="69"/>
      <c r="L65" s="69"/>
      <c r="M65" s="69"/>
      <c r="N65" s="69"/>
    </row>
    <row r="66" spans="1:14" ht="15.75" thickBot="1">
      <c r="A66" s="160" t="s">
        <v>69</v>
      </c>
      <c r="B66" s="161">
        <v>0</v>
      </c>
      <c r="C66" s="162">
        <v>0</v>
      </c>
      <c r="D66" s="163">
        <f>B66-C66</f>
        <v>0</v>
      </c>
      <c r="E66" s="65"/>
      <c r="F66" s="81"/>
      <c r="H66" s="68" t="s">
        <v>32</v>
      </c>
      <c r="I66" s="68"/>
      <c r="J66" s="68"/>
      <c r="K66" s="69"/>
      <c r="L66" s="69"/>
      <c r="M66" s="69"/>
      <c r="N66" s="69"/>
    </row>
    <row r="67" spans="1:14" ht="15">
      <c r="A67" s="91"/>
      <c r="B67" s="87"/>
      <c r="C67" s="92"/>
      <c r="D67" s="93"/>
      <c r="E67" s="65"/>
      <c r="F67" s="81"/>
      <c r="H67" s="68"/>
      <c r="I67" s="68"/>
      <c r="J67" s="68"/>
      <c r="K67" s="69"/>
      <c r="L67" s="69"/>
      <c r="M67" s="69"/>
      <c r="N67" s="69"/>
    </row>
    <row r="68" spans="1:14" ht="25.5">
      <c r="A68" s="94" t="s">
        <v>75</v>
      </c>
      <c r="B68" s="87" t="s">
        <v>16</v>
      </c>
      <c r="C68" s="95"/>
      <c r="D68" s="96"/>
      <c r="E68" s="65"/>
      <c r="F68" s="81"/>
      <c r="H68" s="68"/>
      <c r="I68" s="68"/>
      <c r="J68" s="68" t="s">
        <v>32</v>
      </c>
      <c r="K68" s="69"/>
      <c r="L68" s="69"/>
      <c r="M68" s="69"/>
      <c r="N68" s="69"/>
    </row>
    <row r="69" spans="1:14" ht="17.25" customHeight="1">
      <c r="A69" s="264" t="s">
        <v>76</v>
      </c>
      <c r="B69" s="264"/>
      <c r="C69" s="264"/>
      <c r="D69" s="264"/>
      <c r="E69" s="97" t="e">
        <f>D69+B19</f>
        <v>#VALUE!</v>
      </c>
      <c r="F69" s="68"/>
      <c r="H69" s="98" t="e">
        <f>E69-B18</f>
        <v>#VALUE!</v>
      </c>
      <c r="I69" s="68"/>
      <c r="J69" s="68"/>
      <c r="K69" s="69"/>
      <c r="L69" s="69"/>
      <c r="M69" s="69"/>
      <c r="N69" s="69"/>
    </row>
    <row r="70" spans="1:5" ht="21" customHeight="1">
      <c r="A70" s="99" t="s">
        <v>53</v>
      </c>
      <c r="B70" s="99" t="s">
        <v>54</v>
      </c>
      <c r="C70" s="100">
        <v>0</v>
      </c>
      <c r="D70" s="101"/>
      <c r="E70" s="102"/>
    </row>
    <row r="71" spans="1:5" ht="21" customHeight="1">
      <c r="A71" s="99" t="s">
        <v>55</v>
      </c>
      <c r="B71" s="99" t="s">
        <v>54</v>
      </c>
      <c r="C71" s="99">
        <v>0</v>
      </c>
      <c r="D71" s="101"/>
      <c r="E71" s="102"/>
    </row>
    <row r="72" spans="1:5" ht="18" customHeight="1">
      <c r="A72" s="99" t="s">
        <v>56</v>
      </c>
      <c r="B72" s="99" t="s">
        <v>54</v>
      </c>
      <c r="C72" s="99">
        <v>0</v>
      </c>
      <c r="D72" s="101"/>
      <c r="E72" s="102"/>
    </row>
    <row r="73" spans="1:5" ht="16.5" customHeight="1">
      <c r="A73" s="99" t="s">
        <v>57</v>
      </c>
      <c r="B73" s="99" t="s">
        <v>16</v>
      </c>
      <c r="C73" s="99">
        <v>0</v>
      </c>
      <c r="D73" s="101"/>
      <c r="E73" s="102"/>
    </row>
    <row r="74" spans="1:5" ht="15.75" customHeight="1">
      <c r="A74" s="258" t="s">
        <v>77</v>
      </c>
      <c r="B74" s="258"/>
      <c r="C74" s="258"/>
      <c r="D74" s="258"/>
      <c r="E74" s="102"/>
    </row>
    <row r="75" spans="1:5" ht="18.75" customHeight="1">
      <c r="A75" s="99" t="s">
        <v>78</v>
      </c>
      <c r="B75" s="99" t="s">
        <v>54</v>
      </c>
      <c r="C75" s="99">
        <v>0</v>
      </c>
      <c r="D75" s="101"/>
      <c r="E75" s="102"/>
    </row>
    <row r="76" spans="1:5" ht="21.75" customHeight="1">
      <c r="A76" s="99" t="s">
        <v>79</v>
      </c>
      <c r="B76" s="56" t="s">
        <v>54</v>
      </c>
      <c r="C76" s="56">
        <v>0</v>
      </c>
      <c r="D76" s="101"/>
      <c r="E76" s="102"/>
    </row>
    <row r="77" spans="1:5" ht="36" customHeight="1">
      <c r="A77" s="103" t="s">
        <v>80</v>
      </c>
      <c r="B77" s="99" t="s">
        <v>16</v>
      </c>
      <c r="C77" s="99">
        <v>0</v>
      </c>
      <c r="D77" s="101"/>
      <c r="E77" s="102"/>
    </row>
    <row r="78" spans="1:4" ht="15">
      <c r="A78" s="69"/>
      <c r="B78" s="69"/>
      <c r="C78" s="69"/>
      <c r="D78" s="104"/>
    </row>
    <row r="79" spans="1:14" s="1" customFormat="1" ht="12.75">
      <c r="A79"/>
      <c r="B79"/>
      <c r="C79"/>
      <c r="D79"/>
      <c r="H79" s="1" t="s">
        <v>32</v>
      </c>
      <c r="K79"/>
      <c r="L79"/>
      <c r="M79"/>
      <c r="N79"/>
    </row>
    <row r="80" spans="1:14" s="1" customFormat="1" ht="12.75">
      <c r="A80" t="s">
        <v>81</v>
      </c>
      <c r="B80"/>
      <c r="C80"/>
      <c r="D80"/>
      <c r="K80"/>
      <c r="L80"/>
      <c r="M80"/>
      <c r="N80"/>
    </row>
    <row r="81" spans="1:14" s="1" customFormat="1" ht="12.75">
      <c r="A81"/>
      <c r="B81"/>
      <c r="C81"/>
      <c r="D81"/>
      <c r="H81" s="1" t="s">
        <v>32</v>
      </c>
      <c r="K81"/>
      <c r="L81"/>
      <c r="M81"/>
      <c r="N81"/>
    </row>
    <row r="82" spans="1:14" s="1" customFormat="1" ht="12.75">
      <c r="A82" t="s">
        <v>82</v>
      </c>
      <c r="B82"/>
      <c r="C82"/>
      <c r="D82"/>
      <c r="K82"/>
      <c r="L82"/>
      <c r="M82"/>
      <c r="N82"/>
    </row>
    <row r="86" spans="1:14" s="1" customFormat="1" ht="12.75">
      <c r="A86"/>
      <c r="B86"/>
      <c r="C86"/>
      <c r="D86"/>
      <c r="E86" s="1" t="s">
        <v>32</v>
      </c>
      <c r="K86"/>
      <c r="L86"/>
      <c r="M86"/>
      <c r="N86"/>
    </row>
  </sheetData>
  <sheetProtection selectLockedCells="1" selectUnlockedCells="1"/>
  <mergeCells count="13">
    <mergeCell ref="A1:D1"/>
    <mergeCell ref="A2:D2"/>
    <mergeCell ref="A3:D3"/>
    <mergeCell ref="A4:D4"/>
    <mergeCell ref="A5:D5"/>
    <mergeCell ref="A7:D7"/>
    <mergeCell ref="A74:D74"/>
    <mergeCell ref="A14:D14"/>
    <mergeCell ref="A29:D29"/>
    <mergeCell ref="A43:D43"/>
    <mergeCell ref="A48:D48"/>
    <mergeCell ref="A55:D55"/>
    <mergeCell ref="A69:D69"/>
  </mergeCells>
  <printOptions/>
  <pageMargins left="0.5597222222222222" right="0.7875" top="0.34097222222222223" bottom="0.7875" header="0.5118055555555555" footer="0.5118055555555555"/>
  <pageSetup fitToHeight="3" fitToWidth="2" horizontalDpi="300" verticalDpi="300" orientation="landscape" paperSize="12" r:id="rId1"/>
</worksheet>
</file>

<file path=xl/worksheets/sheet4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6"/>
  <sheetViews>
    <sheetView zoomScale="80" zoomScaleNormal="80" zoomScalePageLayoutView="0" workbookViewId="0" topLeftCell="A1">
      <selection activeCell="E16" sqref="E16:H47"/>
    </sheetView>
  </sheetViews>
  <sheetFormatPr defaultColWidth="11.57421875" defaultRowHeight="12.75"/>
  <cols>
    <col min="1" max="1" width="63.28125" style="0" customWidth="1"/>
    <col min="2" max="2" width="20.28125" style="0" customWidth="1"/>
    <col min="3" max="3" width="31.421875" style="0" customWidth="1"/>
    <col min="4" max="4" width="27.57421875" style="0" customWidth="1"/>
    <col min="5" max="5" width="16.8515625" style="1" customWidth="1"/>
    <col min="6" max="7" width="0" style="1" hidden="1" customWidth="1"/>
    <col min="8" max="8" width="11.57421875" style="1" customWidth="1"/>
    <col min="9" max="9" width="5.28125" style="1" customWidth="1"/>
    <col min="10" max="10" width="30.00390625" style="1" customWidth="1"/>
    <col min="11" max="12" width="23.28125" style="0" customWidth="1"/>
    <col min="13" max="13" width="6.57421875" style="0" customWidth="1"/>
    <col min="14" max="14" width="7.00390625" style="0" customWidth="1"/>
  </cols>
  <sheetData>
    <row r="1" spans="1:4" ht="18">
      <c r="A1" s="265" t="s">
        <v>0</v>
      </c>
      <c r="B1" s="265"/>
      <c r="C1" s="265"/>
      <c r="D1" s="265"/>
    </row>
    <row r="2" spans="1:4" ht="15.75">
      <c r="A2" s="266" t="s">
        <v>1</v>
      </c>
      <c r="B2" s="266"/>
      <c r="C2" s="266"/>
      <c r="D2" s="266"/>
    </row>
    <row r="3" spans="1:4" ht="15.75">
      <c r="A3" s="266" t="s">
        <v>2</v>
      </c>
      <c r="B3" s="266"/>
      <c r="C3" s="266"/>
      <c r="D3" s="266"/>
    </row>
    <row r="4" spans="1:4" ht="12.75">
      <c r="A4" s="267" t="s">
        <v>153</v>
      </c>
      <c r="B4" s="267"/>
      <c r="C4" s="267"/>
      <c r="D4" s="267"/>
    </row>
    <row r="5" spans="1:4" ht="12.75">
      <c r="A5" s="268" t="s">
        <v>171</v>
      </c>
      <c r="B5" s="267"/>
      <c r="C5" s="267"/>
      <c r="D5" s="267"/>
    </row>
    <row r="6" ht="9" customHeight="1">
      <c r="A6" s="2"/>
    </row>
    <row r="7" spans="1:4" ht="18" customHeight="1">
      <c r="A7" s="269" t="s">
        <v>4</v>
      </c>
      <c r="B7" s="269"/>
      <c r="C7" s="269"/>
      <c r="D7" s="269"/>
    </row>
    <row r="8" spans="1:3" ht="12.75">
      <c r="A8" s="2" t="s">
        <v>270</v>
      </c>
      <c r="C8" s="3"/>
    </row>
    <row r="9" spans="1:4" ht="12.75">
      <c r="A9" s="4" t="s">
        <v>5</v>
      </c>
      <c r="B9" s="4" t="s">
        <v>6</v>
      </c>
      <c r="C9" s="4" t="s">
        <v>7</v>
      </c>
      <c r="D9" s="5"/>
    </row>
    <row r="10" spans="1:4" ht="12.75">
      <c r="A10" s="6">
        <v>1</v>
      </c>
      <c r="B10" s="6">
        <v>2</v>
      </c>
      <c r="C10" s="6">
        <v>3</v>
      </c>
      <c r="D10" s="7">
        <v>4</v>
      </c>
    </row>
    <row r="11" spans="1:4" ht="12.75">
      <c r="A11" s="8" t="s">
        <v>8</v>
      </c>
      <c r="B11" s="9"/>
      <c r="C11" s="177" t="s">
        <v>172</v>
      </c>
      <c r="D11" s="10"/>
    </row>
    <row r="12" spans="1:4" ht="12.75">
      <c r="A12" s="8" t="s">
        <v>10</v>
      </c>
      <c r="B12" s="9"/>
      <c r="C12" s="177" t="s">
        <v>173</v>
      </c>
      <c r="D12" s="10"/>
    </row>
    <row r="13" spans="1:4" ht="12.75">
      <c r="A13" s="8" t="s">
        <v>12</v>
      </c>
      <c r="B13" s="9"/>
      <c r="C13" s="177" t="s">
        <v>174</v>
      </c>
      <c r="D13" s="10"/>
    </row>
    <row r="14" spans="1:4" ht="31.5" customHeight="1">
      <c r="A14" s="259" t="s">
        <v>14</v>
      </c>
      <c r="B14" s="259"/>
      <c r="C14" s="259"/>
      <c r="D14" s="259"/>
    </row>
    <row r="15" spans="1:8" ht="25.5">
      <c r="A15" s="11" t="s">
        <v>15</v>
      </c>
      <c r="B15" s="12" t="s">
        <v>16</v>
      </c>
      <c r="C15" s="13">
        <v>12038</v>
      </c>
      <c r="D15" s="14"/>
      <c r="E15" s="132"/>
      <c r="F15" s="132"/>
      <c r="G15" s="132"/>
      <c r="H15" s="132"/>
    </row>
    <row r="16" spans="1:8" ht="15">
      <c r="A16" s="8" t="s">
        <v>17</v>
      </c>
      <c r="B16" s="12" t="s">
        <v>16</v>
      </c>
      <c r="C16" s="13">
        <v>0</v>
      </c>
      <c r="D16" s="14"/>
      <c r="E16" s="132"/>
      <c r="F16" s="132"/>
      <c r="G16" s="132"/>
      <c r="H16" s="132"/>
    </row>
    <row r="17" spans="1:8" ht="15">
      <c r="A17" s="8" t="s">
        <v>18</v>
      </c>
      <c r="B17" s="12" t="s">
        <v>16</v>
      </c>
      <c r="C17" s="15">
        <v>0</v>
      </c>
      <c r="D17" s="16"/>
      <c r="E17" s="132" t="e">
        <f>B17/12/1022.6</f>
        <v>#VALUE!</v>
      </c>
      <c r="F17" s="132"/>
      <c r="G17" s="132"/>
      <c r="H17" s="132"/>
    </row>
    <row r="18" spans="1:8" ht="31.5" customHeight="1">
      <c r="A18" s="17" t="s">
        <v>19</v>
      </c>
      <c r="B18" s="12" t="s">
        <v>16</v>
      </c>
      <c r="C18" s="15">
        <v>16034.52</v>
      </c>
      <c r="D18" s="16"/>
      <c r="E18" s="133">
        <f>C18-C20</f>
        <v>11886.66</v>
      </c>
      <c r="F18" s="132"/>
      <c r="G18" s="132"/>
      <c r="H18" s="132"/>
    </row>
    <row r="19" spans="1:8" ht="15">
      <c r="A19" s="8" t="s">
        <v>20</v>
      </c>
      <c r="B19" s="12" t="s">
        <v>16</v>
      </c>
      <c r="C19" s="15">
        <f>C18-C20-C21</f>
        <v>6341.027999999999</v>
      </c>
      <c r="D19" s="16"/>
      <c r="E19" s="133">
        <f>E18-E39</f>
        <v>0.0037999999985913746</v>
      </c>
      <c r="F19" s="132"/>
      <c r="G19" s="132"/>
      <c r="H19" s="132"/>
    </row>
    <row r="20" spans="1:8" ht="15">
      <c r="A20" s="8" t="s">
        <v>21</v>
      </c>
      <c r="B20" s="12" t="s">
        <v>16</v>
      </c>
      <c r="C20" s="15">
        <f>(0.68+1.22)*6*94.7+3068.28</f>
        <v>4147.860000000001</v>
      </c>
      <c r="D20" s="16"/>
      <c r="E20" s="134"/>
      <c r="F20" s="132"/>
      <c r="G20" s="132"/>
      <c r="H20" s="132"/>
    </row>
    <row r="21" spans="1:8" ht="15">
      <c r="A21" s="8" t="s">
        <v>22</v>
      </c>
      <c r="B21" s="12" t="s">
        <v>16</v>
      </c>
      <c r="C21" s="20">
        <f>94.7*4.88*12</f>
        <v>5545.6320000000005</v>
      </c>
      <c r="D21" s="16"/>
      <c r="E21" s="132"/>
      <c r="F21" s="132"/>
      <c r="G21" s="132"/>
      <c r="H21" s="132"/>
    </row>
    <row r="22" spans="1:8" ht="15">
      <c r="A22" s="21" t="s">
        <v>23</v>
      </c>
      <c r="B22" s="12" t="s">
        <v>16</v>
      </c>
      <c r="C22" s="15">
        <f>C23+C24+C25+C26+C27</f>
        <v>16034.52</v>
      </c>
      <c r="D22" s="16" t="s">
        <v>24</v>
      </c>
      <c r="E22" s="133" t="e">
        <f>B24+B25+B26+B27+B28</f>
        <v>#VALUE!</v>
      </c>
      <c r="F22" s="132"/>
      <c r="G22" s="132"/>
      <c r="H22" s="132"/>
    </row>
    <row r="23" spans="1:8" ht="15">
      <c r="A23" s="8" t="s">
        <v>25</v>
      </c>
      <c r="B23" s="12" t="s">
        <v>16</v>
      </c>
      <c r="C23" s="15">
        <f>C18*1</f>
        <v>16034.52</v>
      </c>
      <c r="D23" s="16"/>
      <c r="E23" s="132"/>
      <c r="F23" s="132"/>
      <c r="G23" s="132"/>
      <c r="H23" s="132"/>
    </row>
    <row r="24" spans="1:8" ht="15">
      <c r="A24" s="8" t="s">
        <v>26</v>
      </c>
      <c r="B24" s="12" t="s">
        <v>16</v>
      </c>
      <c r="C24" s="15">
        <v>0</v>
      </c>
      <c r="D24" s="22">
        <v>65.21</v>
      </c>
      <c r="E24" s="134" t="e">
        <f>B24/#REF!*1</f>
        <v>#VALUE!</v>
      </c>
      <c r="F24" s="132"/>
      <c r="G24" s="132"/>
      <c r="H24" s="132" t="s">
        <v>27</v>
      </c>
    </row>
    <row r="25" spans="1:8" ht="15">
      <c r="A25" s="8" t="s">
        <v>28</v>
      </c>
      <c r="B25" s="12" t="s">
        <v>16</v>
      </c>
      <c r="C25" s="15">
        <v>0</v>
      </c>
      <c r="D25" s="22">
        <v>119.63</v>
      </c>
      <c r="E25" s="134" t="e">
        <f>B25/#REF!*1</f>
        <v>#VALUE!</v>
      </c>
      <c r="F25" s="132"/>
      <c r="G25" s="132"/>
      <c r="H25" s="132"/>
    </row>
    <row r="26" spans="1:8" ht="15">
      <c r="A26" s="9" t="s">
        <v>29</v>
      </c>
      <c r="B26" s="12" t="s">
        <v>16</v>
      </c>
      <c r="C26" s="15">
        <v>0</v>
      </c>
      <c r="D26" s="22"/>
      <c r="E26" s="134" t="e">
        <f>B26/#REF!*1</f>
        <v>#VALUE!</v>
      </c>
      <c r="F26" s="132"/>
      <c r="G26" s="132"/>
      <c r="H26" s="132"/>
    </row>
    <row r="27" spans="1:8" ht="16.5" customHeight="1">
      <c r="A27" s="116" t="s">
        <v>112</v>
      </c>
      <c r="B27" s="12" t="s">
        <v>16</v>
      </c>
      <c r="C27" s="15">
        <v>0</v>
      </c>
      <c r="D27" s="22">
        <v>139.18</v>
      </c>
      <c r="E27" s="134" t="e">
        <f>B27/#REF!*1</f>
        <v>#VALUE!</v>
      </c>
      <c r="F27" s="132"/>
      <c r="G27" s="132"/>
      <c r="H27" s="132"/>
    </row>
    <row r="28" spans="1:8" ht="15">
      <c r="A28" s="8" t="s">
        <v>31</v>
      </c>
      <c r="B28" s="12" t="s">
        <v>16</v>
      </c>
      <c r="C28" s="15">
        <f>C15+C22</f>
        <v>28072.52</v>
      </c>
      <c r="D28" s="16" t="s">
        <v>32</v>
      </c>
      <c r="E28" s="134" t="e">
        <f>B28/#REF!*1</f>
        <v>#VALUE!</v>
      </c>
      <c r="F28" s="132"/>
      <c r="G28" s="132"/>
      <c r="H28" s="132"/>
    </row>
    <row r="29" spans="1:8" ht="35.25" customHeight="1">
      <c r="A29" s="260" t="s">
        <v>33</v>
      </c>
      <c r="B29" s="260"/>
      <c r="C29" s="260"/>
      <c r="D29" s="260"/>
      <c r="E29" s="132"/>
      <c r="F29" s="132"/>
      <c r="G29" s="132"/>
      <c r="H29" s="132"/>
    </row>
    <row r="30" spans="1:8" ht="60">
      <c r="A30" s="23" t="s">
        <v>34</v>
      </c>
      <c r="B30" s="24" t="s">
        <v>35</v>
      </c>
      <c r="C30" s="25" t="s">
        <v>36</v>
      </c>
      <c r="D30" s="26" t="s">
        <v>37</v>
      </c>
      <c r="E30" s="132"/>
      <c r="F30" s="132"/>
      <c r="G30" s="132"/>
      <c r="H30" s="132"/>
    </row>
    <row r="31" spans="1:8" ht="15">
      <c r="A31" s="27" t="s">
        <v>38</v>
      </c>
      <c r="B31" s="28" t="s">
        <v>39</v>
      </c>
      <c r="C31" s="29" t="s">
        <v>40</v>
      </c>
      <c r="D31" s="107">
        <f>(0.17+0.16)*6*94.7</f>
        <v>187.506</v>
      </c>
      <c r="E31" s="132"/>
      <c r="F31" s="132"/>
      <c r="G31" s="132"/>
      <c r="H31" s="132"/>
    </row>
    <row r="32" spans="1:8" ht="15">
      <c r="A32" s="31" t="s">
        <v>41</v>
      </c>
      <c r="B32" s="32" t="s">
        <v>42</v>
      </c>
      <c r="C32" s="33" t="s">
        <v>43</v>
      </c>
      <c r="D32" s="34">
        <f>(3.03+3)*6*94.7</f>
        <v>3426.245999999999</v>
      </c>
      <c r="E32" s="132"/>
      <c r="F32" s="132"/>
      <c r="G32" s="132"/>
      <c r="H32" s="132"/>
    </row>
    <row r="33" spans="1:8" ht="15">
      <c r="A33" s="31" t="s">
        <v>44</v>
      </c>
      <c r="B33" s="32" t="s">
        <v>87</v>
      </c>
      <c r="C33" s="33" t="s">
        <v>45</v>
      </c>
      <c r="D33" s="108">
        <f>(0.42+0.4)*6*94.7</f>
        <v>465.92400000000004</v>
      </c>
      <c r="E33" s="132"/>
      <c r="F33" s="132"/>
      <c r="G33" s="132"/>
      <c r="H33" s="132"/>
    </row>
    <row r="34" spans="1:8" ht="15">
      <c r="A34" s="204" t="s">
        <v>255</v>
      </c>
      <c r="B34" s="32" t="s">
        <v>39</v>
      </c>
      <c r="C34" s="33" t="s">
        <v>40</v>
      </c>
      <c r="D34" s="108">
        <f>(0.23+0.22)*6*94.7</f>
        <v>255.69000000000003</v>
      </c>
      <c r="E34" s="132"/>
      <c r="F34" s="132"/>
      <c r="G34" s="132"/>
      <c r="H34" s="132"/>
    </row>
    <row r="35" spans="1:8" ht="15">
      <c r="A35" s="31" t="s">
        <v>90</v>
      </c>
      <c r="B35" s="106" t="s">
        <v>91</v>
      </c>
      <c r="C35" s="33" t="s">
        <v>40</v>
      </c>
      <c r="D35" s="108">
        <f>(1.331+1.27)*6*94.7</f>
        <v>1477.8882</v>
      </c>
      <c r="E35" s="132"/>
      <c r="F35" s="132"/>
      <c r="G35" s="132"/>
      <c r="H35" s="132"/>
    </row>
    <row r="36" spans="1:8" ht="15">
      <c r="A36" s="31" t="s">
        <v>46</v>
      </c>
      <c r="B36" s="32" t="s">
        <v>42</v>
      </c>
      <c r="C36" s="35" t="s">
        <v>47</v>
      </c>
      <c r="D36" s="108">
        <f>4.88*94.7*12</f>
        <v>5545.6320000000005</v>
      </c>
      <c r="E36" s="132"/>
      <c r="F36" s="132"/>
      <c r="G36" s="132"/>
      <c r="H36" s="132"/>
    </row>
    <row r="37" spans="1:14" s="1" customFormat="1" ht="45">
      <c r="A37" s="36" t="s">
        <v>48</v>
      </c>
      <c r="B37" s="37" t="s">
        <v>49</v>
      </c>
      <c r="C37" s="131"/>
      <c r="D37" s="39"/>
      <c r="E37" s="132"/>
      <c r="F37" s="132"/>
      <c r="G37" s="132"/>
      <c r="H37" s="132"/>
      <c r="K37"/>
      <c r="L37"/>
      <c r="M37"/>
      <c r="N37"/>
    </row>
    <row r="38" spans="1:14" s="1" customFormat="1" ht="45">
      <c r="A38" s="109" t="s">
        <v>95</v>
      </c>
      <c r="B38" s="110" t="s">
        <v>96</v>
      </c>
      <c r="C38" s="29" t="s">
        <v>97</v>
      </c>
      <c r="D38" s="112">
        <v>527.77</v>
      </c>
      <c r="E38" s="132"/>
      <c r="F38" s="132"/>
      <c r="G38" s="132"/>
      <c r="H38" s="132"/>
      <c r="K38"/>
      <c r="L38"/>
      <c r="M38"/>
      <c r="N38"/>
    </row>
    <row r="39" spans="1:14" s="1" customFormat="1" ht="15.75">
      <c r="A39" s="40" t="s">
        <v>50</v>
      </c>
      <c r="B39" s="41"/>
      <c r="C39" s="42"/>
      <c r="D39" s="113">
        <f>SUM(D31:D38)</f>
        <v>11886.656200000001</v>
      </c>
      <c r="E39" s="135">
        <f>D39-D37</f>
        <v>11886.656200000001</v>
      </c>
      <c r="F39" s="132"/>
      <c r="G39" s="132"/>
      <c r="H39" s="132"/>
      <c r="K39"/>
      <c r="L39"/>
      <c r="M39"/>
      <c r="N39"/>
    </row>
    <row r="40" spans="1:14" s="1" customFormat="1" ht="15">
      <c r="A40" s="43" t="s">
        <v>51</v>
      </c>
      <c r="B40" s="44" t="s">
        <v>16</v>
      </c>
      <c r="C40" s="45"/>
      <c r="D40" s="46">
        <f>C15+C20-D37</f>
        <v>16185.86</v>
      </c>
      <c r="E40" s="135"/>
      <c r="F40" s="132"/>
      <c r="G40" s="132"/>
      <c r="H40" s="132"/>
      <c r="K40"/>
      <c r="L40"/>
      <c r="M40"/>
      <c r="N40"/>
    </row>
    <row r="41" spans="1:14" s="1" customFormat="1" ht="15">
      <c r="A41" s="48" t="s">
        <v>17</v>
      </c>
      <c r="B41" s="49" t="s">
        <v>16</v>
      </c>
      <c r="C41" s="33"/>
      <c r="D41" s="14"/>
      <c r="E41" s="132"/>
      <c r="F41" s="132"/>
      <c r="G41" s="132"/>
      <c r="H41" s="132"/>
      <c r="K41"/>
      <c r="L41"/>
      <c r="M41"/>
      <c r="N41"/>
    </row>
    <row r="42" spans="1:14" s="1" customFormat="1" ht="15">
      <c r="A42" s="48" t="s">
        <v>18</v>
      </c>
      <c r="B42" s="49" t="s">
        <v>16</v>
      </c>
      <c r="C42" s="33"/>
      <c r="D42" s="14">
        <v>0</v>
      </c>
      <c r="E42" s="132"/>
      <c r="F42" s="132"/>
      <c r="G42" s="132"/>
      <c r="H42" s="132"/>
      <c r="K42"/>
      <c r="L42"/>
      <c r="M42"/>
      <c r="N42"/>
    </row>
    <row r="43" spans="1:14" s="1" customFormat="1" ht="24" customHeight="1">
      <c r="A43" s="261" t="s">
        <v>52</v>
      </c>
      <c r="B43" s="261"/>
      <c r="C43" s="261"/>
      <c r="D43" s="261"/>
      <c r="E43" s="132"/>
      <c r="F43" s="132"/>
      <c r="G43" s="132"/>
      <c r="H43" s="132"/>
      <c r="K43"/>
      <c r="L43"/>
      <c r="M43"/>
      <c r="N43"/>
    </row>
    <row r="44" spans="1:14" s="1" customFormat="1" ht="15">
      <c r="A44" s="48" t="s">
        <v>53</v>
      </c>
      <c r="B44" s="32" t="s">
        <v>54</v>
      </c>
      <c r="C44" s="33">
        <v>0</v>
      </c>
      <c r="D44" s="14">
        <v>0</v>
      </c>
      <c r="E44" s="132"/>
      <c r="F44" s="132"/>
      <c r="G44" s="132"/>
      <c r="H44" s="132"/>
      <c r="K44"/>
      <c r="L44"/>
      <c r="M44"/>
      <c r="N44"/>
    </row>
    <row r="45" spans="1:14" s="1" customFormat="1" ht="15">
      <c r="A45" s="48" t="s">
        <v>55</v>
      </c>
      <c r="B45" s="32" t="s">
        <v>54</v>
      </c>
      <c r="C45" s="33">
        <v>0</v>
      </c>
      <c r="D45" s="14">
        <v>0</v>
      </c>
      <c r="E45" s="132"/>
      <c r="F45" s="132"/>
      <c r="G45" s="132"/>
      <c r="H45" s="132"/>
      <c r="K45"/>
      <c r="L45"/>
      <c r="M45"/>
      <c r="N45"/>
    </row>
    <row r="46" spans="1:14" s="1" customFormat="1" ht="15">
      <c r="A46" s="50" t="s">
        <v>56</v>
      </c>
      <c r="B46" s="32" t="s">
        <v>54</v>
      </c>
      <c r="C46" s="33">
        <v>0</v>
      </c>
      <c r="D46" s="14">
        <v>0</v>
      </c>
      <c r="E46" s="132"/>
      <c r="F46" s="132"/>
      <c r="G46" s="132"/>
      <c r="H46" s="132"/>
      <c r="K46"/>
      <c r="L46"/>
      <c r="M46"/>
      <c r="N46"/>
    </row>
    <row r="47" spans="1:14" s="1" customFormat="1" ht="15">
      <c r="A47" s="48" t="s">
        <v>57</v>
      </c>
      <c r="B47" s="32" t="s">
        <v>16</v>
      </c>
      <c r="C47" s="33">
        <v>0</v>
      </c>
      <c r="D47" s="14">
        <v>0</v>
      </c>
      <c r="E47" s="132"/>
      <c r="F47" s="132"/>
      <c r="G47" s="132"/>
      <c r="H47" s="132"/>
      <c r="K47"/>
      <c r="L47"/>
      <c r="M47"/>
      <c r="N47"/>
    </row>
    <row r="48" spans="1:8" ht="20.25" customHeight="1">
      <c r="A48" s="262" t="s">
        <v>58</v>
      </c>
      <c r="B48" s="262"/>
      <c r="C48" s="262"/>
      <c r="D48" s="262"/>
      <c r="E48" s="132"/>
      <c r="F48" s="132"/>
      <c r="G48" s="132"/>
      <c r="H48" s="132"/>
    </row>
    <row r="49" spans="1:8" ht="25.5">
      <c r="A49" s="50" t="s">
        <v>59</v>
      </c>
      <c r="B49" s="32" t="s">
        <v>16</v>
      </c>
      <c r="C49" s="33"/>
      <c r="D49" s="14">
        <v>0</v>
      </c>
      <c r="E49" s="132"/>
      <c r="F49" s="132"/>
      <c r="G49" s="132"/>
      <c r="H49" s="132"/>
    </row>
    <row r="50" spans="1:8" ht="15">
      <c r="A50" s="48" t="s">
        <v>17</v>
      </c>
      <c r="B50" s="32" t="s">
        <v>16</v>
      </c>
      <c r="C50" s="33"/>
      <c r="D50" s="14">
        <v>0</v>
      </c>
      <c r="E50" s="132"/>
      <c r="F50" s="132"/>
      <c r="G50" s="132"/>
      <c r="H50" s="132"/>
    </row>
    <row r="51" spans="1:8" ht="15">
      <c r="A51" s="48" t="s">
        <v>18</v>
      </c>
      <c r="B51" s="32" t="s">
        <v>16</v>
      </c>
      <c r="C51" s="33"/>
      <c r="D51" s="51">
        <v>0</v>
      </c>
      <c r="E51" s="132"/>
      <c r="F51" s="132"/>
      <c r="G51" s="132"/>
      <c r="H51" s="136"/>
    </row>
    <row r="52" spans="1:8" ht="25.5">
      <c r="A52" s="53" t="s">
        <v>60</v>
      </c>
      <c r="B52" s="32" t="s">
        <v>16</v>
      </c>
      <c r="C52" s="54"/>
      <c r="D52" s="55">
        <v>0</v>
      </c>
      <c r="E52" s="132"/>
      <c r="F52" s="132"/>
      <c r="G52" s="132"/>
      <c r="H52" s="132"/>
    </row>
    <row r="53" spans="1:10" ht="17.25" customHeight="1">
      <c r="A53" s="56" t="s">
        <v>17</v>
      </c>
      <c r="B53" s="32" t="s">
        <v>16</v>
      </c>
      <c r="C53" s="33"/>
      <c r="D53" s="14">
        <v>0</v>
      </c>
      <c r="E53" s="132"/>
      <c r="F53" s="132"/>
      <c r="G53" s="132"/>
      <c r="H53" s="132"/>
      <c r="I53" s="52"/>
      <c r="J53" s="52"/>
    </row>
    <row r="54" spans="1:14" ht="15">
      <c r="A54" s="59" t="s">
        <v>18</v>
      </c>
      <c r="B54" s="32" t="s">
        <v>16</v>
      </c>
      <c r="C54" s="60"/>
      <c r="D54" s="61">
        <v>0</v>
      </c>
      <c r="E54" s="132"/>
      <c r="F54" s="132"/>
      <c r="G54" s="132"/>
      <c r="H54" s="132" t="s">
        <v>32</v>
      </c>
      <c r="I54" s="63"/>
      <c r="J54" s="63"/>
      <c r="K54" s="64"/>
      <c r="L54" s="64"/>
      <c r="M54" s="64"/>
      <c r="N54" s="64"/>
    </row>
    <row r="55" spans="1:14" ht="18" customHeight="1">
      <c r="A55" s="263" t="s">
        <v>61</v>
      </c>
      <c r="B55" s="263"/>
      <c r="C55" s="263"/>
      <c r="D55" s="263"/>
      <c r="E55" s="137"/>
      <c r="F55" s="138"/>
      <c r="G55" s="139"/>
      <c r="H55" s="132"/>
      <c r="I55" s="68"/>
      <c r="J55" s="68"/>
      <c r="K55" s="69"/>
      <c r="L55" s="69"/>
      <c r="M55" s="69"/>
      <c r="N55" s="69"/>
    </row>
    <row r="56" spans="1:14" ht="47.25">
      <c r="A56" s="70" t="s">
        <v>62</v>
      </c>
      <c r="B56" s="71" t="s">
        <v>63</v>
      </c>
      <c r="C56" s="72" t="s">
        <v>64</v>
      </c>
      <c r="D56" s="73" t="s">
        <v>65</v>
      </c>
      <c r="E56" s="137"/>
      <c r="F56" s="138"/>
      <c r="G56" s="139"/>
      <c r="H56" s="132"/>
      <c r="I56" s="68"/>
      <c r="J56" s="74"/>
      <c r="K56" s="69"/>
      <c r="L56" s="69"/>
      <c r="M56" s="69"/>
      <c r="N56" s="69"/>
    </row>
    <row r="57" spans="1:14" ht="15">
      <c r="A57" s="75" t="s">
        <v>66</v>
      </c>
      <c r="B57" s="117">
        <v>3538.62</v>
      </c>
      <c r="C57" s="118">
        <f>B57*1</f>
        <v>3538.62</v>
      </c>
      <c r="D57" s="119">
        <f>B57-C57</f>
        <v>0</v>
      </c>
      <c r="E57" s="140"/>
      <c r="F57" s="138"/>
      <c r="G57" s="139"/>
      <c r="H57" s="132"/>
      <c r="I57" s="68"/>
      <c r="J57" s="68"/>
      <c r="K57" s="69"/>
      <c r="L57" s="69"/>
      <c r="M57" s="69"/>
      <c r="N57" s="69"/>
    </row>
    <row r="58" spans="1:14" ht="15">
      <c r="A58" s="75" t="s">
        <v>67</v>
      </c>
      <c r="B58" s="117">
        <v>0</v>
      </c>
      <c r="C58" s="118">
        <f>B58*1</f>
        <v>0</v>
      </c>
      <c r="D58" s="119">
        <f>B58-C58</f>
        <v>0</v>
      </c>
      <c r="E58" s="137"/>
      <c r="F58" s="138"/>
      <c r="G58" s="139"/>
      <c r="H58" s="132"/>
      <c r="I58" s="68"/>
      <c r="J58" s="68"/>
      <c r="K58" s="69"/>
      <c r="L58" s="69"/>
      <c r="M58" s="69"/>
      <c r="N58" s="69"/>
    </row>
    <row r="59" spans="1:14" ht="15">
      <c r="A59" s="75" t="s">
        <v>68</v>
      </c>
      <c r="B59" s="120">
        <v>39561.84</v>
      </c>
      <c r="C59" s="118">
        <f>B59*1</f>
        <v>39561.84</v>
      </c>
      <c r="D59" s="119">
        <f>B59-C59</f>
        <v>0</v>
      </c>
      <c r="E59" s="137">
        <f>(2.07+1.8)*6*2301.2-0.37*2301.2*6</f>
        <v>48325.2</v>
      </c>
      <c r="F59" s="141"/>
      <c r="G59" s="142"/>
      <c r="H59" s="137"/>
      <c r="I59" s="68"/>
      <c r="J59" s="68"/>
      <c r="K59" s="69"/>
      <c r="L59" s="69"/>
      <c r="M59" s="69"/>
      <c r="N59" s="69"/>
    </row>
    <row r="60" spans="1:14" ht="15.75" thickBot="1">
      <c r="A60" s="150" t="s">
        <v>69</v>
      </c>
      <c r="B60" s="151">
        <v>0</v>
      </c>
      <c r="C60" s="152">
        <f>B60*1</f>
        <v>0</v>
      </c>
      <c r="D60" s="153">
        <f>B60-C60</f>
        <v>0</v>
      </c>
      <c r="E60" s="137"/>
      <c r="F60" s="141"/>
      <c r="G60" s="142"/>
      <c r="H60" s="132"/>
      <c r="I60" s="68"/>
      <c r="J60" s="68"/>
      <c r="K60" s="69"/>
      <c r="L60" s="69"/>
      <c r="M60" s="69"/>
      <c r="N60" s="69"/>
    </row>
    <row r="61" spans="1:14" ht="63">
      <c r="A61" s="154" t="s">
        <v>70</v>
      </c>
      <c r="B61" s="155" t="s">
        <v>71</v>
      </c>
      <c r="C61" s="156" t="s">
        <v>72</v>
      </c>
      <c r="D61" s="157" t="s">
        <v>73</v>
      </c>
      <c r="E61" s="137"/>
      <c r="F61" s="141"/>
      <c r="G61" s="132"/>
      <c r="H61" s="143"/>
      <c r="I61" s="68"/>
      <c r="J61" s="68"/>
      <c r="K61" s="69"/>
      <c r="L61" s="69"/>
      <c r="M61" s="69"/>
      <c r="N61" s="69"/>
    </row>
    <row r="62" spans="1:14" ht="15">
      <c r="A62" s="158" t="s">
        <v>66</v>
      </c>
      <c r="B62" s="124">
        <f>B57</f>
        <v>3538.62</v>
      </c>
      <c r="C62" s="125">
        <f>B62*1</f>
        <v>3538.62</v>
      </c>
      <c r="D62" s="159">
        <f>B62-C62</f>
        <v>0</v>
      </c>
      <c r="E62" s="137"/>
      <c r="F62" s="141"/>
      <c r="G62" s="132"/>
      <c r="H62" s="143"/>
      <c r="I62" s="68"/>
      <c r="J62" s="68" t="s">
        <v>32</v>
      </c>
      <c r="K62" s="69"/>
      <c r="L62" s="69"/>
      <c r="M62" s="69"/>
      <c r="N62" s="69"/>
    </row>
    <row r="63" spans="1:14" ht="15">
      <c r="A63" s="158" t="s">
        <v>67</v>
      </c>
      <c r="B63" s="124">
        <f>B58</f>
        <v>0</v>
      </c>
      <c r="C63" s="125">
        <f>C58*1.0063</f>
        <v>0</v>
      </c>
      <c r="D63" s="159">
        <f>B63-C63</f>
        <v>0</v>
      </c>
      <c r="E63" s="137"/>
      <c r="F63" s="141"/>
      <c r="G63" s="132"/>
      <c r="H63" s="143"/>
      <c r="I63" s="68"/>
      <c r="J63" s="68"/>
      <c r="K63" s="69"/>
      <c r="L63" s="69"/>
      <c r="M63" s="69"/>
      <c r="N63" s="69"/>
    </row>
    <row r="64" spans="1:14" ht="15">
      <c r="A64" s="158" t="s">
        <v>68</v>
      </c>
      <c r="B64" s="124">
        <f>B59</f>
        <v>39561.84</v>
      </c>
      <c r="C64" s="125">
        <v>39561.84</v>
      </c>
      <c r="D64" s="159">
        <f>B64-C64</f>
        <v>0</v>
      </c>
      <c r="E64" s="137"/>
      <c r="F64" s="141"/>
      <c r="G64" s="132"/>
      <c r="H64" s="143"/>
      <c r="I64" s="68"/>
      <c r="J64" s="68"/>
      <c r="K64" s="69"/>
      <c r="L64" s="69"/>
      <c r="M64" s="69"/>
      <c r="N64" s="69"/>
    </row>
    <row r="65" spans="1:14" ht="15">
      <c r="A65" s="158" t="s">
        <v>74</v>
      </c>
      <c r="B65" s="124">
        <v>0</v>
      </c>
      <c r="C65" s="125">
        <v>0</v>
      </c>
      <c r="D65" s="159">
        <f>B65-C65</f>
        <v>0</v>
      </c>
      <c r="E65" s="137"/>
      <c r="F65" s="141"/>
      <c r="G65" s="132"/>
      <c r="H65" s="143"/>
      <c r="I65" s="68"/>
      <c r="J65" s="68"/>
      <c r="K65" s="69"/>
      <c r="L65" s="69"/>
      <c r="M65" s="69"/>
      <c r="N65" s="69"/>
    </row>
    <row r="66" spans="1:14" ht="15.75" thickBot="1">
      <c r="A66" s="160" t="s">
        <v>69</v>
      </c>
      <c r="B66" s="161">
        <v>0</v>
      </c>
      <c r="C66" s="162">
        <v>0</v>
      </c>
      <c r="D66" s="163">
        <f>B66-C66</f>
        <v>0</v>
      </c>
      <c r="E66" s="137"/>
      <c r="F66" s="141"/>
      <c r="G66" s="132"/>
      <c r="H66" s="143" t="s">
        <v>32</v>
      </c>
      <c r="I66" s="68"/>
      <c r="J66" s="68"/>
      <c r="K66" s="69"/>
      <c r="L66" s="69"/>
      <c r="M66" s="69"/>
      <c r="N66" s="69"/>
    </row>
    <row r="67" spans="1:14" ht="15">
      <c r="A67" s="91"/>
      <c r="B67" s="87"/>
      <c r="C67" s="92"/>
      <c r="D67" s="93"/>
      <c r="E67" s="65"/>
      <c r="F67" s="81"/>
      <c r="H67" s="68"/>
      <c r="I67" s="68"/>
      <c r="J67" s="68"/>
      <c r="K67" s="69"/>
      <c r="L67" s="69"/>
      <c r="M67" s="69"/>
      <c r="N67" s="69"/>
    </row>
    <row r="68" spans="1:14" ht="25.5">
      <c r="A68" s="94" t="s">
        <v>75</v>
      </c>
      <c r="B68" s="87" t="s">
        <v>16</v>
      </c>
      <c r="C68" s="95"/>
      <c r="D68" s="96"/>
      <c r="E68" s="65"/>
      <c r="F68" s="81"/>
      <c r="H68" s="68"/>
      <c r="I68" s="68"/>
      <c r="J68" s="68" t="s">
        <v>32</v>
      </c>
      <c r="K68" s="69"/>
      <c r="L68" s="69"/>
      <c r="M68" s="69"/>
      <c r="N68" s="69"/>
    </row>
    <row r="69" spans="1:14" ht="17.25" customHeight="1">
      <c r="A69" s="264" t="s">
        <v>76</v>
      </c>
      <c r="B69" s="264"/>
      <c r="C69" s="264"/>
      <c r="D69" s="264"/>
      <c r="E69" s="97" t="e">
        <f>D69+B19</f>
        <v>#VALUE!</v>
      </c>
      <c r="F69" s="68"/>
      <c r="H69" s="98" t="e">
        <f>E69-B18</f>
        <v>#VALUE!</v>
      </c>
      <c r="I69" s="68"/>
      <c r="J69" s="68"/>
      <c r="K69" s="69"/>
      <c r="L69" s="69"/>
      <c r="M69" s="69"/>
      <c r="N69" s="69"/>
    </row>
    <row r="70" spans="1:5" ht="21" customHeight="1">
      <c r="A70" s="99" t="s">
        <v>53</v>
      </c>
      <c r="B70" s="99" t="s">
        <v>54</v>
      </c>
      <c r="C70" s="100">
        <v>0</v>
      </c>
      <c r="D70" s="101"/>
      <c r="E70" s="102"/>
    </row>
    <row r="71" spans="1:5" ht="21" customHeight="1">
      <c r="A71" s="99" t="s">
        <v>55</v>
      </c>
      <c r="B71" s="99" t="s">
        <v>54</v>
      </c>
      <c r="C71" s="99">
        <v>0</v>
      </c>
      <c r="D71" s="101"/>
      <c r="E71" s="102"/>
    </row>
    <row r="72" spans="1:5" ht="18" customHeight="1">
      <c r="A72" s="99" t="s">
        <v>56</v>
      </c>
      <c r="B72" s="99" t="s">
        <v>54</v>
      </c>
      <c r="C72" s="99">
        <v>0</v>
      </c>
      <c r="D72" s="101"/>
      <c r="E72" s="102"/>
    </row>
    <row r="73" spans="1:5" ht="16.5" customHeight="1">
      <c r="A73" s="99" t="s">
        <v>57</v>
      </c>
      <c r="B73" s="99" t="s">
        <v>16</v>
      </c>
      <c r="C73" s="99">
        <v>0</v>
      </c>
      <c r="D73" s="101"/>
      <c r="E73" s="102"/>
    </row>
    <row r="74" spans="1:5" ht="15.75" customHeight="1">
      <c r="A74" s="258" t="s">
        <v>77</v>
      </c>
      <c r="B74" s="258"/>
      <c r="C74" s="258"/>
      <c r="D74" s="258"/>
      <c r="E74" s="102"/>
    </row>
    <row r="75" spans="1:5" ht="18.75" customHeight="1">
      <c r="A75" s="99" t="s">
        <v>78</v>
      </c>
      <c r="B75" s="99" t="s">
        <v>54</v>
      </c>
      <c r="C75" s="99">
        <v>0</v>
      </c>
      <c r="D75" s="101"/>
      <c r="E75" s="102"/>
    </row>
    <row r="76" spans="1:5" ht="21.75" customHeight="1">
      <c r="A76" s="99" t="s">
        <v>79</v>
      </c>
      <c r="B76" s="56" t="s">
        <v>54</v>
      </c>
      <c r="C76" s="56">
        <v>0</v>
      </c>
      <c r="D76" s="101"/>
      <c r="E76" s="102"/>
    </row>
    <row r="77" spans="1:5" ht="36" customHeight="1">
      <c r="A77" s="103" t="s">
        <v>80</v>
      </c>
      <c r="B77" s="99" t="s">
        <v>16</v>
      </c>
      <c r="C77" s="99">
        <v>0</v>
      </c>
      <c r="D77" s="101"/>
      <c r="E77" s="102"/>
    </row>
    <row r="78" spans="1:4" ht="15">
      <c r="A78" s="69"/>
      <c r="B78" s="69"/>
      <c r="C78" s="69"/>
      <c r="D78" s="104"/>
    </row>
    <row r="79" spans="1:14" s="1" customFormat="1" ht="12.75">
      <c r="A79"/>
      <c r="B79"/>
      <c r="C79"/>
      <c r="D79"/>
      <c r="H79" s="1" t="s">
        <v>32</v>
      </c>
      <c r="K79"/>
      <c r="L79"/>
      <c r="M79"/>
      <c r="N79"/>
    </row>
    <row r="80" spans="1:14" s="1" customFormat="1" ht="12.75">
      <c r="A80" t="s">
        <v>81</v>
      </c>
      <c r="B80"/>
      <c r="C80"/>
      <c r="D80"/>
      <c r="K80"/>
      <c r="L80"/>
      <c r="M80"/>
      <c r="N80"/>
    </row>
    <row r="81" spans="1:14" s="1" customFormat="1" ht="12.75">
      <c r="A81"/>
      <c r="B81"/>
      <c r="C81"/>
      <c r="D81"/>
      <c r="H81" s="1" t="s">
        <v>32</v>
      </c>
      <c r="K81"/>
      <c r="L81"/>
      <c r="M81"/>
      <c r="N81"/>
    </row>
    <row r="82" spans="1:14" s="1" customFormat="1" ht="12.75">
      <c r="A82" t="s">
        <v>82</v>
      </c>
      <c r="B82"/>
      <c r="C82"/>
      <c r="D82"/>
      <c r="K82"/>
      <c r="L82"/>
      <c r="M82"/>
      <c r="N82"/>
    </row>
    <row r="86" spans="1:14" s="1" customFormat="1" ht="12.75">
      <c r="A86"/>
      <c r="B86"/>
      <c r="C86"/>
      <c r="D86"/>
      <c r="E86" s="1" t="s">
        <v>32</v>
      </c>
      <c r="K86"/>
      <c r="L86"/>
      <c r="M86"/>
      <c r="N86"/>
    </row>
  </sheetData>
  <sheetProtection selectLockedCells="1" selectUnlockedCells="1"/>
  <mergeCells count="13">
    <mergeCell ref="A1:D1"/>
    <mergeCell ref="A2:D2"/>
    <mergeCell ref="A3:D3"/>
    <mergeCell ref="A4:D4"/>
    <mergeCell ref="A5:D5"/>
    <mergeCell ref="A7:D7"/>
    <mergeCell ref="A74:D74"/>
    <mergeCell ref="A14:D14"/>
    <mergeCell ref="A29:D29"/>
    <mergeCell ref="A43:D43"/>
    <mergeCell ref="A48:D48"/>
    <mergeCell ref="A55:D55"/>
    <mergeCell ref="A69:D69"/>
  </mergeCells>
  <printOptions/>
  <pageMargins left="0.5597222222222222" right="0.7875" top="0.34097222222222223" bottom="0.7875" header="0.5118055555555555" footer="0.5118055555555555"/>
  <pageSetup fitToHeight="3" fitToWidth="2" horizontalDpi="300" verticalDpi="300" orientation="landscape" paperSize="1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1"/>
  <sheetViews>
    <sheetView zoomScale="80" zoomScaleNormal="80" zoomScalePageLayoutView="0" workbookViewId="0" topLeftCell="A1">
      <selection activeCell="D45" sqref="D45"/>
    </sheetView>
  </sheetViews>
  <sheetFormatPr defaultColWidth="11.57421875" defaultRowHeight="12.75"/>
  <cols>
    <col min="1" max="1" width="56.00390625" style="0" customWidth="1"/>
    <col min="2" max="2" width="17.00390625" style="0" customWidth="1"/>
    <col min="3" max="3" width="23.8515625" style="0" customWidth="1"/>
    <col min="4" max="4" width="16.140625" style="0" customWidth="1"/>
    <col min="5" max="5" width="16.8515625" style="1" customWidth="1"/>
    <col min="6" max="7" width="0" style="1" hidden="1" customWidth="1"/>
    <col min="8" max="8" width="11.57421875" style="1" customWidth="1"/>
    <col min="9" max="9" width="5.28125" style="1" customWidth="1"/>
    <col min="10" max="10" width="30.00390625" style="1" customWidth="1"/>
    <col min="11" max="12" width="23.28125" style="0" customWidth="1"/>
    <col min="13" max="13" width="6.57421875" style="0" customWidth="1"/>
    <col min="14" max="14" width="7.00390625" style="0" customWidth="1"/>
  </cols>
  <sheetData>
    <row r="1" spans="1:4" ht="18">
      <c r="A1" s="265" t="s">
        <v>0</v>
      </c>
      <c r="B1" s="265"/>
      <c r="C1" s="265"/>
      <c r="D1" s="265"/>
    </row>
    <row r="2" spans="1:4" ht="15.75">
      <c r="A2" s="266" t="s">
        <v>1</v>
      </c>
      <c r="B2" s="266"/>
      <c r="C2" s="266"/>
      <c r="D2" s="266"/>
    </row>
    <row r="3" spans="1:4" ht="15.75">
      <c r="A3" s="266" t="s">
        <v>2</v>
      </c>
      <c r="B3" s="266"/>
      <c r="C3" s="266"/>
      <c r="D3" s="266"/>
    </row>
    <row r="4" spans="1:4" ht="12.75">
      <c r="A4" s="267" t="s">
        <v>94</v>
      </c>
      <c r="B4" s="267"/>
      <c r="C4" s="267"/>
      <c r="D4" s="267"/>
    </row>
    <row r="5" spans="1:4" ht="12.75">
      <c r="A5" s="268" t="s">
        <v>171</v>
      </c>
      <c r="B5" s="267"/>
      <c r="C5" s="267"/>
      <c r="D5" s="267"/>
    </row>
    <row r="6" ht="11.25" customHeight="1">
      <c r="A6" s="2"/>
    </row>
    <row r="7" spans="1:4" ht="36.75" customHeight="1">
      <c r="A7" s="269" t="s">
        <v>4</v>
      </c>
      <c r="B7" s="269"/>
      <c r="C7" s="269"/>
      <c r="D7" s="269"/>
    </row>
    <row r="8" spans="1:3" ht="17.25" customHeight="1">
      <c r="A8" s="2" t="s">
        <v>197</v>
      </c>
      <c r="C8" s="3"/>
    </row>
    <row r="9" spans="1:4" ht="12.75">
      <c r="A9" s="4" t="s">
        <v>5</v>
      </c>
      <c r="B9" s="4" t="s">
        <v>6</v>
      </c>
      <c r="C9" s="4" t="s">
        <v>7</v>
      </c>
      <c r="D9" s="5"/>
    </row>
    <row r="10" spans="1:8" ht="12.75">
      <c r="A10" s="6">
        <v>1</v>
      </c>
      <c r="B10" s="6">
        <v>2</v>
      </c>
      <c r="C10" s="6">
        <v>3</v>
      </c>
      <c r="D10" s="7">
        <v>4</v>
      </c>
      <c r="E10" s="132"/>
      <c r="F10" s="132"/>
      <c r="G10" s="132"/>
      <c r="H10" s="132"/>
    </row>
    <row r="11" spans="1:9" ht="12.75">
      <c r="A11" s="8" t="s">
        <v>8</v>
      </c>
      <c r="B11" s="9"/>
      <c r="C11" s="177" t="s">
        <v>172</v>
      </c>
      <c r="D11" s="10"/>
      <c r="E11" s="132"/>
      <c r="F11" s="132"/>
      <c r="G11" s="132"/>
      <c r="H11" s="132"/>
      <c r="I11" s="132"/>
    </row>
    <row r="12" spans="1:9" ht="12.75">
      <c r="A12" s="8" t="s">
        <v>10</v>
      </c>
      <c r="B12" s="9"/>
      <c r="C12" s="177" t="s">
        <v>173</v>
      </c>
      <c r="D12" s="10"/>
      <c r="E12" s="132"/>
      <c r="F12" s="132"/>
      <c r="G12" s="132"/>
      <c r="H12" s="132"/>
      <c r="I12" s="132"/>
    </row>
    <row r="13" spans="1:9" ht="12.75">
      <c r="A13" s="8" t="s">
        <v>12</v>
      </c>
      <c r="B13" s="9"/>
      <c r="C13" s="177" t="s">
        <v>174</v>
      </c>
      <c r="D13" s="10"/>
      <c r="E13" s="132"/>
      <c r="F13" s="132"/>
      <c r="G13" s="132"/>
      <c r="H13" s="132"/>
      <c r="I13" s="132"/>
    </row>
    <row r="14" spans="1:9" ht="31.5" customHeight="1">
      <c r="A14" s="259" t="s">
        <v>14</v>
      </c>
      <c r="B14" s="259"/>
      <c r="C14" s="259"/>
      <c r="D14" s="259"/>
      <c r="E14" s="132"/>
      <c r="F14" s="132"/>
      <c r="G14" s="132"/>
      <c r="H14" s="132"/>
      <c r="I14" s="132"/>
    </row>
    <row r="15" spans="1:9" ht="25.5">
      <c r="A15" s="11" t="s">
        <v>15</v>
      </c>
      <c r="B15" s="12" t="s">
        <v>16</v>
      </c>
      <c r="C15" s="13">
        <v>-16075.67</v>
      </c>
      <c r="D15" s="14"/>
      <c r="E15" s="132"/>
      <c r="F15" s="132"/>
      <c r="G15" s="132"/>
      <c r="H15" s="132"/>
      <c r="I15" s="132"/>
    </row>
    <row r="16" spans="1:9" ht="15">
      <c r="A16" s="8" t="s">
        <v>17</v>
      </c>
      <c r="B16" s="12" t="s">
        <v>16</v>
      </c>
      <c r="C16" s="13">
        <v>0</v>
      </c>
      <c r="D16" s="14"/>
      <c r="E16" s="132"/>
      <c r="F16" s="132"/>
      <c r="G16" s="132"/>
      <c r="H16" s="132"/>
      <c r="I16" s="132"/>
    </row>
    <row r="17" spans="1:9" ht="15">
      <c r="A17" s="8" t="s">
        <v>18</v>
      </c>
      <c r="B17" s="12" t="s">
        <v>16</v>
      </c>
      <c r="C17" s="15">
        <v>947.05</v>
      </c>
      <c r="D17" s="16"/>
      <c r="E17" s="132" t="e">
        <f>B17/12/1022.6</f>
        <v>#VALUE!</v>
      </c>
      <c r="F17" s="132"/>
      <c r="G17" s="132"/>
      <c r="H17" s="132"/>
      <c r="I17" s="132"/>
    </row>
    <row r="18" spans="1:9" ht="31.5" customHeight="1">
      <c r="A18" s="17" t="s">
        <v>19</v>
      </c>
      <c r="B18" s="12" t="s">
        <v>16</v>
      </c>
      <c r="C18" s="15">
        <v>77485.61</v>
      </c>
      <c r="D18" s="16"/>
      <c r="E18" s="133">
        <f>C18-C20</f>
        <v>71809.1744</v>
      </c>
      <c r="F18" s="132"/>
      <c r="G18" s="132"/>
      <c r="H18" s="132"/>
      <c r="I18" s="132"/>
    </row>
    <row r="19" spans="1:9" ht="15">
      <c r="A19" s="8" t="s">
        <v>20</v>
      </c>
      <c r="B19" s="12" t="s">
        <v>16</v>
      </c>
      <c r="C19" s="15">
        <v>45920.38</v>
      </c>
      <c r="D19" s="16"/>
      <c r="E19" s="133"/>
      <c r="F19" s="132"/>
      <c r="G19" s="132"/>
      <c r="H19" s="132"/>
      <c r="I19" s="132"/>
    </row>
    <row r="20" spans="1:9" ht="15">
      <c r="A20" s="8" t="s">
        <v>21</v>
      </c>
      <c r="B20" s="12" t="s">
        <v>16</v>
      </c>
      <c r="C20" s="15">
        <f>(1.15+0.99)*6*442.09</f>
        <v>5676.435599999999</v>
      </c>
      <c r="D20" s="16"/>
      <c r="E20" s="134"/>
      <c r="F20" s="132"/>
      <c r="G20" s="132"/>
      <c r="H20" s="132"/>
      <c r="I20" s="132"/>
    </row>
    <row r="21" spans="1:9" ht="15">
      <c r="A21" s="8" t="s">
        <v>22</v>
      </c>
      <c r="B21" s="12" t="s">
        <v>16</v>
      </c>
      <c r="C21" s="20">
        <f>442.09*4.88*12</f>
        <v>25888.790399999998</v>
      </c>
      <c r="D21" s="16"/>
      <c r="E21" s="132"/>
      <c r="F21" s="132"/>
      <c r="G21" s="132"/>
      <c r="H21" s="132"/>
      <c r="I21" s="132"/>
    </row>
    <row r="22" spans="1:9" ht="15">
      <c r="A22" s="21" t="s">
        <v>23</v>
      </c>
      <c r="B22" s="12" t="s">
        <v>16</v>
      </c>
      <c r="C22" s="15">
        <f>C23+C24+C25+C26+C27</f>
        <v>78314.706027</v>
      </c>
      <c r="D22" s="16" t="s">
        <v>24</v>
      </c>
      <c r="E22" s="133" t="e">
        <f>B24+B25+B26+B27+B28</f>
        <v>#VALUE!</v>
      </c>
      <c r="F22" s="132"/>
      <c r="G22" s="132"/>
      <c r="H22" s="132"/>
      <c r="I22" s="132"/>
    </row>
    <row r="23" spans="1:9" ht="15">
      <c r="A23" s="8" t="s">
        <v>25</v>
      </c>
      <c r="B23" s="12" t="s">
        <v>16</v>
      </c>
      <c r="C23" s="15">
        <f>C18*1.0107</f>
        <v>78314.706027</v>
      </c>
      <c r="D23" s="16"/>
      <c r="E23" s="132"/>
      <c r="F23" s="132"/>
      <c r="G23" s="132"/>
      <c r="H23" s="132"/>
      <c r="I23" s="132"/>
    </row>
    <row r="24" spans="1:9" ht="15">
      <c r="A24" s="8" t="s">
        <v>26</v>
      </c>
      <c r="B24" s="12" t="s">
        <v>16</v>
      </c>
      <c r="C24" s="15">
        <v>0</v>
      </c>
      <c r="D24" s="22">
        <v>65.21</v>
      </c>
      <c r="E24" s="134" t="e">
        <f>B24/#REF!*1</f>
        <v>#VALUE!</v>
      </c>
      <c r="F24" s="132"/>
      <c r="G24" s="132"/>
      <c r="H24" s="132" t="s">
        <v>27</v>
      </c>
      <c r="I24" s="132"/>
    </row>
    <row r="25" spans="1:9" ht="15">
      <c r="A25" s="8" t="s">
        <v>28</v>
      </c>
      <c r="B25" s="12" t="s">
        <v>16</v>
      </c>
      <c r="C25" s="15">
        <v>0</v>
      </c>
      <c r="D25" s="22">
        <v>119.63</v>
      </c>
      <c r="E25" s="134" t="e">
        <f>B25/#REF!*1</f>
        <v>#VALUE!</v>
      </c>
      <c r="F25" s="132"/>
      <c r="G25" s="132"/>
      <c r="H25" s="132"/>
      <c r="I25" s="132"/>
    </row>
    <row r="26" spans="1:9" ht="15">
      <c r="A26" s="9" t="s">
        <v>29</v>
      </c>
      <c r="B26" s="12" t="s">
        <v>16</v>
      </c>
      <c r="C26" s="15">
        <v>0</v>
      </c>
      <c r="D26" s="22"/>
      <c r="E26" s="134" t="e">
        <f>B26/#REF!*1</f>
        <v>#VALUE!</v>
      </c>
      <c r="F26" s="132"/>
      <c r="G26" s="132"/>
      <c r="H26" s="132"/>
      <c r="I26" s="132"/>
    </row>
    <row r="27" spans="1:9" ht="15">
      <c r="A27" s="9" t="s">
        <v>30</v>
      </c>
      <c r="B27" s="12" t="s">
        <v>16</v>
      </c>
      <c r="C27" s="15">
        <v>0</v>
      </c>
      <c r="D27" s="22">
        <v>139.18</v>
      </c>
      <c r="E27" s="134" t="e">
        <f>B27/#REF!*1</f>
        <v>#VALUE!</v>
      </c>
      <c r="F27" s="132"/>
      <c r="G27" s="132"/>
      <c r="H27" s="132"/>
      <c r="I27" s="132"/>
    </row>
    <row r="28" spans="1:9" ht="15">
      <c r="A28" s="8" t="s">
        <v>31</v>
      </c>
      <c r="B28" s="12" t="s">
        <v>16</v>
      </c>
      <c r="C28" s="15">
        <f>C15+C22</f>
        <v>62239.036026999995</v>
      </c>
      <c r="D28" s="16" t="s">
        <v>32</v>
      </c>
      <c r="E28" s="134" t="e">
        <f>B28/#REF!*1</f>
        <v>#VALUE!</v>
      </c>
      <c r="F28" s="132"/>
      <c r="G28" s="132"/>
      <c r="H28" s="132"/>
      <c r="I28" s="132"/>
    </row>
    <row r="29" spans="1:9" ht="35.25" customHeight="1">
      <c r="A29" s="260" t="s">
        <v>33</v>
      </c>
      <c r="B29" s="260"/>
      <c r="C29" s="260"/>
      <c r="D29" s="260"/>
      <c r="E29" s="132"/>
      <c r="F29" s="132"/>
      <c r="G29" s="132"/>
      <c r="H29" s="132"/>
      <c r="I29" s="132"/>
    </row>
    <row r="30" spans="1:9" ht="51">
      <c r="A30" s="218" t="s">
        <v>34</v>
      </c>
      <c r="B30" s="221" t="s">
        <v>35</v>
      </c>
      <c r="C30" s="216" t="s">
        <v>36</v>
      </c>
      <c r="D30" s="222" t="s">
        <v>37</v>
      </c>
      <c r="E30" s="132"/>
      <c r="F30" s="132"/>
      <c r="G30" s="132"/>
      <c r="H30" s="132"/>
      <c r="I30" s="132"/>
    </row>
    <row r="31" spans="1:9" ht="15">
      <c r="A31" s="27" t="s">
        <v>38</v>
      </c>
      <c r="B31" s="28" t="s">
        <v>39</v>
      </c>
      <c r="C31" s="29" t="s">
        <v>40</v>
      </c>
      <c r="D31" s="107">
        <f>(0.17+0.16)*6*442.12</f>
        <v>875.3976</v>
      </c>
      <c r="E31" s="132">
        <v>0.165</v>
      </c>
      <c r="F31" s="132"/>
      <c r="G31" s="132"/>
      <c r="H31" s="132"/>
      <c r="I31" s="132"/>
    </row>
    <row r="32" spans="1:9" ht="15">
      <c r="A32" s="31" t="s">
        <v>84</v>
      </c>
      <c r="B32" s="32" t="s">
        <v>85</v>
      </c>
      <c r="C32" s="33" t="s">
        <v>86</v>
      </c>
      <c r="D32" s="108">
        <f>(2.45+2.34)*6*442.12</f>
        <v>12706.528800000002</v>
      </c>
      <c r="E32" s="132">
        <v>2.395</v>
      </c>
      <c r="F32" s="132"/>
      <c r="G32" s="132"/>
      <c r="H32" s="132"/>
      <c r="I32" s="132"/>
    </row>
    <row r="33" spans="1:9" ht="15">
      <c r="A33" s="31" t="s">
        <v>41</v>
      </c>
      <c r="B33" s="32" t="s">
        <v>42</v>
      </c>
      <c r="C33" s="33" t="s">
        <v>43</v>
      </c>
      <c r="D33" s="108">
        <f>(3.03+3)*6*442.12</f>
        <v>15995.901599999997</v>
      </c>
      <c r="E33" s="132">
        <v>3.015</v>
      </c>
      <c r="F33" s="132"/>
      <c r="G33" s="132"/>
      <c r="H33" s="132"/>
      <c r="I33" s="132"/>
    </row>
    <row r="34" spans="1:9" ht="15">
      <c r="A34" s="31" t="s">
        <v>44</v>
      </c>
      <c r="B34" s="32" t="s">
        <v>39</v>
      </c>
      <c r="C34" s="33" t="s">
        <v>45</v>
      </c>
      <c r="D34" s="108">
        <f>(0.2+0.21)*6*442.12</f>
        <v>1087.6152</v>
      </c>
      <c r="E34" s="254">
        <v>0.205</v>
      </c>
      <c r="F34" s="132"/>
      <c r="G34" s="132"/>
      <c r="H34" s="132"/>
      <c r="I34" s="132"/>
    </row>
    <row r="35" spans="1:9" ht="15">
      <c r="A35" s="31" t="s">
        <v>88</v>
      </c>
      <c r="B35" s="105" t="s">
        <v>87</v>
      </c>
      <c r="C35" s="33" t="s">
        <v>40</v>
      </c>
      <c r="D35" s="108">
        <f>(0.69+0.66)*6*442.09</f>
        <v>3580.9290000000005</v>
      </c>
      <c r="E35" s="254">
        <v>0.675</v>
      </c>
      <c r="F35" s="132"/>
      <c r="G35" s="132"/>
      <c r="H35" s="132"/>
      <c r="I35" s="132"/>
    </row>
    <row r="36" spans="1:9" ht="15">
      <c r="A36" s="31" t="s">
        <v>89</v>
      </c>
      <c r="B36" s="32" t="s">
        <v>39</v>
      </c>
      <c r="C36" s="33" t="s">
        <v>40</v>
      </c>
      <c r="D36" s="108">
        <f>(0.81+0.77)*6*442.12</f>
        <v>4191.2976</v>
      </c>
      <c r="E36" s="132" t="s">
        <v>189</v>
      </c>
      <c r="F36" s="132"/>
      <c r="G36" s="132"/>
      <c r="H36" s="132"/>
      <c r="I36" s="132"/>
    </row>
    <row r="37" spans="1:9" ht="15">
      <c r="A37" s="31" t="s">
        <v>90</v>
      </c>
      <c r="B37" s="106" t="s">
        <v>91</v>
      </c>
      <c r="C37" s="33" t="s">
        <v>40</v>
      </c>
      <c r="D37" s="108">
        <f>(1.33+1.27)*6*442.12</f>
        <v>6897.072000000001</v>
      </c>
      <c r="E37" s="132">
        <v>1.3</v>
      </c>
      <c r="F37" s="132"/>
      <c r="G37" s="132"/>
      <c r="H37" s="132"/>
      <c r="I37" s="132"/>
    </row>
    <row r="38" spans="1:9" ht="15">
      <c r="A38" s="31" t="s">
        <v>46</v>
      </c>
      <c r="B38" s="32" t="s">
        <v>42</v>
      </c>
      <c r="C38" s="35" t="s">
        <v>47</v>
      </c>
      <c r="D38" s="184">
        <f>4.88*442.12*12</f>
        <v>25890.5472</v>
      </c>
      <c r="E38" s="132"/>
      <c r="F38" s="132"/>
      <c r="G38" s="132"/>
      <c r="H38" s="132"/>
      <c r="I38" s="132"/>
    </row>
    <row r="39" spans="1:9" ht="42.75" customHeight="1">
      <c r="A39" s="31" t="s">
        <v>95</v>
      </c>
      <c r="B39" s="32" t="s">
        <v>96</v>
      </c>
      <c r="C39" s="183" t="s">
        <v>97</v>
      </c>
      <c r="D39" s="184">
        <v>583.88</v>
      </c>
      <c r="E39" s="132"/>
      <c r="F39" s="132"/>
      <c r="G39" s="132"/>
      <c r="H39" s="132"/>
      <c r="I39" s="132"/>
    </row>
    <row r="40" spans="1:14" s="1" customFormat="1" ht="75">
      <c r="A40" s="248" t="s">
        <v>293</v>
      </c>
      <c r="B40" s="37" t="s">
        <v>49</v>
      </c>
      <c r="C40" s="38"/>
      <c r="D40" s="39">
        <v>6611</v>
      </c>
      <c r="E40" s="132"/>
      <c r="F40" s="132"/>
      <c r="G40" s="132"/>
      <c r="H40" s="132"/>
      <c r="I40" s="132"/>
      <c r="K40"/>
      <c r="L40"/>
      <c r="M40"/>
      <c r="N40"/>
    </row>
    <row r="41" spans="1:14" s="1" customFormat="1" ht="15">
      <c r="A41" s="182" t="s">
        <v>198</v>
      </c>
      <c r="B41" s="110" t="s">
        <v>199</v>
      </c>
      <c r="C41" s="33" t="s">
        <v>40</v>
      </c>
      <c r="D41" s="179">
        <v>2286</v>
      </c>
      <c r="E41" s="132"/>
      <c r="F41" s="132"/>
      <c r="G41" s="132"/>
      <c r="H41" s="132"/>
      <c r="I41" s="132"/>
      <c r="K41"/>
      <c r="L41"/>
      <c r="M41"/>
      <c r="N41"/>
    </row>
    <row r="42" spans="1:14" s="1" customFormat="1" ht="15">
      <c r="A42" s="109" t="s">
        <v>200</v>
      </c>
      <c r="B42" s="110" t="s">
        <v>201</v>
      </c>
      <c r="C42" s="33" t="s">
        <v>40</v>
      </c>
      <c r="D42" s="179">
        <v>1451</v>
      </c>
      <c r="E42" s="132"/>
      <c r="F42" s="132"/>
      <c r="G42" s="132"/>
      <c r="H42" s="132"/>
      <c r="I42" s="132"/>
      <c r="K42"/>
      <c r="L42"/>
      <c r="M42"/>
      <c r="N42"/>
    </row>
    <row r="43" spans="1:14" s="1" customFormat="1" ht="15">
      <c r="A43" s="109" t="s">
        <v>291</v>
      </c>
      <c r="B43" s="110" t="s">
        <v>179</v>
      </c>
      <c r="C43" s="33" t="s">
        <v>40</v>
      </c>
      <c r="D43" s="179">
        <v>2874</v>
      </c>
      <c r="E43" s="132"/>
      <c r="F43" s="132"/>
      <c r="G43" s="132"/>
      <c r="H43" s="132"/>
      <c r="I43" s="132"/>
      <c r="K43"/>
      <c r="L43"/>
      <c r="M43"/>
      <c r="N43"/>
    </row>
    <row r="44" spans="1:14" s="1" customFormat="1" ht="15.75">
      <c r="A44" s="40" t="s">
        <v>50</v>
      </c>
      <c r="B44" s="41"/>
      <c r="C44" s="42"/>
      <c r="D44" s="113">
        <f>D31+D32+D33+D34+D35+D36+D37+D38+D39+D40</f>
        <v>78420.16900000001</v>
      </c>
      <c r="E44" s="135">
        <f>D44-D40</f>
        <v>71809.16900000001</v>
      </c>
      <c r="F44" s="132"/>
      <c r="G44" s="132"/>
      <c r="H44" s="132"/>
      <c r="I44" s="132"/>
      <c r="K44"/>
      <c r="L44"/>
      <c r="M44"/>
      <c r="N44"/>
    </row>
    <row r="45" spans="1:14" s="1" customFormat="1" ht="15">
      <c r="A45" s="43" t="s">
        <v>51</v>
      </c>
      <c r="B45" s="44" t="s">
        <v>16</v>
      </c>
      <c r="C45" s="45"/>
      <c r="D45" s="46">
        <f>C15+C20*1.0107-D40</f>
        <v>-16949.496539080003</v>
      </c>
      <c r="E45" s="135"/>
      <c r="F45" s="132"/>
      <c r="G45" s="132"/>
      <c r="H45" s="132"/>
      <c r="I45" s="132"/>
      <c r="K45"/>
      <c r="L45"/>
      <c r="M45"/>
      <c r="N45"/>
    </row>
    <row r="46" spans="1:14" s="1" customFormat="1" ht="15">
      <c r="A46" s="48" t="s">
        <v>17</v>
      </c>
      <c r="B46" s="49" t="s">
        <v>16</v>
      </c>
      <c r="C46" s="33"/>
      <c r="D46" s="14">
        <v>0</v>
      </c>
      <c r="E46" s="132"/>
      <c r="F46" s="132"/>
      <c r="G46" s="132"/>
      <c r="H46" s="132"/>
      <c r="I46" s="132"/>
      <c r="K46"/>
      <c r="L46"/>
      <c r="M46"/>
      <c r="N46"/>
    </row>
    <row r="47" spans="1:14" s="1" customFormat="1" ht="15">
      <c r="A47" s="48" t="s">
        <v>18</v>
      </c>
      <c r="B47" s="49" t="s">
        <v>16</v>
      </c>
      <c r="C47" s="33"/>
      <c r="D47" s="14">
        <v>117.95</v>
      </c>
      <c r="E47" s="132"/>
      <c r="F47" s="132"/>
      <c r="G47" s="132"/>
      <c r="H47" s="132"/>
      <c r="I47" s="132"/>
      <c r="K47"/>
      <c r="L47"/>
      <c r="M47"/>
      <c r="N47"/>
    </row>
    <row r="48" spans="1:14" s="1" customFormat="1" ht="24" customHeight="1">
      <c r="A48" s="261" t="s">
        <v>52</v>
      </c>
      <c r="B48" s="261"/>
      <c r="C48" s="261"/>
      <c r="D48" s="261"/>
      <c r="E48" s="132"/>
      <c r="F48" s="132"/>
      <c r="G48" s="132"/>
      <c r="H48" s="132"/>
      <c r="I48" s="132"/>
      <c r="K48"/>
      <c r="L48"/>
      <c r="M48"/>
      <c r="N48"/>
    </row>
    <row r="49" spans="1:14" s="1" customFormat="1" ht="15">
      <c r="A49" s="48" t="s">
        <v>53</v>
      </c>
      <c r="B49" s="32" t="s">
        <v>54</v>
      </c>
      <c r="C49" s="33"/>
      <c r="D49" s="14">
        <v>0</v>
      </c>
      <c r="E49" s="132"/>
      <c r="F49" s="132"/>
      <c r="G49" s="132"/>
      <c r="H49" s="132"/>
      <c r="I49" s="132"/>
      <c r="K49"/>
      <c r="L49"/>
      <c r="M49"/>
      <c r="N49"/>
    </row>
    <row r="50" spans="1:14" s="1" customFormat="1" ht="15">
      <c r="A50" s="48" t="s">
        <v>55</v>
      </c>
      <c r="B50" s="32" t="s">
        <v>54</v>
      </c>
      <c r="C50" s="33"/>
      <c r="D50" s="14">
        <v>0</v>
      </c>
      <c r="E50" s="132"/>
      <c r="F50" s="132"/>
      <c r="G50" s="132"/>
      <c r="H50" s="132"/>
      <c r="I50" s="132"/>
      <c r="K50"/>
      <c r="L50"/>
      <c r="M50"/>
      <c r="N50"/>
    </row>
    <row r="51" spans="1:14" s="1" customFormat="1" ht="15">
      <c r="A51" s="50" t="s">
        <v>56</v>
      </c>
      <c r="B51" s="32" t="s">
        <v>54</v>
      </c>
      <c r="C51" s="33"/>
      <c r="D51" s="14">
        <v>0</v>
      </c>
      <c r="E51" s="132"/>
      <c r="F51" s="132"/>
      <c r="G51" s="132"/>
      <c r="H51" s="132"/>
      <c r="I51" s="132"/>
      <c r="K51"/>
      <c r="L51"/>
      <c r="M51"/>
      <c r="N51"/>
    </row>
    <row r="52" spans="1:14" s="1" customFormat="1" ht="15">
      <c r="A52" s="48" t="s">
        <v>57</v>
      </c>
      <c r="B52" s="32" t="s">
        <v>16</v>
      </c>
      <c r="C52" s="33"/>
      <c r="D52" s="14">
        <v>0</v>
      </c>
      <c r="E52" s="132"/>
      <c r="F52" s="132"/>
      <c r="G52" s="132"/>
      <c r="H52" s="132"/>
      <c r="I52" s="132"/>
      <c r="K52"/>
      <c r="L52"/>
      <c r="M52"/>
      <c r="N52"/>
    </row>
    <row r="53" spans="1:9" ht="20.25" customHeight="1">
      <c r="A53" s="262" t="s">
        <v>58</v>
      </c>
      <c r="B53" s="262"/>
      <c r="C53" s="262"/>
      <c r="D53" s="262"/>
      <c r="E53" s="132"/>
      <c r="F53" s="132"/>
      <c r="G53" s="132"/>
      <c r="H53" s="132"/>
      <c r="I53" s="132"/>
    </row>
    <row r="54" spans="1:9" ht="25.5">
      <c r="A54" s="50" t="s">
        <v>59</v>
      </c>
      <c r="B54" s="32" t="s">
        <v>16</v>
      </c>
      <c r="C54" s="33"/>
      <c r="D54" s="14">
        <v>0</v>
      </c>
      <c r="E54" s="132"/>
      <c r="F54" s="132"/>
      <c r="G54" s="132"/>
      <c r="H54" s="132"/>
      <c r="I54" s="132"/>
    </row>
    <row r="55" spans="1:9" ht="15">
      <c r="A55" s="48" t="s">
        <v>17</v>
      </c>
      <c r="B55" s="32" t="s">
        <v>16</v>
      </c>
      <c r="C55" s="33"/>
      <c r="D55" s="14">
        <v>0</v>
      </c>
      <c r="E55" s="132"/>
      <c r="F55" s="132"/>
      <c r="G55" s="132"/>
      <c r="H55" s="132"/>
      <c r="I55" s="132"/>
    </row>
    <row r="56" spans="1:9" ht="15">
      <c r="A56" s="48" t="s">
        <v>18</v>
      </c>
      <c r="B56" s="32" t="s">
        <v>16</v>
      </c>
      <c r="C56" s="33"/>
      <c r="D56" s="51">
        <f>D59-D62-D63-D64</f>
        <v>2802.185731999978</v>
      </c>
      <c r="E56" s="132"/>
      <c r="F56" s="132"/>
      <c r="G56" s="132"/>
      <c r="H56" s="136"/>
      <c r="I56" s="132"/>
    </row>
    <row r="57" spans="1:9" ht="25.5">
      <c r="A57" s="53" t="s">
        <v>60</v>
      </c>
      <c r="B57" s="32" t="s">
        <v>16</v>
      </c>
      <c r="C57" s="54"/>
      <c r="D57" s="55">
        <v>0</v>
      </c>
      <c r="E57" s="132"/>
      <c r="F57" s="132"/>
      <c r="G57" s="132"/>
      <c r="H57" s="132"/>
      <c r="I57" s="132"/>
    </row>
    <row r="58" spans="1:10" ht="17.25" customHeight="1">
      <c r="A58" s="56" t="s">
        <v>17</v>
      </c>
      <c r="B58" s="32" t="s">
        <v>16</v>
      </c>
      <c r="C58" s="57"/>
      <c r="D58" s="58">
        <v>0</v>
      </c>
      <c r="E58" s="132"/>
      <c r="F58" s="132"/>
      <c r="G58" s="132"/>
      <c r="H58" s="132"/>
      <c r="I58" s="136"/>
      <c r="J58" s="52"/>
    </row>
    <row r="59" spans="1:14" ht="15">
      <c r="A59" s="59" t="s">
        <v>18</v>
      </c>
      <c r="B59" s="32" t="s">
        <v>16</v>
      </c>
      <c r="C59" s="60"/>
      <c r="D59" s="61">
        <v>349.01</v>
      </c>
      <c r="E59" s="132"/>
      <c r="F59" s="132"/>
      <c r="G59" s="132"/>
      <c r="H59" s="132" t="s">
        <v>32</v>
      </c>
      <c r="I59" s="147"/>
      <c r="J59" s="63"/>
      <c r="K59" s="64"/>
      <c r="L59" s="64"/>
      <c r="M59" s="64"/>
      <c r="N59" s="64"/>
    </row>
    <row r="60" spans="1:14" ht="18" customHeight="1">
      <c r="A60" s="263" t="s">
        <v>61</v>
      </c>
      <c r="B60" s="263"/>
      <c r="C60" s="263"/>
      <c r="D60" s="263"/>
      <c r="E60" s="137"/>
      <c r="F60" s="138"/>
      <c r="G60" s="139"/>
      <c r="H60" s="132"/>
      <c r="I60" s="143"/>
      <c r="J60" s="68"/>
      <c r="K60" s="69"/>
      <c r="L60" s="69"/>
      <c r="M60" s="69"/>
      <c r="N60" s="69"/>
    </row>
    <row r="61" spans="1:14" ht="38.25">
      <c r="A61" s="70" t="s">
        <v>62</v>
      </c>
      <c r="B61" s="71" t="s">
        <v>63</v>
      </c>
      <c r="C61" s="212" t="s">
        <v>64</v>
      </c>
      <c r="D61" s="213" t="s">
        <v>65</v>
      </c>
      <c r="E61" s="137"/>
      <c r="F61" s="138"/>
      <c r="G61" s="139"/>
      <c r="H61" s="132"/>
      <c r="I61" s="143"/>
      <c r="J61" s="74"/>
      <c r="K61" s="69"/>
      <c r="L61" s="69"/>
      <c r="M61" s="69"/>
      <c r="N61" s="69"/>
    </row>
    <row r="62" spans="1:14" ht="15">
      <c r="A62" s="75" t="s">
        <v>66</v>
      </c>
      <c r="B62" s="76">
        <v>22373.28</v>
      </c>
      <c r="C62" s="77">
        <f>B62*1.0107</f>
        <v>22612.674096</v>
      </c>
      <c r="D62" s="78">
        <f>B62-C62</f>
        <v>-239.394096</v>
      </c>
      <c r="E62" s="140"/>
      <c r="F62" s="138"/>
      <c r="G62" s="139"/>
      <c r="H62" s="132"/>
      <c r="I62" s="143"/>
      <c r="J62" s="68"/>
      <c r="K62" s="69"/>
      <c r="L62" s="69"/>
      <c r="M62" s="69"/>
      <c r="N62" s="69"/>
    </row>
    <row r="63" spans="1:14" ht="15">
      <c r="A63" s="75" t="s">
        <v>67</v>
      </c>
      <c r="B63" s="76">
        <v>25264.71</v>
      </c>
      <c r="C63" s="77">
        <f>B63*1.0107</f>
        <v>25535.042396999997</v>
      </c>
      <c r="D63" s="78">
        <f>B63-C63</f>
        <v>-270.3323969999983</v>
      </c>
      <c r="E63" s="137"/>
      <c r="F63" s="138"/>
      <c r="G63" s="139"/>
      <c r="H63" s="132"/>
      <c r="I63" s="143"/>
      <c r="J63" s="68"/>
      <c r="K63" s="69"/>
      <c r="L63" s="69"/>
      <c r="M63" s="69"/>
      <c r="N63" s="69"/>
    </row>
    <row r="64" spans="1:14" ht="15">
      <c r="A64" s="75" t="s">
        <v>68</v>
      </c>
      <c r="B64" s="80">
        <v>181630.77</v>
      </c>
      <c r="C64" s="77">
        <f>B64*1.0107</f>
        <v>183574.21923899997</v>
      </c>
      <c r="D64" s="78">
        <f>B64-C64</f>
        <v>-1943.4492389999796</v>
      </c>
      <c r="E64" s="65">
        <f>(2.07+1.8)*6*2301.2-0.37*2301.2*6</f>
        <v>48325.2</v>
      </c>
      <c r="F64" s="81"/>
      <c r="G64" s="82"/>
      <c r="H64" s="65"/>
      <c r="I64" s="68"/>
      <c r="J64" s="68"/>
      <c r="K64" s="69"/>
      <c r="L64" s="69"/>
      <c r="M64" s="69"/>
      <c r="N64" s="69"/>
    </row>
    <row r="65" spans="1:14" ht="15">
      <c r="A65" s="83" t="s">
        <v>69</v>
      </c>
      <c r="B65" s="84">
        <v>0</v>
      </c>
      <c r="C65" s="77">
        <f>B65*0.9847</f>
        <v>0</v>
      </c>
      <c r="D65" s="85">
        <f>B65-C65</f>
        <v>0</v>
      </c>
      <c r="E65" s="65"/>
      <c r="F65" s="81"/>
      <c r="G65" s="82"/>
      <c r="I65" s="68"/>
      <c r="J65" s="68"/>
      <c r="K65" s="69"/>
      <c r="L65" s="69"/>
      <c r="M65" s="69"/>
      <c r="N65" s="69"/>
    </row>
    <row r="66" spans="1:14" ht="63.75">
      <c r="A66" s="86" t="s">
        <v>70</v>
      </c>
      <c r="B66" s="71" t="s">
        <v>71</v>
      </c>
      <c r="C66" s="212" t="s">
        <v>72</v>
      </c>
      <c r="D66" s="213" t="s">
        <v>73</v>
      </c>
      <c r="E66" s="65"/>
      <c r="F66" s="81"/>
      <c r="H66" s="68"/>
      <c r="I66" s="68"/>
      <c r="J66" s="68"/>
      <c r="K66" s="69"/>
      <c r="L66" s="69"/>
      <c r="M66" s="69"/>
      <c r="N66" s="69"/>
    </row>
    <row r="67" spans="1:14" ht="15">
      <c r="A67" s="75" t="s">
        <v>66</v>
      </c>
      <c r="B67" s="87">
        <f>B62</f>
        <v>22373.28</v>
      </c>
      <c r="C67" s="88">
        <v>22612.67</v>
      </c>
      <c r="D67" s="78">
        <f>B67-C67</f>
        <v>-239.38999999999942</v>
      </c>
      <c r="E67" s="65"/>
      <c r="F67" s="81"/>
      <c r="H67" s="68"/>
      <c r="I67" s="68"/>
      <c r="J67" s="68" t="s">
        <v>32</v>
      </c>
      <c r="K67" s="69"/>
      <c r="L67" s="69"/>
      <c r="M67" s="69"/>
      <c r="N67" s="69"/>
    </row>
    <row r="68" spans="1:14" ht="15">
      <c r="A68" s="75" t="s">
        <v>67</v>
      </c>
      <c r="B68" s="87">
        <f>B63</f>
        <v>25264.71</v>
      </c>
      <c r="C68" s="88">
        <v>25535.04</v>
      </c>
      <c r="D68" s="78">
        <f>B68-C68</f>
        <v>-270.33000000000175</v>
      </c>
      <c r="E68" s="65"/>
      <c r="F68" s="81"/>
      <c r="H68" s="68"/>
      <c r="I68" s="68"/>
      <c r="J68" s="68"/>
      <c r="K68" s="69"/>
      <c r="L68" s="69"/>
      <c r="M68" s="69"/>
      <c r="N68" s="69"/>
    </row>
    <row r="69" spans="1:14" ht="15">
      <c r="A69" s="75" t="s">
        <v>68</v>
      </c>
      <c r="B69" s="87">
        <f>B64</f>
        <v>181630.77</v>
      </c>
      <c r="C69" s="88">
        <v>183574.22</v>
      </c>
      <c r="D69" s="78">
        <f>B69-C69</f>
        <v>-1943.4500000000116</v>
      </c>
      <c r="E69" s="65"/>
      <c r="F69" s="81"/>
      <c r="H69" s="68"/>
      <c r="I69" s="68"/>
      <c r="J69" s="68"/>
      <c r="K69" s="69"/>
      <c r="L69" s="69"/>
      <c r="M69" s="69"/>
      <c r="N69" s="69"/>
    </row>
    <row r="70" spans="1:14" ht="15">
      <c r="A70" s="75" t="s">
        <v>74</v>
      </c>
      <c r="B70" s="87">
        <v>0</v>
      </c>
      <c r="C70" s="95">
        <v>0</v>
      </c>
      <c r="D70" s="78">
        <f>B70-C70</f>
        <v>0</v>
      </c>
      <c r="E70" s="65"/>
      <c r="F70" s="81"/>
      <c r="H70" s="68"/>
      <c r="I70" s="68"/>
      <c r="J70" s="68"/>
      <c r="K70" s="69"/>
      <c r="L70" s="69"/>
      <c r="M70" s="69"/>
      <c r="N70" s="69"/>
    </row>
    <row r="71" spans="1:14" ht="15">
      <c r="A71" s="89" t="s">
        <v>69</v>
      </c>
      <c r="B71" s="90">
        <f>B65</f>
        <v>0</v>
      </c>
      <c r="C71" s="114">
        <v>0</v>
      </c>
      <c r="D71" s="78">
        <f>B71-C71</f>
        <v>0</v>
      </c>
      <c r="E71" s="65"/>
      <c r="F71" s="81"/>
      <c r="H71" s="68" t="s">
        <v>32</v>
      </c>
      <c r="I71" s="68"/>
      <c r="J71" s="68"/>
      <c r="K71" s="69"/>
      <c r="L71" s="69"/>
      <c r="M71" s="69"/>
      <c r="N71" s="69"/>
    </row>
    <row r="72" spans="1:14" ht="15">
      <c r="A72" s="91"/>
      <c r="B72" s="87"/>
      <c r="C72" s="92"/>
      <c r="D72" s="93"/>
      <c r="E72" s="65"/>
      <c r="F72" s="81"/>
      <c r="H72" s="68"/>
      <c r="I72" s="68"/>
      <c r="J72" s="68"/>
      <c r="K72" s="69"/>
      <c r="L72" s="69"/>
      <c r="M72" s="69"/>
      <c r="N72" s="69"/>
    </row>
    <row r="73" spans="1:14" ht="25.5">
      <c r="A73" s="94" t="s">
        <v>75</v>
      </c>
      <c r="B73" s="87" t="s">
        <v>16</v>
      </c>
      <c r="C73" s="95"/>
      <c r="D73" s="96"/>
      <c r="E73" s="65"/>
      <c r="F73" s="81"/>
      <c r="H73" s="68"/>
      <c r="I73" s="68"/>
      <c r="J73" s="68" t="s">
        <v>32</v>
      </c>
      <c r="K73" s="69"/>
      <c r="L73" s="69"/>
      <c r="M73" s="69"/>
      <c r="N73" s="69"/>
    </row>
    <row r="74" spans="1:14" ht="17.25" customHeight="1">
      <c r="A74" s="264" t="s">
        <v>76</v>
      </c>
      <c r="B74" s="264"/>
      <c r="C74" s="264"/>
      <c r="D74" s="264"/>
      <c r="E74" s="97" t="e">
        <f>D74+B19</f>
        <v>#VALUE!</v>
      </c>
      <c r="F74" s="68"/>
      <c r="H74" s="98" t="e">
        <f>E74-B18</f>
        <v>#VALUE!</v>
      </c>
      <c r="I74" s="68"/>
      <c r="J74" s="68"/>
      <c r="K74" s="69"/>
      <c r="L74" s="69"/>
      <c r="M74" s="69"/>
      <c r="N74" s="69"/>
    </row>
    <row r="75" spans="1:5" ht="21" customHeight="1">
      <c r="A75" s="99" t="s">
        <v>53</v>
      </c>
      <c r="B75" s="99" t="s">
        <v>54</v>
      </c>
      <c r="C75" s="100">
        <v>4</v>
      </c>
      <c r="D75" s="101"/>
      <c r="E75" s="102"/>
    </row>
    <row r="76" spans="1:5" ht="21" customHeight="1">
      <c r="A76" s="99" t="s">
        <v>55</v>
      </c>
      <c r="B76" s="99" t="s">
        <v>54</v>
      </c>
      <c r="C76" s="99">
        <v>4</v>
      </c>
      <c r="D76" s="101"/>
      <c r="E76" s="102"/>
    </row>
    <row r="77" spans="1:5" ht="18" customHeight="1">
      <c r="A77" s="99" t="s">
        <v>56</v>
      </c>
      <c r="B77" s="99" t="s">
        <v>54</v>
      </c>
      <c r="C77" s="99">
        <v>0</v>
      </c>
      <c r="D77" s="101"/>
      <c r="E77" s="102"/>
    </row>
    <row r="78" spans="1:5" ht="16.5" customHeight="1">
      <c r="A78" s="99" t="s">
        <v>57</v>
      </c>
      <c r="B78" s="99" t="s">
        <v>16</v>
      </c>
      <c r="C78" s="99">
        <v>3134.85</v>
      </c>
      <c r="D78" s="101"/>
      <c r="E78" s="102"/>
    </row>
    <row r="79" spans="1:5" ht="15.75" customHeight="1">
      <c r="A79" s="258" t="s">
        <v>77</v>
      </c>
      <c r="B79" s="258"/>
      <c r="C79" s="258"/>
      <c r="D79" s="258"/>
      <c r="E79" s="102"/>
    </row>
    <row r="80" spans="1:5" ht="18.75" customHeight="1">
      <c r="A80" s="99" t="s">
        <v>78</v>
      </c>
      <c r="B80" s="99" t="s">
        <v>54</v>
      </c>
      <c r="C80" s="99">
        <v>0</v>
      </c>
      <c r="D80" s="101"/>
      <c r="E80" s="102"/>
    </row>
    <row r="81" spans="1:5" ht="21.75" customHeight="1">
      <c r="A81" s="99" t="s">
        <v>79</v>
      </c>
      <c r="B81" s="56" t="s">
        <v>54</v>
      </c>
      <c r="C81" s="56">
        <v>0</v>
      </c>
      <c r="D81" s="101"/>
      <c r="E81" s="102"/>
    </row>
    <row r="82" spans="1:5" ht="36" customHeight="1">
      <c r="A82" s="103" t="s">
        <v>80</v>
      </c>
      <c r="B82" s="99" t="s">
        <v>16</v>
      </c>
      <c r="C82" s="99">
        <v>0</v>
      </c>
      <c r="D82" s="101"/>
      <c r="E82" s="102"/>
    </row>
    <row r="83" spans="1:4" ht="15">
      <c r="A83" s="69"/>
      <c r="B83" s="69"/>
      <c r="C83" s="69"/>
      <c r="D83" s="104"/>
    </row>
    <row r="84" spans="1:14" s="1" customFormat="1" ht="12.75">
      <c r="A84"/>
      <c r="B84"/>
      <c r="C84"/>
      <c r="D84"/>
      <c r="H84" s="1" t="s">
        <v>32</v>
      </c>
      <c r="K84"/>
      <c r="L84"/>
      <c r="M84"/>
      <c r="N84"/>
    </row>
    <row r="85" spans="1:14" s="1" customFormat="1" ht="12.75">
      <c r="A85" t="s">
        <v>81</v>
      </c>
      <c r="B85"/>
      <c r="C85" t="s">
        <v>170</v>
      </c>
      <c r="D85"/>
      <c r="K85"/>
      <c r="L85"/>
      <c r="M85"/>
      <c r="N85"/>
    </row>
    <row r="86" spans="1:14" s="1" customFormat="1" ht="12.75">
      <c r="A86"/>
      <c r="B86"/>
      <c r="C86"/>
      <c r="D86"/>
      <c r="H86" s="1" t="s">
        <v>32</v>
      </c>
      <c r="K86"/>
      <c r="L86"/>
      <c r="M86"/>
      <c r="N86"/>
    </row>
    <row r="87" spans="1:14" s="1" customFormat="1" ht="12.75">
      <c r="A87" t="s">
        <v>82</v>
      </c>
      <c r="B87"/>
      <c r="C87"/>
      <c r="D87"/>
      <c r="K87"/>
      <c r="L87"/>
      <c r="M87"/>
      <c r="N87"/>
    </row>
    <row r="91" spans="1:14" s="1" customFormat="1" ht="12.75">
      <c r="A91"/>
      <c r="B91"/>
      <c r="C91"/>
      <c r="D91"/>
      <c r="E91" s="1" t="s">
        <v>32</v>
      </c>
      <c r="K91"/>
      <c r="L91"/>
      <c r="M91"/>
      <c r="N91"/>
    </row>
  </sheetData>
  <sheetProtection selectLockedCells="1" selectUnlockedCells="1"/>
  <mergeCells count="13">
    <mergeCell ref="A1:D1"/>
    <mergeCell ref="A2:D2"/>
    <mergeCell ref="A3:D3"/>
    <mergeCell ref="A4:D4"/>
    <mergeCell ref="A5:D5"/>
    <mergeCell ref="A7:D7"/>
    <mergeCell ref="A79:D79"/>
    <mergeCell ref="A14:D14"/>
    <mergeCell ref="A29:D29"/>
    <mergeCell ref="A48:D48"/>
    <mergeCell ref="A53:D53"/>
    <mergeCell ref="A60:D60"/>
    <mergeCell ref="A74:D74"/>
  </mergeCells>
  <printOptions/>
  <pageMargins left="0.5597222222222222" right="0.7875" top="0.34097222222222223" bottom="0.7875" header="0.5118055555555555" footer="0.5118055555555555"/>
  <pageSetup fitToHeight="3" fitToWidth="2" horizontalDpi="600" verticalDpi="600" orientation="portrait" paperSize="12" r:id="rId1"/>
</worksheet>
</file>

<file path=xl/worksheets/sheet5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6"/>
  <sheetViews>
    <sheetView zoomScale="80" zoomScaleNormal="80" zoomScalePageLayoutView="0" workbookViewId="0" topLeftCell="A13">
      <selection activeCell="E16" sqref="E16:H40"/>
    </sheetView>
  </sheetViews>
  <sheetFormatPr defaultColWidth="11.57421875" defaultRowHeight="12.75"/>
  <cols>
    <col min="1" max="1" width="63.28125" style="0" customWidth="1"/>
    <col min="2" max="2" width="20.28125" style="0" customWidth="1"/>
    <col min="3" max="3" width="31.421875" style="0" customWidth="1"/>
    <col min="4" max="4" width="27.57421875" style="0" customWidth="1"/>
    <col min="5" max="5" width="16.8515625" style="1" customWidth="1"/>
    <col min="6" max="7" width="0" style="1" hidden="1" customWidth="1"/>
    <col min="8" max="8" width="11.57421875" style="1" customWidth="1"/>
    <col min="9" max="9" width="5.28125" style="1" customWidth="1"/>
    <col min="10" max="10" width="30.00390625" style="1" customWidth="1"/>
    <col min="11" max="12" width="23.28125" style="0" customWidth="1"/>
    <col min="13" max="13" width="6.57421875" style="0" customWidth="1"/>
    <col min="14" max="14" width="7.00390625" style="0" customWidth="1"/>
  </cols>
  <sheetData>
    <row r="1" spans="1:4" ht="18">
      <c r="A1" s="265" t="s">
        <v>0</v>
      </c>
      <c r="B1" s="265"/>
      <c r="C1" s="265"/>
      <c r="D1" s="265"/>
    </row>
    <row r="2" spans="1:4" ht="15.75">
      <c r="A2" s="266" t="s">
        <v>1</v>
      </c>
      <c r="B2" s="266"/>
      <c r="C2" s="266"/>
      <c r="D2" s="266"/>
    </row>
    <row r="3" spans="1:4" ht="15.75">
      <c r="A3" s="266" t="s">
        <v>2</v>
      </c>
      <c r="B3" s="266"/>
      <c r="C3" s="266"/>
      <c r="D3" s="266"/>
    </row>
    <row r="4" spans="1:4" ht="12.75">
      <c r="A4" s="267" t="s">
        <v>154</v>
      </c>
      <c r="B4" s="267"/>
      <c r="C4" s="267"/>
      <c r="D4" s="267"/>
    </row>
    <row r="5" spans="1:4" ht="12.75">
      <c r="A5" s="268" t="s">
        <v>171</v>
      </c>
      <c r="B5" s="267"/>
      <c r="C5" s="267"/>
      <c r="D5" s="267"/>
    </row>
    <row r="6" ht="9" customHeight="1">
      <c r="A6" s="2"/>
    </row>
    <row r="7" spans="1:4" ht="18" customHeight="1">
      <c r="A7" s="269" t="s">
        <v>4</v>
      </c>
      <c r="B7" s="269"/>
      <c r="C7" s="269"/>
      <c r="D7" s="269"/>
    </row>
    <row r="8" spans="1:3" ht="12.75">
      <c r="A8" s="2" t="s">
        <v>271</v>
      </c>
      <c r="C8" s="3"/>
    </row>
    <row r="9" spans="1:4" ht="12.75">
      <c r="A9" s="4" t="s">
        <v>5</v>
      </c>
      <c r="B9" s="4" t="s">
        <v>6</v>
      </c>
      <c r="C9" s="4" t="s">
        <v>7</v>
      </c>
      <c r="D9" s="5"/>
    </row>
    <row r="10" spans="1:8" ht="12.75">
      <c r="A10" s="6">
        <v>1</v>
      </c>
      <c r="B10" s="6">
        <v>2</v>
      </c>
      <c r="C10" s="6">
        <v>3</v>
      </c>
      <c r="D10" s="7">
        <v>4</v>
      </c>
      <c r="E10" s="132"/>
      <c r="F10" s="132"/>
      <c r="G10" s="132"/>
      <c r="H10" s="132"/>
    </row>
    <row r="11" spans="1:8" ht="12.75">
      <c r="A11" s="8" t="s">
        <v>8</v>
      </c>
      <c r="B11" s="9"/>
      <c r="C11" s="177" t="s">
        <v>172</v>
      </c>
      <c r="D11" s="10"/>
      <c r="E11" s="132"/>
      <c r="F11" s="132"/>
      <c r="G11" s="132"/>
      <c r="H11" s="132"/>
    </row>
    <row r="12" spans="1:8" ht="12.75">
      <c r="A12" s="8" t="s">
        <v>10</v>
      </c>
      <c r="B12" s="9"/>
      <c r="C12" s="177" t="s">
        <v>173</v>
      </c>
      <c r="D12" s="10"/>
      <c r="E12" s="132"/>
      <c r="F12" s="132"/>
      <c r="G12" s="132"/>
      <c r="H12" s="132"/>
    </row>
    <row r="13" spans="1:8" ht="12.75">
      <c r="A13" s="8" t="s">
        <v>12</v>
      </c>
      <c r="B13" s="9"/>
      <c r="C13" s="177" t="s">
        <v>174</v>
      </c>
      <c r="D13" s="10"/>
      <c r="E13" s="132"/>
      <c r="F13" s="132"/>
      <c r="G13" s="132"/>
      <c r="H13" s="132"/>
    </row>
    <row r="14" spans="1:8" ht="31.5" customHeight="1">
      <c r="A14" s="259" t="s">
        <v>14</v>
      </c>
      <c r="B14" s="259"/>
      <c r="C14" s="259"/>
      <c r="D14" s="259"/>
      <c r="E14" s="132"/>
      <c r="F14" s="132"/>
      <c r="G14" s="132"/>
      <c r="H14" s="132"/>
    </row>
    <row r="15" spans="1:8" ht="25.5">
      <c r="A15" s="11" t="s">
        <v>15</v>
      </c>
      <c r="B15" s="12" t="s">
        <v>16</v>
      </c>
      <c r="C15" s="13">
        <v>20018.76</v>
      </c>
      <c r="D15" s="14"/>
      <c r="E15" s="132"/>
      <c r="F15" s="132"/>
      <c r="G15" s="132"/>
      <c r="H15" s="132"/>
    </row>
    <row r="16" spans="1:8" ht="15">
      <c r="A16" s="8" t="s">
        <v>17</v>
      </c>
      <c r="B16" s="12" t="s">
        <v>16</v>
      </c>
      <c r="C16" s="13">
        <v>0</v>
      </c>
      <c r="D16" s="14"/>
      <c r="E16" s="132"/>
      <c r="F16" s="132"/>
      <c r="G16" s="132"/>
      <c r="H16" s="132"/>
    </row>
    <row r="17" spans="1:8" ht="15">
      <c r="A17" s="8" t="s">
        <v>18</v>
      </c>
      <c r="B17" s="12" t="s">
        <v>16</v>
      </c>
      <c r="C17" s="15">
        <v>2322.36</v>
      </c>
      <c r="D17" s="16"/>
      <c r="E17" s="132" t="e">
        <f>B17/12/1022.6</f>
        <v>#VALUE!</v>
      </c>
      <c r="F17" s="132"/>
      <c r="G17" s="132"/>
      <c r="H17" s="132"/>
    </row>
    <row r="18" spans="1:8" ht="31.5" customHeight="1">
      <c r="A18" s="17" t="s">
        <v>19</v>
      </c>
      <c r="B18" s="12" t="s">
        <v>16</v>
      </c>
      <c r="C18" s="15">
        <v>28045.02</v>
      </c>
      <c r="D18" s="16"/>
      <c r="E18" s="133">
        <f>C18-C20</f>
        <v>21697.86</v>
      </c>
      <c r="F18" s="132"/>
      <c r="G18" s="132"/>
      <c r="H18" s="132"/>
    </row>
    <row r="19" spans="1:8" ht="15">
      <c r="A19" s="8" t="s">
        <v>20</v>
      </c>
      <c r="B19" s="12" t="s">
        <v>16</v>
      </c>
      <c r="C19" s="15">
        <f>C18-C20-C21</f>
        <v>10225.956000000002</v>
      </c>
      <c r="D19" s="16"/>
      <c r="E19" s="133">
        <f>E18-E39</f>
        <v>-0.00399999999353895</v>
      </c>
      <c r="F19" s="132"/>
      <c r="G19" s="132"/>
      <c r="H19" s="132"/>
    </row>
    <row r="20" spans="1:8" ht="15">
      <c r="A20" s="8" t="s">
        <v>21</v>
      </c>
      <c r="B20" s="12" t="s">
        <v>16</v>
      </c>
      <c r="C20" s="15">
        <v>6347.16</v>
      </c>
      <c r="D20" s="16"/>
      <c r="E20" s="134"/>
      <c r="F20" s="132"/>
      <c r="G20" s="132"/>
      <c r="H20" s="132"/>
    </row>
    <row r="21" spans="1:8" ht="15">
      <c r="A21" s="8" t="s">
        <v>22</v>
      </c>
      <c r="B21" s="12" t="s">
        <v>16</v>
      </c>
      <c r="C21" s="20">
        <f>195.9*4.88*12</f>
        <v>11471.903999999999</v>
      </c>
      <c r="D21" s="16"/>
      <c r="E21" s="132"/>
      <c r="F21" s="132"/>
      <c r="G21" s="132"/>
      <c r="H21" s="132"/>
    </row>
    <row r="22" spans="1:8" ht="15">
      <c r="A22" s="21" t="s">
        <v>23</v>
      </c>
      <c r="B22" s="12" t="s">
        <v>16</v>
      </c>
      <c r="C22" s="15">
        <f>C23+C24+C25+C26+C27</f>
        <v>28381.560240000003</v>
      </c>
      <c r="D22" s="16" t="s">
        <v>24</v>
      </c>
      <c r="E22" s="133" t="e">
        <f>B24+B25+B26+B27+B28</f>
        <v>#VALUE!</v>
      </c>
      <c r="F22" s="132"/>
      <c r="G22" s="132"/>
      <c r="H22" s="132"/>
    </row>
    <row r="23" spans="1:8" ht="15">
      <c r="A23" s="8" t="s">
        <v>25</v>
      </c>
      <c r="B23" s="12" t="s">
        <v>16</v>
      </c>
      <c r="C23" s="15">
        <f>C18*1.012</f>
        <v>28381.560240000003</v>
      </c>
      <c r="D23" s="16"/>
      <c r="E23" s="132"/>
      <c r="F23" s="132"/>
      <c r="G23" s="132"/>
      <c r="H23" s="132"/>
    </row>
    <row r="24" spans="1:8" ht="15">
      <c r="A24" s="8" t="s">
        <v>26</v>
      </c>
      <c r="B24" s="12" t="s">
        <v>16</v>
      </c>
      <c r="C24" s="15">
        <v>0</v>
      </c>
      <c r="D24" s="22">
        <v>65.21</v>
      </c>
      <c r="E24" s="134" t="e">
        <f>B24/#REF!*1</f>
        <v>#VALUE!</v>
      </c>
      <c r="F24" s="132"/>
      <c r="G24" s="132"/>
      <c r="H24" s="132" t="s">
        <v>27</v>
      </c>
    </row>
    <row r="25" spans="1:8" ht="15">
      <c r="A25" s="8" t="s">
        <v>28</v>
      </c>
      <c r="B25" s="12" t="s">
        <v>16</v>
      </c>
      <c r="C25" s="15">
        <v>0</v>
      </c>
      <c r="D25" s="22">
        <v>119.63</v>
      </c>
      <c r="E25" s="134" t="e">
        <f>B25/#REF!*1</f>
        <v>#VALUE!</v>
      </c>
      <c r="F25" s="132"/>
      <c r="G25" s="132"/>
      <c r="H25" s="132"/>
    </row>
    <row r="26" spans="1:8" ht="15">
      <c r="A26" s="9" t="s">
        <v>29</v>
      </c>
      <c r="B26" s="12" t="s">
        <v>16</v>
      </c>
      <c r="C26" s="15">
        <v>0</v>
      </c>
      <c r="D26" s="22"/>
      <c r="E26" s="134" t="e">
        <f>B26/#REF!*1</f>
        <v>#VALUE!</v>
      </c>
      <c r="F26" s="132"/>
      <c r="G26" s="132"/>
      <c r="H26" s="132"/>
    </row>
    <row r="27" spans="1:8" ht="16.5" customHeight="1">
      <c r="A27" s="116" t="s">
        <v>112</v>
      </c>
      <c r="B27" s="12" t="s">
        <v>16</v>
      </c>
      <c r="C27" s="15">
        <v>0</v>
      </c>
      <c r="D27" s="22">
        <v>139.18</v>
      </c>
      <c r="E27" s="134" t="e">
        <f>B27/#REF!*1</f>
        <v>#VALUE!</v>
      </c>
      <c r="F27" s="132"/>
      <c r="G27" s="132"/>
      <c r="H27" s="132"/>
    </row>
    <row r="28" spans="1:8" ht="15">
      <c r="A28" s="8" t="s">
        <v>31</v>
      </c>
      <c r="B28" s="12" t="s">
        <v>16</v>
      </c>
      <c r="C28" s="15">
        <f>C15+C22</f>
        <v>48400.32024</v>
      </c>
      <c r="D28" s="16" t="s">
        <v>32</v>
      </c>
      <c r="E28" s="134" t="e">
        <f>B28/#REF!*1</f>
        <v>#VALUE!</v>
      </c>
      <c r="F28" s="132"/>
      <c r="G28" s="132"/>
      <c r="H28" s="132"/>
    </row>
    <row r="29" spans="1:8" ht="35.25" customHeight="1">
      <c r="A29" s="260" t="s">
        <v>33</v>
      </c>
      <c r="B29" s="260"/>
      <c r="C29" s="260"/>
      <c r="D29" s="260"/>
      <c r="E29" s="132"/>
      <c r="F29" s="132"/>
      <c r="G29" s="132"/>
      <c r="H29" s="132"/>
    </row>
    <row r="30" spans="1:8" ht="60">
      <c r="A30" s="23" t="s">
        <v>34</v>
      </c>
      <c r="B30" s="24" t="s">
        <v>35</v>
      </c>
      <c r="C30" s="25" t="s">
        <v>36</v>
      </c>
      <c r="D30" s="26" t="s">
        <v>37</v>
      </c>
      <c r="E30" s="132"/>
      <c r="F30" s="132"/>
      <c r="G30" s="132"/>
      <c r="H30" s="132"/>
    </row>
    <row r="31" spans="1:8" ht="15">
      <c r="A31" s="27" t="s">
        <v>38</v>
      </c>
      <c r="B31" s="28" t="s">
        <v>39</v>
      </c>
      <c r="C31" s="29" t="s">
        <v>40</v>
      </c>
      <c r="D31" s="107">
        <f>(0.17+0.16)*6*195.9</f>
        <v>387.882</v>
      </c>
      <c r="E31" s="132"/>
      <c r="F31" s="132"/>
      <c r="G31" s="132"/>
      <c r="H31" s="132"/>
    </row>
    <row r="32" spans="1:8" ht="15">
      <c r="A32" s="31" t="s">
        <v>41</v>
      </c>
      <c r="B32" s="32" t="s">
        <v>42</v>
      </c>
      <c r="C32" s="33" t="s">
        <v>43</v>
      </c>
      <c r="D32" s="34">
        <f>(3.03+3)*6*195.9</f>
        <v>7087.661999999998</v>
      </c>
      <c r="E32" s="132"/>
      <c r="F32" s="132"/>
      <c r="G32" s="132"/>
      <c r="H32" s="132"/>
    </row>
    <row r="33" spans="1:8" ht="15">
      <c r="A33" s="31" t="s">
        <v>44</v>
      </c>
      <c r="B33" s="32" t="s">
        <v>39</v>
      </c>
      <c r="C33" s="33" t="s">
        <v>45</v>
      </c>
      <c r="D33" s="108">
        <f>(0.21+0.2)*6*195.9</f>
        <v>481.914</v>
      </c>
      <c r="E33" s="132"/>
      <c r="F33" s="132"/>
      <c r="G33" s="132"/>
      <c r="H33" s="132"/>
    </row>
    <row r="34" spans="1:8" ht="15">
      <c r="A34" s="204" t="s">
        <v>255</v>
      </c>
      <c r="B34" s="32" t="s">
        <v>39</v>
      </c>
      <c r="C34" s="33" t="s">
        <v>40</v>
      </c>
      <c r="D34" s="108">
        <f>(0.23+0.22)*6*195.9</f>
        <v>528.9300000000001</v>
      </c>
      <c r="E34" s="132"/>
      <c r="F34" s="132"/>
      <c r="G34" s="132"/>
      <c r="H34" s="132"/>
    </row>
    <row r="35" spans="1:8" ht="15">
      <c r="A35" s="31" t="s">
        <v>90</v>
      </c>
      <c r="B35" s="106" t="s">
        <v>91</v>
      </c>
      <c r="C35" s="33" t="s">
        <v>40</v>
      </c>
      <c r="D35" s="108">
        <f>(0.17+0.56)*6*195.9</f>
        <v>858.0420000000001</v>
      </c>
      <c r="E35" s="132"/>
      <c r="F35" s="132"/>
      <c r="G35" s="132"/>
      <c r="H35" s="132"/>
    </row>
    <row r="36" spans="1:8" ht="15">
      <c r="A36" s="31" t="s">
        <v>46</v>
      </c>
      <c r="B36" s="32" t="s">
        <v>42</v>
      </c>
      <c r="C36" s="35" t="s">
        <v>47</v>
      </c>
      <c r="D36" s="108">
        <f>4.88*195.9*12</f>
        <v>11471.903999999999</v>
      </c>
      <c r="E36" s="132"/>
      <c r="F36" s="132"/>
      <c r="G36" s="132"/>
      <c r="H36" s="132"/>
    </row>
    <row r="37" spans="1:14" s="1" customFormat="1" ht="45">
      <c r="A37" s="36" t="s">
        <v>48</v>
      </c>
      <c r="B37" s="37" t="s">
        <v>49</v>
      </c>
      <c r="C37" s="131" t="s">
        <v>86</v>
      </c>
      <c r="D37" s="39">
        <v>0</v>
      </c>
      <c r="E37" s="132"/>
      <c r="F37" s="132"/>
      <c r="G37" s="132"/>
      <c r="H37" s="132"/>
      <c r="K37"/>
      <c r="L37"/>
      <c r="M37"/>
      <c r="N37"/>
    </row>
    <row r="38" spans="1:14" s="1" customFormat="1" ht="45">
      <c r="A38" s="109" t="s">
        <v>95</v>
      </c>
      <c r="B38" s="110" t="s">
        <v>96</v>
      </c>
      <c r="C38" s="29" t="s">
        <v>97</v>
      </c>
      <c r="D38" s="112">
        <v>881.53</v>
      </c>
      <c r="E38" s="132"/>
      <c r="F38" s="132"/>
      <c r="G38" s="132"/>
      <c r="H38" s="132"/>
      <c r="K38"/>
      <c r="L38"/>
      <c r="M38"/>
      <c r="N38"/>
    </row>
    <row r="39" spans="1:14" s="1" customFormat="1" ht="15.75">
      <c r="A39" s="40" t="s">
        <v>50</v>
      </c>
      <c r="B39" s="41"/>
      <c r="C39" s="42"/>
      <c r="D39" s="113">
        <f>SUM(D31:D38)</f>
        <v>21697.863999999994</v>
      </c>
      <c r="E39" s="135">
        <f>D39-D37</f>
        <v>21697.863999999994</v>
      </c>
      <c r="F39" s="132"/>
      <c r="G39" s="132"/>
      <c r="H39" s="132"/>
      <c r="K39"/>
      <c r="L39"/>
      <c r="M39"/>
      <c r="N39"/>
    </row>
    <row r="40" spans="1:14" s="1" customFormat="1" ht="15">
      <c r="A40" s="43" t="s">
        <v>51</v>
      </c>
      <c r="B40" s="44" t="s">
        <v>16</v>
      </c>
      <c r="C40" s="45"/>
      <c r="D40" s="46">
        <f>C15+C20*1.012-D37</f>
        <v>26442.085919999998</v>
      </c>
      <c r="E40" s="135"/>
      <c r="F40" s="132"/>
      <c r="G40" s="132"/>
      <c r="H40" s="132"/>
      <c r="K40"/>
      <c r="L40"/>
      <c r="M40"/>
      <c r="N40"/>
    </row>
    <row r="41" spans="1:14" s="1" customFormat="1" ht="15">
      <c r="A41" s="48" t="s">
        <v>17</v>
      </c>
      <c r="B41" s="49" t="s">
        <v>16</v>
      </c>
      <c r="C41" s="33"/>
      <c r="D41" s="14"/>
      <c r="E41" s="62"/>
      <c r="F41" s="132"/>
      <c r="G41" s="132"/>
      <c r="H41" s="132"/>
      <c r="K41"/>
      <c r="L41"/>
      <c r="M41"/>
      <c r="N41"/>
    </row>
    <row r="42" spans="1:14" s="1" customFormat="1" ht="15">
      <c r="A42" s="48" t="s">
        <v>18</v>
      </c>
      <c r="B42" s="49" t="s">
        <v>16</v>
      </c>
      <c r="C42" s="33"/>
      <c r="D42" s="14">
        <v>0</v>
      </c>
      <c r="E42" s="62"/>
      <c r="F42" s="132"/>
      <c r="G42" s="132"/>
      <c r="H42" s="132"/>
      <c r="K42"/>
      <c r="L42"/>
      <c r="M42"/>
      <c r="N42"/>
    </row>
    <row r="43" spans="1:14" s="1" customFormat="1" ht="24" customHeight="1">
      <c r="A43" s="261" t="s">
        <v>52</v>
      </c>
      <c r="B43" s="261"/>
      <c r="C43" s="261"/>
      <c r="D43" s="261"/>
      <c r="E43" s="132"/>
      <c r="F43" s="132"/>
      <c r="G43" s="132"/>
      <c r="H43" s="132"/>
      <c r="K43"/>
      <c r="L43"/>
      <c r="M43"/>
      <c r="N43"/>
    </row>
    <row r="44" spans="1:14" s="1" customFormat="1" ht="15">
      <c r="A44" s="48" t="s">
        <v>53</v>
      </c>
      <c r="B44" s="32" t="s">
        <v>54</v>
      </c>
      <c r="C44" s="33">
        <v>0</v>
      </c>
      <c r="D44" s="14">
        <v>0</v>
      </c>
      <c r="E44" s="132"/>
      <c r="F44" s="132"/>
      <c r="G44" s="132"/>
      <c r="H44" s="132"/>
      <c r="K44"/>
      <c r="L44"/>
      <c r="M44"/>
      <c r="N44"/>
    </row>
    <row r="45" spans="1:14" s="1" customFormat="1" ht="15">
      <c r="A45" s="48" t="s">
        <v>55</v>
      </c>
      <c r="B45" s="32" t="s">
        <v>54</v>
      </c>
      <c r="C45" s="33">
        <v>0</v>
      </c>
      <c r="D45" s="14">
        <v>0</v>
      </c>
      <c r="E45" s="132"/>
      <c r="F45" s="132"/>
      <c r="G45" s="132"/>
      <c r="H45" s="132"/>
      <c r="K45"/>
      <c r="L45"/>
      <c r="M45"/>
      <c r="N45"/>
    </row>
    <row r="46" spans="1:14" s="1" customFormat="1" ht="15">
      <c r="A46" s="50" t="s">
        <v>56</v>
      </c>
      <c r="B46" s="32" t="s">
        <v>54</v>
      </c>
      <c r="C46" s="33">
        <v>0</v>
      </c>
      <c r="D46" s="14">
        <v>0</v>
      </c>
      <c r="E46" s="132"/>
      <c r="F46" s="132"/>
      <c r="G46" s="132"/>
      <c r="H46" s="132"/>
      <c r="K46"/>
      <c r="L46"/>
      <c r="M46"/>
      <c r="N46"/>
    </row>
    <row r="47" spans="1:14" s="1" customFormat="1" ht="15">
      <c r="A47" s="48" t="s">
        <v>57</v>
      </c>
      <c r="B47" s="32" t="s">
        <v>16</v>
      </c>
      <c r="C47" s="33">
        <v>0</v>
      </c>
      <c r="D47" s="14">
        <v>0</v>
      </c>
      <c r="E47" s="132"/>
      <c r="F47" s="132"/>
      <c r="G47" s="132"/>
      <c r="H47" s="132"/>
      <c r="K47"/>
      <c r="L47"/>
      <c r="M47"/>
      <c r="N47"/>
    </row>
    <row r="48" spans="1:8" ht="20.25" customHeight="1">
      <c r="A48" s="262" t="s">
        <v>58</v>
      </c>
      <c r="B48" s="262"/>
      <c r="C48" s="262"/>
      <c r="D48" s="262"/>
      <c r="E48" s="132"/>
      <c r="F48" s="132"/>
      <c r="G48" s="132"/>
      <c r="H48" s="132"/>
    </row>
    <row r="49" spans="1:8" ht="25.5">
      <c r="A49" s="50" t="s">
        <v>59</v>
      </c>
      <c r="B49" s="32" t="s">
        <v>16</v>
      </c>
      <c r="C49" s="33"/>
      <c r="D49" s="14">
        <v>0</v>
      </c>
      <c r="E49" s="132"/>
      <c r="F49" s="132"/>
      <c r="G49" s="132"/>
      <c r="H49" s="132"/>
    </row>
    <row r="50" spans="1:8" ht="15">
      <c r="A50" s="48" t="s">
        <v>17</v>
      </c>
      <c r="B50" s="32" t="s">
        <v>16</v>
      </c>
      <c r="C50" s="33"/>
      <c r="D50" s="14">
        <v>0</v>
      </c>
      <c r="E50" s="132"/>
      <c r="F50" s="132"/>
      <c r="G50" s="132"/>
      <c r="H50" s="132"/>
    </row>
    <row r="51" spans="1:8" ht="15">
      <c r="A51" s="48" t="s">
        <v>18</v>
      </c>
      <c r="B51" s="32" t="s">
        <v>16</v>
      </c>
      <c r="C51" s="33"/>
      <c r="D51" s="51">
        <f>D54-D57-D58-D59</f>
        <v>535.3810799999992</v>
      </c>
      <c r="E51" s="132"/>
      <c r="F51" s="132"/>
      <c r="G51" s="132"/>
      <c r="H51" s="136"/>
    </row>
    <row r="52" spans="1:8" ht="25.5">
      <c r="A52" s="53" t="s">
        <v>60</v>
      </c>
      <c r="B52" s="32" t="s">
        <v>16</v>
      </c>
      <c r="C52" s="54"/>
      <c r="D52" s="55">
        <v>0</v>
      </c>
      <c r="E52" s="132"/>
      <c r="F52" s="132"/>
      <c r="G52" s="132"/>
      <c r="H52" s="132"/>
    </row>
    <row r="53" spans="1:10" ht="17.25" customHeight="1">
      <c r="A53" s="56" t="s">
        <v>17</v>
      </c>
      <c r="B53" s="32" t="s">
        <v>16</v>
      </c>
      <c r="C53" s="33"/>
      <c r="D53" s="14">
        <v>0</v>
      </c>
      <c r="E53" s="132"/>
      <c r="F53" s="132"/>
      <c r="G53" s="132"/>
      <c r="H53" s="132"/>
      <c r="I53" s="52"/>
      <c r="J53" s="52"/>
    </row>
    <row r="54" spans="1:14" ht="15">
      <c r="A54" s="59" t="s">
        <v>18</v>
      </c>
      <c r="B54" s="32" t="s">
        <v>16</v>
      </c>
      <c r="C54" s="60"/>
      <c r="D54" s="61">
        <v>0</v>
      </c>
      <c r="E54" s="132"/>
      <c r="F54" s="132"/>
      <c r="G54" s="132"/>
      <c r="H54" s="132" t="s">
        <v>32</v>
      </c>
      <c r="I54" s="63"/>
      <c r="J54" s="63"/>
      <c r="K54" s="64"/>
      <c r="L54" s="64"/>
      <c r="M54" s="64"/>
      <c r="N54" s="64"/>
    </row>
    <row r="55" spans="1:14" ht="18" customHeight="1">
      <c r="A55" s="263" t="s">
        <v>61</v>
      </c>
      <c r="B55" s="263"/>
      <c r="C55" s="263"/>
      <c r="D55" s="263"/>
      <c r="E55" s="137"/>
      <c r="F55" s="138"/>
      <c r="G55" s="139"/>
      <c r="H55" s="132"/>
      <c r="I55" s="68"/>
      <c r="J55" s="68"/>
      <c r="K55" s="69"/>
      <c r="L55" s="69"/>
      <c r="M55" s="69"/>
      <c r="N55" s="69"/>
    </row>
    <row r="56" spans="1:14" ht="47.25">
      <c r="A56" s="70" t="s">
        <v>62</v>
      </c>
      <c r="B56" s="71" t="s">
        <v>63</v>
      </c>
      <c r="C56" s="72" t="s">
        <v>64</v>
      </c>
      <c r="D56" s="73" t="s">
        <v>65</v>
      </c>
      <c r="E56" s="137"/>
      <c r="F56" s="138"/>
      <c r="G56" s="139"/>
      <c r="H56" s="132"/>
      <c r="I56" s="68"/>
      <c r="J56" s="74"/>
      <c r="K56" s="69"/>
      <c r="L56" s="69"/>
      <c r="M56" s="69"/>
      <c r="N56" s="69"/>
    </row>
    <row r="57" spans="1:14" ht="15">
      <c r="A57" s="75" t="s">
        <v>66</v>
      </c>
      <c r="B57" s="117">
        <v>10898.77</v>
      </c>
      <c r="C57" s="118">
        <f>B57*1.012</f>
        <v>11029.55524</v>
      </c>
      <c r="D57" s="119">
        <f>B57-C57</f>
        <v>-130.78523999999925</v>
      </c>
      <c r="E57" s="140"/>
      <c r="F57" s="138"/>
      <c r="G57" s="139"/>
      <c r="H57" s="132"/>
      <c r="I57" s="68"/>
      <c r="J57" s="68"/>
      <c r="K57" s="69"/>
      <c r="L57" s="69"/>
      <c r="M57" s="69"/>
      <c r="N57" s="69"/>
    </row>
    <row r="58" spans="1:14" ht="15">
      <c r="A58" s="75" t="s">
        <v>67</v>
      </c>
      <c r="B58" s="117">
        <v>12494.14</v>
      </c>
      <c r="C58" s="118">
        <f>B58*1.012</f>
        <v>12644.069679999999</v>
      </c>
      <c r="D58" s="119">
        <f>B58-C58</f>
        <v>-149.92967999999928</v>
      </c>
      <c r="E58" s="137"/>
      <c r="F58" s="138"/>
      <c r="G58" s="139"/>
      <c r="H58" s="132"/>
      <c r="I58" s="68"/>
      <c r="J58" s="68"/>
      <c r="K58" s="69"/>
      <c r="L58" s="69"/>
      <c r="M58" s="69"/>
      <c r="N58" s="69"/>
    </row>
    <row r="59" spans="1:14" ht="15">
      <c r="A59" s="75" t="s">
        <v>68</v>
      </c>
      <c r="B59" s="120">
        <v>21222.18</v>
      </c>
      <c r="C59" s="118">
        <f>B59*1.012</f>
        <v>21476.84616</v>
      </c>
      <c r="D59" s="119">
        <f>B59-C59</f>
        <v>-254.66616000000067</v>
      </c>
      <c r="E59" s="137">
        <f>(2.07+1.8)*6*2301.2-0.37*2301.2*6</f>
        <v>48325.2</v>
      </c>
      <c r="F59" s="141"/>
      <c r="G59" s="142"/>
      <c r="H59" s="137"/>
      <c r="I59" s="68"/>
      <c r="J59" s="68"/>
      <c r="K59" s="69"/>
      <c r="L59" s="69"/>
      <c r="M59" s="69"/>
      <c r="N59" s="69"/>
    </row>
    <row r="60" spans="1:14" ht="15.75" thickBot="1">
      <c r="A60" s="150" t="s">
        <v>69</v>
      </c>
      <c r="B60" s="151">
        <v>0</v>
      </c>
      <c r="C60" s="152">
        <f>B60*0.9585</f>
        <v>0</v>
      </c>
      <c r="D60" s="153">
        <f>B60-C60</f>
        <v>0</v>
      </c>
      <c r="E60" s="137"/>
      <c r="F60" s="141"/>
      <c r="G60" s="142"/>
      <c r="H60" s="132"/>
      <c r="I60" s="68"/>
      <c r="J60" s="68"/>
      <c r="K60" s="69"/>
      <c r="L60" s="69"/>
      <c r="M60" s="69"/>
      <c r="N60" s="69"/>
    </row>
    <row r="61" spans="1:14" ht="63">
      <c r="A61" s="154" t="s">
        <v>70</v>
      </c>
      <c r="B61" s="155" t="s">
        <v>71</v>
      </c>
      <c r="C61" s="156" t="s">
        <v>72</v>
      </c>
      <c r="D61" s="157" t="s">
        <v>73</v>
      </c>
      <c r="E61" s="137"/>
      <c r="F61" s="141"/>
      <c r="G61" s="132"/>
      <c r="H61" s="143"/>
      <c r="I61" s="68"/>
      <c r="J61" s="68"/>
      <c r="K61" s="69"/>
      <c r="L61" s="69"/>
      <c r="M61" s="69"/>
      <c r="N61" s="69"/>
    </row>
    <row r="62" spans="1:14" ht="15">
      <c r="A62" s="158" t="s">
        <v>66</v>
      </c>
      <c r="B62" s="124">
        <f aca="true" t="shared" si="0" ref="B62:C64">B57</f>
        <v>10898.77</v>
      </c>
      <c r="C62" s="125">
        <f t="shared" si="0"/>
        <v>11029.55524</v>
      </c>
      <c r="D62" s="159">
        <f>B62-C62</f>
        <v>-130.78523999999925</v>
      </c>
      <c r="E62" s="137"/>
      <c r="F62" s="141"/>
      <c r="G62" s="132"/>
      <c r="H62" s="143"/>
      <c r="I62" s="68"/>
      <c r="J62" s="68" t="s">
        <v>32</v>
      </c>
      <c r="K62" s="69"/>
      <c r="L62" s="69"/>
      <c r="M62" s="69"/>
      <c r="N62" s="69"/>
    </row>
    <row r="63" spans="1:14" ht="15">
      <c r="A63" s="158" t="s">
        <v>67</v>
      </c>
      <c r="B63" s="124">
        <f t="shared" si="0"/>
        <v>12494.14</v>
      </c>
      <c r="C63" s="125">
        <f t="shared" si="0"/>
        <v>12644.069679999999</v>
      </c>
      <c r="D63" s="159">
        <f>B63-C63</f>
        <v>-149.92967999999928</v>
      </c>
      <c r="E63" s="137"/>
      <c r="F63" s="141"/>
      <c r="G63" s="132"/>
      <c r="H63" s="143"/>
      <c r="I63" s="68"/>
      <c r="J63" s="68"/>
      <c r="K63" s="69"/>
      <c r="L63" s="69"/>
      <c r="M63" s="69"/>
      <c r="N63" s="69"/>
    </row>
    <row r="64" spans="1:14" ht="15">
      <c r="A64" s="158" t="s">
        <v>68</v>
      </c>
      <c r="B64" s="124">
        <f t="shared" si="0"/>
        <v>21222.18</v>
      </c>
      <c r="C64" s="125">
        <f t="shared" si="0"/>
        <v>21476.84616</v>
      </c>
      <c r="D64" s="159">
        <f>B64-C64</f>
        <v>-254.66616000000067</v>
      </c>
      <c r="E64" s="137"/>
      <c r="F64" s="141"/>
      <c r="G64" s="132"/>
      <c r="H64" s="143"/>
      <c r="I64" s="68"/>
      <c r="J64" s="68"/>
      <c r="K64" s="69"/>
      <c r="L64" s="69"/>
      <c r="M64" s="69"/>
      <c r="N64" s="69"/>
    </row>
    <row r="65" spans="1:14" ht="15">
      <c r="A65" s="158" t="s">
        <v>74</v>
      </c>
      <c r="B65" s="124">
        <v>0</v>
      </c>
      <c r="C65" s="125">
        <v>0</v>
      </c>
      <c r="D65" s="159">
        <f>B65-C65</f>
        <v>0</v>
      </c>
      <c r="E65" s="137"/>
      <c r="F65" s="141"/>
      <c r="G65" s="132"/>
      <c r="H65" s="143"/>
      <c r="I65" s="68"/>
      <c r="J65" s="68"/>
      <c r="K65" s="69"/>
      <c r="L65" s="69"/>
      <c r="M65" s="69"/>
      <c r="N65" s="69"/>
    </row>
    <row r="66" spans="1:14" ht="15.75" thickBot="1">
      <c r="A66" s="160" t="s">
        <v>69</v>
      </c>
      <c r="B66" s="161">
        <v>0</v>
      </c>
      <c r="C66" s="162">
        <v>0</v>
      </c>
      <c r="D66" s="163">
        <f>B66-C66</f>
        <v>0</v>
      </c>
      <c r="E66" s="137"/>
      <c r="F66" s="141"/>
      <c r="G66" s="132"/>
      <c r="H66" s="143" t="s">
        <v>32</v>
      </c>
      <c r="I66" s="68"/>
      <c r="J66" s="68"/>
      <c r="K66" s="69"/>
      <c r="L66" s="69"/>
      <c r="M66" s="69"/>
      <c r="N66" s="69"/>
    </row>
    <row r="67" spans="1:14" ht="15">
      <c r="A67" s="91"/>
      <c r="B67" s="87"/>
      <c r="C67" s="92"/>
      <c r="D67" s="93"/>
      <c r="E67" s="65"/>
      <c r="F67" s="81"/>
      <c r="H67" s="68"/>
      <c r="I67" s="68"/>
      <c r="J67" s="68"/>
      <c r="K67" s="69"/>
      <c r="L67" s="69"/>
      <c r="M67" s="69"/>
      <c r="N67" s="69"/>
    </row>
    <row r="68" spans="1:14" ht="25.5">
      <c r="A68" s="94" t="s">
        <v>75</v>
      </c>
      <c r="B68" s="87" t="s">
        <v>16</v>
      </c>
      <c r="C68" s="95"/>
      <c r="D68" s="96"/>
      <c r="E68" s="65"/>
      <c r="F68" s="81"/>
      <c r="H68" s="68"/>
      <c r="I68" s="68"/>
      <c r="J68" s="68" t="s">
        <v>32</v>
      </c>
      <c r="K68" s="69"/>
      <c r="L68" s="69"/>
      <c r="M68" s="69"/>
      <c r="N68" s="69"/>
    </row>
    <row r="69" spans="1:14" ht="17.25" customHeight="1">
      <c r="A69" s="264" t="s">
        <v>76</v>
      </c>
      <c r="B69" s="264"/>
      <c r="C69" s="264"/>
      <c r="D69" s="264"/>
      <c r="E69" s="97" t="e">
        <f>D69+B19</f>
        <v>#VALUE!</v>
      </c>
      <c r="F69" s="68"/>
      <c r="H69" s="98" t="e">
        <f>E69-B18</f>
        <v>#VALUE!</v>
      </c>
      <c r="I69" s="68"/>
      <c r="J69" s="68"/>
      <c r="K69" s="69"/>
      <c r="L69" s="69"/>
      <c r="M69" s="69"/>
      <c r="N69" s="69"/>
    </row>
    <row r="70" spans="1:5" ht="21" customHeight="1">
      <c r="A70" s="99" t="s">
        <v>53</v>
      </c>
      <c r="B70" s="99" t="s">
        <v>54</v>
      </c>
      <c r="C70" s="100">
        <v>0</v>
      </c>
      <c r="D70" s="101"/>
      <c r="E70" s="102"/>
    </row>
    <row r="71" spans="1:5" ht="21" customHeight="1">
      <c r="A71" s="99" t="s">
        <v>55</v>
      </c>
      <c r="B71" s="99" t="s">
        <v>54</v>
      </c>
      <c r="C71" s="99">
        <v>0</v>
      </c>
      <c r="D71" s="101"/>
      <c r="E71" s="102"/>
    </row>
    <row r="72" spans="1:5" ht="18" customHeight="1">
      <c r="A72" s="99" t="s">
        <v>56</v>
      </c>
      <c r="B72" s="99" t="s">
        <v>54</v>
      </c>
      <c r="C72" s="99">
        <v>0</v>
      </c>
      <c r="D72" s="101"/>
      <c r="E72" s="102"/>
    </row>
    <row r="73" spans="1:5" ht="16.5" customHeight="1">
      <c r="A73" s="99" t="s">
        <v>57</v>
      </c>
      <c r="B73" s="99" t="s">
        <v>16</v>
      </c>
      <c r="C73" s="99">
        <v>0</v>
      </c>
      <c r="D73" s="101"/>
      <c r="E73" s="102"/>
    </row>
    <row r="74" spans="1:5" ht="15.75" customHeight="1">
      <c r="A74" s="258" t="s">
        <v>77</v>
      </c>
      <c r="B74" s="258"/>
      <c r="C74" s="258"/>
      <c r="D74" s="258"/>
      <c r="E74" s="102"/>
    </row>
    <row r="75" spans="1:5" ht="18.75" customHeight="1">
      <c r="A75" s="99" t="s">
        <v>78</v>
      </c>
      <c r="B75" s="99" t="s">
        <v>54</v>
      </c>
      <c r="C75" s="99">
        <v>0</v>
      </c>
      <c r="D75" s="101"/>
      <c r="E75" s="102"/>
    </row>
    <row r="76" spans="1:5" ht="21.75" customHeight="1">
      <c r="A76" s="99" t="s">
        <v>79</v>
      </c>
      <c r="B76" s="56" t="s">
        <v>54</v>
      </c>
      <c r="C76" s="56">
        <v>0</v>
      </c>
      <c r="D76" s="101"/>
      <c r="E76" s="102"/>
    </row>
    <row r="77" spans="1:5" ht="36" customHeight="1">
      <c r="A77" s="103" t="s">
        <v>80</v>
      </c>
      <c r="B77" s="99" t="s">
        <v>16</v>
      </c>
      <c r="C77" s="99">
        <v>0</v>
      </c>
      <c r="D77" s="101"/>
      <c r="E77" s="102"/>
    </row>
    <row r="78" spans="1:4" ht="15">
      <c r="A78" s="69"/>
      <c r="B78" s="69"/>
      <c r="C78" s="69"/>
      <c r="D78" s="104"/>
    </row>
    <row r="79" spans="1:14" s="1" customFormat="1" ht="12.75">
      <c r="A79"/>
      <c r="B79"/>
      <c r="C79"/>
      <c r="D79"/>
      <c r="H79" s="1" t="s">
        <v>32</v>
      </c>
      <c r="K79"/>
      <c r="L79"/>
      <c r="M79"/>
      <c r="N79"/>
    </row>
    <row r="80" spans="1:14" s="1" customFormat="1" ht="12.75">
      <c r="A80" t="s">
        <v>81</v>
      </c>
      <c r="B80"/>
      <c r="C80"/>
      <c r="D80"/>
      <c r="K80"/>
      <c r="L80"/>
      <c r="M80"/>
      <c r="N80"/>
    </row>
    <row r="81" spans="1:14" s="1" customFormat="1" ht="12.75">
      <c r="A81"/>
      <c r="B81"/>
      <c r="C81"/>
      <c r="D81"/>
      <c r="H81" s="1" t="s">
        <v>32</v>
      </c>
      <c r="K81"/>
      <c r="L81"/>
      <c r="M81"/>
      <c r="N81"/>
    </row>
    <row r="82" spans="1:14" s="1" customFormat="1" ht="12.75">
      <c r="A82" t="s">
        <v>82</v>
      </c>
      <c r="B82"/>
      <c r="C82"/>
      <c r="D82"/>
      <c r="K82"/>
      <c r="L82"/>
      <c r="M82"/>
      <c r="N82"/>
    </row>
    <row r="86" spans="1:14" s="1" customFormat="1" ht="12.75">
      <c r="A86"/>
      <c r="B86"/>
      <c r="C86"/>
      <c r="D86"/>
      <c r="E86" s="1" t="s">
        <v>32</v>
      </c>
      <c r="K86"/>
      <c r="L86"/>
      <c r="M86"/>
      <c r="N86"/>
    </row>
  </sheetData>
  <sheetProtection selectLockedCells="1" selectUnlockedCells="1"/>
  <mergeCells count="13">
    <mergeCell ref="A1:D1"/>
    <mergeCell ref="A2:D2"/>
    <mergeCell ref="A3:D3"/>
    <mergeCell ref="A4:D4"/>
    <mergeCell ref="A5:D5"/>
    <mergeCell ref="A7:D7"/>
    <mergeCell ref="A74:D74"/>
    <mergeCell ref="A14:D14"/>
    <mergeCell ref="A29:D29"/>
    <mergeCell ref="A43:D43"/>
    <mergeCell ref="A48:D48"/>
    <mergeCell ref="A55:D55"/>
    <mergeCell ref="A69:D69"/>
  </mergeCells>
  <printOptions/>
  <pageMargins left="0.5597222222222222" right="0.7875" top="0.34097222222222223" bottom="0.7875" header="0.5118055555555555" footer="0.5118055555555555"/>
  <pageSetup fitToHeight="3" fitToWidth="2" horizontalDpi="300" verticalDpi="300" orientation="landscape" paperSize="12" r:id="rId1"/>
</worksheet>
</file>

<file path=xl/worksheets/sheet5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6"/>
  <sheetViews>
    <sheetView zoomScale="80" zoomScaleNormal="80" zoomScalePageLayoutView="0" workbookViewId="0" topLeftCell="A16">
      <selection activeCell="E16" sqref="E16:H44"/>
    </sheetView>
  </sheetViews>
  <sheetFormatPr defaultColWidth="11.57421875" defaultRowHeight="12.75"/>
  <cols>
    <col min="1" max="1" width="63.28125" style="0" customWidth="1"/>
    <col min="2" max="2" width="20.28125" style="0" customWidth="1"/>
    <col min="3" max="3" width="31.421875" style="0" customWidth="1"/>
    <col min="4" max="4" width="27.57421875" style="0" customWidth="1"/>
    <col min="5" max="5" width="16.8515625" style="1" customWidth="1"/>
    <col min="6" max="7" width="0" style="1" hidden="1" customWidth="1"/>
    <col min="8" max="8" width="11.57421875" style="1" customWidth="1"/>
    <col min="9" max="9" width="5.28125" style="1" customWidth="1"/>
    <col min="10" max="10" width="30.00390625" style="1" customWidth="1"/>
    <col min="11" max="12" width="23.28125" style="0" customWidth="1"/>
    <col min="13" max="13" width="6.57421875" style="0" customWidth="1"/>
    <col min="14" max="14" width="7.00390625" style="0" customWidth="1"/>
  </cols>
  <sheetData>
    <row r="1" spans="1:4" ht="18">
      <c r="A1" s="265" t="s">
        <v>0</v>
      </c>
      <c r="B1" s="265"/>
      <c r="C1" s="265"/>
      <c r="D1" s="265"/>
    </row>
    <row r="2" spans="1:4" ht="15.75">
      <c r="A2" s="266" t="s">
        <v>1</v>
      </c>
      <c r="B2" s="266"/>
      <c r="C2" s="266"/>
      <c r="D2" s="266"/>
    </row>
    <row r="3" spans="1:4" ht="15.75">
      <c r="A3" s="266" t="s">
        <v>2</v>
      </c>
      <c r="B3" s="266"/>
      <c r="C3" s="266"/>
      <c r="D3" s="266"/>
    </row>
    <row r="4" spans="1:4" ht="12.75">
      <c r="A4" s="267" t="s">
        <v>155</v>
      </c>
      <c r="B4" s="267"/>
      <c r="C4" s="267"/>
      <c r="D4" s="267"/>
    </row>
    <row r="5" spans="1:4" ht="12.75">
      <c r="A5" s="268" t="s">
        <v>171</v>
      </c>
      <c r="B5" s="267"/>
      <c r="C5" s="267"/>
      <c r="D5" s="267"/>
    </row>
    <row r="6" ht="9" customHeight="1">
      <c r="A6" s="2"/>
    </row>
    <row r="7" spans="1:4" ht="18" customHeight="1">
      <c r="A7" s="269" t="s">
        <v>4</v>
      </c>
      <c r="B7" s="269"/>
      <c r="C7" s="269"/>
      <c r="D7" s="269"/>
    </row>
    <row r="8" spans="1:3" ht="12.75">
      <c r="A8" s="2" t="s">
        <v>272</v>
      </c>
      <c r="C8" s="3"/>
    </row>
    <row r="9" spans="1:4" ht="12.75">
      <c r="A9" s="4" t="s">
        <v>5</v>
      </c>
      <c r="B9" s="4" t="s">
        <v>6</v>
      </c>
      <c r="C9" s="4" t="s">
        <v>7</v>
      </c>
      <c r="D9" s="5"/>
    </row>
    <row r="10" spans="1:4" ht="12.75">
      <c r="A10" s="6">
        <v>1</v>
      </c>
      <c r="B10" s="6">
        <v>2</v>
      </c>
      <c r="C10" s="6">
        <v>3</v>
      </c>
      <c r="D10" s="7">
        <v>4</v>
      </c>
    </row>
    <row r="11" spans="1:8" ht="12.75">
      <c r="A11" s="8" t="s">
        <v>8</v>
      </c>
      <c r="B11" s="9"/>
      <c r="C11" s="177" t="s">
        <v>172</v>
      </c>
      <c r="D11" s="10"/>
      <c r="E11" s="132"/>
      <c r="F11" s="132"/>
      <c r="G11" s="132"/>
      <c r="H11" s="132"/>
    </row>
    <row r="12" spans="1:8" ht="12.75">
      <c r="A12" s="8" t="s">
        <v>10</v>
      </c>
      <c r="B12" s="9"/>
      <c r="C12" s="177" t="s">
        <v>173</v>
      </c>
      <c r="D12" s="10"/>
      <c r="E12" s="132"/>
      <c r="F12" s="132"/>
      <c r="G12" s="132"/>
      <c r="H12" s="132"/>
    </row>
    <row r="13" spans="1:8" ht="12.75">
      <c r="A13" s="8" t="s">
        <v>12</v>
      </c>
      <c r="B13" s="9"/>
      <c r="C13" s="177" t="s">
        <v>174</v>
      </c>
      <c r="D13" s="10"/>
      <c r="E13" s="132"/>
      <c r="F13" s="132"/>
      <c r="G13" s="132"/>
      <c r="H13" s="132"/>
    </row>
    <row r="14" spans="1:8" ht="31.5" customHeight="1">
      <c r="A14" s="259" t="s">
        <v>14</v>
      </c>
      <c r="B14" s="259"/>
      <c r="C14" s="259"/>
      <c r="D14" s="259"/>
      <c r="E14" s="132"/>
      <c r="F14" s="132"/>
      <c r="G14" s="132"/>
      <c r="H14" s="132"/>
    </row>
    <row r="15" spans="1:8" ht="25.5">
      <c r="A15" s="11" t="s">
        <v>15</v>
      </c>
      <c r="B15" s="12" t="s">
        <v>16</v>
      </c>
      <c r="C15" s="13">
        <v>10904.17</v>
      </c>
      <c r="D15" s="14"/>
      <c r="E15" s="132"/>
      <c r="F15" s="132"/>
      <c r="G15" s="132"/>
      <c r="H15" s="132"/>
    </row>
    <row r="16" spans="1:8" ht="15">
      <c r="A16" s="8" t="s">
        <v>17</v>
      </c>
      <c r="B16" s="12" t="s">
        <v>16</v>
      </c>
      <c r="C16" s="13">
        <v>0</v>
      </c>
      <c r="D16" s="14"/>
      <c r="E16" s="132"/>
      <c r="F16" s="132"/>
      <c r="G16" s="132"/>
      <c r="H16" s="132"/>
    </row>
    <row r="17" spans="1:8" ht="15">
      <c r="A17" s="8" t="s">
        <v>18</v>
      </c>
      <c r="B17" s="12" t="s">
        <v>16</v>
      </c>
      <c r="C17" s="15">
        <v>5.24</v>
      </c>
      <c r="D17" s="16"/>
      <c r="E17" s="132" t="e">
        <f>B17/12/1022.6</f>
        <v>#VALUE!</v>
      </c>
      <c r="F17" s="132"/>
      <c r="G17" s="132"/>
      <c r="H17" s="132"/>
    </row>
    <row r="18" spans="1:8" ht="31.5" customHeight="1">
      <c r="A18" s="17" t="s">
        <v>19</v>
      </c>
      <c r="B18" s="12" t="s">
        <v>16</v>
      </c>
      <c r="C18" s="15">
        <v>30537.48</v>
      </c>
      <c r="D18" s="16"/>
      <c r="E18" s="133">
        <f>C18-C20</f>
        <v>20585.64</v>
      </c>
      <c r="F18" s="132"/>
      <c r="G18" s="132"/>
      <c r="H18" s="132"/>
    </row>
    <row r="19" spans="1:8" ht="15">
      <c r="A19" s="8" t="s">
        <v>20</v>
      </c>
      <c r="B19" s="12" t="s">
        <v>16</v>
      </c>
      <c r="C19" s="15">
        <f>C18-C20-C21</f>
        <v>10794.408</v>
      </c>
      <c r="D19" s="16"/>
      <c r="E19" s="133">
        <f>E18-E39</f>
        <v>0.004000000004452886</v>
      </c>
      <c r="F19" s="132"/>
      <c r="G19" s="132"/>
      <c r="H19" s="132"/>
    </row>
    <row r="20" spans="1:8" ht="15">
      <c r="A20" s="8" t="s">
        <v>21</v>
      </c>
      <c r="B20" s="12" t="s">
        <v>16</v>
      </c>
      <c r="C20" s="15">
        <f>(3.13+3.47)*6*167.2+3330.72</f>
        <v>9951.839999999998</v>
      </c>
      <c r="D20" s="16"/>
      <c r="E20" s="134"/>
      <c r="F20" s="132"/>
      <c r="G20" s="132"/>
      <c r="H20" s="132"/>
    </row>
    <row r="21" spans="1:8" ht="15">
      <c r="A21" s="8" t="s">
        <v>22</v>
      </c>
      <c r="B21" s="12" t="s">
        <v>16</v>
      </c>
      <c r="C21" s="20">
        <f>167.2*4.88*12</f>
        <v>9791.232</v>
      </c>
      <c r="D21" s="16"/>
      <c r="E21" s="132"/>
      <c r="F21" s="132"/>
      <c r="G21" s="132"/>
      <c r="H21" s="132"/>
    </row>
    <row r="22" spans="1:8" ht="15">
      <c r="A22" s="21" t="s">
        <v>23</v>
      </c>
      <c r="B22" s="12" t="s">
        <v>16</v>
      </c>
      <c r="C22" s="15">
        <f>C23+C24+C25+C26+C27</f>
        <v>30537.48</v>
      </c>
      <c r="D22" s="16" t="s">
        <v>24</v>
      </c>
      <c r="E22" s="133" t="e">
        <f>B24+B25+B26+B27+B28</f>
        <v>#VALUE!</v>
      </c>
      <c r="F22" s="132"/>
      <c r="G22" s="132"/>
      <c r="H22" s="132"/>
    </row>
    <row r="23" spans="1:8" ht="15">
      <c r="A23" s="8" t="s">
        <v>25</v>
      </c>
      <c r="B23" s="12" t="s">
        <v>16</v>
      </c>
      <c r="C23" s="15">
        <f>C18*1</f>
        <v>30537.48</v>
      </c>
      <c r="D23" s="16"/>
      <c r="E23" s="132"/>
      <c r="F23" s="132"/>
      <c r="G23" s="132"/>
      <c r="H23" s="132"/>
    </row>
    <row r="24" spans="1:8" ht="15">
      <c r="A24" s="8" t="s">
        <v>26</v>
      </c>
      <c r="B24" s="12" t="s">
        <v>16</v>
      </c>
      <c r="C24" s="15">
        <v>0</v>
      </c>
      <c r="D24" s="22">
        <v>65.21</v>
      </c>
      <c r="E24" s="134" t="e">
        <f>B24/#REF!*1</f>
        <v>#VALUE!</v>
      </c>
      <c r="F24" s="132"/>
      <c r="G24" s="132"/>
      <c r="H24" s="132" t="s">
        <v>27</v>
      </c>
    </row>
    <row r="25" spans="1:8" ht="15">
      <c r="A25" s="8" t="s">
        <v>28</v>
      </c>
      <c r="B25" s="12" t="s">
        <v>16</v>
      </c>
      <c r="C25" s="15">
        <v>0</v>
      </c>
      <c r="D25" s="22">
        <v>119.63</v>
      </c>
      <c r="E25" s="134" t="e">
        <f>B25/#REF!*1</f>
        <v>#VALUE!</v>
      </c>
      <c r="F25" s="132"/>
      <c r="G25" s="132"/>
      <c r="H25" s="132"/>
    </row>
    <row r="26" spans="1:8" ht="15">
      <c r="A26" s="9" t="s">
        <v>29</v>
      </c>
      <c r="B26" s="12" t="s">
        <v>16</v>
      </c>
      <c r="C26" s="15">
        <v>0</v>
      </c>
      <c r="D26" s="22"/>
      <c r="E26" s="134" t="e">
        <f>B26/#REF!*1</f>
        <v>#VALUE!</v>
      </c>
      <c r="F26" s="132"/>
      <c r="G26" s="132"/>
      <c r="H26" s="132"/>
    </row>
    <row r="27" spans="1:8" ht="16.5" customHeight="1">
      <c r="A27" s="116" t="s">
        <v>112</v>
      </c>
      <c r="B27" s="12" t="s">
        <v>16</v>
      </c>
      <c r="C27" s="15">
        <v>0</v>
      </c>
      <c r="D27" s="22">
        <v>139.18</v>
      </c>
      <c r="E27" s="134" t="e">
        <f>B27/#REF!*1</f>
        <v>#VALUE!</v>
      </c>
      <c r="F27" s="132"/>
      <c r="G27" s="132"/>
      <c r="H27" s="132"/>
    </row>
    <row r="28" spans="1:8" ht="15">
      <c r="A28" s="8" t="s">
        <v>31</v>
      </c>
      <c r="B28" s="12" t="s">
        <v>16</v>
      </c>
      <c r="C28" s="15">
        <f>C15+C22</f>
        <v>41441.65</v>
      </c>
      <c r="D28" s="16" t="s">
        <v>32</v>
      </c>
      <c r="E28" s="134" t="e">
        <f>B28/#REF!*1</f>
        <v>#VALUE!</v>
      </c>
      <c r="F28" s="132"/>
      <c r="G28" s="132"/>
      <c r="H28" s="132"/>
    </row>
    <row r="29" spans="1:8" ht="35.25" customHeight="1">
      <c r="A29" s="260" t="s">
        <v>33</v>
      </c>
      <c r="B29" s="260"/>
      <c r="C29" s="260"/>
      <c r="D29" s="260"/>
      <c r="E29" s="132"/>
      <c r="F29" s="132"/>
      <c r="G29" s="132"/>
      <c r="H29" s="132"/>
    </row>
    <row r="30" spans="1:8" ht="60">
      <c r="A30" s="23" t="s">
        <v>34</v>
      </c>
      <c r="B30" s="24" t="s">
        <v>35</v>
      </c>
      <c r="C30" s="25" t="s">
        <v>36</v>
      </c>
      <c r="D30" s="26" t="s">
        <v>37</v>
      </c>
      <c r="E30" s="132"/>
      <c r="F30" s="132"/>
      <c r="G30" s="132"/>
      <c r="H30" s="132"/>
    </row>
    <row r="31" spans="1:8" ht="15">
      <c r="A31" s="27" t="s">
        <v>38</v>
      </c>
      <c r="B31" s="28" t="s">
        <v>39</v>
      </c>
      <c r="C31" s="29" t="s">
        <v>40</v>
      </c>
      <c r="D31" s="107">
        <f>(0.17+0.16)*6*167.2</f>
        <v>331.056</v>
      </c>
      <c r="E31" s="132"/>
      <c r="F31" s="132"/>
      <c r="G31" s="132"/>
      <c r="H31" s="132"/>
    </row>
    <row r="32" spans="1:8" ht="15">
      <c r="A32" s="31" t="s">
        <v>41</v>
      </c>
      <c r="B32" s="32" t="s">
        <v>42</v>
      </c>
      <c r="C32" s="33" t="s">
        <v>43</v>
      </c>
      <c r="D32" s="34">
        <f>(3.03+3)*6*167.2</f>
        <v>6049.2959999999985</v>
      </c>
      <c r="E32" s="132"/>
      <c r="F32" s="132"/>
      <c r="G32" s="132"/>
      <c r="H32" s="132"/>
    </row>
    <row r="33" spans="1:8" ht="15">
      <c r="A33" s="31" t="s">
        <v>44</v>
      </c>
      <c r="B33" s="32" t="s">
        <v>39</v>
      </c>
      <c r="C33" s="33" t="s">
        <v>45</v>
      </c>
      <c r="D33" s="108">
        <f>(0.21+0.2)*6*167.2</f>
        <v>411.31199999999995</v>
      </c>
      <c r="E33" s="132"/>
      <c r="F33" s="132"/>
      <c r="G33" s="132"/>
      <c r="H33" s="132"/>
    </row>
    <row r="34" spans="1:8" ht="15">
      <c r="A34" s="204" t="s">
        <v>255</v>
      </c>
      <c r="B34" s="32" t="s">
        <v>39</v>
      </c>
      <c r="C34" s="33" t="s">
        <v>40</v>
      </c>
      <c r="D34" s="108">
        <f>(0.23+0.22)*6*167.2</f>
        <v>451.44</v>
      </c>
      <c r="E34" s="132"/>
      <c r="F34" s="132"/>
      <c r="G34" s="132"/>
      <c r="H34" s="132"/>
    </row>
    <row r="35" spans="1:8" ht="15">
      <c r="A35" s="31" t="s">
        <v>90</v>
      </c>
      <c r="B35" s="106" t="s">
        <v>91</v>
      </c>
      <c r="C35" s="33" t="s">
        <v>40</v>
      </c>
      <c r="D35" s="108">
        <f>(1.33+1.27)*6*167.2</f>
        <v>2608.32</v>
      </c>
      <c r="E35" s="132"/>
      <c r="F35" s="132"/>
      <c r="G35" s="132"/>
      <c r="H35" s="132"/>
    </row>
    <row r="36" spans="1:8" ht="15">
      <c r="A36" s="31" t="s">
        <v>46</v>
      </c>
      <c r="B36" s="32" t="s">
        <v>42</v>
      </c>
      <c r="C36" s="35" t="s">
        <v>47</v>
      </c>
      <c r="D36" s="108">
        <f>4.88*167.2*12</f>
        <v>9791.232</v>
      </c>
      <c r="E36" s="132"/>
      <c r="F36" s="132"/>
      <c r="G36" s="132"/>
      <c r="H36" s="132"/>
    </row>
    <row r="37" spans="1:14" s="1" customFormat="1" ht="45">
      <c r="A37" s="36" t="s">
        <v>48</v>
      </c>
      <c r="B37" s="37" t="s">
        <v>49</v>
      </c>
      <c r="C37" s="131" t="s">
        <v>86</v>
      </c>
      <c r="D37" s="39">
        <v>0</v>
      </c>
      <c r="E37" s="132"/>
      <c r="F37" s="132"/>
      <c r="G37" s="132"/>
      <c r="H37" s="132"/>
      <c r="K37"/>
      <c r="L37"/>
      <c r="M37"/>
      <c r="N37"/>
    </row>
    <row r="38" spans="1:14" s="1" customFormat="1" ht="45">
      <c r="A38" s="109" t="s">
        <v>95</v>
      </c>
      <c r="B38" s="110" t="s">
        <v>96</v>
      </c>
      <c r="C38" s="29" t="s">
        <v>97</v>
      </c>
      <c r="D38" s="112">
        <v>942.98</v>
      </c>
      <c r="E38" s="132"/>
      <c r="F38" s="132"/>
      <c r="G38" s="132"/>
      <c r="H38" s="132"/>
      <c r="K38"/>
      <c r="L38"/>
      <c r="M38"/>
      <c r="N38"/>
    </row>
    <row r="39" spans="1:14" s="1" customFormat="1" ht="15.75">
      <c r="A39" s="40" t="s">
        <v>50</v>
      </c>
      <c r="B39" s="41"/>
      <c r="C39" s="42"/>
      <c r="D39" s="113">
        <f>SUM(D31:D38)</f>
        <v>20585.635999999995</v>
      </c>
      <c r="E39" s="135">
        <f>D39-D37</f>
        <v>20585.635999999995</v>
      </c>
      <c r="F39" s="132"/>
      <c r="G39" s="132"/>
      <c r="H39" s="132"/>
      <c r="K39"/>
      <c r="L39"/>
      <c r="M39"/>
      <c r="N39"/>
    </row>
    <row r="40" spans="1:14" s="1" customFormat="1" ht="15">
      <c r="A40" s="43" t="s">
        <v>51</v>
      </c>
      <c r="B40" s="44" t="s">
        <v>16</v>
      </c>
      <c r="C40" s="45"/>
      <c r="D40" s="46">
        <f>C15+C20*1-D37</f>
        <v>20856.01</v>
      </c>
      <c r="E40" s="135"/>
      <c r="F40" s="132"/>
      <c r="G40" s="132"/>
      <c r="H40" s="132"/>
      <c r="K40"/>
      <c r="L40"/>
      <c r="M40"/>
      <c r="N40"/>
    </row>
    <row r="41" spans="1:14" s="1" customFormat="1" ht="15">
      <c r="A41" s="48" t="s">
        <v>17</v>
      </c>
      <c r="B41" s="49" t="s">
        <v>16</v>
      </c>
      <c r="C41" s="33"/>
      <c r="D41" s="14"/>
      <c r="E41" s="132"/>
      <c r="F41" s="132"/>
      <c r="G41" s="132"/>
      <c r="H41" s="132"/>
      <c r="K41"/>
      <c r="L41"/>
      <c r="M41"/>
      <c r="N41"/>
    </row>
    <row r="42" spans="1:14" s="1" customFormat="1" ht="15">
      <c r="A42" s="48" t="s">
        <v>18</v>
      </c>
      <c r="B42" s="49" t="s">
        <v>16</v>
      </c>
      <c r="C42" s="33"/>
      <c r="D42" s="14">
        <v>5.24</v>
      </c>
      <c r="E42" s="132"/>
      <c r="F42" s="132"/>
      <c r="G42" s="132"/>
      <c r="H42" s="132"/>
      <c r="K42"/>
      <c r="L42"/>
      <c r="M42"/>
      <c r="N42"/>
    </row>
    <row r="43" spans="1:14" s="1" customFormat="1" ht="24" customHeight="1">
      <c r="A43" s="261" t="s">
        <v>52</v>
      </c>
      <c r="B43" s="261"/>
      <c r="C43" s="261"/>
      <c r="D43" s="261"/>
      <c r="E43" s="132"/>
      <c r="F43" s="132"/>
      <c r="G43" s="132"/>
      <c r="H43" s="132"/>
      <c r="K43"/>
      <c r="L43"/>
      <c r="M43"/>
      <c r="N43"/>
    </row>
    <row r="44" spans="1:14" s="1" customFormat="1" ht="15">
      <c r="A44" s="48" t="s">
        <v>53</v>
      </c>
      <c r="B44" s="32" t="s">
        <v>54</v>
      </c>
      <c r="C44" s="33">
        <v>0</v>
      </c>
      <c r="D44" s="14">
        <v>0</v>
      </c>
      <c r="E44" s="132"/>
      <c r="F44" s="132"/>
      <c r="G44" s="132"/>
      <c r="H44" s="132"/>
      <c r="K44"/>
      <c r="L44"/>
      <c r="M44"/>
      <c r="N44"/>
    </row>
    <row r="45" spans="1:14" s="1" customFormat="1" ht="15">
      <c r="A45" s="48" t="s">
        <v>55</v>
      </c>
      <c r="B45" s="32" t="s">
        <v>54</v>
      </c>
      <c r="C45" s="33">
        <v>0</v>
      </c>
      <c r="D45" s="14">
        <v>0</v>
      </c>
      <c r="E45" s="132"/>
      <c r="F45" s="132"/>
      <c r="G45" s="132"/>
      <c r="H45" s="132"/>
      <c r="K45"/>
      <c r="L45"/>
      <c r="M45"/>
      <c r="N45"/>
    </row>
    <row r="46" spans="1:14" s="1" customFormat="1" ht="15">
      <c r="A46" s="50" t="s">
        <v>56</v>
      </c>
      <c r="B46" s="32" t="s">
        <v>54</v>
      </c>
      <c r="C46" s="33">
        <v>0</v>
      </c>
      <c r="D46" s="14">
        <v>0</v>
      </c>
      <c r="E46" s="132"/>
      <c r="F46" s="132"/>
      <c r="G46" s="132"/>
      <c r="H46" s="132"/>
      <c r="K46"/>
      <c r="L46"/>
      <c r="M46"/>
      <c r="N46"/>
    </row>
    <row r="47" spans="1:14" s="1" customFormat="1" ht="15">
      <c r="A47" s="48" t="s">
        <v>57</v>
      </c>
      <c r="B47" s="32" t="s">
        <v>16</v>
      </c>
      <c r="C47" s="33">
        <v>0</v>
      </c>
      <c r="D47" s="14">
        <v>0</v>
      </c>
      <c r="E47" s="132"/>
      <c r="F47" s="132"/>
      <c r="G47" s="132"/>
      <c r="H47" s="132"/>
      <c r="K47"/>
      <c r="L47"/>
      <c r="M47"/>
      <c r="N47"/>
    </row>
    <row r="48" spans="1:8" ht="20.25" customHeight="1">
      <c r="A48" s="262" t="s">
        <v>58</v>
      </c>
      <c r="B48" s="262"/>
      <c r="C48" s="262"/>
      <c r="D48" s="262"/>
      <c r="E48" s="132"/>
      <c r="F48" s="132"/>
      <c r="G48" s="132"/>
      <c r="H48" s="132"/>
    </row>
    <row r="49" spans="1:8" ht="25.5">
      <c r="A49" s="50" t="s">
        <v>59</v>
      </c>
      <c r="B49" s="32" t="s">
        <v>16</v>
      </c>
      <c r="C49" s="33"/>
      <c r="D49" s="14">
        <v>0</v>
      </c>
      <c r="E49" s="132"/>
      <c r="F49" s="132"/>
      <c r="G49" s="132"/>
      <c r="H49" s="132"/>
    </row>
    <row r="50" spans="1:8" ht="15">
      <c r="A50" s="48" t="s">
        <v>17</v>
      </c>
      <c r="B50" s="32" t="s">
        <v>16</v>
      </c>
      <c r="C50" s="33"/>
      <c r="D50" s="14">
        <v>0</v>
      </c>
      <c r="E50" s="132"/>
      <c r="F50" s="132"/>
      <c r="G50" s="132"/>
      <c r="H50" s="132"/>
    </row>
    <row r="51" spans="1:8" ht="15">
      <c r="A51" s="48" t="s">
        <v>18</v>
      </c>
      <c r="B51" s="32" t="s">
        <v>16</v>
      </c>
      <c r="C51" s="33"/>
      <c r="D51" s="51">
        <f>D54-D57-D58-D59</f>
        <v>3.33</v>
      </c>
      <c r="E51" s="132"/>
      <c r="F51" s="132"/>
      <c r="G51" s="132"/>
      <c r="H51" s="136"/>
    </row>
    <row r="52" spans="1:8" ht="25.5">
      <c r="A52" s="53" t="s">
        <v>60</v>
      </c>
      <c r="B52" s="32" t="s">
        <v>16</v>
      </c>
      <c r="C52" s="54"/>
      <c r="D52" s="55">
        <v>0</v>
      </c>
      <c r="E52" s="132"/>
      <c r="F52" s="132"/>
      <c r="G52" s="132"/>
      <c r="H52" s="132"/>
    </row>
    <row r="53" spans="1:10" ht="17.25" customHeight="1">
      <c r="A53" s="56" t="s">
        <v>17</v>
      </c>
      <c r="B53" s="32" t="s">
        <v>16</v>
      </c>
      <c r="C53" s="33"/>
      <c r="D53" s="14">
        <v>0</v>
      </c>
      <c r="E53" s="132"/>
      <c r="F53" s="132"/>
      <c r="G53" s="132"/>
      <c r="H53" s="132"/>
      <c r="I53" s="52"/>
      <c r="J53" s="52"/>
    </row>
    <row r="54" spans="1:14" ht="15">
      <c r="A54" s="59" t="s">
        <v>18</v>
      </c>
      <c r="B54" s="32" t="s">
        <v>16</v>
      </c>
      <c r="C54" s="60"/>
      <c r="D54" s="61">
        <v>3.33</v>
      </c>
      <c r="E54" s="132"/>
      <c r="F54" s="132"/>
      <c r="G54" s="132"/>
      <c r="H54" s="132" t="s">
        <v>32</v>
      </c>
      <c r="I54" s="63"/>
      <c r="J54" s="63"/>
      <c r="K54" s="64"/>
      <c r="L54" s="64"/>
      <c r="M54" s="64"/>
      <c r="N54" s="64"/>
    </row>
    <row r="55" spans="1:14" ht="18" customHeight="1">
      <c r="A55" s="263" t="s">
        <v>61</v>
      </c>
      <c r="B55" s="263"/>
      <c r="C55" s="263"/>
      <c r="D55" s="263"/>
      <c r="E55" s="137"/>
      <c r="F55" s="138"/>
      <c r="G55" s="139"/>
      <c r="H55" s="132"/>
      <c r="I55" s="68"/>
      <c r="J55" s="68"/>
      <c r="K55" s="69"/>
      <c r="L55" s="69"/>
      <c r="M55" s="69"/>
      <c r="N55" s="69"/>
    </row>
    <row r="56" spans="1:14" ht="47.25">
      <c r="A56" s="70" t="s">
        <v>62</v>
      </c>
      <c r="B56" s="71" t="s">
        <v>63</v>
      </c>
      <c r="C56" s="72" t="s">
        <v>64</v>
      </c>
      <c r="D56" s="73" t="s">
        <v>65</v>
      </c>
      <c r="E56" s="137"/>
      <c r="F56" s="138"/>
      <c r="G56" s="139"/>
      <c r="H56" s="132"/>
      <c r="I56" s="68"/>
      <c r="J56" s="74"/>
      <c r="K56" s="69"/>
      <c r="L56" s="69"/>
      <c r="M56" s="69"/>
      <c r="N56" s="69"/>
    </row>
    <row r="57" spans="1:14" ht="15">
      <c r="A57" s="75" t="s">
        <v>66</v>
      </c>
      <c r="B57" s="117">
        <v>9719.1</v>
      </c>
      <c r="C57" s="118">
        <f>B57*1</f>
        <v>9719.1</v>
      </c>
      <c r="D57" s="119">
        <f>B57-C57</f>
        <v>0</v>
      </c>
      <c r="E57" s="140"/>
      <c r="F57" s="138"/>
      <c r="G57" s="139"/>
      <c r="H57" s="132"/>
      <c r="I57" s="68"/>
      <c r="J57" s="68"/>
      <c r="K57" s="69"/>
      <c r="L57" s="69"/>
      <c r="M57" s="69"/>
      <c r="N57" s="69"/>
    </row>
    <row r="58" spans="1:14" ht="15">
      <c r="A58" s="75" t="s">
        <v>67</v>
      </c>
      <c r="B58" s="117">
        <v>9703.65</v>
      </c>
      <c r="C58" s="118">
        <f>B58*1</f>
        <v>9703.65</v>
      </c>
      <c r="D58" s="119">
        <f>B58-C58</f>
        <v>0</v>
      </c>
      <c r="E58" s="137"/>
      <c r="F58" s="138"/>
      <c r="G58" s="139"/>
      <c r="H58" s="132"/>
      <c r="I58" s="68"/>
      <c r="J58" s="68"/>
      <c r="K58" s="69"/>
      <c r="L58" s="69"/>
      <c r="M58" s="69"/>
      <c r="N58" s="69"/>
    </row>
    <row r="59" spans="1:14" ht="15">
      <c r="A59" s="75" t="s">
        <v>68</v>
      </c>
      <c r="B59" s="120">
        <v>0</v>
      </c>
      <c r="C59" s="118">
        <f>B59*1</f>
        <v>0</v>
      </c>
      <c r="D59" s="119">
        <f>B59-C59</f>
        <v>0</v>
      </c>
      <c r="E59" s="137">
        <f>(2.07+1.8)*6*2301.2-0.37*2301.2*6</f>
        <v>48325.2</v>
      </c>
      <c r="F59" s="141"/>
      <c r="G59" s="142"/>
      <c r="H59" s="137"/>
      <c r="I59" s="68"/>
      <c r="J59" s="68"/>
      <c r="K59" s="69"/>
      <c r="L59" s="69"/>
      <c r="M59" s="69"/>
      <c r="N59" s="69"/>
    </row>
    <row r="60" spans="1:14" ht="15.75" thickBot="1">
      <c r="A60" s="150" t="s">
        <v>69</v>
      </c>
      <c r="B60" s="151">
        <v>0</v>
      </c>
      <c r="C60" s="152">
        <f>B60*1</f>
        <v>0</v>
      </c>
      <c r="D60" s="153">
        <f>B60-C60</f>
        <v>0</v>
      </c>
      <c r="E60" s="137"/>
      <c r="F60" s="141"/>
      <c r="G60" s="142"/>
      <c r="H60" s="132"/>
      <c r="I60" s="68"/>
      <c r="J60" s="68"/>
      <c r="K60" s="69"/>
      <c r="L60" s="69"/>
      <c r="M60" s="69"/>
      <c r="N60" s="69"/>
    </row>
    <row r="61" spans="1:14" ht="63">
      <c r="A61" s="154" t="s">
        <v>70</v>
      </c>
      <c r="B61" s="155" t="s">
        <v>71</v>
      </c>
      <c r="C61" s="156" t="s">
        <v>72</v>
      </c>
      <c r="D61" s="157" t="s">
        <v>73</v>
      </c>
      <c r="E61" s="137"/>
      <c r="F61" s="141"/>
      <c r="G61" s="132"/>
      <c r="H61" s="143"/>
      <c r="I61" s="68"/>
      <c r="J61" s="68"/>
      <c r="K61" s="69"/>
      <c r="L61" s="69"/>
      <c r="M61" s="69"/>
      <c r="N61" s="69"/>
    </row>
    <row r="62" spans="1:14" ht="15">
      <c r="A62" s="158" t="s">
        <v>66</v>
      </c>
      <c r="B62" s="124">
        <f>B57</f>
        <v>9719.1</v>
      </c>
      <c r="C62" s="125">
        <f>C57</f>
        <v>9719.1</v>
      </c>
      <c r="D62" s="159">
        <f>B62-C62</f>
        <v>0</v>
      </c>
      <c r="E62" s="137"/>
      <c r="F62" s="141"/>
      <c r="G62" s="132"/>
      <c r="H62" s="143"/>
      <c r="I62" s="68"/>
      <c r="J62" s="68" t="s">
        <v>32</v>
      </c>
      <c r="K62" s="69"/>
      <c r="L62" s="69"/>
      <c r="M62" s="69"/>
      <c r="N62" s="69"/>
    </row>
    <row r="63" spans="1:14" ht="15">
      <c r="A63" s="158" t="s">
        <v>67</v>
      </c>
      <c r="B63" s="124">
        <f>B58</f>
        <v>9703.65</v>
      </c>
      <c r="C63" s="125">
        <f>C58</f>
        <v>9703.65</v>
      </c>
      <c r="D63" s="159">
        <f>B63-C63</f>
        <v>0</v>
      </c>
      <c r="E63" s="137"/>
      <c r="F63" s="141"/>
      <c r="G63" s="132"/>
      <c r="H63" s="143"/>
      <c r="I63" s="68"/>
      <c r="J63" s="68"/>
      <c r="K63" s="69"/>
      <c r="L63" s="69"/>
      <c r="M63" s="69"/>
      <c r="N63" s="69"/>
    </row>
    <row r="64" spans="1:14" ht="15">
      <c r="A64" s="158" t="s">
        <v>68</v>
      </c>
      <c r="B64" s="124">
        <v>0</v>
      </c>
      <c r="C64" s="125">
        <v>0</v>
      </c>
      <c r="D64" s="159">
        <f>B64-C64</f>
        <v>0</v>
      </c>
      <c r="E64" s="137"/>
      <c r="F64" s="141"/>
      <c r="G64" s="132"/>
      <c r="H64" s="143"/>
      <c r="I64" s="68"/>
      <c r="J64" s="68"/>
      <c r="K64" s="69"/>
      <c r="L64" s="69"/>
      <c r="M64" s="69"/>
      <c r="N64" s="69"/>
    </row>
    <row r="65" spans="1:14" ht="15">
      <c r="A65" s="158" t="s">
        <v>74</v>
      </c>
      <c r="B65" s="124">
        <v>0</v>
      </c>
      <c r="C65" s="125">
        <v>0</v>
      </c>
      <c r="D65" s="159">
        <f>B65-C65</f>
        <v>0</v>
      </c>
      <c r="E65" s="65"/>
      <c r="F65" s="81"/>
      <c r="H65" s="68"/>
      <c r="I65" s="68"/>
      <c r="J65" s="68"/>
      <c r="K65" s="69"/>
      <c r="L65" s="69"/>
      <c r="M65" s="69"/>
      <c r="N65" s="69"/>
    </row>
    <row r="66" spans="1:14" ht="15.75" thickBot="1">
      <c r="A66" s="160" t="s">
        <v>69</v>
      </c>
      <c r="B66" s="161">
        <v>0</v>
      </c>
      <c r="C66" s="162">
        <v>0</v>
      </c>
      <c r="D66" s="163">
        <f>B66-C66</f>
        <v>0</v>
      </c>
      <c r="E66" s="65"/>
      <c r="F66" s="81"/>
      <c r="H66" s="68" t="s">
        <v>32</v>
      </c>
      <c r="I66" s="68"/>
      <c r="J66" s="68"/>
      <c r="K66" s="69"/>
      <c r="L66" s="69"/>
      <c r="M66" s="69"/>
      <c r="N66" s="69"/>
    </row>
    <row r="67" spans="1:14" ht="15">
      <c r="A67" s="91"/>
      <c r="B67" s="87"/>
      <c r="C67" s="92"/>
      <c r="D67" s="93"/>
      <c r="E67" s="65"/>
      <c r="F67" s="81"/>
      <c r="H67" s="68"/>
      <c r="I67" s="68"/>
      <c r="J67" s="68"/>
      <c r="K67" s="69"/>
      <c r="L67" s="69"/>
      <c r="M67" s="69"/>
      <c r="N67" s="69"/>
    </row>
    <row r="68" spans="1:14" ht="25.5">
      <c r="A68" s="94" t="s">
        <v>75</v>
      </c>
      <c r="B68" s="87" t="s">
        <v>16</v>
      </c>
      <c r="C68" s="95"/>
      <c r="D68" s="96"/>
      <c r="E68" s="65"/>
      <c r="F68" s="81"/>
      <c r="H68" s="68"/>
      <c r="I68" s="68"/>
      <c r="J68" s="68" t="s">
        <v>32</v>
      </c>
      <c r="K68" s="69"/>
      <c r="L68" s="69"/>
      <c r="M68" s="69"/>
      <c r="N68" s="69"/>
    </row>
    <row r="69" spans="1:14" ht="17.25" customHeight="1">
      <c r="A69" s="264" t="s">
        <v>76</v>
      </c>
      <c r="B69" s="264"/>
      <c r="C69" s="264"/>
      <c r="D69" s="264"/>
      <c r="E69" s="97" t="e">
        <f>D69+B19</f>
        <v>#VALUE!</v>
      </c>
      <c r="F69" s="68"/>
      <c r="H69" s="98" t="e">
        <f>E69-B18</f>
        <v>#VALUE!</v>
      </c>
      <c r="I69" s="68"/>
      <c r="J69" s="68"/>
      <c r="K69" s="69"/>
      <c r="L69" s="69"/>
      <c r="M69" s="69"/>
      <c r="N69" s="69"/>
    </row>
    <row r="70" spans="1:5" ht="21" customHeight="1">
      <c r="A70" s="99" t="s">
        <v>53</v>
      </c>
      <c r="B70" s="99" t="s">
        <v>54</v>
      </c>
      <c r="C70" s="100">
        <v>0</v>
      </c>
      <c r="D70" s="101"/>
      <c r="E70" s="102"/>
    </row>
    <row r="71" spans="1:5" ht="21" customHeight="1">
      <c r="A71" s="99" t="s">
        <v>55</v>
      </c>
      <c r="B71" s="99" t="s">
        <v>54</v>
      </c>
      <c r="C71" s="99">
        <v>0</v>
      </c>
      <c r="D71" s="101"/>
      <c r="E71" s="102"/>
    </row>
    <row r="72" spans="1:5" ht="18" customHeight="1">
      <c r="A72" s="99" t="s">
        <v>56</v>
      </c>
      <c r="B72" s="99" t="s">
        <v>54</v>
      </c>
      <c r="C72" s="99">
        <v>0</v>
      </c>
      <c r="D72" s="101"/>
      <c r="E72" s="102"/>
    </row>
    <row r="73" spans="1:5" ht="16.5" customHeight="1">
      <c r="A73" s="99" t="s">
        <v>57</v>
      </c>
      <c r="B73" s="99" t="s">
        <v>16</v>
      </c>
      <c r="C73" s="99">
        <v>0</v>
      </c>
      <c r="D73" s="101"/>
      <c r="E73" s="102"/>
    </row>
    <row r="74" spans="1:5" ht="15.75" customHeight="1">
      <c r="A74" s="258" t="s">
        <v>77</v>
      </c>
      <c r="B74" s="258"/>
      <c r="C74" s="258"/>
      <c r="D74" s="258"/>
      <c r="E74" s="102"/>
    </row>
    <row r="75" spans="1:5" ht="18.75" customHeight="1">
      <c r="A75" s="99" t="s">
        <v>78</v>
      </c>
      <c r="B75" s="99" t="s">
        <v>54</v>
      </c>
      <c r="C75" s="99">
        <v>0</v>
      </c>
      <c r="D75" s="101"/>
      <c r="E75" s="102"/>
    </row>
    <row r="76" spans="1:5" ht="21.75" customHeight="1">
      <c r="A76" s="99" t="s">
        <v>79</v>
      </c>
      <c r="B76" s="56" t="s">
        <v>54</v>
      </c>
      <c r="C76" s="56">
        <v>0</v>
      </c>
      <c r="D76" s="101"/>
      <c r="E76" s="102"/>
    </row>
    <row r="77" spans="1:5" ht="36" customHeight="1">
      <c r="A77" s="103" t="s">
        <v>80</v>
      </c>
      <c r="B77" s="99" t="s">
        <v>16</v>
      </c>
      <c r="C77" s="99">
        <v>0</v>
      </c>
      <c r="D77" s="101"/>
      <c r="E77" s="102"/>
    </row>
    <row r="78" spans="1:4" ht="15">
      <c r="A78" s="69"/>
      <c r="B78" s="69"/>
      <c r="C78" s="69"/>
      <c r="D78" s="104"/>
    </row>
    <row r="79" spans="1:14" s="1" customFormat="1" ht="12.75">
      <c r="A79"/>
      <c r="B79"/>
      <c r="C79"/>
      <c r="D79"/>
      <c r="H79" s="1" t="s">
        <v>32</v>
      </c>
      <c r="K79"/>
      <c r="L79"/>
      <c r="M79"/>
      <c r="N79"/>
    </row>
    <row r="80" spans="1:14" s="1" customFormat="1" ht="12.75">
      <c r="A80" t="s">
        <v>81</v>
      </c>
      <c r="B80"/>
      <c r="C80"/>
      <c r="D80"/>
      <c r="K80"/>
      <c r="L80"/>
      <c r="M80"/>
      <c r="N80"/>
    </row>
    <row r="81" spans="1:14" s="1" customFormat="1" ht="12.75">
      <c r="A81"/>
      <c r="B81"/>
      <c r="C81"/>
      <c r="D81"/>
      <c r="H81" s="1" t="s">
        <v>32</v>
      </c>
      <c r="K81"/>
      <c r="L81"/>
      <c r="M81"/>
      <c r="N81"/>
    </row>
    <row r="82" spans="1:14" s="1" customFormat="1" ht="12.75">
      <c r="A82" t="s">
        <v>82</v>
      </c>
      <c r="B82"/>
      <c r="C82"/>
      <c r="D82"/>
      <c r="K82"/>
      <c r="L82"/>
      <c r="M82"/>
      <c r="N82"/>
    </row>
    <row r="86" spans="1:14" s="1" customFormat="1" ht="12.75">
      <c r="A86"/>
      <c r="B86"/>
      <c r="C86"/>
      <c r="D86"/>
      <c r="E86" s="1" t="s">
        <v>32</v>
      </c>
      <c r="K86"/>
      <c r="L86"/>
      <c r="M86"/>
      <c r="N86"/>
    </row>
  </sheetData>
  <sheetProtection selectLockedCells="1" selectUnlockedCells="1"/>
  <mergeCells count="13">
    <mergeCell ref="A1:D1"/>
    <mergeCell ref="A2:D2"/>
    <mergeCell ref="A3:D3"/>
    <mergeCell ref="A4:D4"/>
    <mergeCell ref="A5:D5"/>
    <mergeCell ref="A7:D7"/>
    <mergeCell ref="A74:D74"/>
    <mergeCell ref="A14:D14"/>
    <mergeCell ref="A29:D29"/>
    <mergeCell ref="A43:D43"/>
    <mergeCell ref="A48:D48"/>
    <mergeCell ref="A55:D55"/>
    <mergeCell ref="A69:D69"/>
  </mergeCells>
  <printOptions/>
  <pageMargins left="0.5597222222222222" right="0.7875" top="0.34097222222222223" bottom="0.7875" header="0.5118055555555555" footer="0.5118055555555555"/>
  <pageSetup fitToHeight="3" fitToWidth="2" horizontalDpi="300" verticalDpi="300" orientation="landscape" paperSize="12" r:id="rId1"/>
</worksheet>
</file>

<file path=xl/worksheets/sheet5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6"/>
  <sheetViews>
    <sheetView zoomScale="80" zoomScaleNormal="80" zoomScalePageLayoutView="0" workbookViewId="0" topLeftCell="A1">
      <selection activeCell="E15" sqref="E15:H47"/>
    </sheetView>
  </sheetViews>
  <sheetFormatPr defaultColWidth="11.57421875" defaultRowHeight="12.75"/>
  <cols>
    <col min="1" max="1" width="63.28125" style="0" customWidth="1"/>
    <col min="2" max="2" width="20.28125" style="0" customWidth="1"/>
    <col min="3" max="3" width="31.421875" style="0" customWidth="1"/>
    <col min="4" max="4" width="27.57421875" style="0" customWidth="1"/>
    <col min="5" max="5" width="16.8515625" style="1" customWidth="1"/>
    <col min="6" max="7" width="0" style="1" hidden="1" customWidth="1"/>
    <col min="8" max="8" width="11.57421875" style="1" customWidth="1"/>
    <col min="9" max="9" width="5.28125" style="1" customWidth="1"/>
    <col min="10" max="10" width="30.00390625" style="1" customWidth="1"/>
    <col min="11" max="12" width="23.28125" style="0" customWidth="1"/>
    <col min="13" max="13" width="6.57421875" style="0" customWidth="1"/>
    <col min="14" max="14" width="7.00390625" style="0" customWidth="1"/>
  </cols>
  <sheetData>
    <row r="1" spans="1:4" ht="18">
      <c r="A1" s="265" t="s">
        <v>0</v>
      </c>
      <c r="B1" s="265"/>
      <c r="C1" s="265"/>
      <c r="D1" s="265"/>
    </row>
    <row r="2" spans="1:4" ht="15.75">
      <c r="A2" s="266" t="s">
        <v>1</v>
      </c>
      <c r="B2" s="266"/>
      <c r="C2" s="266"/>
      <c r="D2" s="266"/>
    </row>
    <row r="3" spans="1:4" ht="15.75">
      <c r="A3" s="266" t="s">
        <v>2</v>
      </c>
      <c r="B3" s="266"/>
      <c r="C3" s="266"/>
      <c r="D3" s="266"/>
    </row>
    <row r="4" spans="1:4" ht="12.75">
      <c r="A4" s="267" t="s">
        <v>156</v>
      </c>
      <c r="B4" s="267"/>
      <c r="C4" s="267"/>
      <c r="D4" s="267"/>
    </row>
    <row r="5" spans="1:4" ht="12.75">
      <c r="A5" s="268" t="s">
        <v>171</v>
      </c>
      <c r="B5" s="267"/>
      <c r="C5" s="267"/>
      <c r="D5" s="267"/>
    </row>
    <row r="6" ht="9" customHeight="1">
      <c r="A6" s="2"/>
    </row>
    <row r="7" spans="1:4" ht="18" customHeight="1">
      <c r="A7" s="269" t="s">
        <v>4</v>
      </c>
      <c r="B7" s="269"/>
      <c r="C7" s="269"/>
      <c r="D7" s="269"/>
    </row>
    <row r="8" spans="1:3" ht="12.75">
      <c r="A8" s="2" t="s">
        <v>273</v>
      </c>
      <c r="C8" s="3"/>
    </row>
    <row r="9" spans="1:4" ht="12.75">
      <c r="A9" s="4" t="s">
        <v>5</v>
      </c>
      <c r="B9" s="4" t="s">
        <v>6</v>
      </c>
      <c r="C9" s="4" t="s">
        <v>7</v>
      </c>
      <c r="D9" s="5"/>
    </row>
    <row r="10" spans="1:4" ht="12.75">
      <c r="A10" s="6">
        <v>1</v>
      </c>
      <c r="B10" s="6">
        <v>2</v>
      </c>
      <c r="C10" s="6">
        <v>3</v>
      </c>
      <c r="D10" s="7">
        <v>4</v>
      </c>
    </row>
    <row r="11" spans="1:4" ht="12.75">
      <c r="A11" s="8" t="s">
        <v>8</v>
      </c>
      <c r="B11" s="9"/>
      <c r="C11" s="177" t="s">
        <v>172</v>
      </c>
      <c r="D11" s="10"/>
    </row>
    <row r="12" spans="1:4" ht="12.75">
      <c r="A12" s="8" t="s">
        <v>10</v>
      </c>
      <c r="B12" s="9"/>
      <c r="C12" s="177" t="s">
        <v>173</v>
      </c>
      <c r="D12" s="10"/>
    </row>
    <row r="13" spans="1:8" ht="12.75">
      <c r="A13" s="8" t="s">
        <v>12</v>
      </c>
      <c r="B13" s="9"/>
      <c r="C13" s="177" t="s">
        <v>174</v>
      </c>
      <c r="D13" s="10"/>
      <c r="E13" s="132"/>
      <c r="F13" s="132"/>
      <c r="G13" s="132"/>
      <c r="H13" s="132"/>
    </row>
    <row r="14" spans="1:8" ht="31.5" customHeight="1">
      <c r="A14" s="259" t="s">
        <v>14</v>
      </c>
      <c r="B14" s="259"/>
      <c r="C14" s="259"/>
      <c r="D14" s="259"/>
      <c r="E14" s="132"/>
      <c r="F14" s="132"/>
      <c r="G14" s="132"/>
      <c r="H14" s="132"/>
    </row>
    <row r="15" spans="1:8" ht="25.5">
      <c r="A15" s="11" t="s">
        <v>15</v>
      </c>
      <c r="B15" s="12" t="s">
        <v>16</v>
      </c>
      <c r="C15" s="13">
        <v>13570.73</v>
      </c>
      <c r="D15" s="14"/>
      <c r="E15" s="132"/>
      <c r="F15" s="132"/>
      <c r="G15" s="132"/>
      <c r="H15" s="132"/>
    </row>
    <row r="16" spans="1:8" ht="15">
      <c r="A16" s="8" t="s">
        <v>17</v>
      </c>
      <c r="B16" s="12" t="s">
        <v>16</v>
      </c>
      <c r="C16" s="13">
        <v>0</v>
      </c>
      <c r="D16" s="14"/>
      <c r="E16" s="132"/>
      <c r="F16" s="132"/>
      <c r="G16" s="132"/>
      <c r="H16" s="132"/>
    </row>
    <row r="17" spans="1:8" ht="15">
      <c r="A17" s="8" t="s">
        <v>18</v>
      </c>
      <c r="B17" s="12" t="s">
        <v>16</v>
      </c>
      <c r="C17" s="15">
        <v>5723.89</v>
      </c>
      <c r="D17" s="16"/>
      <c r="E17" s="132" t="e">
        <f>B17/12/1022.6</f>
        <v>#VALUE!</v>
      </c>
      <c r="F17" s="132"/>
      <c r="G17" s="132"/>
      <c r="H17" s="132"/>
    </row>
    <row r="18" spans="1:8" ht="31.5" customHeight="1">
      <c r="A18" s="17" t="s">
        <v>19</v>
      </c>
      <c r="B18" s="12" t="s">
        <v>16</v>
      </c>
      <c r="C18" s="15">
        <v>32596.26</v>
      </c>
      <c r="D18" s="16"/>
      <c r="E18" s="133">
        <f>C18-C20</f>
        <v>21139.739999999998</v>
      </c>
      <c r="F18" s="132"/>
      <c r="G18" s="132"/>
      <c r="H18" s="132"/>
    </row>
    <row r="19" spans="1:8" ht="15">
      <c r="A19" s="8" t="s">
        <v>20</v>
      </c>
      <c r="B19" s="12" t="s">
        <v>16</v>
      </c>
      <c r="C19" s="15">
        <f>C18-C20-C21</f>
        <v>11114.268</v>
      </c>
      <c r="D19" s="16"/>
      <c r="E19" s="133">
        <f>E18-E39</f>
        <v>0.004000000000814907</v>
      </c>
      <c r="F19" s="132"/>
      <c r="G19" s="132"/>
      <c r="H19" s="132"/>
    </row>
    <row r="20" spans="1:8" ht="15">
      <c r="A20" s="8" t="s">
        <v>21</v>
      </c>
      <c r="B20" s="12" t="s">
        <v>16</v>
      </c>
      <c r="C20" s="15">
        <f>(4+4.45)*6*171.2+2776.68</f>
        <v>11456.519999999999</v>
      </c>
      <c r="D20" s="16"/>
      <c r="E20" s="134"/>
      <c r="F20" s="132"/>
      <c r="G20" s="132"/>
      <c r="H20" s="132"/>
    </row>
    <row r="21" spans="1:8" ht="15">
      <c r="A21" s="8" t="s">
        <v>22</v>
      </c>
      <c r="B21" s="12" t="s">
        <v>16</v>
      </c>
      <c r="C21" s="20">
        <f>171.2*4.88*12</f>
        <v>10025.471999999998</v>
      </c>
      <c r="D21" s="16"/>
      <c r="E21" s="132"/>
      <c r="F21" s="132"/>
      <c r="G21" s="132"/>
      <c r="H21" s="132"/>
    </row>
    <row r="22" spans="1:8" ht="15">
      <c r="A22" s="21" t="s">
        <v>23</v>
      </c>
      <c r="B22" s="12" t="s">
        <v>16</v>
      </c>
      <c r="C22" s="15">
        <f>C23+C24+C25+C26+C27</f>
        <v>30467.724221999997</v>
      </c>
      <c r="D22" s="16" t="s">
        <v>24</v>
      </c>
      <c r="E22" s="133" t="e">
        <f>B24+B25+B26+B27+B28</f>
        <v>#VALUE!</v>
      </c>
      <c r="F22" s="132"/>
      <c r="G22" s="132"/>
      <c r="H22" s="132"/>
    </row>
    <row r="23" spans="1:8" ht="15">
      <c r="A23" s="8" t="s">
        <v>25</v>
      </c>
      <c r="B23" s="12" t="s">
        <v>16</v>
      </c>
      <c r="C23" s="15">
        <f>C18*0.9347</f>
        <v>30467.724221999997</v>
      </c>
      <c r="D23" s="16"/>
      <c r="E23" s="132"/>
      <c r="F23" s="132"/>
      <c r="G23" s="132"/>
      <c r="H23" s="132"/>
    </row>
    <row r="24" spans="1:8" ht="15">
      <c r="A24" s="8" t="s">
        <v>26</v>
      </c>
      <c r="B24" s="12" t="s">
        <v>16</v>
      </c>
      <c r="C24" s="15">
        <v>0</v>
      </c>
      <c r="D24" s="22">
        <v>65.21</v>
      </c>
      <c r="E24" s="134" t="e">
        <f>B24/#REF!*1</f>
        <v>#VALUE!</v>
      </c>
      <c r="F24" s="132"/>
      <c r="G24" s="132"/>
      <c r="H24" s="132" t="s">
        <v>27</v>
      </c>
    </row>
    <row r="25" spans="1:8" ht="15">
      <c r="A25" s="8" t="s">
        <v>28</v>
      </c>
      <c r="B25" s="12" t="s">
        <v>16</v>
      </c>
      <c r="C25" s="15">
        <v>0</v>
      </c>
      <c r="D25" s="22">
        <v>119.63</v>
      </c>
      <c r="E25" s="134" t="e">
        <f>B25/#REF!*1</f>
        <v>#VALUE!</v>
      </c>
      <c r="F25" s="132"/>
      <c r="G25" s="132"/>
      <c r="H25" s="132"/>
    </row>
    <row r="26" spans="1:8" ht="15">
      <c r="A26" s="9" t="s">
        <v>29</v>
      </c>
      <c r="B26" s="12" t="s">
        <v>16</v>
      </c>
      <c r="C26" s="15">
        <v>0</v>
      </c>
      <c r="D26" s="22"/>
      <c r="E26" s="134" t="e">
        <f>B26/#REF!*1</f>
        <v>#VALUE!</v>
      </c>
      <c r="F26" s="132"/>
      <c r="G26" s="132"/>
      <c r="H26" s="132"/>
    </row>
    <row r="27" spans="1:8" ht="16.5" customHeight="1">
      <c r="A27" s="116" t="s">
        <v>112</v>
      </c>
      <c r="B27" s="12" t="s">
        <v>16</v>
      </c>
      <c r="C27" s="15">
        <v>0</v>
      </c>
      <c r="D27" s="22">
        <v>139.18</v>
      </c>
      <c r="E27" s="134" t="e">
        <f>B27/#REF!*1</f>
        <v>#VALUE!</v>
      </c>
      <c r="F27" s="132"/>
      <c r="G27" s="132"/>
      <c r="H27" s="132"/>
    </row>
    <row r="28" spans="1:8" ht="15">
      <c r="A28" s="8" t="s">
        <v>31</v>
      </c>
      <c r="B28" s="12" t="s">
        <v>16</v>
      </c>
      <c r="C28" s="15">
        <f>C15+C22</f>
        <v>44038.454222</v>
      </c>
      <c r="D28" s="16" t="s">
        <v>32</v>
      </c>
      <c r="E28" s="134" t="e">
        <f>B28/#REF!*1</f>
        <v>#VALUE!</v>
      </c>
      <c r="F28" s="132"/>
      <c r="G28" s="132"/>
      <c r="H28" s="132"/>
    </row>
    <row r="29" spans="1:8" ht="35.25" customHeight="1">
      <c r="A29" s="260" t="s">
        <v>33</v>
      </c>
      <c r="B29" s="260"/>
      <c r="C29" s="260"/>
      <c r="D29" s="260"/>
      <c r="E29" s="132"/>
      <c r="F29" s="132"/>
      <c r="G29" s="132"/>
      <c r="H29" s="132"/>
    </row>
    <row r="30" spans="1:8" ht="60">
      <c r="A30" s="23" t="s">
        <v>34</v>
      </c>
      <c r="B30" s="24" t="s">
        <v>35</v>
      </c>
      <c r="C30" s="25" t="s">
        <v>36</v>
      </c>
      <c r="D30" s="26" t="s">
        <v>37</v>
      </c>
      <c r="E30" s="132"/>
      <c r="F30" s="132"/>
      <c r="G30" s="132"/>
      <c r="H30" s="132"/>
    </row>
    <row r="31" spans="1:8" ht="15">
      <c r="A31" s="27" t="s">
        <v>38</v>
      </c>
      <c r="B31" s="28" t="s">
        <v>39</v>
      </c>
      <c r="C31" s="29" t="s">
        <v>40</v>
      </c>
      <c r="D31" s="107">
        <f>(0.17+0.16)*6*171.2</f>
        <v>338.976</v>
      </c>
      <c r="E31" s="132"/>
      <c r="F31" s="132"/>
      <c r="G31" s="132"/>
      <c r="H31" s="132"/>
    </row>
    <row r="32" spans="1:8" ht="15">
      <c r="A32" s="31" t="s">
        <v>41</v>
      </c>
      <c r="B32" s="32" t="s">
        <v>42</v>
      </c>
      <c r="C32" s="33" t="s">
        <v>43</v>
      </c>
      <c r="D32" s="34">
        <f>(3.03+3)*6*171.2</f>
        <v>6194.015999999999</v>
      </c>
      <c r="E32" s="132"/>
      <c r="F32" s="132"/>
      <c r="G32" s="132"/>
      <c r="H32" s="132"/>
    </row>
    <row r="33" spans="1:8" ht="15">
      <c r="A33" s="31" t="s">
        <v>44</v>
      </c>
      <c r="B33" s="32" t="s">
        <v>39</v>
      </c>
      <c r="C33" s="33" t="s">
        <v>45</v>
      </c>
      <c r="D33" s="108">
        <f>(0.21+0.2)*6*171.2</f>
        <v>421.152</v>
      </c>
      <c r="E33" s="132"/>
      <c r="F33" s="132"/>
      <c r="G33" s="132"/>
      <c r="H33" s="132"/>
    </row>
    <row r="34" spans="1:8" ht="15">
      <c r="A34" s="204" t="s">
        <v>255</v>
      </c>
      <c r="B34" s="32" t="s">
        <v>39</v>
      </c>
      <c r="C34" s="33" t="s">
        <v>40</v>
      </c>
      <c r="D34" s="108">
        <f>(0.23+0.22)*6*171.2</f>
        <v>462.24</v>
      </c>
      <c r="E34" s="132"/>
      <c r="F34" s="132"/>
      <c r="G34" s="132"/>
      <c r="H34" s="132"/>
    </row>
    <row r="35" spans="1:8" ht="15">
      <c r="A35" s="31" t="s">
        <v>90</v>
      </c>
      <c r="B35" s="106" t="s">
        <v>91</v>
      </c>
      <c r="C35" s="33" t="s">
        <v>40</v>
      </c>
      <c r="D35" s="108">
        <f>(1.33+1.27)*6*171.2</f>
        <v>2670.7200000000003</v>
      </c>
      <c r="E35" s="132"/>
      <c r="F35" s="132"/>
      <c r="G35" s="132"/>
      <c r="H35" s="132"/>
    </row>
    <row r="36" spans="1:8" ht="15">
      <c r="A36" s="31" t="s">
        <v>46</v>
      </c>
      <c r="B36" s="32" t="s">
        <v>42</v>
      </c>
      <c r="C36" s="35" t="s">
        <v>47</v>
      </c>
      <c r="D36" s="108">
        <f>4.88*171.2*12</f>
        <v>10025.471999999998</v>
      </c>
      <c r="E36" s="132"/>
      <c r="F36" s="132"/>
      <c r="G36" s="132"/>
      <c r="H36" s="132"/>
    </row>
    <row r="37" spans="1:14" s="1" customFormat="1" ht="45">
      <c r="A37" s="36" t="s">
        <v>48</v>
      </c>
      <c r="B37" s="37" t="s">
        <v>49</v>
      </c>
      <c r="C37" s="131" t="s">
        <v>86</v>
      </c>
      <c r="D37" s="39">
        <v>0</v>
      </c>
      <c r="E37" s="132"/>
      <c r="F37" s="132"/>
      <c r="G37" s="132"/>
      <c r="H37" s="132"/>
      <c r="K37"/>
      <c r="L37"/>
      <c r="M37"/>
      <c r="N37"/>
    </row>
    <row r="38" spans="1:14" s="1" customFormat="1" ht="45">
      <c r="A38" s="109" t="s">
        <v>95</v>
      </c>
      <c r="B38" s="110" t="s">
        <v>96</v>
      </c>
      <c r="C38" s="29" t="s">
        <v>97</v>
      </c>
      <c r="D38" s="112">
        <v>1027.16</v>
      </c>
      <c r="E38" s="132"/>
      <c r="F38" s="132"/>
      <c r="G38" s="132"/>
      <c r="H38" s="132"/>
      <c r="K38"/>
      <c r="L38"/>
      <c r="M38"/>
      <c r="N38"/>
    </row>
    <row r="39" spans="1:14" s="1" customFormat="1" ht="15.75">
      <c r="A39" s="40" t="s">
        <v>50</v>
      </c>
      <c r="B39" s="41"/>
      <c r="C39" s="42"/>
      <c r="D39" s="113">
        <f>SUM(D31:D38)</f>
        <v>21139.735999999997</v>
      </c>
      <c r="E39" s="135">
        <f>D39-D37</f>
        <v>21139.735999999997</v>
      </c>
      <c r="F39" s="132"/>
      <c r="G39" s="132"/>
      <c r="H39" s="132"/>
      <c r="K39"/>
      <c r="L39"/>
      <c r="M39"/>
      <c r="N39"/>
    </row>
    <row r="40" spans="1:14" s="1" customFormat="1" ht="15">
      <c r="A40" s="43" t="s">
        <v>51</v>
      </c>
      <c r="B40" s="44" t="s">
        <v>16</v>
      </c>
      <c r="C40" s="45"/>
      <c r="D40" s="46">
        <f>C15+C20*0.9347-D37</f>
        <v>24279.139243999998</v>
      </c>
      <c r="E40" s="135"/>
      <c r="F40" s="132"/>
      <c r="G40" s="132"/>
      <c r="H40" s="132"/>
      <c r="K40"/>
      <c r="L40"/>
      <c r="M40"/>
      <c r="N40"/>
    </row>
    <row r="41" spans="1:14" s="1" customFormat="1" ht="15">
      <c r="A41" s="48" t="s">
        <v>17</v>
      </c>
      <c r="B41" s="49" t="s">
        <v>16</v>
      </c>
      <c r="C41" s="33"/>
      <c r="D41" s="14"/>
      <c r="E41" s="132"/>
      <c r="F41" s="132"/>
      <c r="G41" s="132"/>
      <c r="H41" s="132"/>
      <c r="K41"/>
      <c r="L41"/>
      <c r="M41"/>
      <c r="N41"/>
    </row>
    <row r="42" spans="1:14" s="1" customFormat="1" ht="15">
      <c r="A42" s="48" t="s">
        <v>18</v>
      </c>
      <c r="B42" s="49" t="s">
        <v>16</v>
      </c>
      <c r="C42" s="33"/>
      <c r="D42" s="14">
        <v>5427.39</v>
      </c>
      <c r="E42" s="132"/>
      <c r="F42" s="132"/>
      <c r="G42" s="132"/>
      <c r="H42" s="132"/>
      <c r="K42"/>
      <c r="L42"/>
      <c r="M42"/>
      <c r="N42"/>
    </row>
    <row r="43" spans="1:14" s="1" customFormat="1" ht="24" customHeight="1">
      <c r="A43" s="261" t="s">
        <v>52</v>
      </c>
      <c r="B43" s="261"/>
      <c r="C43" s="261"/>
      <c r="D43" s="261"/>
      <c r="E43" s="132"/>
      <c r="F43" s="132"/>
      <c r="G43" s="132"/>
      <c r="H43" s="132"/>
      <c r="K43"/>
      <c r="L43"/>
      <c r="M43"/>
      <c r="N43"/>
    </row>
    <row r="44" spans="1:14" s="1" customFormat="1" ht="15">
      <c r="A44" s="48" t="s">
        <v>53</v>
      </c>
      <c r="B44" s="32" t="s">
        <v>54</v>
      </c>
      <c r="C44" s="33">
        <v>0</v>
      </c>
      <c r="D44" s="14">
        <v>0</v>
      </c>
      <c r="E44" s="132"/>
      <c r="F44" s="132"/>
      <c r="G44" s="132"/>
      <c r="H44" s="132"/>
      <c r="K44"/>
      <c r="L44"/>
      <c r="M44"/>
      <c r="N44"/>
    </row>
    <row r="45" spans="1:14" s="1" customFormat="1" ht="15">
      <c r="A45" s="48" t="s">
        <v>55</v>
      </c>
      <c r="B45" s="32" t="s">
        <v>54</v>
      </c>
      <c r="C45" s="33">
        <v>0</v>
      </c>
      <c r="D45" s="14">
        <v>0</v>
      </c>
      <c r="E45" s="132"/>
      <c r="F45" s="132"/>
      <c r="G45" s="132"/>
      <c r="H45" s="132"/>
      <c r="K45"/>
      <c r="L45"/>
      <c r="M45"/>
      <c r="N45"/>
    </row>
    <row r="46" spans="1:14" s="1" customFormat="1" ht="15">
      <c r="A46" s="50" t="s">
        <v>56</v>
      </c>
      <c r="B46" s="32" t="s">
        <v>54</v>
      </c>
      <c r="C46" s="33">
        <v>0</v>
      </c>
      <c r="D46" s="14">
        <v>0</v>
      </c>
      <c r="E46" s="132"/>
      <c r="F46" s="132"/>
      <c r="G46" s="132"/>
      <c r="H46" s="132"/>
      <c r="K46"/>
      <c r="L46"/>
      <c r="M46"/>
      <c r="N46"/>
    </row>
    <row r="47" spans="1:14" s="1" customFormat="1" ht="15">
      <c r="A47" s="48" t="s">
        <v>57</v>
      </c>
      <c r="B47" s="32" t="s">
        <v>16</v>
      </c>
      <c r="C47" s="33">
        <v>0</v>
      </c>
      <c r="D47" s="14">
        <v>0</v>
      </c>
      <c r="E47" s="132"/>
      <c r="F47" s="132"/>
      <c r="G47" s="132"/>
      <c r="H47" s="132"/>
      <c r="K47"/>
      <c r="L47"/>
      <c r="M47"/>
      <c r="N47"/>
    </row>
    <row r="48" spans="1:8" ht="20.25" customHeight="1">
      <c r="A48" s="262" t="s">
        <v>58</v>
      </c>
      <c r="B48" s="262"/>
      <c r="C48" s="262"/>
      <c r="D48" s="262"/>
      <c r="E48" s="132"/>
      <c r="F48" s="132"/>
      <c r="G48" s="132"/>
      <c r="H48" s="132"/>
    </row>
    <row r="49" spans="1:8" ht="25.5">
      <c r="A49" s="50" t="s">
        <v>59</v>
      </c>
      <c r="B49" s="32" t="s">
        <v>16</v>
      </c>
      <c r="C49" s="33"/>
      <c r="D49" s="14">
        <v>0</v>
      </c>
      <c r="E49" s="132"/>
      <c r="F49" s="132"/>
      <c r="G49" s="132"/>
      <c r="H49" s="132"/>
    </row>
    <row r="50" spans="1:8" ht="15">
      <c r="A50" s="48" t="s">
        <v>17</v>
      </c>
      <c r="B50" s="32" t="s">
        <v>16</v>
      </c>
      <c r="C50" s="33"/>
      <c r="D50" s="14">
        <v>0</v>
      </c>
      <c r="E50" s="132"/>
      <c r="F50" s="132"/>
      <c r="G50" s="132"/>
      <c r="H50" s="132"/>
    </row>
    <row r="51" spans="1:8" ht="15">
      <c r="A51" s="48" t="s">
        <v>18</v>
      </c>
      <c r="B51" s="32" t="s">
        <v>16</v>
      </c>
      <c r="C51" s="33"/>
      <c r="D51" s="51">
        <f>D54-D57-D58-D59</f>
        <v>1793.1159059999986</v>
      </c>
      <c r="E51" s="132"/>
      <c r="F51" s="132"/>
      <c r="G51" s="132"/>
      <c r="H51" s="136"/>
    </row>
    <row r="52" spans="1:8" ht="25.5">
      <c r="A52" s="53" t="s">
        <v>60</v>
      </c>
      <c r="B52" s="32" t="s">
        <v>16</v>
      </c>
      <c r="C52" s="54"/>
      <c r="D52" s="55">
        <v>0</v>
      </c>
      <c r="E52" s="132"/>
      <c r="F52" s="132"/>
      <c r="G52" s="132"/>
      <c r="H52" s="132"/>
    </row>
    <row r="53" spans="1:10" ht="17.25" customHeight="1">
      <c r="A53" s="56" t="s">
        <v>17</v>
      </c>
      <c r="B53" s="32" t="s">
        <v>16</v>
      </c>
      <c r="C53" s="33"/>
      <c r="D53" s="14">
        <v>0</v>
      </c>
      <c r="E53" s="132"/>
      <c r="F53" s="132"/>
      <c r="G53" s="132"/>
      <c r="H53" s="132"/>
      <c r="I53" s="52"/>
      <c r="J53" s="52"/>
    </row>
    <row r="54" spans="1:14" ht="15">
      <c r="A54" s="59" t="s">
        <v>18</v>
      </c>
      <c r="B54" s="32" t="s">
        <v>16</v>
      </c>
      <c r="C54" s="60"/>
      <c r="D54" s="61">
        <v>2950.1</v>
      </c>
      <c r="E54" s="132"/>
      <c r="F54" s="132"/>
      <c r="G54" s="132"/>
      <c r="H54" s="132" t="s">
        <v>32</v>
      </c>
      <c r="I54" s="63"/>
      <c r="J54" s="63"/>
      <c r="K54" s="64"/>
      <c r="L54" s="64"/>
      <c r="M54" s="64"/>
      <c r="N54" s="64"/>
    </row>
    <row r="55" spans="1:14" ht="18" customHeight="1">
      <c r="A55" s="263" t="s">
        <v>61</v>
      </c>
      <c r="B55" s="263"/>
      <c r="C55" s="263"/>
      <c r="D55" s="263"/>
      <c r="E55" s="65"/>
      <c r="F55" s="66"/>
      <c r="G55" s="67"/>
      <c r="I55" s="68"/>
      <c r="J55" s="68"/>
      <c r="K55" s="69"/>
      <c r="L55" s="69"/>
      <c r="M55" s="69"/>
      <c r="N55" s="69"/>
    </row>
    <row r="56" spans="1:14" ht="47.25">
      <c r="A56" s="70" t="s">
        <v>62</v>
      </c>
      <c r="B56" s="71" t="s">
        <v>63</v>
      </c>
      <c r="C56" s="72" t="s">
        <v>64</v>
      </c>
      <c r="D56" s="73" t="s">
        <v>65</v>
      </c>
      <c r="E56" s="65"/>
      <c r="F56" s="66"/>
      <c r="G56" s="67"/>
      <c r="I56" s="68"/>
      <c r="J56" s="74"/>
      <c r="K56" s="69"/>
      <c r="L56" s="69"/>
      <c r="M56" s="69"/>
      <c r="N56" s="69"/>
    </row>
    <row r="57" spans="1:14" ht="15">
      <c r="A57" s="75" t="s">
        <v>66</v>
      </c>
      <c r="B57" s="117">
        <v>12661.06</v>
      </c>
      <c r="C57" s="118">
        <f>B57*0.9347</f>
        <v>11834.292781999999</v>
      </c>
      <c r="D57" s="119">
        <f>B57-C57</f>
        <v>826.7672180000009</v>
      </c>
      <c r="E57" s="79"/>
      <c r="F57" s="66"/>
      <c r="G57" s="67"/>
      <c r="I57" s="68"/>
      <c r="J57" s="68"/>
      <c r="K57" s="69"/>
      <c r="L57" s="69"/>
      <c r="M57" s="69"/>
      <c r="N57" s="69"/>
    </row>
    <row r="58" spans="1:14" ht="15">
      <c r="A58" s="75" t="s">
        <v>67</v>
      </c>
      <c r="B58" s="117">
        <v>5056.92</v>
      </c>
      <c r="C58" s="118">
        <f>B58*0.9347</f>
        <v>4726.703124</v>
      </c>
      <c r="D58" s="119">
        <f>B58-C58</f>
        <v>330.2168760000004</v>
      </c>
      <c r="E58" s="65"/>
      <c r="F58" s="66"/>
      <c r="G58" s="67"/>
      <c r="I58" s="68"/>
      <c r="J58" s="68"/>
      <c r="K58" s="69"/>
      <c r="L58" s="69"/>
      <c r="M58" s="69"/>
      <c r="N58" s="69"/>
    </row>
    <row r="59" spans="1:14" ht="15">
      <c r="A59" s="75" t="s">
        <v>68</v>
      </c>
      <c r="B59" s="120">
        <v>0</v>
      </c>
      <c r="C59" s="118">
        <f>B59*0.8954</f>
        <v>0</v>
      </c>
      <c r="D59" s="119">
        <f>B59-C59</f>
        <v>0</v>
      </c>
      <c r="E59" s="65">
        <f>(2.07+1.8)*6*2301.2-0.37*2301.2*6</f>
        <v>48325.2</v>
      </c>
      <c r="F59" s="81"/>
      <c r="G59" s="82"/>
      <c r="H59" s="65"/>
      <c r="I59" s="68"/>
      <c r="J59" s="68"/>
      <c r="K59" s="69"/>
      <c r="L59" s="69"/>
      <c r="M59" s="69"/>
      <c r="N59" s="69"/>
    </row>
    <row r="60" spans="1:14" ht="15.75" thickBot="1">
      <c r="A60" s="150" t="s">
        <v>69</v>
      </c>
      <c r="B60" s="151">
        <v>0</v>
      </c>
      <c r="C60" s="152">
        <f>B60*0.8954</f>
        <v>0</v>
      </c>
      <c r="D60" s="153">
        <f>B60-C60</f>
        <v>0</v>
      </c>
      <c r="E60" s="65"/>
      <c r="F60" s="81"/>
      <c r="G60" s="82"/>
      <c r="I60" s="68"/>
      <c r="J60" s="68"/>
      <c r="K60" s="69"/>
      <c r="L60" s="69"/>
      <c r="M60" s="69"/>
      <c r="N60" s="69"/>
    </row>
    <row r="61" spans="1:14" ht="63">
      <c r="A61" s="154" t="s">
        <v>70</v>
      </c>
      <c r="B61" s="155" t="s">
        <v>71</v>
      </c>
      <c r="C61" s="156" t="s">
        <v>72</v>
      </c>
      <c r="D61" s="157" t="s">
        <v>73</v>
      </c>
      <c r="E61" s="65"/>
      <c r="F61" s="81"/>
      <c r="H61" s="68"/>
      <c r="I61" s="68"/>
      <c r="J61" s="68"/>
      <c r="K61" s="69"/>
      <c r="L61" s="69"/>
      <c r="M61" s="69"/>
      <c r="N61" s="69"/>
    </row>
    <row r="62" spans="1:14" ht="15">
      <c r="A62" s="158" t="s">
        <v>66</v>
      </c>
      <c r="B62" s="124">
        <f>B57</f>
        <v>12661.06</v>
      </c>
      <c r="C62" s="125">
        <f>C57</f>
        <v>11834.292781999999</v>
      </c>
      <c r="D62" s="159">
        <f>B62-C62</f>
        <v>826.7672180000009</v>
      </c>
      <c r="E62" s="65"/>
      <c r="F62" s="81"/>
      <c r="H62" s="68"/>
      <c r="I62" s="68"/>
      <c r="J62" s="68" t="s">
        <v>32</v>
      </c>
      <c r="K62" s="69"/>
      <c r="L62" s="69"/>
      <c r="M62" s="69"/>
      <c r="N62" s="69"/>
    </row>
    <row r="63" spans="1:14" ht="15">
      <c r="A63" s="158" t="s">
        <v>67</v>
      </c>
      <c r="B63" s="124">
        <f>B58</f>
        <v>5056.92</v>
      </c>
      <c r="C63" s="125">
        <f>C58</f>
        <v>4726.703124</v>
      </c>
      <c r="D63" s="159">
        <f>B63-C63</f>
        <v>330.2168760000004</v>
      </c>
      <c r="E63" s="65"/>
      <c r="F63" s="81"/>
      <c r="H63" s="68"/>
      <c r="I63" s="68"/>
      <c r="J63" s="68"/>
      <c r="K63" s="69"/>
      <c r="L63" s="69"/>
      <c r="M63" s="69"/>
      <c r="N63" s="69"/>
    </row>
    <row r="64" spans="1:14" ht="15">
      <c r="A64" s="158" t="s">
        <v>68</v>
      </c>
      <c r="B64" s="124">
        <v>0</v>
      </c>
      <c r="C64" s="125">
        <v>0</v>
      </c>
      <c r="D64" s="159">
        <f>B64-C64</f>
        <v>0</v>
      </c>
      <c r="E64" s="65"/>
      <c r="F64" s="81"/>
      <c r="H64" s="68"/>
      <c r="I64" s="68"/>
      <c r="J64" s="68"/>
      <c r="K64" s="69"/>
      <c r="L64" s="69"/>
      <c r="M64" s="69"/>
      <c r="N64" s="69"/>
    </row>
    <row r="65" spans="1:14" ht="15">
      <c r="A65" s="158" t="s">
        <v>74</v>
      </c>
      <c r="B65" s="124">
        <v>0</v>
      </c>
      <c r="C65" s="125">
        <v>0</v>
      </c>
      <c r="D65" s="159">
        <f>B65-C65</f>
        <v>0</v>
      </c>
      <c r="E65" s="65"/>
      <c r="F65" s="81"/>
      <c r="H65" s="68"/>
      <c r="I65" s="68"/>
      <c r="J65" s="68"/>
      <c r="K65" s="69"/>
      <c r="L65" s="69"/>
      <c r="M65" s="69"/>
      <c r="N65" s="69"/>
    </row>
    <row r="66" spans="1:14" ht="15.75" thickBot="1">
      <c r="A66" s="160" t="s">
        <v>69</v>
      </c>
      <c r="B66" s="161">
        <v>0</v>
      </c>
      <c r="C66" s="162">
        <v>0</v>
      </c>
      <c r="D66" s="163">
        <f>B66-C66</f>
        <v>0</v>
      </c>
      <c r="E66" s="65"/>
      <c r="F66" s="81"/>
      <c r="H66" s="68" t="s">
        <v>32</v>
      </c>
      <c r="I66" s="68"/>
      <c r="J66" s="68"/>
      <c r="K66" s="69"/>
      <c r="L66" s="69"/>
      <c r="M66" s="69"/>
      <c r="N66" s="69"/>
    </row>
    <row r="67" spans="1:14" ht="15">
      <c r="A67" s="91"/>
      <c r="B67" s="87"/>
      <c r="C67" s="92"/>
      <c r="D67" s="93"/>
      <c r="E67" s="65"/>
      <c r="F67" s="81"/>
      <c r="H67" s="68"/>
      <c r="I67" s="68"/>
      <c r="J67" s="68"/>
      <c r="K67" s="69"/>
      <c r="L67" s="69"/>
      <c r="M67" s="69"/>
      <c r="N67" s="69"/>
    </row>
    <row r="68" spans="1:14" ht="25.5">
      <c r="A68" s="94" t="s">
        <v>75</v>
      </c>
      <c r="B68" s="87" t="s">
        <v>16</v>
      </c>
      <c r="C68" s="95"/>
      <c r="D68" s="96">
        <v>0</v>
      </c>
      <c r="E68" s="65"/>
      <c r="F68" s="81"/>
      <c r="H68" s="68"/>
      <c r="I68" s="68"/>
      <c r="J68" s="68" t="s">
        <v>32</v>
      </c>
      <c r="K68" s="69"/>
      <c r="L68" s="69"/>
      <c r="M68" s="69"/>
      <c r="N68" s="69"/>
    </row>
    <row r="69" spans="1:14" ht="17.25" customHeight="1">
      <c r="A69" s="264" t="s">
        <v>76</v>
      </c>
      <c r="B69" s="264"/>
      <c r="C69" s="264"/>
      <c r="D69" s="264"/>
      <c r="E69" s="97" t="e">
        <f>D69+B19</f>
        <v>#VALUE!</v>
      </c>
      <c r="F69" s="68"/>
      <c r="H69" s="98" t="e">
        <f>E69-B18</f>
        <v>#VALUE!</v>
      </c>
      <c r="I69" s="68"/>
      <c r="J69" s="68"/>
      <c r="K69" s="69"/>
      <c r="L69" s="69"/>
      <c r="M69" s="69"/>
      <c r="N69" s="69"/>
    </row>
    <row r="70" spans="1:5" ht="21" customHeight="1">
      <c r="A70" s="99" t="s">
        <v>53</v>
      </c>
      <c r="B70" s="99" t="s">
        <v>54</v>
      </c>
      <c r="C70" s="100">
        <v>0</v>
      </c>
      <c r="D70" s="101"/>
      <c r="E70" s="102"/>
    </row>
    <row r="71" spans="1:5" ht="21" customHeight="1">
      <c r="A71" s="99" t="s">
        <v>55</v>
      </c>
      <c r="B71" s="99" t="s">
        <v>54</v>
      </c>
      <c r="C71" s="99">
        <v>0</v>
      </c>
      <c r="D71" s="101"/>
      <c r="E71" s="102"/>
    </row>
    <row r="72" spans="1:5" ht="18" customHeight="1">
      <c r="A72" s="99" t="s">
        <v>56</v>
      </c>
      <c r="B72" s="99" t="s">
        <v>54</v>
      </c>
      <c r="C72" s="99">
        <v>0</v>
      </c>
      <c r="D72" s="101"/>
      <c r="E72" s="102"/>
    </row>
    <row r="73" spans="1:5" ht="16.5" customHeight="1">
      <c r="A73" s="99" t="s">
        <v>57</v>
      </c>
      <c r="B73" s="99" t="s">
        <v>16</v>
      </c>
      <c r="C73" s="99">
        <v>0</v>
      </c>
      <c r="D73" s="101"/>
      <c r="E73" s="102"/>
    </row>
    <row r="74" spans="1:5" ht="15.75" customHeight="1">
      <c r="A74" s="258" t="s">
        <v>77</v>
      </c>
      <c r="B74" s="258"/>
      <c r="C74" s="258"/>
      <c r="D74" s="258"/>
      <c r="E74" s="102"/>
    </row>
    <row r="75" spans="1:5" ht="18.75" customHeight="1">
      <c r="A75" s="99" t="s">
        <v>78</v>
      </c>
      <c r="B75" s="99" t="s">
        <v>54</v>
      </c>
      <c r="C75" s="99">
        <v>0</v>
      </c>
      <c r="D75" s="101"/>
      <c r="E75" s="102"/>
    </row>
    <row r="76" spans="1:5" ht="21.75" customHeight="1">
      <c r="A76" s="99" t="s">
        <v>79</v>
      </c>
      <c r="B76" s="56" t="s">
        <v>54</v>
      </c>
      <c r="C76" s="56">
        <v>0</v>
      </c>
      <c r="D76" s="101"/>
      <c r="E76" s="102"/>
    </row>
    <row r="77" spans="1:5" ht="36" customHeight="1">
      <c r="A77" s="103" t="s">
        <v>80</v>
      </c>
      <c r="B77" s="99" t="s">
        <v>16</v>
      </c>
      <c r="C77" s="99">
        <v>0</v>
      </c>
      <c r="D77" s="101"/>
      <c r="E77" s="102"/>
    </row>
    <row r="78" spans="1:4" ht="15">
      <c r="A78" s="69"/>
      <c r="B78" s="69"/>
      <c r="C78" s="69"/>
      <c r="D78" s="104"/>
    </row>
    <row r="79" spans="1:14" s="1" customFormat="1" ht="12.75">
      <c r="A79"/>
      <c r="B79"/>
      <c r="C79"/>
      <c r="D79"/>
      <c r="H79" s="1" t="s">
        <v>32</v>
      </c>
      <c r="K79"/>
      <c r="L79"/>
      <c r="M79"/>
      <c r="N79"/>
    </row>
    <row r="80" spans="1:14" s="1" customFormat="1" ht="12.75">
      <c r="A80" t="s">
        <v>81</v>
      </c>
      <c r="B80"/>
      <c r="C80"/>
      <c r="D80"/>
      <c r="K80"/>
      <c r="L80"/>
      <c r="M80"/>
      <c r="N80"/>
    </row>
    <row r="81" spans="1:14" s="1" customFormat="1" ht="12.75">
      <c r="A81"/>
      <c r="B81"/>
      <c r="C81"/>
      <c r="D81"/>
      <c r="H81" s="1" t="s">
        <v>32</v>
      </c>
      <c r="K81"/>
      <c r="L81"/>
      <c r="M81"/>
      <c r="N81"/>
    </row>
    <row r="82" spans="1:14" s="1" customFormat="1" ht="12.75">
      <c r="A82" t="s">
        <v>82</v>
      </c>
      <c r="B82"/>
      <c r="C82"/>
      <c r="D82"/>
      <c r="K82"/>
      <c r="L82"/>
      <c r="M82"/>
      <c r="N82"/>
    </row>
    <row r="86" spans="1:14" s="1" customFormat="1" ht="12.75">
      <c r="A86"/>
      <c r="B86"/>
      <c r="C86"/>
      <c r="D86"/>
      <c r="E86" s="1" t="s">
        <v>32</v>
      </c>
      <c r="K86"/>
      <c r="L86"/>
      <c r="M86"/>
      <c r="N86"/>
    </row>
  </sheetData>
  <sheetProtection selectLockedCells="1" selectUnlockedCells="1"/>
  <mergeCells count="13">
    <mergeCell ref="A1:D1"/>
    <mergeCell ref="A2:D2"/>
    <mergeCell ref="A3:D3"/>
    <mergeCell ref="A4:D4"/>
    <mergeCell ref="A5:D5"/>
    <mergeCell ref="A7:D7"/>
    <mergeCell ref="A74:D74"/>
    <mergeCell ref="A14:D14"/>
    <mergeCell ref="A29:D29"/>
    <mergeCell ref="A43:D43"/>
    <mergeCell ref="A48:D48"/>
    <mergeCell ref="A55:D55"/>
    <mergeCell ref="A69:D69"/>
  </mergeCells>
  <printOptions/>
  <pageMargins left="0.5597222222222222" right="0.7875" top="0.34097222222222223" bottom="0.7875" header="0.5118055555555555" footer="0.5118055555555555"/>
  <pageSetup fitToHeight="3" fitToWidth="2" horizontalDpi="300" verticalDpi="300" orientation="landscape" paperSize="12" r:id="rId1"/>
</worksheet>
</file>

<file path=xl/worksheets/sheet5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6"/>
  <sheetViews>
    <sheetView zoomScale="80" zoomScaleNormal="80" zoomScalePageLayoutView="0" workbookViewId="0" topLeftCell="A40">
      <selection activeCell="D54" sqref="D54"/>
    </sheetView>
  </sheetViews>
  <sheetFormatPr defaultColWidth="11.57421875" defaultRowHeight="12.75"/>
  <cols>
    <col min="1" max="1" width="63.28125" style="0" customWidth="1"/>
    <col min="2" max="2" width="20.28125" style="0" customWidth="1"/>
    <col min="3" max="3" width="31.421875" style="0" customWidth="1"/>
    <col min="4" max="4" width="27.57421875" style="0" customWidth="1"/>
    <col min="5" max="5" width="16.8515625" style="1" customWidth="1"/>
    <col min="6" max="7" width="0" style="1" hidden="1" customWidth="1"/>
    <col min="8" max="8" width="11.57421875" style="1" customWidth="1"/>
    <col min="9" max="9" width="5.28125" style="1" customWidth="1"/>
    <col min="10" max="10" width="30.00390625" style="1" customWidth="1"/>
    <col min="11" max="12" width="23.28125" style="0" customWidth="1"/>
    <col min="13" max="13" width="6.57421875" style="0" customWidth="1"/>
    <col min="14" max="14" width="7.00390625" style="0" customWidth="1"/>
  </cols>
  <sheetData>
    <row r="1" spans="1:4" ht="18">
      <c r="A1" s="265" t="s">
        <v>0</v>
      </c>
      <c r="B1" s="265"/>
      <c r="C1" s="265"/>
      <c r="D1" s="265"/>
    </row>
    <row r="2" spans="1:4" ht="15.75">
      <c r="A2" s="266" t="s">
        <v>1</v>
      </c>
      <c r="B2" s="266"/>
      <c r="C2" s="266"/>
      <c r="D2" s="266"/>
    </row>
    <row r="3" spans="1:4" ht="15.75">
      <c r="A3" s="266" t="s">
        <v>2</v>
      </c>
      <c r="B3" s="266"/>
      <c r="C3" s="266"/>
      <c r="D3" s="266"/>
    </row>
    <row r="4" spans="1:4" ht="12.75">
      <c r="A4" s="267" t="s">
        <v>157</v>
      </c>
      <c r="B4" s="267"/>
      <c r="C4" s="267"/>
      <c r="D4" s="267"/>
    </row>
    <row r="5" spans="1:4" ht="12.75">
      <c r="A5" s="268" t="s">
        <v>171</v>
      </c>
      <c r="B5" s="267"/>
      <c r="C5" s="267"/>
      <c r="D5" s="267"/>
    </row>
    <row r="6" ht="9" customHeight="1">
      <c r="A6" s="2"/>
    </row>
    <row r="7" spans="1:4" ht="18" customHeight="1">
      <c r="A7" s="269" t="s">
        <v>4</v>
      </c>
      <c r="B7" s="269"/>
      <c r="C7" s="269"/>
      <c r="D7" s="269"/>
    </row>
    <row r="8" spans="1:3" ht="12.75">
      <c r="A8" s="2" t="s">
        <v>274</v>
      </c>
      <c r="C8" s="3"/>
    </row>
    <row r="9" spans="1:4" ht="12.75">
      <c r="A9" s="4" t="s">
        <v>5</v>
      </c>
      <c r="B9" s="4" t="s">
        <v>6</v>
      </c>
      <c r="C9" s="4" t="s">
        <v>7</v>
      </c>
      <c r="D9" s="5"/>
    </row>
    <row r="10" spans="1:4" ht="12.75">
      <c r="A10" s="6">
        <v>1</v>
      </c>
      <c r="B10" s="6">
        <v>2</v>
      </c>
      <c r="C10" s="6">
        <v>3</v>
      </c>
      <c r="D10" s="7">
        <v>4</v>
      </c>
    </row>
    <row r="11" spans="1:4" ht="12.75">
      <c r="A11" s="8" t="s">
        <v>8</v>
      </c>
      <c r="B11" s="9"/>
      <c r="C11" s="177" t="s">
        <v>172</v>
      </c>
      <c r="D11" s="10"/>
    </row>
    <row r="12" spans="1:5" ht="12.75">
      <c r="A12" s="8" t="s">
        <v>10</v>
      </c>
      <c r="B12" s="9"/>
      <c r="C12" s="177" t="s">
        <v>173</v>
      </c>
      <c r="D12" s="10"/>
      <c r="E12" s="132"/>
    </row>
    <row r="13" spans="1:5" ht="12.75">
      <c r="A13" s="8" t="s">
        <v>12</v>
      </c>
      <c r="B13" s="9"/>
      <c r="C13" s="177" t="s">
        <v>174</v>
      </c>
      <c r="D13" s="10"/>
      <c r="E13" s="132"/>
    </row>
    <row r="14" spans="1:5" ht="31.5" customHeight="1">
      <c r="A14" s="259" t="s">
        <v>14</v>
      </c>
      <c r="B14" s="259"/>
      <c r="C14" s="259"/>
      <c r="D14" s="259"/>
      <c r="E14" s="132"/>
    </row>
    <row r="15" spans="1:5" ht="25.5">
      <c r="A15" s="11" t="s">
        <v>15</v>
      </c>
      <c r="B15" s="12" t="s">
        <v>16</v>
      </c>
      <c r="C15" s="13">
        <v>10556.09</v>
      </c>
      <c r="D15" s="14"/>
      <c r="E15" s="132"/>
    </row>
    <row r="16" spans="1:5" ht="15">
      <c r="A16" s="8" t="s">
        <v>17</v>
      </c>
      <c r="B16" s="12" t="s">
        <v>16</v>
      </c>
      <c r="C16" s="13"/>
      <c r="D16" s="14"/>
      <c r="E16" s="132"/>
    </row>
    <row r="17" spans="1:5" ht="15">
      <c r="A17" s="8" t="s">
        <v>18</v>
      </c>
      <c r="B17" s="12" t="s">
        <v>16</v>
      </c>
      <c r="C17" s="15">
        <v>1094.09</v>
      </c>
      <c r="D17" s="16"/>
      <c r="E17" s="132" t="e">
        <f>B17/12/1022.6</f>
        <v>#VALUE!</v>
      </c>
    </row>
    <row r="18" spans="1:5" ht="31.5" customHeight="1">
      <c r="A18" s="17" t="s">
        <v>19</v>
      </c>
      <c r="B18" s="12" t="s">
        <v>16</v>
      </c>
      <c r="C18" s="15">
        <v>8919.96</v>
      </c>
      <c r="D18" s="16"/>
      <c r="E18" s="133">
        <f>C18-C20</f>
        <v>5888.975999999999</v>
      </c>
    </row>
    <row r="19" spans="1:5" ht="15">
      <c r="A19" s="8" t="s">
        <v>20</v>
      </c>
      <c r="B19" s="12" t="s">
        <v>16</v>
      </c>
      <c r="C19" s="15">
        <f>C18-C20-C21</f>
        <v>2761.871999999999</v>
      </c>
      <c r="D19" s="16"/>
      <c r="E19" s="133">
        <f>E18-E39</f>
        <v>0.0020000000004074536</v>
      </c>
    </row>
    <row r="20" spans="1:5" ht="15">
      <c r="A20" s="8" t="s">
        <v>21</v>
      </c>
      <c r="B20" s="12" t="s">
        <v>16</v>
      </c>
      <c r="C20" s="15">
        <f>(4.32+5.14)*6*53.4</f>
        <v>3030.9840000000004</v>
      </c>
      <c r="D20" s="16"/>
      <c r="E20" s="134"/>
    </row>
    <row r="21" spans="1:5" ht="15">
      <c r="A21" s="8" t="s">
        <v>22</v>
      </c>
      <c r="B21" s="12" t="s">
        <v>16</v>
      </c>
      <c r="C21" s="20">
        <f>53.4*4.88*12</f>
        <v>3127.104</v>
      </c>
      <c r="D21" s="16"/>
      <c r="E21" s="132"/>
    </row>
    <row r="22" spans="1:5" ht="15">
      <c r="A22" s="21" t="s">
        <v>23</v>
      </c>
      <c r="B22" s="12" t="s">
        <v>16</v>
      </c>
      <c r="C22" s="15">
        <f>C23+C24+C25+C26+C27</f>
        <v>9418.585764</v>
      </c>
      <c r="D22" s="16" t="s">
        <v>24</v>
      </c>
      <c r="E22" s="133" t="e">
        <f>B24+B25+B26+B27+B28</f>
        <v>#VALUE!</v>
      </c>
    </row>
    <row r="23" spans="1:5" ht="15">
      <c r="A23" s="8" t="s">
        <v>25</v>
      </c>
      <c r="B23" s="12" t="s">
        <v>16</v>
      </c>
      <c r="C23" s="15">
        <f>C18*1.0559</f>
        <v>9418.585764</v>
      </c>
      <c r="D23" s="16"/>
      <c r="E23" s="132"/>
    </row>
    <row r="24" spans="1:8" ht="15">
      <c r="A24" s="8" t="s">
        <v>26</v>
      </c>
      <c r="B24" s="12" t="s">
        <v>16</v>
      </c>
      <c r="C24" s="15">
        <v>0</v>
      </c>
      <c r="D24" s="22">
        <v>65.21</v>
      </c>
      <c r="E24" s="134" t="e">
        <f>B24/#REF!*1</f>
        <v>#VALUE!</v>
      </c>
      <c r="H24" s="1" t="s">
        <v>27</v>
      </c>
    </row>
    <row r="25" spans="1:5" ht="15">
      <c r="A25" s="8" t="s">
        <v>28</v>
      </c>
      <c r="B25" s="12" t="s">
        <v>16</v>
      </c>
      <c r="C25" s="15">
        <v>0</v>
      </c>
      <c r="D25" s="22">
        <v>119.63</v>
      </c>
      <c r="E25" s="134" t="e">
        <f>B25/#REF!*1</f>
        <v>#VALUE!</v>
      </c>
    </row>
    <row r="26" spans="1:5" ht="15">
      <c r="A26" s="9" t="s">
        <v>29</v>
      </c>
      <c r="B26" s="12" t="s">
        <v>16</v>
      </c>
      <c r="C26" s="15">
        <v>0</v>
      </c>
      <c r="D26" s="22"/>
      <c r="E26" s="134" t="e">
        <f>B26/#REF!*1</f>
        <v>#VALUE!</v>
      </c>
    </row>
    <row r="27" spans="1:5" ht="16.5" customHeight="1">
      <c r="A27" s="116" t="s">
        <v>112</v>
      </c>
      <c r="B27" s="12" t="s">
        <v>16</v>
      </c>
      <c r="C27" s="15">
        <v>0</v>
      </c>
      <c r="D27" s="22">
        <v>139.18</v>
      </c>
      <c r="E27" s="134" t="e">
        <f>B27/#REF!*1</f>
        <v>#VALUE!</v>
      </c>
    </row>
    <row r="28" spans="1:5" ht="15">
      <c r="A28" s="8" t="s">
        <v>31</v>
      </c>
      <c r="B28" s="12" t="s">
        <v>16</v>
      </c>
      <c r="C28" s="15">
        <f>C15+C22</f>
        <v>19974.675764</v>
      </c>
      <c r="D28" s="16" t="s">
        <v>32</v>
      </c>
      <c r="E28" s="134" t="e">
        <f>B28/#REF!*1</f>
        <v>#VALUE!</v>
      </c>
    </row>
    <row r="29" spans="1:5" ht="35.25" customHeight="1">
      <c r="A29" s="260" t="s">
        <v>33</v>
      </c>
      <c r="B29" s="260"/>
      <c r="C29" s="260"/>
      <c r="D29" s="260"/>
      <c r="E29" s="132"/>
    </row>
    <row r="30" spans="1:5" ht="60">
      <c r="A30" s="23" t="s">
        <v>34</v>
      </c>
      <c r="B30" s="24" t="s">
        <v>35</v>
      </c>
      <c r="C30" s="25" t="s">
        <v>36</v>
      </c>
      <c r="D30" s="26" t="s">
        <v>37</v>
      </c>
      <c r="E30" s="132"/>
    </row>
    <row r="31" spans="1:5" ht="15">
      <c r="A31" s="27" t="s">
        <v>38</v>
      </c>
      <c r="B31" s="28" t="s">
        <v>39</v>
      </c>
      <c r="C31" s="29" t="s">
        <v>40</v>
      </c>
      <c r="D31" s="107">
        <f>(0.17+0.16)*6*53.4</f>
        <v>105.732</v>
      </c>
      <c r="E31" s="132"/>
    </row>
    <row r="32" spans="1:5" ht="15">
      <c r="A32" s="31" t="s">
        <v>41</v>
      </c>
      <c r="B32" s="32" t="s">
        <v>42</v>
      </c>
      <c r="C32" s="33" t="s">
        <v>43</v>
      </c>
      <c r="D32" s="34">
        <f>(3.03+3)*6*53.4</f>
        <v>1932.0119999999995</v>
      </c>
      <c r="E32" s="132"/>
    </row>
    <row r="33" spans="1:5" ht="15">
      <c r="A33" s="31" t="s">
        <v>44</v>
      </c>
      <c r="B33" s="32" t="s">
        <v>39</v>
      </c>
      <c r="C33" s="33" t="s">
        <v>45</v>
      </c>
      <c r="D33" s="108">
        <f>(0.21+0.2)*6*53.4</f>
        <v>131.364</v>
      </c>
      <c r="E33" s="132"/>
    </row>
    <row r="34" spans="1:5" ht="15">
      <c r="A34" s="204" t="s">
        <v>255</v>
      </c>
      <c r="B34" s="32" t="s">
        <v>39</v>
      </c>
      <c r="C34" s="33" t="s">
        <v>40</v>
      </c>
      <c r="D34" s="108">
        <f>(0.21+0.22)*6*53.4</f>
        <v>137.772</v>
      </c>
      <c r="E34" s="132"/>
    </row>
    <row r="35" spans="1:5" ht="15">
      <c r="A35" s="31" t="s">
        <v>90</v>
      </c>
      <c r="B35" s="106" t="s">
        <v>91</v>
      </c>
      <c r="C35" s="33" t="s">
        <v>40</v>
      </c>
      <c r="D35" s="108">
        <v>0</v>
      </c>
      <c r="E35" s="132"/>
    </row>
    <row r="36" spans="1:5" ht="15">
      <c r="A36" s="31" t="s">
        <v>46</v>
      </c>
      <c r="B36" s="32" t="s">
        <v>42</v>
      </c>
      <c r="C36" s="35" t="s">
        <v>47</v>
      </c>
      <c r="D36" s="108">
        <f>4.88*53.4*12</f>
        <v>3127.104</v>
      </c>
      <c r="E36" s="132"/>
    </row>
    <row r="37" spans="1:14" s="1" customFormat="1" ht="45">
      <c r="A37" s="36" t="s">
        <v>48</v>
      </c>
      <c r="B37" s="37" t="s">
        <v>49</v>
      </c>
      <c r="C37" s="131" t="s">
        <v>86</v>
      </c>
      <c r="D37" s="39">
        <v>0</v>
      </c>
      <c r="E37" s="132"/>
      <c r="K37"/>
      <c r="L37"/>
      <c r="M37"/>
      <c r="N37"/>
    </row>
    <row r="38" spans="1:14" s="1" customFormat="1" ht="45">
      <c r="A38" s="109" t="s">
        <v>95</v>
      </c>
      <c r="B38" s="110" t="s">
        <v>96</v>
      </c>
      <c r="C38" s="29" t="s">
        <v>97</v>
      </c>
      <c r="D38" s="112">
        <v>454.99</v>
      </c>
      <c r="E38" s="132"/>
      <c r="K38"/>
      <c r="L38"/>
      <c r="M38"/>
      <c r="N38"/>
    </row>
    <row r="39" spans="1:14" s="1" customFormat="1" ht="15.75">
      <c r="A39" s="40" t="s">
        <v>50</v>
      </c>
      <c r="B39" s="41"/>
      <c r="C39" s="42"/>
      <c r="D39" s="113">
        <f>SUM(D31:D38)</f>
        <v>5888.973999999998</v>
      </c>
      <c r="E39" s="135">
        <f>D39-D37</f>
        <v>5888.973999999998</v>
      </c>
      <c r="K39"/>
      <c r="L39"/>
      <c r="M39"/>
      <c r="N39"/>
    </row>
    <row r="40" spans="1:14" s="1" customFormat="1" ht="15">
      <c r="A40" s="43" t="s">
        <v>51</v>
      </c>
      <c r="B40" s="44" t="s">
        <v>16</v>
      </c>
      <c r="C40" s="45"/>
      <c r="D40" s="46">
        <f>C15+C20*1.0559-D37</f>
        <v>13756.5060056</v>
      </c>
      <c r="E40" s="135"/>
      <c r="K40"/>
      <c r="L40"/>
      <c r="M40"/>
      <c r="N40"/>
    </row>
    <row r="41" spans="1:14" s="1" customFormat="1" ht="15">
      <c r="A41" s="48" t="s">
        <v>17</v>
      </c>
      <c r="B41" s="49" t="s">
        <v>16</v>
      </c>
      <c r="C41" s="33"/>
      <c r="D41" s="14"/>
      <c r="E41" s="132"/>
      <c r="K41"/>
      <c r="L41"/>
      <c r="M41"/>
      <c r="N41"/>
    </row>
    <row r="42" spans="1:14" s="1" customFormat="1" ht="15">
      <c r="A42" s="48" t="s">
        <v>18</v>
      </c>
      <c r="B42" s="49" t="s">
        <v>16</v>
      </c>
      <c r="C42" s="33"/>
      <c r="D42" s="14">
        <v>595.46</v>
      </c>
      <c r="E42" s="132"/>
      <c r="K42"/>
      <c r="L42"/>
      <c r="M42"/>
      <c r="N42"/>
    </row>
    <row r="43" spans="1:14" s="1" customFormat="1" ht="24" customHeight="1">
      <c r="A43" s="261" t="s">
        <v>52</v>
      </c>
      <c r="B43" s="261"/>
      <c r="C43" s="261"/>
      <c r="D43" s="261"/>
      <c r="E43" s="132"/>
      <c r="K43"/>
      <c r="L43"/>
      <c r="M43"/>
      <c r="N43"/>
    </row>
    <row r="44" spans="1:14" s="1" customFormat="1" ht="15">
      <c r="A44" s="48" t="s">
        <v>53</v>
      </c>
      <c r="B44" s="32" t="s">
        <v>54</v>
      </c>
      <c r="C44" s="33">
        <v>0</v>
      </c>
      <c r="D44" s="14">
        <v>0</v>
      </c>
      <c r="E44" s="132"/>
      <c r="K44"/>
      <c r="L44"/>
      <c r="M44"/>
      <c r="N44"/>
    </row>
    <row r="45" spans="1:14" s="1" customFormat="1" ht="15">
      <c r="A45" s="48" t="s">
        <v>55</v>
      </c>
      <c r="B45" s="32" t="s">
        <v>54</v>
      </c>
      <c r="C45" s="33">
        <v>0</v>
      </c>
      <c r="D45" s="14">
        <v>0</v>
      </c>
      <c r="E45" s="132"/>
      <c r="K45"/>
      <c r="L45"/>
      <c r="M45"/>
      <c r="N45"/>
    </row>
    <row r="46" spans="1:14" s="1" customFormat="1" ht="15">
      <c r="A46" s="50" t="s">
        <v>56</v>
      </c>
      <c r="B46" s="32" t="s">
        <v>54</v>
      </c>
      <c r="C46" s="33">
        <v>0</v>
      </c>
      <c r="D46" s="14">
        <v>0</v>
      </c>
      <c r="E46" s="132"/>
      <c r="K46"/>
      <c r="L46"/>
      <c r="M46"/>
      <c r="N46"/>
    </row>
    <row r="47" spans="1:14" s="1" customFormat="1" ht="15">
      <c r="A47" s="48" t="s">
        <v>57</v>
      </c>
      <c r="B47" s="32" t="s">
        <v>16</v>
      </c>
      <c r="C47" s="33">
        <v>0</v>
      </c>
      <c r="D47" s="14">
        <v>0</v>
      </c>
      <c r="E47" s="132"/>
      <c r="K47"/>
      <c r="L47"/>
      <c r="M47"/>
      <c r="N47"/>
    </row>
    <row r="48" spans="1:5" ht="20.25" customHeight="1">
      <c r="A48" s="262" t="s">
        <v>58</v>
      </c>
      <c r="B48" s="262"/>
      <c r="C48" s="262"/>
      <c r="D48" s="262"/>
      <c r="E48" s="132"/>
    </row>
    <row r="49" spans="1:5" ht="25.5">
      <c r="A49" s="50" t="s">
        <v>59</v>
      </c>
      <c r="B49" s="32" t="s">
        <v>16</v>
      </c>
      <c r="C49" s="33"/>
      <c r="D49" s="14">
        <v>0</v>
      </c>
      <c r="E49" s="132"/>
    </row>
    <row r="50" spans="1:5" ht="15">
      <c r="A50" s="48" t="s">
        <v>17</v>
      </c>
      <c r="B50" s="32" t="s">
        <v>16</v>
      </c>
      <c r="C50" s="33"/>
      <c r="D50" s="51">
        <f>D54-D57</f>
        <v>158.96640000000002</v>
      </c>
      <c r="E50" s="132"/>
    </row>
    <row r="51" spans="1:8" ht="15">
      <c r="A51" s="48" t="s">
        <v>18</v>
      </c>
      <c r="B51" s="32" t="s">
        <v>16</v>
      </c>
      <c r="C51" s="33"/>
      <c r="D51" s="51"/>
      <c r="E51" s="132"/>
      <c r="H51" s="52"/>
    </row>
    <row r="52" spans="1:5" ht="25.5">
      <c r="A52" s="53" t="s">
        <v>60</v>
      </c>
      <c r="B52" s="32" t="s">
        <v>16</v>
      </c>
      <c r="C52" s="54"/>
      <c r="D52" s="55">
        <v>0</v>
      </c>
      <c r="E52" s="132"/>
    </row>
    <row r="53" spans="1:10" ht="17.25" customHeight="1">
      <c r="A53" s="56" t="s">
        <v>17</v>
      </c>
      <c r="B53" s="32" t="s">
        <v>16</v>
      </c>
      <c r="C53" s="33"/>
      <c r="D53" s="14">
        <v>0</v>
      </c>
      <c r="E53" s="132"/>
      <c r="I53" s="52"/>
      <c r="J53" s="52"/>
    </row>
    <row r="54" spans="1:14" ht="15">
      <c r="A54" s="59" t="s">
        <v>18</v>
      </c>
      <c r="B54" s="32" t="s">
        <v>16</v>
      </c>
      <c r="C54" s="60"/>
      <c r="D54" s="61">
        <v>86.52</v>
      </c>
      <c r="E54" s="132"/>
      <c r="H54" s="1" t="s">
        <v>32</v>
      </c>
      <c r="I54" s="63"/>
      <c r="J54" s="63"/>
      <c r="K54" s="64"/>
      <c r="L54" s="64"/>
      <c r="M54" s="64"/>
      <c r="N54" s="64"/>
    </row>
    <row r="55" spans="1:14" ht="18" customHeight="1">
      <c r="A55" s="263" t="s">
        <v>61</v>
      </c>
      <c r="B55" s="263"/>
      <c r="C55" s="263"/>
      <c r="D55" s="263"/>
      <c r="E55" s="137"/>
      <c r="F55" s="66"/>
      <c r="G55" s="67"/>
      <c r="I55" s="68"/>
      <c r="J55" s="68"/>
      <c r="K55" s="69"/>
      <c r="L55" s="69"/>
      <c r="M55" s="69"/>
      <c r="N55" s="69"/>
    </row>
    <row r="56" spans="1:14" ht="47.25">
      <c r="A56" s="70" t="s">
        <v>62</v>
      </c>
      <c r="B56" s="71" t="s">
        <v>63</v>
      </c>
      <c r="C56" s="72" t="s">
        <v>64</v>
      </c>
      <c r="D56" s="73" t="s">
        <v>65</v>
      </c>
      <c r="E56" s="137"/>
      <c r="F56" s="66"/>
      <c r="G56" s="67"/>
      <c r="I56" s="68"/>
      <c r="J56" s="74"/>
      <c r="K56" s="69"/>
      <c r="L56" s="69"/>
      <c r="M56" s="69"/>
      <c r="N56" s="69"/>
    </row>
    <row r="57" spans="1:14" ht="15">
      <c r="A57" s="75" t="s">
        <v>66</v>
      </c>
      <c r="B57" s="117">
        <v>1296</v>
      </c>
      <c r="C57" s="118">
        <f>B57*1.0559</f>
        <v>1368.4464</v>
      </c>
      <c r="D57" s="119">
        <f>B57-C57</f>
        <v>-72.44640000000004</v>
      </c>
      <c r="E57" s="140"/>
      <c r="F57" s="66"/>
      <c r="G57" s="67"/>
      <c r="I57" s="68"/>
      <c r="J57" s="68"/>
      <c r="K57" s="69"/>
      <c r="L57" s="69"/>
      <c r="M57" s="69"/>
      <c r="N57" s="69"/>
    </row>
    <row r="58" spans="1:14" ht="15">
      <c r="A58" s="75" t="s">
        <v>67</v>
      </c>
      <c r="B58" s="117">
        <v>0</v>
      </c>
      <c r="C58" s="118">
        <f>B58*0.8954</f>
        <v>0</v>
      </c>
      <c r="D58" s="119">
        <f>B58-C58</f>
        <v>0</v>
      </c>
      <c r="E58" s="137"/>
      <c r="F58" s="66"/>
      <c r="G58" s="67"/>
      <c r="I58" s="68"/>
      <c r="J58" s="68"/>
      <c r="K58" s="69"/>
      <c r="L58" s="69"/>
      <c r="M58" s="69"/>
      <c r="N58" s="69"/>
    </row>
    <row r="59" spans="1:14" ht="15">
      <c r="A59" s="75" t="s">
        <v>68</v>
      </c>
      <c r="B59" s="120">
        <v>0</v>
      </c>
      <c r="C59" s="118">
        <f>B59*0.8954</f>
        <v>0</v>
      </c>
      <c r="D59" s="119">
        <f>B59-C59</f>
        <v>0</v>
      </c>
      <c r="E59" s="137">
        <f>(2.07+1.8)*6*2301.2-0.37*2301.2*6</f>
        <v>48325.2</v>
      </c>
      <c r="F59" s="81"/>
      <c r="G59" s="82"/>
      <c r="H59" s="65"/>
      <c r="I59" s="68"/>
      <c r="J59" s="68"/>
      <c r="K59" s="69"/>
      <c r="L59" s="69"/>
      <c r="M59" s="69"/>
      <c r="N59" s="69"/>
    </row>
    <row r="60" spans="1:14" ht="15.75" thickBot="1">
      <c r="A60" s="150" t="s">
        <v>69</v>
      </c>
      <c r="B60" s="151">
        <v>0</v>
      </c>
      <c r="C60" s="152">
        <f>B60*0.8954</f>
        <v>0</v>
      </c>
      <c r="D60" s="153">
        <f>B60-C60</f>
        <v>0</v>
      </c>
      <c r="E60" s="137"/>
      <c r="F60" s="81"/>
      <c r="G60" s="82"/>
      <c r="I60" s="68"/>
      <c r="J60" s="68"/>
      <c r="K60" s="69"/>
      <c r="L60" s="69"/>
      <c r="M60" s="69"/>
      <c r="N60" s="69"/>
    </row>
    <row r="61" spans="1:14" ht="63">
      <c r="A61" s="154" t="s">
        <v>70</v>
      </c>
      <c r="B61" s="155" t="s">
        <v>71</v>
      </c>
      <c r="C61" s="156" t="s">
        <v>72</v>
      </c>
      <c r="D61" s="157" t="s">
        <v>73</v>
      </c>
      <c r="E61" s="137"/>
      <c r="F61" s="81"/>
      <c r="H61" s="68"/>
      <c r="I61" s="68"/>
      <c r="J61" s="68"/>
      <c r="K61" s="69"/>
      <c r="L61" s="69"/>
      <c r="M61" s="69"/>
      <c r="N61" s="69"/>
    </row>
    <row r="62" spans="1:14" ht="15">
      <c r="A62" s="158" t="s">
        <v>66</v>
      </c>
      <c r="B62" s="124">
        <f>B57</f>
        <v>1296</v>
      </c>
      <c r="C62" s="125">
        <f>C57</f>
        <v>1368.4464</v>
      </c>
      <c r="D62" s="159">
        <f>B62-C62</f>
        <v>-72.44640000000004</v>
      </c>
      <c r="E62" s="137"/>
      <c r="F62" s="81"/>
      <c r="H62" s="68"/>
      <c r="I62" s="68"/>
      <c r="J62" s="68" t="s">
        <v>32</v>
      </c>
      <c r="K62" s="69"/>
      <c r="L62" s="69"/>
      <c r="M62" s="69"/>
      <c r="N62" s="69"/>
    </row>
    <row r="63" spans="1:14" ht="15">
      <c r="A63" s="158" t="s">
        <v>67</v>
      </c>
      <c r="B63" s="124">
        <v>0</v>
      </c>
      <c r="C63" s="125">
        <v>0</v>
      </c>
      <c r="D63" s="159">
        <f>B63-C63</f>
        <v>0</v>
      </c>
      <c r="E63" s="137"/>
      <c r="F63" s="81"/>
      <c r="H63" s="68"/>
      <c r="I63" s="68"/>
      <c r="J63" s="68"/>
      <c r="K63" s="69"/>
      <c r="L63" s="69"/>
      <c r="M63" s="69"/>
      <c r="N63" s="69"/>
    </row>
    <row r="64" spans="1:14" ht="15">
      <c r="A64" s="158" t="s">
        <v>68</v>
      </c>
      <c r="B64" s="124">
        <v>0</v>
      </c>
      <c r="C64" s="125">
        <v>0</v>
      </c>
      <c r="D64" s="159">
        <f>B64-C64</f>
        <v>0</v>
      </c>
      <c r="E64" s="137"/>
      <c r="F64" s="81"/>
      <c r="H64" s="68"/>
      <c r="I64" s="68"/>
      <c r="J64" s="68"/>
      <c r="K64" s="69"/>
      <c r="L64" s="69"/>
      <c r="M64" s="69"/>
      <c r="N64" s="69"/>
    </row>
    <row r="65" spans="1:14" ht="15">
      <c r="A65" s="158" t="s">
        <v>74</v>
      </c>
      <c r="B65" s="124">
        <v>0</v>
      </c>
      <c r="C65" s="125">
        <v>0</v>
      </c>
      <c r="D65" s="159">
        <f>B65-C65</f>
        <v>0</v>
      </c>
      <c r="E65" s="137"/>
      <c r="F65" s="81"/>
      <c r="H65" s="68"/>
      <c r="I65" s="68"/>
      <c r="J65" s="68"/>
      <c r="K65" s="69"/>
      <c r="L65" s="69"/>
      <c r="M65" s="69"/>
      <c r="N65" s="69"/>
    </row>
    <row r="66" spans="1:14" ht="15.75" thickBot="1">
      <c r="A66" s="160" t="s">
        <v>69</v>
      </c>
      <c r="B66" s="161">
        <v>0</v>
      </c>
      <c r="C66" s="162">
        <v>0</v>
      </c>
      <c r="D66" s="163">
        <f>B66-C66</f>
        <v>0</v>
      </c>
      <c r="E66" s="137"/>
      <c r="F66" s="81"/>
      <c r="H66" s="68" t="s">
        <v>32</v>
      </c>
      <c r="I66" s="68"/>
      <c r="J66" s="68"/>
      <c r="K66" s="69"/>
      <c r="L66" s="69"/>
      <c r="M66" s="69"/>
      <c r="N66" s="69"/>
    </row>
    <row r="67" spans="1:14" ht="15">
      <c r="A67" s="91"/>
      <c r="B67" s="87"/>
      <c r="C67" s="92"/>
      <c r="D67" s="93"/>
      <c r="E67" s="137"/>
      <c r="F67" s="81"/>
      <c r="H67" s="68"/>
      <c r="I67" s="68"/>
      <c r="J67" s="68"/>
      <c r="K67" s="69"/>
      <c r="L67" s="69"/>
      <c r="M67" s="69"/>
      <c r="N67" s="69"/>
    </row>
    <row r="68" spans="1:14" ht="25.5">
      <c r="A68" s="94" t="s">
        <v>75</v>
      </c>
      <c r="B68" s="87" t="s">
        <v>16</v>
      </c>
      <c r="C68" s="95"/>
      <c r="D68" s="96">
        <v>0</v>
      </c>
      <c r="E68" s="137"/>
      <c r="F68" s="81"/>
      <c r="H68" s="68"/>
      <c r="I68" s="68"/>
      <c r="J68" s="68" t="s">
        <v>32</v>
      </c>
      <c r="K68" s="69"/>
      <c r="L68" s="69"/>
      <c r="M68" s="69"/>
      <c r="N68" s="69"/>
    </row>
    <row r="69" spans="1:14" ht="17.25" customHeight="1">
      <c r="A69" s="264" t="s">
        <v>76</v>
      </c>
      <c r="B69" s="264"/>
      <c r="C69" s="264"/>
      <c r="D69" s="264"/>
      <c r="E69" s="144" t="e">
        <f>D69+B19</f>
        <v>#VALUE!</v>
      </c>
      <c r="F69" s="68"/>
      <c r="H69" s="98" t="e">
        <f>E69-B18</f>
        <v>#VALUE!</v>
      </c>
      <c r="I69" s="68"/>
      <c r="J69" s="68"/>
      <c r="K69" s="69"/>
      <c r="L69" s="69"/>
      <c r="M69" s="69"/>
      <c r="N69" s="69"/>
    </row>
    <row r="70" spans="1:5" ht="21" customHeight="1">
      <c r="A70" s="99" t="s">
        <v>53</v>
      </c>
      <c r="B70" s="99" t="s">
        <v>54</v>
      </c>
      <c r="C70" s="100">
        <v>0</v>
      </c>
      <c r="D70" s="101"/>
      <c r="E70" s="146"/>
    </row>
    <row r="71" spans="1:5" ht="21" customHeight="1">
      <c r="A71" s="99" t="s">
        <v>55</v>
      </c>
      <c r="B71" s="99" t="s">
        <v>54</v>
      </c>
      <c r="C71" s="99">
        <v>0</v>
      </c>
      <c r="D71" s="101"/>
      <c r="E71" s="146"/>
    </row>
    <row r="72" spans="1:5" ht="18" customHeight="1">
      <c r="A72" s="99" t="s">
        <v>56</v>
      </c>
      <c r="B72" s="99" t="s">
        <v>54</v>
      </c>
      <c r="C72" s="99">
        <v>0</v>
      </c>
      <c r="D72" s="101"/>
      <c r="E72" s="146"/>
    </row>
    <row r="73" spans="1:5" ht="16.5" customHeight="1">
      <c r="A73" s="99" t="s">
        <v>57</v>
      </c>
      <c r="B73" s="99" t="s">
        <v>16</v>
      </c>
      <c r="C73" s="99">
        <v>0</v>
      </c>
      <c r="D73" s="101"/>
      <c r="E73" s="146"/>
    </row>
    <row r="74" spans="1:5" ht="15.75" customHeight="1">
      <c r="A74" s="258" t="s">
        <v>77</v>
      </c>
      <c r="B74" s="258"/>
      <c r="C74" s="258"/>
      <c r="D74" s="258"/>
      <c r="E74" s="146"/>
    </row>
    <row r="75" spans="1:5" ht="18.75" customHeight="1">
      <c r="A75" s="99" t="s">
        <v>78</v>
      </c>
      <c r="B75" s="99" t="s">
        <v>54</v>
      </c>
      <c r="C75" s="99">
        <v>0</v>
      </c>
      <c r="D75" s="101"/>
      <c r="E75" s="146"/>
    </row>
    <row r="76" spans="1:5" ht="21.75" customHeight="1">
      <c r="A76" s="99" t="s">
        <v>79</v>
      </c>
      <c r="B76" s="56" t="s">
        <v>54</v>
      </c>
      <c r="C76" s="56">
        <v>0</v>
      </c>
      <c r="D76" s="101"/>
      <c r="E76" s="146"/>
    </row>
    <row r="77" spans="1:5" ht="36" customHeight="1">
      <c r="A77" s="103" t="s">
        <v>80</v>
      </c>
      <c r="B77" s="99" t="s">
        <v>16</v>
      </c>
      <c r="C77" s="99">
        <v>0</v>
      </c>
      <c r="D77" s="101"/>
      <c r="E77" s="146"/>
    </row>
    <row r="78" spans="1:5" ht="15">
      <c r="A78" s="69"/>
      <c r="B78" s="69"/>
      <c r="C78" s="69"/>
      <c r="D78" s="104"/>
      <c r="E78" s="132"/>
    </row>
    <row r="79" spans="1:14" s="1" customFormat="1" ht="12.75">
      <c r="A79"/>
      <c r="B79"/>
      <c r="C79"/>
      <c r="D79"/>
      <c r="E79" s="132"/>
      <c r="H79" s="1" t="s">
        <v>32</v>
      </c>
      <c r="K79"/>
      <c r="L79"/>
      <c r="M79"/>
      <c r="N79"/>
    </row>
    <row r="80" spans="1:14" s="1" customFormat="1" ht="12.75">
      <c r="A80" t="s">
        <v>81</v>
      </c>
      <c r="B80"/>
      <c r="C80"/>
      <c r="D80"/>
      <c r="E80" s="132"/>
      <c r="K80"/>
      <c r="L80"/>
      <c r="M80"/>
      <c r="N80"/>
    </row>
    <row r="81" spans="1:14" s="1" customFormat="1" ht="12.75">
      <c r="A81"/>
      <c r="B81"/>
      <c r="C81"/>
      <c r="D81"/>
      <c r="E81" s="132"/>
      <c r="H81" s="1" t="s">
        <v>32</v>
      </c>
      <c r="K81"/>
      <c r="L81"/>
      <c r="M81"/>
      <c r="N81"/>
    </row>
    <row r="82" spans="1:14" s="1" customFormat="1" ht="12.75">
      <c r="A82" t="s">
        <v>82</v>
      </c>
      <c r="B82"/>
      <c r="C82"/>
      <c r="D82"/>
      <c r="E82" s="132"/>
      <c r="K82"/>
      <c r="L82"/>
      <c r="M82"/>
      <c r="N82"/>
    </row>
    <row r="86" spans="1:14" s="1" customFormat="1" ht="12.75">
      <c r="A86"/>
      <c r="B86"/>
      <c r="C86"/>
      <c r="D86"/>
      <c r="E86" s="1" t="s">
        <v>32</v>
      </c>
      <c r="K86"/>
      <c r="L86"/>
      <c r="M86"/>
      <c r="N86"/>
    </row>
  </sheetData>
  <sheetProtection selectLockedCells="1" selectUnlockedCells="1"/>
  <mergeCells count="13">
    <mergeCell ref="A1:D1"/>
    <mergeCell ref="A2:D2"/>
    <mergeCell ref="A3:D3"/>
    <mergeCell ref="A4:D4"/>
    <mergeCell ref="A5:D5"/>
    <mergeCell ref="A7:D7"/>
    <mergeCell ref="A74:D74"/>
    <mergeCell ref="A14:D14"/>
    <mergeCell ref="A29:D29"/>
    <mergeCell ref="A43:D43"/>
    <mergeCell ref="A48:D48"/>
    <mergeCell ref="A55:D55"/>
    <mergeCell ref="A69:D69"/>
  </mergeCells>
  <printOptions/>
  <pageMargins left="0.5597222222222222" right="0.7875" top="0.34097222222222223" bottom="0.7875" header="0.5118055555555555" footer="0.5118055555555555"/>
  <pageSetup fitToHeight="3" fitToWidth="2" horizontalDpi="300" verticalDpi="300" orientation="landscape" paperSize="12" r:id="rId1"/>
</worksheet>
</file>

<file path=xl/worksheets/sheet5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6"/>
  <sheetViews>
    <sheetView zoomScale="80" zoomScaleNormal="80" zoomScalePageLayoutView="0" workbookViewId="0" topLeftCell="A34">
      <selection activeCell="D42" sqref="D42"/>
    </sheetView>
  </sheetViews>
  <sheetFormatPr defaultColWidth="11.57421875" defaultRowHeight="12.75"/>
  <cols>
    <col min="1" max="1" width="63.28125" style="0" customWidth="1"/>
    <col min="2" max="2" width="20.28125" style="0" customWidth="1"/>
    <col min="3" max="3" width="31.421875" style="0" customWidth="1"/>
    <col min="4" max="4" width="27.57421875" style="0" customWidth="1"/>
    <col min="5" max="5" width="16.8515625" style="1" customWidth="1"/>
    <col min="6" max="7" width="0" style="1" hidden="1" customWidth="1"/>
    <col min="8" max="8" width="11.57421875" style="1" customWidth="1"/>
    <col min="9" max="9" width="5.28125" style="1" customWidth="1"/>
    <col min="10" max="10" width="30.00390625" style="1" customWidth="1"/>
    <col min="11" max="12" width="23.28125" style="0" customWidth="1"/>
    <col min="13" max="13" width="6.57421875" style="0" customWidth="1"/>
    <col min="14" max="14" width="7.00390625" style="0" customWidth="1"/>
  </cols>
  <sheetData>
    <row r="1" spans="1:4" ht="18">
      <c r="A1" s="265" t="s">
        <v>0</v>
      </c>
      <c r="B1" s="265"/>
      <c r="C1" s="265"/>
      <c r="D1" s="265"/>
    </row>
    <row r="2" spans="1:4" ht="15.75">
      <c r="A2" s="266" t="s">
        <v>1</v>
      </c>
      <c r="B2" s="266"/>
      <c r="C2" s="266"/>
      <c r="D2" s="266"/>
    </row>
    <row r="3" spans="1:4" ht="15.75">
      <c r="A3" s="266" t="s">
        <v>2</v>
      </c>
      <c r="B3" s="266"/>
      <c r="C3" s="266"/>
      <c r="D3" s="266"/>
    </row>
    <row r="4" spans="1:4" ht="12.75">
      <c r="A4" s="267" t="s">
        <v>158</v>
      </c>
      <c r="B4" s="267"/>
      <c r="C4" s="267"/>
      <c r="D4" s="267"/>
    </row>
    <row r="5" spans="1:4" ht="12.75">
      <c r="A5" s="267" t="s">
        <v>3</v>
      </c>
      <c r="B5" s="267"/>
      <c r="C5" s="267"/>
      <c r="D5" s="267"/>
    </row>
    <row r="6" ht="9" customHeight="1">
      <c r="A6" s="2"/>
    </row>
    <row r="7" spans="1:4" ht="18" customHeight="1">
      <c r="A7" s="269" t="s">
        <v>4</v>
      </c>
      <c r="B7" s="269"/>
      <c r="C7" s="269"/>
      <c r="D7" s="269"/>
    </row>
    <row r="8" spans="1:3" ht="12.75">
      <c r="A8" s="2" t="s">
        <v>275</v>
      </c>
      <c r="C8" s="3"/>
    </row>
    <row r="9" spans="1:4" ht="12.75">
      <c r="A9" s="4" t="s">
        <v>5</v>
      </c>
      <c r="B9" s="4" t="s">
        <v>6</v>
      </c>
      <c r="C9" s="4" t="s">
        <v>7</v>
      </c>
      <c r="D9" s="5"/>
    </row>
    <row r="10" spans="1:4" ht="12.75">
      <c r="A10" s="6">
        <v>1</v>
      </c>
      <c r="B10" s="6">
        <v>2</v>
      </c>
      <c r="C10" s="6">
        <v>3</v>
      </c>
      <c r="D10" s="7">
        <v>4</v>
      </c>
    </row>
    <row r="11" spans="1:4" ht="12.75">
      <c r="A11" s="8" t="s">
        <v>8</v>
      </c>
      <c r="B11" s="9"/>
      <c r="C11" s="9" t="s">
        <v>9</v>
      </c>
      <c r="D11" s="10"/>
    </row>
    <row r="12" spans="1:8" ht="12.75">
      <c r="A12" s="8" t="s">
        <v>10</v>
      </c>
      <c r="B12" s="9"/>
      <c r="C12" s="9" t="s">
        <v>11</v>
      </c>
      <c r="D12" s="10"/>
      <c r="E12" s="132"/>
      <c r="F12" s="132"/>
      <c r="G12" s="132"/>
      <c r="H12" s="132"/>
    </row>
    <row r="13" spans="1:8" ht="12.75">
      <c r="A13" s="8" t="s">
        <v>12</v>
      </c>
      <c r="B13" s="9"/>
      <c r="C13" s="9" t="s">
        <v>13</v>
      </c>
      <c r="D13" s="10"/>
      <c r="E13" s="132"/>
      <c r="F13" s="132"/>
      <c r="G13" s="132"/>
      <c r="H13" s="132"/>
    </row>
    <row r="14" spans="1:8" ht="31.5" customHeight="1">
      <c r="A14" s="259" t="s">
        <v>14</v>
      </c>
      <c r="B14" s="259"/>
      <c r="C14" s="259"/>
      <c r="D14" s="259"/>
      <c r="E14" s="132"/>
      <c r="F14" s="132"/>
      <c r="G14" s="132"/>
      <c r="H14" s="132"/>
    </row>
    <row r="15" spans="1:8" ht="25.5">
      <c r="A15" s="11" t="s">
        <v>15</v>
      </c>
      <c r="B15" s="12" t="s">
        <v>16</v>
      </c>
      <c r="C15" s="13">
        <v>4419.43</v>
      </c>
      <c r="D15" s="14"/>
      <c r="E15" s="132"/>
      <c r="F15" s="132"/>
      <c r="G15" s="132"/>
      <c r="H15" s="132"/>
    </row>
    <row r="16" spans="1:8" ht="15">
      <c r="A16" s="8" t="s">
        <v>17</v>
      </c>
      <c r="B16" s="12" t="s">
        <v>16</v>
      </c>
      <c r="C16" s="13">
        <v>0</v>
      </c>
      <c r="D16" s="14"/>
      <c r="E16" s="132"/>
      <c r="F16" s="132"/>
      <c r="G16" s="132"/>
      <c r="H16" s="132"/>
    </row>
    <row r="17" spans="1:8" ht="15">
      <c r="A17" s="8" t="s">
        <v>18</v>
      </c>
      <c r="B17" s="12" t="s">
        <v>16</v>
      </c>
      <c r="C17" s="15">
        <v>12.32</v>
      </c>
      <c r="D17" s="16"/>
      <c r="E17" s="132" t="e">
        <f>B17/12/1022.6</f>
        <v>#VALUE!</v>
      </c>
      <c r="F17" s="132"/>
      <c r="G17" s="132"/>
      <c r="H17" s="132"/>
    </row>
    <row r="18" spans="1:8" ht="31.5" customHeight="1">
      <c r="A18" s="17" t="s">
        <v>19</v>
      </c>
      <c r="B18" s="12" t="s">
        <v>16</v>
      </c>
      <c r="C18" s="15">
        <v>13693.56</v>
      </c>
      <c r="D18" s="16"/>
      <c r="E18" s="133">
        <f>C18-C20</f>
        <v>10188.887999999999</v>
      </c>
      <c r="F18" s="132"/>
      <c r="G18" s="132"/>
      <c r="H18" s="132"/>
    </row>
    <row r="19" spans="1:8" ht="15">
      <c r="A19" s="8" t="s">
        <v>20</v>
      </c>
      <c r="B19" s="12" t="s">
        <v>16</v>
      </c>
      <c r="C19" s="15">
        <f>C18-C20-C21</f>
        <v>5515.799999999999</v>
      </c>
      <c r="D19" s="16"/>
      <c r="E19" s="133">
        <f>E18-E39</f>
        <v>0.004000000000814907</v>
      </c>
      <c r="F19" s="132"/>
      <c r="G19" s="132"/>
      <c r="H19" s="132"/>
    </row>
    <row r="20" spans="1:8" ht="15">
      <c r="A20" s="8" t="s">
        <v>21</v>
      </c>
      <c r="B20" s="12" t="s">
        <v>16</v>
      </c>
      <c r="C20" s="15">
        <f>(1.71+2.93)*6*79.8+1283.04</f>
        <v>3504.672</v>
      </c>
      <c r="D20" s="16"/>
      <c r="E20" s="134"/>
      <c r="F20" s="132"/>
      <c r="G20" s="132"/>
      <c r="H20" s="132"/>
    </row>
    <row r="21" spans="1:8" ht="15">
      <c r="A21" s="8" t="s">
        <v>22</v>
      </c>
      <c r="B21" s="12" t="s">
        <v>16</v>
      </c>
      <c r="C21" s="20">
        <f>79.8*4.88*12</f>
        <v>4673.088</v>
      </c>
      <c r="D21" s="16"/>
      <c r="E21" s="132"/>
      <c r="F21" s="132"/>
      <c r="G21" s="132"/>
      <c r="H21" s="132"/>
    </row>
    <row r="22" spans="1:8" ht="15">
      <c r="A22" s="21" t="s">
        <v>23</v>
      </c>
      <c r="B22" s="12" t="s">
        <v>16</v>
      </c>
      <c r="C22" s="15">
        <f>C23+C24+C25+C26+C27</f>
        <v>13681.235795999999</v>
      </c>
      <c r="D22" s="16" t="s">
        <v>24</v>
      </c>
      <c r="E22" s="133" t="e">
        <f>B24+B25+B26+B27+B28</f>
        <v>#VALUE!</v>
      </c>
      <c r="F22" s="132"/>
      <c r="G22" s="132"/>
      <c r="H22" s="132"/>
    </row>
    <row r="23" spans="1:8" ht="15">
      <c r="A23" s="8" t="s">
        <v>25</v>
      </c>
      <c r="B23" s="12" t="s">
        <v>16</v>
      </c>
      <c r="C23" s="15">
        <f>C18*0.9991</f>
        <v>13681.235795999999</v>
      </c>
      <c r="D23" s="16"/>
      <c r="E23" s="132"/>
      <c r="F23" s="132"/>
      <c r="G23" s="132"/>
      <c r="H23" s="132"/>
    </row>
    <row r="24" spans="1:8" ht="15">
      <c r="A24" s="8" t="s">
        <v>26</v>
      </c>
      <c r="B24" s="12" t="s">
        <v>16</v>
      </c>
      <c r="C24" s="15">
        <v>0</v>
      </c>
      <c r="D24" s="22">
        <v>65.21</v>
      </c>
      <c r="E24" s="134" t="e">
        <f>B24/#REF!*1</f>
        <v>#VALUE!</v>
      </c>
      <c r="F24" s="132"/>
      <c r="G24" s="132"/>
      <c r="H24" s="132" t="s">
        <v>27</v>
      </c>
    </row>
    <row r="25" spans="1:8" ht="15">
      <c r="A25" s="8" t="s">
        <v>28</v>
      </c>
      <c r="B25" s="12" t="s">
        <v>16</v>
      </c>
      <c r="C25" s="15">
        <v>0</v>
      </c>
      <c r="D25" s="22">
        <v>119.63</v>
      </c>
      <c r="E25" s="134" t="e">
        <f>B25/#REF!*1</f>
        <v>#VALUE!</v>
      </c>
      <c r="F25" s="132"/>
      <c r="G25" s="132"/>
      <c r="H25" s="132"/>
    </row>
    <row r="26" spans="1:8" ht="15">
      <c r="A26" s="9" t="s">
        <v>29</v>
      </c>
      <c r="B26" s="12" t="s">
        <v>16</v>
      </c>
      <c r="C26" s="15">
        <v>0</v>
      </c>
      <c r="D26" s="22"/>
      <c r="E26" s="134" t="e">
        <f>B26/#REF!*1</f>
        <v>#VALUE!</v>
      </c>
      <c r="F26" s="132"/>
      <c r="G26" s="132"/>
      <c r="H26" s="132"/>
    </row>
    <row r="27" spans="1:8" ht="16.5" customHeight="1">
      <c r="A27" s="116" t="s">
        <v>112</v>
      </c>
      <c r="B27" s="12" t="s">
        <v>16</v>
      </c>
      <c r="C27" s="15">
        <v>0</v>
      </c>
      <c r="D27" s="22">
        <v>139.18</v>
      </c>
      <c r="E27" s="134" t="e">
        <f>B27/#REF!*1</f>
        <v>#VALUE!</v>
      </c>
      <c r="F27" s="132"/>
      <c r="G27" s="132"/>
      <c r="H27" s="132"/>
    </row>
    <row r="28" spans="1:8" ht="15">
      <c r="A28" s="8" t="s">
        <v>31</v>
      </c>
      <c r="B28" s="12" t="s">
        <v>16</v>
      </c>
      <c r="C28" s="15">
        <f>C15+C22</f>
        <v>18100.665796</v>
      </c>
      <c r="D28" s="16" t="s">
        <v>32</v>
      </c>
      <c r="E28" s="134" t="e">
        <f>B28/#REF!*1</f>
        <v>#VALUE!</v>
      </c>
      <c r="F28" s="132"/>
      <c r="G28" s="132"/>
      <c r="H28" s="132"/>
    </row>
    <row r="29" spans="1:8" ht="35.25" customHeight="1">
      <c r="A29" s="260" t="s">
        <v>33</v>
      </c>
      <c r="B29" s="260"/>
      <c r="C29" s="260"/>
      <c r="D29" s="260"/>
      <c r="E29" s="132"/>
      <c r="F29" s="132"/>
      <c r="G29" s="132"/>
      <c r="H29" s="132"/>
    </row>
    <row r="30" spans="1:8" ht="60">
      <c r="A30" s="23" t="s">
        <v>34</v>
      </c>
      <c r="B30" s="24" t="s">
        <v>35</v>
      </c>
      <c r="C30" s="25" t="s">
        <v>36</v>
      </c>
      <c r="D30" s="26" t="s">
        <v>37</v>
      </c>
      <c r="E30" s="132"/>
      <c r="F30" s="132"/>
      <c r="G30" s="132"/>
      <c r="H30" s="132"/>
    </row>
    <row r="31" spans="1:8" ht="15">
      <c r="A31" s="27" t="s">
        <v>38</v>
      </c>
      <c r="B31" s="28" t="s">
        <v>39</v>
      </c>
      <c r="C31" s="29" t="s">
        <v>40</v>
      </c>
      <c r="D31" s="107">
        <f>(0.17+0.16)*6*79.8</f>
        <v>158.004</v>
      </c>
      <c r="E31" s="132"/>
      <c r="F31" s="132"/>
      <c r="G31" s="132"/>
      <c r="H31" s="132"/>
    </row>
    <row r="32" spans="1:8" ht="15">
      <c r="A32" s="31" t="s">
        <v>41</v>
      </c>
      <c r="B32" s="32" t="s">
        <v>42</v>
      </c>
      <c r="C32" s="33" t="s">
        <v>43</v>
      </c>
      <c r="D32" s="34">
        <f>(3.03+3)*6*79.8</f>
        <v>2887.1639999999993</v>
      </c>
      <c r="E32" s="132"/>
      <c r="F32" s="132"/>
      <c r="G32" s="132"/>
      <c r="H32" s="132"/>
    </row>
    <row r="33" spans="1:8" ht="15">
      <c r="A33" s="31" t="s">
        <v>44</v>
      </c>
      <c r="B33" s="32" t="s">
        <v>39</v>
      </c>
      <c r="C33" s="33" t="s">
        <v>45</v>
      </c>
      <c r="D33" s="108">
        <f>(0.21+0.2)*6*79.8</f>
        <v>196.308</v>
      </c>
      <c r="E33" s="132"/>
      <c r="F33" s="132"/>
      <c r="G33" s="132"/>
      <c r="H33" s="132"/>
    </row>
    <row r="34" spans="1:8" ht="15">
      <c r="A34" s="31" t="s">
        <v>123</v>
      </c>
      <c r="B34" s="32" t="s">
        <v>39</v>
      </c>
      <c r="C34" s="33" t="s">
        <v>40</v>
      </c>
      <c r="D34" s="108">
        <f>(0.23+0.22)*6*79.8</f>
        <v>215.46</v>
      </c>
      <c r="E34" s="132"/>
      <c r="F34" s="132"/>
      <c r="G34" s="132"/>
      <c r="H34" s="132"/>
    </row>
    <row r="35" spans="1:8" ht="15">
      <c r="A35" s="31" t="s">
        <v>90</v>
      </c>
      <c r="B35" s="106" t="s">
        <v>91</v>
      </c>
      <c r="C35" s="33" t="s">
        <v>40</v>
      </c>
      <c r="D35" s="108">
        <f>(1.33+1.27)*6*79.8</f>
        <v>1244.88</v>
      </c>
      <c r="E35" s="132"/>
      <c r="F35" s="132"/>
      <c r="G35" s="132"/>
      <c r="H35" s="132"/>
    </row>
    <row r="36" spans="1:8" ht="15">
      <c r="A36" s="31" t="s">
        <v>46</v>
      </c>
      <c r="B36" s="32" t="s">
        <v>42</v>
      </c>
      <c r="C36" s="35" t="s">
        <v>47</v>
      </c>
      <c r="D36" s="108">
        <f>4.88*79.8*12</f>
        <v>4673.088</v>
      </c>
      <c r="E36" s="132"/>
      <c r="F36" s="132"/>
      <c r="G36" s="132"/>
      <c r="H36" s="132"/>
    </row>
    <row r="37" spans="1:14" s="1" customFormat="1" ht="45">
      <c r="A37" s="36" t="s">
        <v>48</v>
      </c>
      <c r="B37" s="37" t="s">
        <v>49</v>
      </c>
      <c r="C37" s="131" t="s">
        <v>86</v>
      </c>
      <c r="D37" s="39">
        <v>0</v>
      </c>
      <c r="E37" s="132"/>
      <c r="F37" s="132"/>
      <c r="G37" s="132"/>
      <c r="H37" s="132"/>
      <c r="K37"/>
      <c r="L37"/>
      <c r="M37"/>
      <c r="N37"/>
    </row>
    <row r="38" spans="1:14" s="1" customFormat="1" ht="45">
      <c r="A38" s="109" t="s">
        <v>95</v>
      </c>
      <c r="B38" s="110" t="s">
        <v>96</v>
      </c>
      <c r="C38" s="29" t="s">
        <v>97</v>
      </c>
      <c r="D38" s="112">
        <v>813.98</v>
      </c>
      <c r="E38" s="132"/>
      <c r="F38" s="132"/>
      <c r="G38" s="132"/>
      <c r="H38" s="132"/>
      <c r="K38"/>
      <c r="L38"/>
      <c r="M38"/>
      <c r="N38"/>
    </row>
    <row r="39" spans="1:14" s="1" customFormat="1" ht="15.75">
      <c r="A39" s="40" t="s">
        <v>50</v>
      </c>
      <c r="B39" s="41"/>
      <c r="C39" s="42"/>
      <c r="D39" s="113">
        <f>SUM(D31:D38)</f>
        <v>10188.883999999998</v>
      </c>
      <c r="E39" s="135">
        <f>D39-D37</f>
        <v>10188.883999999998</v>
      </c>
      <c r="F39" s="132"/>
      <c r="G39" s="132"/>
      <c r="H39" s="132"/>
      <c r="K39"/>
      <c r="L39"/>
      <c r="M39"/>
      <c r="N39"/>
    </row>
    <row r="40" spans="1:14" s="1" customFormat="1" ht="15">
      <c r="A40" s="43" t="s">
        <v>51</v>
      </c>
      <c r="B40" s="44" t="s">
        <v>16</v>
      </c>
      <c r="C40" s="45"/>
      <c r="D40" s="46">
        <f>C15+C20*0.9991-D37</f>
        <v>7920.9477952</v>
      </c>
      <c r="E40" s="135"/>
      <c r="F40" s="132"/>
      <c r="G40" s="132"/>
      <c r="H40" s="132"/>
      <c r="K40"/>
      <c r="L40"/>
      <c r="M40"/>
      <c r="N40"/>
    </row>
    <row r="41" spans="1:14" s="1" customFormat="1" ht="15">
      <c r="A41" s="48" t="s">
        <v>17</v>
      </c>
      <c r="B41" s="49" t="s">
        <v>16</v>
      </c>
      <c r="C41" s="33"/>
      <c r="D41" s="14"/>
      <c r="E41" s="132"/>
      <c r="F41" s="132"/>
      <c r="G41" s="132"/>
      <c r="H41" s="132"/>
      <c r="K41"/>
      <c r="L41"/>
      <c r="M41"/>
      <c r="N41"/>
    </row>
    <row r="42" spans="1:14" s="1" customFormat="1" ht="15">
      <c r="A42" s="48" t="s">
        <v>18</v>
      </c>
      <c r="B42" s="49" t="s">
        <v>16</v>
      </c>
      <c r="C42" s="33"/>
      <c r="D42" s="14">
        <v>0</v>
      </c>
      <c r="E42" s="132"/>
      <c r="F42" s="132"/>
      <c r="G42" s="132"/>
      <c r="H42" s="132"/>
      <c r="K42"/>
      <c r="L42"/>
      <c r="M42"/>
      <c r="N42"/>
    </row>
    <row r="43" spans="1:14" s="1" customFormat="1" ht="24" customHeight="1">
      <c r="A43" s="261" t="s">
        <v>52</v>
      </c>
      <c r="B43" s="261"/>
      <c r="C43" s="261"/>
      <c r="D43" s="261"/>
      <c r="E43" s="132"/>
      <c r="F43" s="132"/>
      <c r="G43" s="132"/>
      <c r="H43" s="132"/>
      <c r="K43"/>
      <c r="L43"/>
      <c r="M43"/>
      <c r="N43"/>
    </row>
    <row r="44" spans="1:14" s="1" customFormat="1" ht="15">
      <c r="A44" s="48" t="s">
        <v>53</v>
      </c>
      <c r="B44" s="32" t="s">
        <v>54</v>
      </c>
      <c r="C44" s="33">
        <v>0</v>
      </c>
      <c r="D44" s="14">
        <v>0</v>
      </c>
      <c r="E44" s="132"/>
      <c r="F44" s="132"/>
      <c r="G44" s="132"/>
      <c r="H44" s="132"/>
      <c r="K44"/>
      <c r="L44"/>
      <c r="M44"/>
      <c r="N44"/>
    </row>
    <row r="45" spans="1:14" s="1" customFormat="1" ht="15">
      <c r="A45" s="48" t="s">
        <v>55</v>
      </c>
      <c r="B45" s="32" t="s">
        <v>54</v>
      </c>
      <c r="C45" s="33">
        <v>0</v>
      </c>
      <c r="D45" s="14">
        <v>0</v>
      </c>
      <c r="E45" s="132"/>
      <c r="F45" s="132"/>
      <c r="G45" s="132"/>
      <c r="H45" s="132"/>
      <c r="K45"/>
      <c r="L45"/>
      <c r="M45"/>
      <c r="N45"/>
    </row>
    <row r="46" spans="1:14" s="1" customFormat="1" ht="15">
      <c r="A46" s="50" t="s">
        <v>56</v>
      </c>
      <c r="B46" s="32" t="s">
        <v>54</v>
      </c>
      <c r="C46" s="33">
        <v>0</v>
      </c>
      <c r="D46" s="14">
        <v>0</v>
      </c>
      <c r="E46" s="132"/>
      <c r="F46" s="132"/>
      <c r="G46" s="132"/>
      <c r="H46" s="132"/>
      <c r="K46"/>
      <c r="L46"/>
      <c r="M46"/>
      <c r="N46"/>
    </row>
    <row r="47" spans="1:14" s="1" customFormat="1" ht="15">
      <c r="A47" s="48" t="s">
        <v>57</v>
      </c>
      <c r="B47" s="32" t="s">
        <v>16</v>
      </c>
      <c r="C47" s="33">
        <v>0</v>
      </c>
      <c r="D47" s="14">
        <v>0</v>
      </c>
      <c r="E47" s="132"/>
      <c r="F47" s="132"/>
      <c r="G47" s="132"/>
      <c r="H47" s="132"/>
      <c r="K47"/>
      <c r="L47"/>
      <c r="M47"/>
      <c r="N47"/>
    </row>
    <row r="48" spans="1:8" ht="20.25" customHeight="1">
      <c r="A48" s="262" t="s">
        <v>58</v>
      </c>
      <c r="B48" s="262"/>
      <c r="C48" s="262"/>
      <c r="D48" s="262"/>
      <c r="E48" s="132"/>
      <c r="F48" s="132"/>
      <c r="G48" s="132"/>
      <c r="H48" s="132"/>
    </row>
    <row r="49" spans="1:8" ht="25.5">
      <c r="A49" s="50" t="s">
        <v>59</v>
      </c>
      <c r="B49" s="32" t="s">
        <v>16</v>
      </c>
      <c r="C49" s="33"/>
      <c r="D49" s="14">
        <v>0</v>
      </c>
      <c r="E49" s="132"/>
      <c r="F49" s="132"/>
      <c r="G49" s="132"/>
      <c r="H49" s="132"/>
    </row>
    <row r="50" spans="1:8" ht="15">
      <c r="A50" s="48" t="s">
        <v>17</v>
      </c>
      <c r="B50" s="32" t="s">
        <v>16</v>
      </c>
      <c r="C50" s="33"/>
      <c r="D50" s="14">
        <v>0</v>
      </c>
      <c r="E50" s="132"/>
      <c r="F50" s="132"/>
      <c r="G50" s="132"/>
      <c r="H50" s="132"/>
    </row>
    <row r="51" spans="1:8" ht="15">
      <c r="A51" s="48" t="s">
        <v>18</v>
      </c>
      <c r="B51" s="32" t="s">
        <v>16</v>
      </c>
      <c r="C51" s="33"/>
      <c r="D51" s="51">
        <f>D54+D57</f>
        <v>4.217400000000453</v>
      </c>
      <c r="E51" s="132"/>
      <c r="F51" s="132"/>
      <c r="G51" s="132"/>
      <c r="H51" s="136"/>
    </row>
    <row r="52" spans="1:8" ht="25.5">
      <c r="A52" s="53" t="s">
        <v>60</v>
      </c>
      <c r="B52" s="32" t="s">
        <v>16</v>
      </c>
      <c r="C52" s="54"/>
      <c r="D52" s="55">
        <v>0</v>
      </c>
      <c r="E52" s="132"/>
      <c r="F52" s="132"/>
      <c r="G52" s="132"/>
      <c r="H52" s="132"/>
    </row>
    <row r="53" spans="1:10" ht="17.25" customHeight="1">
      <c r="A53" s="56" t="s">
        <v>17</v>
      </c>
      <c r="B53" s="32" t="s">
        <v>16</v>
      </c>
      <c r="C53" s="33"/>
      <c r="D53" s="14">
        <v>0</v>
      </c>
      <c r="E53" s="132"/>
      <c r="F53" s="132"/>
      <c r="G53" s="132"/>
      <c r="H53" s="132"/>
      <c r="I53" s="52"/>
      <c r="J53" s="52"/>
    </row>
    <row r="54" spans="1:14" ht="15">
      <c r="A54" s="59" t="s">
        <v>18</v>
      </c>
      <c r="B54" s="32" t="s">
        <v>16</v>
      </c>
      <c r="C54" s="60"/>
      <c r="D54" s="61">
        <v>0</v>
      </c>
      <c r="E54" s="132"/>
      <c r="F54" s="132"/>
      <c r="G54" s="132"/>
      <c r="H54" s="132" t="s">
        <v>32</v>
      </c>
      <c r="I54" s="63"/>
      <c r="J54" s="63"/>
      <c r="K54" s="64"/>
      <c r="L54" s="64"/>
      <c r="M54" s="64"/>
      <c r="N54" s="64"/>
    </row>
    <row r="55" spans="1:14" ht="18" customHeight="1">
      <c r="A55" s="263" t="s">
        <v>61</v>
      </c>
      <c r="B55" s="263"/>
      <c r="C55" s="263"/>
      <c r="D55" s="263"/>
      <c r="E55" s="137"/>
      <c r="F55" s="138"/>
      <c r="G55" s="139"/>
      <c r="H55" s="132"/>
      <c r="I55" s="68"/>
      <c r="J55" s="68"/>
      <c r="K55" s="69"/>
      <c r="L55" s="69"/>
      <c r="M55" s="69"/>
      <c r="N55" s="69"/>
    </row>
    <row r="56" spans="1:14" ht="47.25">
      <c r="A56" s="70" t="s">
        <v>62</v>
      </c>
      <c r="B56" s="71" t="s">
        <v>63</v>
      </c>
      <c r="C56" s="72" t="s">
        <v>64</v>
      </c>
      <c r="D56" s="73" t="s">
        <v>65</v>
      </c>
      <c r="E56" s="137"/>
      <c r="F56" s="138"/>
      <c r="G56" s="139"/>
      <c r="H56" s="132"/>
      <c r="I56" s="68"/>
      <c r="J56" s="74"/>
      <c r="K56" s="69"/>
      <c r="L56" s="69"/>
      <c r="M56" s="69"/>
      <c r="N56" s="69"/>
    </row>
    <row r="57" spans="1:14" ht="15">
      <c r="A57" s="75" t="s">
        <v>66</v>
      </c>
      <c r="B57" s="117">
        <v>4686</v>
      </c>
      <c r="C57" s="118">
        <f>B57*0.9991</f>
        <v>4681.7826</v>
      </c>
      <c r="D57" s="119">
        <f>B57-C57</f>
        <v>4.217400000000453</v>
      </c>
      <c r="E57" s="140"/>
      <c r="F57" s="138"/>
      <c r="G57" s="139"/>
      <c r="H57" s="132"/>
      <c r="I57" s="68"/>
      <c r="J57" s="68"/>
      <c r="K57" s="69"/>
      <c r="L57" s="69"/>
      <c r="M57" s="69"/>
      <c r="N57" s="69"/>
    </row>
    <row r="58" spans="1:14" ht="15">
      <c r="A58" s="75" t="s">
        <v>67</v>
      </c>
      <c r="B58" s="117">
        <v>0</v>
      </c>
      <c r="C58" s="118">
        <f>B58*0.8954</f>
        <v>0</v>
      </c>
      <c r="D58" s="119">
        <f>B58-C58</f>
        <v>0</v>
      </c>
      <c r="E58" s="137"/>
      <c r="F58" s="138"/>
      <c r="G58" s="139"/>
      <c r="H58" s="132"/>
      <c r="I58" s="68"/>
      <c r="J58" s="68"/>
      <c r="K58" s="69"/>
      <c r="L58" s="69"/>
      <c r="M58" s="69"/>
      <c r="N58" s="69"/>
    </row>
    <row r="59" spans="1:14" ht="15">
      <c r="A59" s="75" t="s">
        <v>68</v>
      </c>
      <c r="B59" s="120">
        <v>0</v>
      </c>
      <c r="C59" s="118">
        <f>B59*0.8954</f>
        <v>0</v>
      </c>
      <c r="D59" s="119">
        <f>B59-C59</f>
        <v>0</v>
      </c>
      <c r="E59" s="137">
        <f>(2.07+1.8)*6*2301.2-0.37*2301.2*6</f>
        <v>48325.2</v>
      </c>
      <c r="F59" s="141"/>
      <c r="G59" s="142"/>
      <c r="H59" s="137"/>
      <c r="I59" s="68"/>
      <c r="J59" s="68"/>
      <c r="K59" s="69"/>
      <c r="L59" s="69"/>
      <c r="M59" s="69"/>
      <c r="N59" s="69"/>
    </row>
    <row r="60" spans="1:14" ht="15.75" thickBot="1">
      <c r="A60" s="150" t="s">
        <v>69</v>
      </c>
      <c r="B60" s="151">
        <v>0</v>
      </c>
      <c r="C60" s="152">
        <f>B60*0.8954</f>
        <v>0</v>
      </c>
      <c r="D60" s="153">
        <f>B60-C60</f>
        <v>0</v>
      </c>
      <c r="E60" s="137"/>
      <c r="F60" s="141"/>
      <c r="G60" s="142"/>
      <c r="H60" s="132"/>
      <c r="I60" s="68"/>
      <c r="J60" s="68"/>
      <c r="K60" s="69"/>
      <c r="L60" s="69"/>
      <c r="M60" s="69"/>
      <c r="N60" s="69"/>
    </row>
    <row r="61" spans="1:14" ht="63">
      <c r="A61" s="154" t="s">
        <v>70</v>
      </c>
      <c r="B61" s="155" t="s">
        <v>71</v>
      </c>
      <c r="C61" s="156" t="s">
        <v>72</v>
      </c>
      <c r="D61" s="157" t="s">
        <v>73</v>
      </c>
      <c r="E61" s="137"/>
      <c r="F61" s="141"/>
      <c r="G61" s="132"/>
      <c r="H61" s="143"/>
      <c r="I61" s="68"/>
      <c r="J61" s="68"/>
      <c r="K61" s="69"/>
      <c r="L61" s="69"/>
      <c r="M61" s="69"/>
      <c r="N61" s="69"/>
    </row>
    <row r="62" spans="1:14" ht="15">
      <c r="A62" s="158" t="s">
        <v>66</v>
      </c>
      <c r="B62" s="124">
        <f>B57</f>
        <v>4686</v>
      </c>
      <c r="C62" s="125">
        <f>C57</f>
        <v>4681.7826</v>
      </c>
      <c r="D62" s="159">
        <f>B62-C62</f>
        <v>4.217400000000453</v>
      </c>
      <c r="E62" s="137"/>
      <c r="F62" s="141"/>
      <c r="G62" s="132"/>
      <c r="H62" s="143"/>
      <c r="I62" s="68"/>
      <c r="J62" s="68" t="s">
        <v>32</v>
      </c>
      <c r="K62" s="69"/>
      <c r="L62" s="69"/>
      <c r="M62" s="69"/>
      <c r="N62" s="69"/>
    </row>
    <row r="63" spans="1:14" ht="15">
      <c r="A63" s="158" t="s">
        <v>67</v>
      </c>
      <c r="B63" s="124">
        <v>0</v>
      </c>
      <c r="C63" s="125">
        <v>0</v>
      </c>
      <c r="D63" s="159">
        <f>B63-C63</f>
        <v>0</v>
      </c>
      <c r="E63" s="137"/>
      <c r="F63" s="141"/>
      <c r="G63" s="132"/>
      <c r="H63" s="143"/>
      <c r="I63" s="68"/>
      <c r="J63" s="68"/>
      <c r="K63" s="69"/>
      <c r="L63" s="69"/>
      <c r="M63" s="69"/>
      <c r="N63" s="69"/>
    </row>
    <row r="64" spans="1:14" ht="15">
      <c r="A64" s="158" t="s">
        <v>68</v>
      </c>
      <c r="B64" s="124">
        <v>0</v>
      </c>
      <c r="C64" s="125">
        <v>0</v>
      </c>
      <c r="D64" s="159">
        <f>B64-C64</f>
        <v>0</v>
      </c>
      <c r="E64" s="137"/>
      <c r="F64" s="141"/>
      <c r="G64" s="132"/>
      <c r="H64" s="143"/>
      <c r="I64" s="68"/>
      <c r="J64" s="68"/>
      <c r="K64" s="69"/>
      <c r="L64" s="69"/>
      <c r="M64" s="69"/>
      <c r="N64" s="69"/>
    </row>
    <row r="65" spans="1:14" ht="15">
      <c r="A65" s="158" t="s">
        <v>74</v>
      </c>
      <c r="B65" s="124">
        <v>0</v>
      </c>
      <c r="C65" s="125">
        <v>0</v>
      </c>
      <c r="D65" s="159">
        <f>B65-C65</f>
        <v>0</v>
      </c>
      <c r="E65" s="137"/>
      <c r="F65" s="141"/>
      <c r="G65" s="132"/>
      <c r="H65" s="143"/>
      <c r="I65" s="68"/>
      <c r="J65" s="68"/>
      <c r="K65" s="69"/>
      <c r="L65" s="69"/>
      <c r="M65" s="69"/>
      <c r="N65" s="69"/>
    </row>
    <row r="66" spans="1:14" ht="15.75" thickBot="1">
      <c r="A66" s="160" t="s">
        <v>69</v>
      </c>
      <c r="B66" s="161">
        <v>0</v>
      </c>
      <c r="C66" s="162">
        <v>0</v>
      </c>
      <c r="D66" s="163">
        <f>B66-C66</f>
        <v>0</v>
      </c>
      <c r="E66" s="137"/>
      <c r="F66" s="141"/>
      <c r="G66" s="132"/>
      <c r="H66" s="143" t="s">
        <v>32</v>
      </c>
      <c r="I66" s="68"/>
      <c r="J66" s="68"/>
      <c r="K66" s="69"/>
      <c r="L66" s="69"/>
      <c r="M66" s="69"/>
      <c r="N66" s="69"/>
    </row>
    <row r="67" spans="1:14" ht="15">
      <c r="A67" s="91"/>
      <c r="B67" s="87"/>
      <c r="C67" s="92"/>
      <c r="D67" s="93"/>
      <c r="E67" s="137"/>
      <c r="F67" s="141"/>
      <c r="G67" s="132"/>
      <c r="H67" s="143"/>
      <c r="I67" s="68"/>
      <c r="J67" s="68"/>
      <c r="K67" s="69"/>
      <c r="L67" s="69"/>
      <c r="M67" s="69"/>
      <c r="N67" s="69"/>
    </row>
    <row r="68" spans="1:14" ht="25.5">
      <c r="A68" s="94" t="s">
        <v>75</v>
      </c>
      <c r="B68" s="87" t="s">
        <v>16</v>
      </c>
      <c r="C68" s="95"/>
      <c r="D68" s="96">
        <v>0</v>
      </c>
      <c r="E68" s="137"/>
      <c r="F68" s="141"/>
      <c r="G68" s="132"/>
      <c r="H68" s="143"/>
      <c r="I68" s="68"/>
      <c r="J68" s="68" t="s">
        <v>32</v>
      </c>
      <c r="K68" s="69"/>
      <c r="L68" s="69"/>
      <c r="M68" s="69"/>
      <c r="N68" s="69"/>
    </row>
    <row r="69" spans="1:14" ht="17.25" customHeight="1">
      <c r="A69" s="264" t="s">
        <v>76</v>
      </c>
      <c r="B69" s="264"/>
      <c r="C69" s="264"/>
      <c r="D69" s="264"/>
      <c r="E69" s="144" t="e">
        <f>D69+B19</f>
        <v>#VALUE!</v>
      </c>
      <c r="F69" s="143"/>
      <c r="G69" s="132"/>
      <c r="H69" s="145" t="e">
        <f>E69-B18</f>
        <v>#VALUE!</v>
      </c>
      <c r="I69" s="68"/>
      <c r="J69" s="68"/>
      <c r="K69" s="69"/>
      <c r="L69" s="69"/>
      <c r="M69" s="69"/>
      <c r="N69" s="69"/>
    </row>
    <row r="70" spans="1:8" ht="21" customHeight="1">
      <c r="A70" s="99" t="s">
        <v>53</v>
      </c>
      <c r="B70" s="99" t="s">
        <v>54</v>
      </c>
      <c r="C70" s="100">
        <v>0</v>
      </c>
      <c r="D70" s="101"/>
      <c r="E70" s="146"/>
      <c r="F70" s="132"/>
      <c r="G70" s="132"/>
      <c r="H70" s="132"/>
    </row>
    <row r="71" spans="1:8" ht="21" customHeight="1">
      <c r="A71" s="99" t="s">
        <v>55</v>
      </c>
      <c r="B71" s="99" t="s">
        <v>54</v>
      </c>
      <c r="C71" s="99">
        <v>0</v>
      </c>
      <c r="D71" s="101"/>
      <c r="E71" s="146"/>
      <c r="F71" s="132"/>
      <c r="G71" s="132"/>
      <c r="H71" s="132"/>
    </row>
    <row r="72" spans="1:8" ht="18" customHeight="1">
      <c r="A72" s="99" t="s">
        <v>56</v>
      </c>
      <c r="B72" s="99" t="s">
        <v>54</v>
      </c>
      <c r="C72" s="99">
        <v>0</v>
      </c>
      <c r="D72" s="101"/>
      <c r="E72" s="146"/>
      <c r="F72" s="132"/>
      <c r="G72" s="132"/>
      <c r="H72" s="132"/>
    </row>
    <row r="73" spans="1:8" ht="16.5" customHeight="1">
      <c r="A73" s="99" t="s">
        <v>57</v>
      </c>
      <c r="B73" s="99" t="s">
        <v>16</v>
      </c>
      <c r="C73" s="99">
        <v>0</v>
      </c>
      <c r="D73" s="101"/>
      <c r="E73" s="146"/>
      <c r="F73" s="132"/>
      <c r="G73" s="132"/>
      <c r="H73" s="132"/>
    </row>
    <row r="74" spans="1:8" ht="15.75" customHeight="1">
      <c r="A74" s="258" t="s">
        <v>77</v>
      </c>
      <c r="B74" s="258"/>
      <c r="C74" s="258"/>
      <c r="D74" s="258"/>
      <c r="E74" s="146"/>
      <c r="F74" s="132"/>
      <c r="G74" s="132"/>
      <c r="H74" s="132"/>
    </row>
    <row r="75" spans="1:8" ht="18.75" customHeight="1">
      <c r="A75" s="99" t="s">
        <v>78</v>
      </c>
      <c r="B75" s="99" t="s">
        <v>54</v>
      </c>
      <c r="C75" s="99">
        <v>0</v>
      </c>
      <c r="D75" s="101"/>
      <c r="E75" s="146"/>
      <c r="F75" s="132"/>
      <c r="G75" s="132"/>
      <c r="H75" s="132"/>
    </row>
    <row r="76" spans="1:8" ht="21.75" customHeight="1">
      <c r="A76" s="99" t="s">
        <v>79</v>
      </c>
      <c r="B76" s="56" t="s">
        <v>54</v>
      </c>
      <c r="C76" s="56">
        <v>0</v>
      </c>
      <c r="D76" s="101"/>
      <c r="E76" s="146"/>
      <c r="F76" s="132"/>
      <c r="G76" s="132"/>
      <c r="H76" s="132"/>
    </row>
    <row r="77" spans="1:8" ht="36" customHeight="1">
      <c r="A77" s="103" t="s">
        <v>80</v>
      </c>
      <c r="B77" s="99" t="s">
        <v>16</v>
      </c>
      <c r="C77" s="99">
        <v>0</v>
      </c>
      <c r="D77" s="101"/>
      <c r="E77" s="146"/>
      <c r="F77" s="132"/>
      <c r="G77" s="132"/>
      <c r="H77" s="132"/>
    </row>
    <row r="78" spans="1:8" ht="15">
      <c r="A78" s="69"/>
      <c r="B78" s="69"/>
      <c r="C78" s="69"/>
      <c r="D78" s="104"/>
      <c r="E78" s="132"/>
      <c r="F78" s="132"/>
      <c r="G78" s="132"/>
      <c r="H78" s="132"/>
    </row>
    <row r="79" spans="1:14" s="1" customFormat="1" ht="12.75">
      <c r="A79"/>
      <c r="B79"/>
      <c r="C79"/>
      <c r="D79"/>
      <c r="H79" s="1" t="s">
        <v>32</v>
      </c>
      <c r="K79"/>
      <c r="L79"/>
      <c r="M79"/>
      <c r="N79"/>
    </row>
    <row r="80" spans="1:14" s="1" customFormat="1" ht="12.75">
      <c r="A80" t="s">
        <v>81</v>
      </c>
      <c r="B80"/>
      <c r="C80"/>
      <c r="D80"/>
      <c r="K80"/>
      <c r="L80"/>
      <c r="M80"/>
      <c r="N80"/>
    </row>
    <row r="81" spans="1:14" s="1" customFormat="1" ht="12.75">
      <c r="A81"/>
      <c r="B81"/>
      <c r="C81"/>
      <c r="D81"/>
      <c r="H81" s="1" t="s">
        <v>32</v>
      </c>
      <c r="K81"/>
      <c r="L81"/>
      <c r="M81"/>
      <c r="N81"/>
    </row>
    <row r="82" spans="1:14" s="1" customFormat="1" ht="12.75">
      <c r="A82" t="s">
        <v>82</v>
      </c>
      <c r="B82"/>
      <c r="C82"/>
      <c r="D82"/>
      <c r="K82"/>
      <c r="L82"/>
      <c r="M82"/>
      <c r="N82"/>
    </row>
    <row r="86" spans="1:14" s="1" customFormat="1" ht="12.75">
      <c r="A86"/>
      <c r="B86"/>
      <c r="C86"/>
      <c r="D86"/>
      <c r="E86" s="1" t="s">
        <v>32</v>
      </c>
      <c r="K86"/>
      <c r="L86"/>
      <c r="M86"/>
      <c r="N86"/>
    </row>
  </sheetData>
  <sheetProtection selectLockedCells="1" selectUnlockedCells="1"/>
  <mergeCells count="13">
    <mergeCell ref="A1:D1"/>
    <mergeCell ref="A2:D2"/>
    <mergeCell ref="A3:D3"/>
    <mergeCell ref="A4:D4"/>
    <mergeCell ref="A5:D5"/>
    <mergeCell ref="A7:D7"/>
    <mergeCell ref="A74:D74"/>
    <mergeCell ref="A14:D14"/>
    <mergeCell ref="A29:D29"/>
    <mergeCell ref="A43:D43"/>
    <mergeCell ref="A48:D48"/>
    <mergeCell ref="A55:D55"/>
    <mergeCell ref="A69:D69"/>
  </mergeCells>
  <printOptions/>
  <pageMargins left="0.5597222222222222" right="0.7875" top="0.34097222222222223" bottom="0.7875" header="0.5118055555555555" footer="0.5118055555555555"/>
  <pageSetup fitToHeight="3" fitToWidth="2" horizontalDpi="300" verticalDpi="300" orientation="landscape" paperSize="12" r:id="rId1"/>
</worksheet>
</file>

<file path=xl/worksheets/sheet5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6"/>
  <sheetViews>
    <sheetView zoomScale="80" zoomScaleNormal="80" zoomScalePageLayoutView="0" workbookViewId="0" topLeftCell="A1">
      <selection activeCell="E15" sqref="E15:E58"/>
    </sheetView>
  </sheetViews>
  <sheetFormatPr defaultColWidth="11.57421875" defaultRowHeight="12.75"/>
  <cols>
    <col min="1" max="1" width="63.28125" style="0" customWidth="1"/>
    <col min="2" max="2" width="20.28125" style="0" customWidth="1"/>
    <col min="3" max="3" width="31.421875" style="0" customWidth="1"/>
    <col min="4" max="4" width="27.57421875" style="0" customWidth="1"/>
    <col min="5" max="5" width="16.8515625" style="1" customWidth="1"/>
    <col min="6" max="7" width="0" style="1" hidden="1" customWidth="1"/>
    <col min="8" max="8" width="11.57421875" style="1" customWidth="1"/>
    <col min="9" max="9" width="5.28125" style="1" customWidth="1"/>
    <col min="10" max="10" width="30.00390625" style="1" customWidth="1"/>
    <col min="11" max="12" width="23.28125" style="0" customWidth="1"/>
    <col min="13" max="13" width="6.57421875" style="0" customWidth="1"/>
    <col min="14" max="14" width="7.00390625" style="0" customWidth="1"/>
  </cols>
  <sheetData>
    <row r="1" spans="1:4" ht="18">
      <c r="A1" s="265" t="s">
        <v>0</v>
      </c>
      <c r="B1" s="265"/>
      <c r="C1" s="265"/>
      <c r="D1" s="265"/>
    </row>
    <row r="2" spans="1:4" ht="15.75">
      <c r="A2" s="266" t="s">
        <v>1</v>
      </c>
      <c r="B2" s="266"/>
      <c r="C2" s="266"/>
      <c r="D2" s="266"/>
    </row>
    <row r="3" spans="1:4" ht="15.75">
      <c r="A3" s="266" t="s">
        <v>2</v>
      </c>
      <c r="B3" s="266"/>
      <c r="C3" s="266"/>
      <c r="D3" s="266"/>
    </row>
    <row r="4" spans="1:4" ht="12.75">
      <c r="A4" s="267" t="s">
        <v>159</v>
      </c>
      <c r="B4" s="267"/>
      <c r="C4" s="267"/>
      <c r="D4" s="267"/>
    </row>
    <row r="5" spans="1:4" ht="12.75">
      <c r="A5" s="268" t="s">
        <v>171</v>
      </c>
      <c r="B5" s="267"/>
      <c r="C5" s="267"/>
      <c r="D5" s="267"/>
    </row>
    <row r="6" ht="9" customHeight="1">
      <c r="A6" s="2"/>
    </row>
    <row r="7" spans="1:4" ht="18" customHeight="1">
      <c r="A7" s="269" t="s">
        <v>4</v>
      </c>
      <c r="B7" s="269"/>
      <c r="C7" s="269"/>
      <c r="D7" s="269"/>
    </row>
    <row r="8" spans="1:3" ht="12.75">
      <c r="A8" s="178" t="s">
        <v>276</v>
      </c>
      <c r="C8" s="3"/>
    </row>
    <row r="9" spans="1:4" ht="12.75">
      <c r="A9" s="4" t="s">
        <v>5</v>
      </c>
      <c r="B9" s="4" t="s">
        <v>6</v>
      </c>
      <c r="C9" s="4" t="s">
        <v>7</v>
      </c>
      <c r="D9" s="5"/>
    </row>
    <row r="10" spans="1:4" ht="12.75">
      <c r="A10" s="6">
        <v>1</v>
      </c>
      <c r="B10" s="6">
        <v>2</v>
      </c>
      <c r="C10" s="6">
        <v>3</v>
      </c>
      <c r="D10" s="7">
        <v>4</v>
      </c>
    </row>
    <row r="11" spans="1:4" ht="12.75">
      <c r="A11" s="8" t="s">
        <v>8</v>
      </c>
      <c r="B11" s="9"/>
      <c r="C11" s="177" t="s">
        <v>172</v>
      </c>
      <c r="D11" s="10"/>
    </row>
    <row r="12" spans="1:8" ht="12.75">
      <c r="A12" s="8" t="s">
        <v>10</v>
      </c>
      <c r="B12" s="9"/>
      <c r="C12" s="177" t="s">
        <v>173</v>
      </c>
      <c r="D12" s="10"/>
      <c r="E12" s="132"/>
      <c r="F12" s="132"/>
      <c r="G12" s="132"/>
      <c r="H12" s="132"/>
    </row>
    <row r="13" spans="1:8" ht="12.75">
      <c r="A13" s="8" t="s">
        <v>12</v>
      </c>
      <c r="B13" s="9"/>
      <c r="C13" s="177" t="s">
        <v>174</v>
      </c>
      <c r="D13" s="10"/>
      <c r="E13" s="132"/>
      <c r="F13" s="132"/>
      <c r="G13" s="132"/>
      <c r="H13" s="132"/>
    </row>
    <row r="14" spans="1:8" ht="31.5" customHeight="1">
      <c r="A14" s="259" t="s">
        <v>14</v>
      </c>
      <c r="B14" s="259"/>
      <c r="C14" s="259"/>
      <c r="D14" s="259"/>
      <c r="E14" s="132"/>
      <c r="F14" s="132"/>
      <c r="G14" s="132"/>
      <c r="H14" s="132"/>
    </row>
    <row r="15" spans="1:8" ht="25.5">
      <c r="A15" s="11" t="s">
        <v>15</v>
      </c>
      <c r="B15" s="12" t="s">
        <v>16</v>
      </c>
      <c r="C15" s="13">
        <v>34133.45</v>
      </c>
      <c r="D15" s="14"/>
      <c r="E15" s="132"/>
      <c r="F15" s="132"/>
      <c r="G15" s="132"/>
      <c r="H15" s="132"/>
    </row>
    <row r="16" spans="1:8" ht="15">
      <c r="A16" s="8" t="s">
        <v>17</v>
      </c>
      <c r="B16" s="12" t="s">
        <v>16</v>
      </c>
      <c r="C16" s="13">
        <v>0</v>
      </c>
      <c r="D16" s="14"/>
      <c r="E16" s="132"/>
      <c r="F16" s="132"/>
      <c r="G16" s="132"/>
      <c r="H16" s="132"/>
    </row>
    <row r="17" spans="1:8" ht="15">
      <c r="A17" s="8" t="s">
        <v>18</v>
      </c>
      <c r="B17" s="12" t="s">
        <v>16</v>
      </c>
      <c r="C17" s="15">
        <v>22940.91</v>
      </c>
      <c r="D17" s="16"/>
      <c r="E17" s="132" t="e">
        <f>B17/12/1022.6</f>
        <v>#VALUE!</v>
      </c>
      <c r="F17" s="132"/>
      <c r="G17" s="132"/>
      <c r="H17" s="132"/>
    </row>
    <row r="18" spans="1:8" ht="31.5" customHeight="1">
      <c r="A18" s="17" t="s">
        <v>19</v>
      </c>
      <c r="B18" s="12" t="s">
        <v>16</v>
      </c>
      <c r="C18" s="15">
        <v>22647.46</v>
      </c>
      <c r="D18" s="16"/>
      <c r="E18" s="133">
        <f>C18-C20</f>
        <v>19597.5078</v>
      </c>
      <c r="F18" s="132"/>
      <c r="G18" s="132"/>
      <c r="H18" s="132"/>
    </row>
    <row r="19" spans="1:8" ht="15">
      <c r="A19" s="8" t="s">
        <v>20</v>
      </c>
      <c r="B19" s="12" t="s">
        <v>16</v>
      </c>
      <c r="C19" s="15">
        <f>C18-C20-C21</f>
        <v>14217.6006</v>
      </c>
      <c r="D19" s="16"/>
      <c r="E19" s="133">
        <f>E18-E39</f>
        <v>8803.517759999999</v>
      </c>
      <c r="F19" s="132"/>
      <c r="G19" s="132"/>
      <c r="H19" s="132"/>
    </row>
    <row r="20" spans="1:8" ht="15">
      <c r="A20" s="8" t="s">
        <v>21</v>
      </c>
      <c r="B20" s="12" t="s">
        <v>16</v>
      </c>
      <c r="C20" s="15">
        <f>(3.69+4.32)*6*91.87-1365.32</f>
        <v>3049.9522000000006</v>
      </c>
      <c r="D20" s="16"/>
      <c r="E20" s="134"/>
      <c r="F20" s="132"/>
      <c r="G20" s="132"/>
      <c r="H20" s="132"/>
    </row>
    <row r="21" spans="1:8" ht="15">
      <c r="A21" s="8" t="s">
        <v>22</v>
      </c>
      <c r="B21" s="12" t="s">
        <v>16</v>
      </c>
      <c r="C21" s="20">
        <f>91.87*4.88*12</f>
        <v>5379.9072</v>
      </c>
      <c r="D21" s="16"/>
      <c r="E21" s="132"/>
      <c r="F21" s="132"/>
      <c r="G21" s="132"/>
      <c r="H21" s="132"/>
    </row>
    <row r="22" spans="1:8" ht="15">
      <c r="A22" s="21" t="s">
        <v>23</v>
      </c>
      <c r="B22" s="12" t="s">
        <v>16</v>
      </c>
      <c r="C22" s="15">
        <f>C23+C24+C25+C26+C27</f>
        <v>22325.866068</v>
      </c>
      <c r="D22" s="16" t="s">
        <v>24</v>
      </c>
      <c r="E22" s="133" t="e">
        <f>B24+B25+B26+B27+B28</f>
        <v>#VALUE!</v>
      </c>
      <c r="F22" s="132"/>
      <c r="G22" s="132"/>
      <c r="H22" s="132"/>
    </row>
    <row r="23" spans="1:8" ht="15">
      <c r="A23" s="8" t="s">
        <v>25</v>
      </c>
      <c r="B23" s="12" t="s">
        <v>16</v>
      </c>
      <c r="C23" s="15">
        <f>C18*0.9858</f>
        <v>22325.866068</v>
      </c>
      <c r="D23" s="16"/>
      <c r="E23" s="132"/>
      <c r="F23" s="132"/>
      <c r="G23" s="132"/>
      <c r="H23" s="132"/>
    </row>
    <row r="24" spans="1:8" ht="15">
      <c r="A24" s="8" t="s">
        <v>26</v>
      </c>
      <c r="B24" s="12" t="s">
        <v>16</v>
      </c>
      <c r="C24" s="15">
        <v>0</v>
      </c>
      <c r="D24" s="22">
        <v>65.21</v>
      </c>
      <c r="E24" s="134" t="e">
        <f>B24/#REF!*1</f>
        <v>#VALUE!</v>
      </c>
      <c r="F24" s="132"/>
      <c r="G24" s="132"/>
      <c r="H24" s="132" t="s">
        <v>27</v>
      </c>
    </row>
    <row r="25" spans="1:8" ht="15">
      <c r="A25" s="8" t="s">
        <v>28</v>
      </c>
      <c r="B25" s="12" t="s">
        <v>16</v>
      </c>
      <c r="C25" s="15">
        <v>0</v>
      </c>
      <c r="D25" s="22">
        <v>119.63</v>
      </c>
      <c r="E25" s="134" t="e">
        <f>B25/#REF!*1</f>
        <v>#VALUE!</v>
      </c>
      <c r="F25" s="132"/>
      <c r="G25" s="132"/>
      <c r="H25" s="132"/>
    </row>
    <row r="26" spans="1:8" ht="15">
      <c r="A26" s="9" t="s">
        <v>29</v>
      </c>
      <c r="B26" s="12" t="s">
        <v>16</v>
      </c>
      <c r="C26" s="15">
        <v>0</v>
      </c>
      <c r="D26" s="22"/>
      <c r="E26" s="134" t="e">
        <f>B26/#REF!*1</f>
        <v>#VALUE!</v>
      </c>
      <c r="F26" s="132"/>
      <c r="G26" s="132"/>
      <c r="H26" s="132"/>
    </row>
    <row r="27" spans="1:8" ht="16.5" customHeight="1">
      <c r="A27" s="116" t="s">
        <v>112</v>
      </c>
      <c r="B27" s="12" t="s">
        <v>16</v>
      </c>
      <c r="C27" s="15">
        <v>0</v>
      </c>
      <c r="D27" s="22">
        <v>139.18</v>
      </c>
      <c r="E27" s="134" t="e">
        <f>B27/#REF!*1</f>
        <v>#VALUE!</v>
      </c>
      <c r="F27" s="132"/>
      <c r="G27" s="132"/>
      <c r="H27" s="132"/>
    </row>
    <row r="28" spans="1:8" ht="15">
      <c r="A28" s="8" t="s">
        <v>31</v>
      </c>
      <c r="B28" s="12" t="s">
        <v>16</v>
      </c>
      <c r="C28" s="15">
        <f>C15+C22</f>
        <v>56459.316068</v>
      </c>
      <c r="D28" s="16" t="s">
        <v>32</v>
      </c>
      <c r="E28" s="134" t="e">
        <f>B28/#REF!*1</f>
        <v>#VALUE!</v>
      </c>
      <c r="F28" s="132"/>
      <c r="G28" s="132"/>
      <c r="H28" s="132"/>
    </row>
    <row r="29" spans="1:8" ht="35.25" customHeight="1">
      <c r="A29" s="260" t="s">
        <v>33</v>
      </c>
      <c r="B29" s="260"/>
      <c r="C29" s="260"/>
      <c r="D29" s="260"/>
      <c r="E29" s="132"/>
      <c r="F29" s="132"/>
      <c r="G29" s="132"/>
      <c r="H29" s="132"/>
    </row>
    <row r="30" spans="1:8" ht="60">
      <c r="A30" s="23" t="s">
        <v>34</v>
      </c>
      <c r="B30" s="24" t="s">
        <v>35</v>
      </c>
      <c r="C30" s="25" t="s">
        <v>36</v>
      </c>
      <c r="D30" s="26" t="s">
        <v>37</v>
      </c>
      <c r="E30" s="132"/>
      <c r="F30" s="132"/>
      <c r="G30" s="132"/>
      <c r="H30" s="132"/>
    </row>
    <row r="31" spans="1:8" ht="15">
      <c r="A31" s="27" t="s">
        <v>38</v>
      </c>
      <c r="B31" s="28" t="s">
        <v>39</v>
      </c>
      <c r="C31" s="29" t="s">
        <v>40</v>
      </c>
      <c r="D31" s="107">
        <f>(0.17+0.16)*6*91.87</f>
        <v>181.9026</v>
      </c>
      <c r="E31" s="132"/>
      <c r="F31" s="132"/>
      <c r="G31" s="132"/>
      <c r="H31" s="132"/>
    </row>
    <row r="32" spans="1:8" ht="15">
      <c r="A32" s="31" t="s">
        <v>41</v>
      </c>
      <c r="B32" s="32" t="s">
        <v>42</v>
      </c>
      <c r="C32" s="33" t="s">
        <v>43</v>
      </c>
      <c r="D32" s="108">
        <f>(3.032+3)*6*91.87</f>
        <v>3324.95904</v>
      </c>
      <c r="E32" s="132"/>
      <c r="F32" s="132"/>
      <c r="G32" s="132"/>
      <c r="H32" s="132"/>
    </row>
    <row r="33" spans="1:8" ht="15">
      <c r="A33" s="31" t="s">
        <v>44</v>
      </c>
      <c r="B33" s="32" t="s">
        <v>39</v>
      </c>
      <c r="C33" s="33" t="s">
        <v>45</v>
      </c>
      <c r="D33" s="108">
        <f>(0.21+0.2)*6*91.87</f>
        <v>226.0002</v>
      </c>
      <c r="E33" s="132"/>
      <c r="F33" s="132"/>
      <c r="G33" s="132"/>
      <c r="H33" s="132"/>
    </row>
    <row r="34" spans="1:8" ht="15">
      <c r="A34" s="31" t="s">
        <v>123</v>
      </c>
      <c r="B34" s="32" t="s">
        <v>39</v>
      </c>
      <c r="C34" s="33" t="s">
        <v>40</v>
      </c>
      <c r="D34" s="108">
        <f>(0.23+0.22)*6*91.87</f>
        <v>248.04900000000004</v>
      </c>
      <c r="E34" s="132"/>
      <c r="F34" s="132"/>
      <c r="G34" s="132"/>
      <c r="H34" s="132"/>
    </row>
    <row r="35" spans="1:8" ht="15">
      <c r="A35" s="31" t="s">
        <v>90</v>
      </c>
      <c r="B35" s="106" t="s">
        <v>91</v>
      </c>
      <c r="C35" s="33" t="s">
        <v>40</v>
      </c>
      <c r="D35" s="108">
        <f>(1.33+1.27)*6*91.87</f>
        <v>1433.1720000000003</v>
      </c>
      <c r="E35" s="132"/>
      <c r="F35" s="132"/>
      <c r="G35" s="132"/>
      <c r="H35" s="132"/>
    </row>
    <row r="36" spans="1:8" ht="15">
      <c r="A36" s="31" t="s">
        <v>46</v>
      </c>
      <c r="B36" s="32" t="s">
        <v>42</v>
      </c>
      <c r="C36" s="35" t="s">
        <v>47</v>
      </c>
      <c r="D36" s="108">
        <f>4.88*91.87*12</f>
        <v>5379.9072</v>
      </c>
      <c r="E36" s="132"/>
      <c r="F36" s="132"/>
      <c r="G36" s="132"/>
      <c r="H36" s="132"/>
    </row>
    <row r="37" spans="1:14" s="1" customFormat="1" ht="45">
      <c r="A37" s="36" t="s">
        <v>48</v>
      </c>
      <c r="B37" s="37" t="s">
        <v>49</v>
      </c>
      <c r="C37" s="131" t="s">
        <v>86</v>
      </c>
      <c r="D37" s="39">
        <v>0</v>
      </c>
      <c r="E37" s="132"/>
      <c r="F37" s="132"/>
      <c r="G37" s="132"/>
      <c r="H37" s="132"/>
      <c r="K37"/>
      <c r="L37"/>
      <c r="M37"/>
      <c r="N37"/>
    </row>
    <row r="38" spans="1:14" s="1" customFormat="1" ht="45">
      <c r="A38" s="109" t="s">
        <v>95</v>
      </c>
      <c r="B38" s="110" t="s">
        <v>96</v>
      </c>
      <c r="C38" s="29" t="s">
        <v>97</v>
      </c>
      <c r="D38" s="112"/>
      <c r="E38" s="132"/>
      <c r="F38" s="132"/>
      <c r="G38" s="132"/>
      <c r="H38" s="132"/>
      <c r="K38"/>
      <c r="L38"/>
      <c r="M38"/>
      <c r="N38"/>
    </row>
    <row r="39" spans="1:14" s="1" customFormat="1" ht="15.75">
      <c r="A39" s="40" t="s">
        <v>50</v>
      </c>
      <c r="B39" s="41"/>
      <c r="C39" s="42"/>
      <c r="D39" s="113">
        <f>SUM(D31:D38)</f>
        <v>10793.99004</v>
      </c>
      <c r="E39" s="135">
        <f>D39-D37</f>
        <v>10793.99004</v>
      </c>
      <c r="F39" s="132"/>
      <c r="G39" s="132"/>
      <c r="H39" s="132"/>
      <c r="K39"/>
      <c r="L39"/>
      <c r="M39"/>
      <c r="N39"/>
    </row>
    <row r="40" spans="1:14" s="1" customFormat="1" ht="15">
      <c r="A40" s="43" t="s">
        <v>51</v>
      </c>
      <c r="B40" s="44" t="s">
        <v>16</v>
      </c>
      <c r="C40" s="45"/>
      <c r="D40" s="46">
        <f>C15+C20*0.9858-D37</f>
        <v>37140.09287876</v>
      </c>
      <c r="E40" s="135"/>
      <c r="F40" s="132"/>
      <c r="G40" s="132"/>
      <c r="H40" s="132"/>
      <c r="K40"/>
      <c r="L40"/>
      <c r="M40"/>
      <c r="N40"/>
    </row>
    <row r="41" spans="1:14" s="1" customFormat="1" ht="15">
      <c r="A41" s="48" t="s">
        <v>17</v>
      </c>
      <c r="B41" s="49" t="s">
        <v>16</v>
      </c>
      <c r="C41" s="33"/>
      <c r="D41" s="14"/>
      <c r="E41" s="132"/>
      <c r="F41" s="132"/>
      <c r="G41" s="132"/>
      <c r="H41" s="132"/>
      <c r="K41"/>
      <c r="L41"/>
      <c r="M41"/>
      <c r="N41"/>
    </row>
    <row r="42" spans="1:14" s="1" customFormat="1" ht="15">
      <c r="A42" s="48" t="s">
        <v>18</v>
      </c>
      <c r="B42" s="49" t="s">
        <v>16</v>
      </c>
      <c r="C42" s="33"/>
      <c r="D42" s="14">
        <v>23262.5</v>
      </c>
      <c r="E42" s="132"/>
      <c r="F42" s="132"/>
      <c r="G42" s="132"/>
      <c r="H42" s="132"/>
      <c r="K42"/>
      <c r="L42"/>
      <c r="M42"/>
      <c r="N42"/>
    </row>
    <row r="43" spans="1:14" s="1" customFormat="1" ht="24" customHeight="1">
      <c r="A43" s="261" t="s">
        <v>52</v>
      </c>
      <c r="B43" s="261"/>
      <c r="C43" s="261"/>
      <c r="D43" s="261"/>
      <c r="E43" s="132"/>
      <c r="F43" s="132"/>
      <c r="G43" s="132"/>
      <c r="H43" s="132"/>
      <c r="K43"/>
      <c r="L43"/>
      <c r="M43"/>
      <c r="N43"/>
    </row>
    <row r="44" spans="1:14" s="1" customFormat="1" ht="15">
      <c r="A44" s="48" t="s">
        <v>53</v>
      </c>
      <c r="B44" s="32" t="s">
        <v>54</v>
      </c>
      <c r="C44" s="33">
        <v>0</v>
      </c>
      <c r="D44" s="14">
        <v>0</v>
      </c>
      <c r="E44" s="132"/>
      <c r="F44" s="132"/>
      <c r="G44" s="132"/>
      <c r="H44" s="132"/>
      <c r="K44"/>
      <c r="L44"/>
      <c r="M44"/>
      <c r="N44"/>
    </row>
    <row r="45" spans="1:14" s="1" customFormat="1" ht="15">
      <c r="A45" s="48" t="s">
        <v>55</v>
      </c>
      <c r="B45" s="32" t="s">
        <v>54</v>
      </c>
      <c r="C45" s="33">
        <v>0</v>
      </c>
      <c r="D45" s="14">
        <v>0</v>
      </c>
      <c r="E45" s="132"/>
      <c r="F45" s="132"/>
      <c r="G45" s="132"/>
      <c r="H45" s="132"/>
      <c r="K45"/>
      <c r="L45"/>
      <c r="M45"/>
      <c r="N45"/>
    </row>
    <row r="46" spans="1:14" s="1" customFormat="1" ht="15">
      <c r="A46" s="50" t="s">
        <v>56</v>
      </c>
      <c r="B46" s="32" t="s">
        <v>54</v>
      </c>
      <c r="C46" s="33">
        <v>0</v>
      </c>
      <c r="D46" s="14">
        <v>0</v>
      </c>
      <c r="E46" s="132"/>
      <c r="F46" s="132"/>
      <c r="G46" s="132"/>
      <c r="H46" s="132"/>
      <c r="K46"/>
      <c r="L46"/>
      <c r="M46"/>
      <c r="N46"/>
    </row>
    <row r="47" spans="1:14" s="1" customFormat="1" ht="15">
      <c r="A47" s="48" t="s">
        <v>57</v>
      </c>
      <c r="B47" s="32" t="s">
        <v>16</v>
      </c>
      <c r="C47" s="33">
        <v>0</v>
      </c>
      <c r="D47" s="14">
        <v>0</v>
      </c>
      <c r="E47" s="132"/>
      <c r="F47" s="132"/>
      <c r="G47" s="132"/>
      <c r="H47" s="132"/>
      <c r="K47"/>
      <c r="L47"/>
      <c r="M47"/>
      <c r="N47"/>
    </row>
    <row r="48" spans="1:8" ht="20.25" customHeight="1">
      <c r="A48" s="262" t="s">
        <v>58</v>
      </c>
      <c r="B48" s="262"/>
      <c r="C48" s="262"/>
      <c r="D48" s="262"/>
      <c r="E48" s="132"/>
      <c r="F48" s="132"/>
      <c r="G48" s="132"/>
      <c r="H48" s="132"/>
    </row>
    <row r="49" spans="1:8" ht="25.5">
      <c r="A49" s="50" t="s">
        <v>59</v>
      </c>
      <c r="B49" s="32" t="s">
        <v>16</v>
      </c>
      <c r="C49" s="33"/>
      <c r="D49" s="14">
        <v>0</v>
      </c>
      <c r="E49" s="132"/>
      <c r="F49" s="132"/>
      <c r="G49" s="132"/>
      <c r="H49" s="132"/>
    </row>
    <row r="50" spans="1:8" ht="15">
      <c r="A50" s="48" t="s">
        <v>17</v>
      </c>
      <c r="B50" s="32" t="s">
        <v>16</v>
      </c>
      <c r="C50" s="33"/>
      <c r="D50" s="14">
        <v>0</v>
      </c>
      <c r="E50" s="132"/>
      <c r="F50" s="132"/>
      <c r="G50" s="132"/>
      <c r="H50" s="132"/>
    </row>
    <row r="51" spans="1:8" ht="15">
      <c r="A51" s="48" t="s">
        <v>18</v>
      </c>
      <c r="B51" s="32" t="s">
        <v>16</v>
      </c>
      <c r="C51" s="33"/>
      <c r="D51" s="51">
        <f>D54-D57</f>
        <v>9206.659466</v>
      </c>
      <c r="E51" s="132"/>
      <c r="F51" s="132"/>
      <c r="G51" s="132"/>
      <c r="H51" s="136"/>
    </row>
    <row r="52" spans="1:8" ht="25.5">
      <c r="A52" s="53" t="s">
        <v>60</v>
      </c>
      <c r="B52" s="32" t="s">
        <v>16</v>
      </c>
      <c r="C52" s="54"/>
      <c r="D52" s="55">
        <v>0</v>
      </c>
      <c r="E52" s="132"/>
      <c r="F52" s="132"/>
      <c r="G52" s="132"/>
      <c r="H52" s="132"/>
    </row>
    <row r="53" spans="1:10" ht="17.25" customHeight="1">
      <c r="A53" s="56" t="s">
        <v>17</v>
      </c>
      <c r="B53" s="32" t="s">
        <v>16</v>
      </c>
      <c r="C53" s="33"/>
      <c r="D53" s="14">
        <v>0</v>
      </c>
      <c r="E53" s="132"/>
      <c r="F53" s="132"/>
      <c r="G53" s="132"/>
      <c r="H53" s="132"/>
      <c r="I53" s="52"/>
      <c r="J53" s="52"/>
    </row>
    <row r="54" spans="1:14" ht="15">
      <c r="A54" s="59" t="s">
        <v>18</v>
      </c>
      <c r="B54" s="32" t="s">
        <v>16</v>
      </c>
      <c r="C54" s="60"/>
      <c r="D54" s="61">
        <v>9335.72</v>
      </c>
      <c r="E54" s="132"/>
      <c r="F54" s="132"/>
      <c r="G54" s="132"/>
      <c r="H54" s="132" t="s">
        <v>32</v>
      </c>
      <c r="I54" s="63"/>
      <c r="J54" s="63"/>
      <c r="K54" s="64"/>
      <c r="L54" s="64"/>
      <c r="M54" s="64"/>
      <c r="N54" s="64"/>
    </row>
    <row r="55" spans="1:14" ht="18" customHeight="1">
      <c r="A55" s="263" t="s">
        <v>61</v>
      </c>
      <c r="B55" s="263"/>
      <c r="C55" s="263"/>
      <c r="D55" s="263"/>
      <c r="E55" s="137"/>
      <c r="F55" s="138"/>
      <c r="G55" s="139"/>
      <c r="H55" s="132"/>
      <c r="I55" s="68"/>
      <c r="J55" s="68"/>
      <c r="K55" s="69"/>
      <c r="L55" s="69"/>
      <c r="M55" s="69"/>
      <c r="N55" s="69"/>
    </row>
    <row r="56" spans="1:14" ht="47.25">
      <c r="A56" s="70" t="s">
        <v>62</v>
      </c>
      <c r="B56" s="71" t="s">
        <v>63</v>
      </c>
      <c r="C56" s="72" t="s">
        <v>64</v>
      </c>
      <c r="D56" s="73" t="s">
        <v>65</v>
      </c>
      <c r="E56" s="137"/>
      <c r="F56" s="138"/>
      <c r="G56" s="139"/>
      <c r="H56" s="132"/>
      <c r="I56" s="68"/>
      <c r="J56" s="74"/>
      <c r="K56" s="69"/>
      <c r="L56" s="69"/>
      <c r="M56" s="69"/>
      <c r="N56" s="69"/>
    </row>
    <row r="57" spans="1:14" ht="15">
      <c r="A57" s="75" t="s">
        <v>66</v>
      </c>
      <c r="B57" s="117">
        <v>9088.77</v>
      </c>
      <c r="C57" s="118">
        <f>B57*0.9858</f>
        <v>8959.709466</v>
      </c>
      <c r="D57" s="119">
        <f>B57-C57</f>
        <v>129.0605340000002</v>
      </c>
      <c r="E57" s="140"/>
      <c r="F57" s="138"/>
      <c r="G57" s="139"/>
      <c r="H57" s="132"/>
      <c r="I57" s="68"/>
      <c r="J57" s="68"/>
      <c r="K57" s="69"/>
      <c r="L57" s="69"/>
      <c r="M57" s="69"/>
      <c r="N57" s="69"/>
    </row>
    <row r="58" spans="1:14" ht="15">
      <c r="A58" s="75" t="s">
        <v>67</v>
      </c>
      <c r="B58" s="117">
        <v>0</v>
      </c>
      <c r="C58" s="118">
        <f>B58*0.8954</f>
        <v>0</v>
      </c>
      <c r="D58" s="119">
        <f>B58-C58</f>
        <v>0</v>
      </c>
      <c r="E58" s="137"/>
      <c r="F58" s="138"/>
      <c r="G58" s="139"/>
      <c r="H58" s="132"/>
      <c r="I58" s="68"/>
      <c r="J58" s="68"/>
      <c r="K58" s="69"/>
      <c r="L58" s="69"/>
      <c r="M58" s="69"/>
      <c r="N58" s="69"/>
    </row>
    <row r="59" spans="1:14" ht="15">
      <c r="A59" s="75" t="s">
        <v>68</v>
      </c>
      <c r="B59" s="120">
        <v>0</v>
      </c>
      <c r="C59" s="118">
        <f>B59*0.8954</f>
        <v>0</v>
      </c>
      <c r="D59" s="119">
        <f>B59-C59</f>
        <v>0</v>
      </c>
      <c r="E59" s="137">
        <f>(2.07+1.8)*6*2301.2-0.37*2301.2*6</f>
        <v>48325.2</v>
      </c>
      <c r="F59" s="141"/>
      <c r="G59" s="142"/>
      <c r="H59" s="137"/>
      <c r="I59" s="68"/>
      <c r="J59" s="68"/>
      <c r="K59" s="69"/>
      <c r="L59" s="69"/>
      <c r="M59" s="69"/>
      <c r="N59" s="69"/>
    </row>
    <row r="60" spans="1:14" ht="15.75" thickBot="1">
      <c r="A60" s="150" t="s">
        <v>69</v>
      </c>
      <c r="B60" s="151">
        <v>0</v>
      </c>
      <c r="C60" s="152">
        <f>B60*0.8954</f>
        <v>0</v>
      </c>
      <c r="D60" s="153">
        <f>B60-C60</f>
        <v>0</v>
      </c>
      <c r="E60" s="137"/>
      <c r="F60" s="141"/>
      <c r="G60" s="142"/>
      <c r="H60" s="132"/>
      <c r="I60" s="68"/>
      <c r="J60" s="68"/>
      <c r="K60" s="69"/>
      <c r="L60" s="69"/>
      <c r="M60" s="69"/>
      <c r="N60" s="69"/>
    </row>
    <row r="61" spans="1:14" ht="63">
      <c r="A61" s="154" t="s">
        <v>70</v>
      </c>
      <c r="B61" s="155" t="s">
        <v>71</v>
      </c>
      <c r="C61" s="156" t="s">
        <v>72</v>
      </c>
      <c r="D61" s="157" t="s">
        <v>73</v>
      </c>
      <c r="E61" s="137"/>
      <c r="F61" s="141"/>
      <c r="G61" s="132"/>
      <c r="H61" s="143"/>
      <c r="I61" s="68"/>
      <c r="J61" s="68"/>
      <c r="K61" s="69"/>
      <c r="L61" s="69"/>
      <c r="M61" s="69"/>
      <c r="N61" s="69"/>
    </row>
    <row r="62" spans="1:14" ht="15">
      <c r="A62" s="158" t="s">
        <v>66</v>
      </c>
      <c r="B62" s="124">
        <f>B57</f>
        <v>9088.77</v>
      </c>
      <c r="C62" s="125">
        <f>C57</f>
        <v>8959.709466</v>
      </c>
      <c r="D62" s="159">
        <f>B62-C62</f>
        <v>129.0605340000002</v>
      </c>
      <c r="E62" s="137"/>
      <c r="F62" s="141"/>
      <c r="G62" s="132"/>
      <c r="H62" s="143"/>
      <c r="I62" s="68"/>
      <c r="J62" s="68" t="s">
        <v>32</v>
      </c>
      <c r="K62" s="69"/>
      <c r="L62" s="69"/>
      <c r="M62" s="69"/>
      <c r="N62" s="69"/>
    </row>
    <row r="63" spans="1:14" ht="15">
      <c r="A63" s="158" t="s">
        <v>67</v>
      </c>
      <c r="B63" s="124">
        <v>0</v>
      </c>
      <c r="C63" s="125">
        <v>0</v>
      </c>
      <c r="D63" s="159">
        <f>B63-C63</f>
        <v>0</v>
      </c>
      <c r="E63" s="137"/>
      <c r="F63" s="141"/>
      <c r="G63" s="132"/>
      <c r="H63" s="143"/>
      <c r="I63" s="68"/>
      <c r="J63" s="68"/>
      <c r="K63" s="69"/>
      <c r="L63" s="69"/>
      <c r="M63" s="69"/>
      <c r="N63" s="69"/>
    </row>
    <row r="64" spans="1:14" ht="15">
      <c r="A64" s="158" t="s">
        <v>68</v>
      </c>
      <c r="B64" s="124">
        <v>0</v>
      </c>
      <c r="C64" s="125">
        <v>0</v>
      </c>
      <c r="D64" s="159">
        <f>B64-C64</f>
        <v>0</v>
      </c>
      <c r="E64" s="137"/>
      <c r="F64" s="141"/>
      <c r="G64" s="132"/>
      <c r="H64" s="143"/>
      <c r="I64" s="68"/>
      <c r="J64" s="68"/>
      <c r="K64" s="69"/>
      <c r="L64" s="69"/>
      <c r="M64" s="69"/>
      <c r="N64" s="69"/>
    </row>
    <row r="65" spans="1:14" ht="15">
      <c r="A65" s="158" t="s">
        <v>74</v>
      </c>
      <c r="B65" s="124">
        <v>0</v>
      </c>
      <c r="C65" s="125">
        <v>0</v>
      </c>
      <c r="D65" s="159">
        <f>B65-C65</f>
        <v>0</v>
      </c>
      <c r="E65" s="137"/>
      <c r="F65" s="141"/>
      <c r="G65" s="132"/>
      <c r="H65" s="143"/>
      <c r="I65" s="68"/>
      <c r="J65" s="68"/>
      <c r="K65" s="69"/>
      <c r="L65" s="69"/>
      <c r="M65" s="69"/>
      <c r="N65" s="69"/>
    </row>
    <row r="66" spans="1:14" ht="15.75" thickBot="1">
      <c r="A66" s="160" t="s">
        <v>69</v>
      </c>
      <c r="B66" s="161">
        <v>0</v>
      </c>
      <c r="C66" s="162">
        <v>0</v>
      </c>
      <c r="D66" s="163">
        <f>B66-C66</f>
        <v>0</v>
      </c>
      <c r="E66" s="137"/>
      <c r="F66" s="141"/>
      <c r="G66" s="132"/>
      <c r="H66" s="143" t="s">
        <v>32</v>
      </c>
      <c r="I66" s="68"/>
      <c r="J66" s="68"/>
      <c r="K66" s="69"/>
      <c r="L66" s="69"/>
      <c r="M66" s="69"/>
      <c r="N66" s="69"/>
    </row>
    <row r="67" spans="1:14" ht="15">
      <c r="A67" s="91"/>
      <c r="B67" s="87"/>
      <c r="C67" s="92"/>
      <c r="D67" s="93"/>
      <c r="E67" s="137"/>
      <c r="F67" s="141"/>
      <c r="G67" s="132"/>
      <c r="H67" s="143"/>
      <c r="I67" s="68"/>
      <c r="J67" s="68"/>
      <c r="K67" s="69"/>
      <c r="L67" s="69"/>
      <c r="M67" s="69"/>
      <c r="N67" s="69"/>
    </row>
    <row r="68" spans="1:14" ht="25.5">
      <c r="A68" s="94" t="s">
        <v>75</v>
      </c>
      <c r="B68" s="87" t="s">
        <v>16</v>
      </c>
      <c r="C68" s="95"/>
      <c r="D68" s="96"/>
      <c r="E68" s="137"/>
      <c r="F68" s="141"/>
      <c r="G68" s="132"/>
      <c r="H68" s="143"/>
      <c r="I68" s="68"/>
      <c r="J68" s="68" t="s">
        <v>32</v>
      </c>
      <c r="K68" s="69"/>
      <c r="L68" s="69"/>
      <c r="M68" s="69"/>
      <c r="N68" s="69"/>
    </row>
    <row r="69" spans="1:14" ht="17.25" customHeight="1">
      <c r="A69" s="264" t="s">
        <v>76</v>
      </c>
      <c r="B69" s="264"/>
      <c r="C69" s="264"/>
      <c r="D69" s="264"/>
      <c r="E69" s="144" t="e">
        <f>D69+B19</f>
        <v>#VALUE!</v>
      </c>
      <c r="F69" s="143"/>
      <c r="G69" s="132"/>
      <c r="H69" s="145" t="e">
        <f>E69-B18</f>
        <v>#VALUE!</v>
      </c>
      <c r="I69" s="68"/>
      <c r="J69" s="68"/>
      <c r="K69" s="69"/>
      <c r="L69" s="69"/>
      <c r="M69" s="69"/>
      <c r="N69" s="69"/>
    </row>
    <row r="70" spans="1:8" ht="21" customHeight="1">
      <c r="A70" s="99" t="s">
        <v>53</v>
      </c>
      <c r="B70" s="99" t="s">
        <v>54</v>
      </c>
      <c r="C70" s="100">
        <v>0</v>
      </c>
      <c r="D70" s="101"/>
      <c r="E70" s="146"/>
      <c r="F70" s="132"/>
      <c r="G70" s="132"/>
      <c r="H70" s="132"/>
    </row>
    <row r="71" spans="1:8" ht="21" customHeight="1">
      <c r="A71" s="99" t="s">
        <v>55</v>
      </c>
      <c r="B71" s="99" t="s">
        <v>54</v>
      </c>
      <c r="C71" s="99">
        <v>0</v>
      </c>
      <c r="D71" s="101"/>
      <c r="E71" s="146"/>
      <c r="F71" s="132"/>
      <c r="G71" s="132"/>
      <c r="H71" s="132"/>
    </row>
    <row r="72" spans="1:8" ht="18" customHeight="1">
      <c r="A72" s="99" t="s">
        <v>56</v>
      </c>
      <c r="B72" s="99" t="s">
        <v>54</v>
      </c>
      <c r="C72" s="99">
        <v>0</v>
      </c>
      <c r="D72" s="101"/>
      <c r="E72" s="146"/>
      <c r="F72" s="132"/>
      <c r="G72" s="132"/>
      <c r="H72" s="132"/>
    </row>
    <row r="73" spans="1:8" ht="16.5" customHeight="1">
      <c r="A73" s="99" t="s">
        <v>57</v>
      </c>
      <c r="B73" s="99" t="s">
        <v>16</v>
      </c>
      <c r="C73" s="99">
        <v>0</v>
      </c>
      <c r="D73" s="101"/>
      <c r="E73" s="146"/>
      <c r="F73" s="132"/>
      <c r="G73" s="132"/>
      <c r="H73" s="132"/>
    </row>
    <row r="74" spans="1:8" ht="15.75" customHeight="1">
      <c r="A74" s="258" t="s">
        <v>77</v>
      </c>
      <c r="B74" s="258"/>
      <c r="C74" s="258"/>
      <c r="D74" s="258"/>
      <c r="E74" s="146"/>
      <c r="F74" s="132"/>
      <c r="G74" s="132"/>
      <c r="H74" s="132"/>
    </row>
    <row r="75" spans="1:8" ht="18.75" customHeight="1">
      <c r="A75" s="99" t="s">
        <v>78</v>
      </c>
      <c r="B75" s="99" t="s">
        <v>54</v>
      </c>
      <c r="C75" s="99">
        <v>0</v>
      </c>
      <c r="D75" s="101"/>
      <c r="E75" s="146"/>
      <c r="F75" s="132"/>
      <c r="G75" s="132"/>
      <c r="H75" s="132"/>
    </row>
    <row r="76" spans="1:8" ht="21.75" customHeight="1">
      <c r="A76" s="99" t="s">
        <v>79</v>
      </c>
      <c r="B76" s="56" t="s">
        <v>54</v>
      </c>
      <c r="C76" s="56">
        <v>1</v>
      </c>
      <c r="D76" s="101"/>
      <c r="E76" s="146"/>
      <c r="F76" s="132"/>
      <c r="G76" s="132"/>
      <c r="H76" s="132"/>
    </row>
    <row r="77" spans="1:8" ht="36" customHeight="1">
      <c r="A77" s="103" t="s">
        <v>80</v>
      </c>
      <c r="B77" s="99" t="s">
        <v>16</v>
      </c>
      <c r="C77" s="99">
        <v>0</v>
      </c>
      <c r="D77" s="101"/>
      <c r="E77" s="146"/>
      <c r="F77" s="132"/>
      <c r="G77" s="132"/>
      <c r="H77" s="132"/>
    </row>
    <row r="78" spans="1:8" ht="15">
      <c r="A78" s="69"/>
      <c r="B78" s="69"/>
      <c r="C78" s="69"/>
      <c r="D78" s="104"/>
      <c r="E78" s="132"/>
      <c r="F78" s="132"/>
      <c r="G78" s="132"/>
      <c r="H78" s="132"/>
    </row>
    <row r="79" spans="1:14" s="1" customFormat="1" ht="12.75">
      <c r="A79"/>
      <c r="B79"/>
      <c r="C79"/>
      <c r="D79"/>
      <c r="E79" s="132"/>
      <c r="F79" s="132"/>
      <c r="G79" s="132"/>
      <c r="H79" s="132" t="s">
        <v>32</v>
      </c>
      <c r="K79"/>
      <c r="L79"/>
      <c r="M79"/>
      <c r="N79"/>
    </row>
    <row r="80" spans="1:14" s="1" customFormat="1" ht="12.75">
      <c r="A80" t="s">
        <v>81</v>
      </c>
      <c r="B80"/>
      <c r="C80"/>
      <c r="D80"/>
      <c r="E80" s="132"/>
      <c r="F80" s="132"/>
      <c r="G80" s="132"/>
      <c r="H80" s="132"/>
      <c r="K80"/>
      <c r="L80"/>
      <c r="M80"/>
      <c r="N80"/>
    </row>
    <row r="81" spans="1:14" s="1" customFormat="1" ht="12.75">
      <c r="A81"/>
      <c r="B81"/>
      <c r="C81"/>
      <c r="D81"/>
      <c r="E81" s="132"/>
      <c r="F81" s="132"/>
      <c r="G81" s="132"/>
      <c r="H81" s="132" t="s">
        <v>32</v>
      </c>
      <c r="K81"/>
      <c r="L81"/>
      <c r="M81"/>
      <c r="N81"/>
    </row>
    <row r="82" spans="1:14" s="1" customFormat="1" ht="12.75">
      <c r="A82" t="s">
        <v>82</v>
      </c>
      <c r="B82"/>
      <c r="C82"/>
      <c r="D82"/>
      <c r="E82" s="132"/>
      <c r="F82" s="132"/>
      <c r="G82" s="132"/>
      <c r="H82" s="132"/>
      <c r="K82"/>
      <c r="L82"/>
      <c r="M82"/>
      <c r="N82"/>
    </row>
    <row r="86" spans="1:14" s="1" customFormat="1" ht="12.75">
      <c r="A86"/>
      <c r="B86"/>
      <c r="C86"/>
      <c r="D86"/>
      <c r="E86" s="1" t="s">
        <v>32</v>
      </c>
      <c r="K86"/>
      <c r="L86"/>
      <c r="M86"/>
      <c r="N86"/>
    </row>
  </sheetData>
  <sheetProtection selectLockedCells="1" selectUnlockedCells="1"/>
  <mergeCells count="13">
    <mergeCell ref="A1:D1"/>
    <mergeCell ref="A2:D2"/>
    <mergeCell ref="A3:D3"/>
    <mergeCell ref="A4:D4"/>
    <mergeCell ref="A5:D5"/>
    <mergeCell ref="A7:D7"/>
    <mergeCell ref="A74:D74"/>
    <mergeCell ref="A14:D14"/>
    <mergeCell ref="A29:D29"/>
    <mergeCell ref="A43:D43"/>
    <mergeCell ref="A48:D48"/>
    <mergeCell ref="A55:D55"/>
    <mergeCell ref="A69:D69"/>
  </mergeCells>
  <printOptions/>
  <pageMargins left="0.5597222222222222" right="0.7875" top="0.34097222222222223" bottom="0.7875" header="0.5118055555555555" footer="0.5118055555555555"/>
  <pageSetup fitToHeight="3" fitToWidth="2" horizontalDpi="300" verticalDpi="300" orientation="landscape" paperSize="12" r:id="rId1"/>
</worksheet>
</file>

<file path=xl/worksheets/sheet5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6"/>
  <sheetViews>
    <sheetView zoomScale="80" zoomScaleNormal="80" zoomScalePageLayoutView="0" workbookViewId="0" topLeftCell="A1">
      <selection activeCell="E15" sqref="E15:E44"/>
    </sheetView>
  </sheetViews>
  <sheetFormatPr defaultColWidth="11.57421875" defaultRowHeight="12.75"/>
  <cols>
    <col min="1" max="1" width="63.28125" style="0" customWidth="1"/>
    <col min="2" max="2" width="20.28125" style="0" customWidth="1"/>
    <col min="3" max="3" width="31.421875" style="0" customWidth="1"/>
    <col min="4" max="4" width="27.57421875" style="0" customWidth="1"/>
    <col min="5" max="5" width="16.8515625" style="1" customWidth="1"/>
    <col min="6" max="7" width="0" style="1" hidden="1" customWidth="1"/>
    <col min="8" max="8" width="11.57421875" style="1" customWidth="1"/>
    <col min="9" max="9" width="5.28125" style="1" customWidth="1"/>
    <col min="10" max="10" width="30.00390625" style="1" customWidth="1"/>
    <col min="11" max="12" width="23.28125" style="0" customWidth="1"/>
    <col min="13" max="13" width="6.57421875" style="0" customWidth="1"/>
    <col min="14" max="14" width="7.00390625" style="0" customWidth="1"/>
  </cols>
  <sheetData>
    <row r="1" spans="1:4" ht="18">
      <c r="A1" s="265" t="s">
        <v>0</v>
      </c>
      <c r="B1" s="265"/>
      <c r="C1" s="265"/>
      <c r="D1" s="265"/>
    </row>
    <row r="2" spans="1:4" ht="15.75">
      <c r="A2" s="266" t="s">
        <v>1</v>
      </c>
      <c r="B2" s="266"/>
      <c r="C2" s="266"/>
      <c r="D2" s="266"/>
    </row>
    <row r="3" spans="1:4" ht="15.75">
      <c r="A3" s="266" t="s">
        <v>2</v>
      </c>
      <c r="B3" s="266"/>
      <c r="C3" s="266"/>
      <c r="D3" s="266"/>
    </row>
    <row r="4" spans="1:4" ht="12.75">
      <c r="A4" s="267" t="s">
        <v>160</v>
      </c>
      <c r="B4" s="267"/>
      <c r="C4" s="267"/>
      <c r="D4" s="267"/>
    </row>
    <row r="5" spans="1:4" ht="12.75">
      <c r="A5" s="268" t="s">
        <v>171</v>
      </c>
      <c r="B5" s="267"/>
      <c r="C5" s="267"/>
      <c r="D5" s="267"/>
    </row>
    <row r="6" ht="9" customHeight="1">
      <c r="A6" s="2"/>
    </row>
    <row r="7" spans="1:4" ht="18" customHeight="1">
      <c r="A7" s="269" t="s">
        <v>4</v>
      </c>
      <c r="B7" s="269"/>
      <c r="C7" s="269"/>
      <c r="D7" s="269"/>
    </row>
    <row r="8" spans="1:3" ht="12.75">
      <c r="A8" s="2" t="s">
        <v>277</v>
      </c>
      <c r="C8" s="3"/>
    </row>
    <row r="9" spans="1:4" ht="12.75">
      <c r="A9" s="4" t="s">
        <v>5</v>
      </c>
      <c r="B9" s="4" t="s">
        <v>6</v>
      </c>
      <c r="C9" s="4" t="s">
        <v>7</v>
      </c>
      <c r="D9" s="5"/>
    </row>
    <row r="10" spans="1:8" ht="12.75">
      <c r="A10" s="6">
        <v>1</v>
      </c>
      <c r="B10" s="6">
        <v>2</v>
      </c>
      <c r="C10" s="6">
        <v>3</v>
      </c>
      <c r="D10" s="7">
        <v>4</v>
      </c>
      <c r="E10" s="132"/>
      <c r="F10" s="132"/>
      <c r="G10" s="132"/>
      <c r="H10" s="132"/>
    </row>
    <row r="11" spans="1:8" ht="12.75">
      <c r="A11" s="8" t="s">
        <v>8</v>
      </c>
      <c r="B11" s="9"/>
      <c r="C11" s="177" t="s">
        <v>172</v>
      </c>
      <c r="D11" s="10"/>
      <c r="E11" s="132"/>
      <c r="F11" s="132"/>
      <c r="G11" s="132"/>
      <c r="H11" s="132"/>
    </row>
    <row r="12" spans="1:8" ht="12.75">
      <c r="A12" s="8" t="s">
        <v>10</v>
      </c>
      <c r="B12" s="9"/>
      <c r="C12" s="177" t="s">
        <v>173</v>
      </c>
      <c r="D12" s="10"/>
      <c r="E12" s="132"/>
      <c r="F12" s="132"/>
      <c r="G12" s="132"/>
      <c r="H12" s="132"/>
    </row>
    <row r="13" spans="1:8" ht="12.75">
      <c r="A13" s="8" t="s">
        <v>12</v>
      </c>
      <c r="B13" s="9"/>
      <c r="C13" s="177" t="s">
        <v>174</v>
      </c>
      <c r="D13" s="10"/>
      <c r="E13" s="132"/>
      <c r="F13" s="132"/>
      <c r="G13" s="132"/>
      <c r="H13" s="132"/>
    </row>
    <row r="14" spans="1:8" ht="31.5" customHeight="1">
      <c r="A14" s="259" t="s">
        <v>14</v>
      </c>
      <c r="B14" s="259"/>
      <c r="C14" s="259"/>
      <c r="D14" s="259"/>
      <c r="E14" s="132"/>
      <c r="F14" s="132"/>
      <c r="G14" s="132"/>
      <c r="H14" s="132"/>
    </row>
    <row r="15" spans="1:8" ht="25.5">
      <c r="A15" s="11" t="s">
        <v>15</v>
      </c>
      <c r="B15" s="12" t="s">
        <v>16</v>
      </c>
      <c r="C15" s="13">
        <v>6018.68</v>
      </c>
      <c r="D15" s="14"/>
      <c r="E15" s="132"/>
      <c r="F15" s="132"/>
      <c r="G15" s="132"/>
      <c r="H15" s="132"/>
    </row>
    <row r="16" spans="1:8" ht="15">
      <c r="A16" s="8" t="s">
        <v>17</v>
      </c>
      <c r="B16" s="12" t="s">
        <v>16</v>
      </c>
      <c r="C16" s="13">
        <v>0</v>
      </c>
      <c r="D16" s="14"/>
      <c r="E16" s="132"/>
      <c r="F16" s="132"/>
      <c r="G16" s="132"/>
      <c r="H16" s="132"/>
    </row>
    <row r="17" spans="1:8" ht="15">
      <c r="A17" s="8" t="s">
        <v>18</v>
      </c>
      <c r="B17" s="12" t="s">
        <v>16</v>
      </c>
      <c r="C17" s="15">
        <v>0</v>
      </c>
      <c r="D17" s="16"/>
      <c r="E17" s="132" t="e">
        <f>B17/12/1022.6</f>
        <v>#VALUE!</v>
      </c>
      <c r="F17" s="132"/>
      <c r="G17" s="132"/>
      <c r="H17" s="132"/>
    </row>
    <row r="18" spans="1:8" ht="31.5" customHeight="1">
      <c r="A18" s="17" t="s">
        <v>19</v>
      </c>
      <c r="B18" s="12" t="s">
        <v>16</v>
      </c>
      <c r="C18" s="15">
        <v>16094.7</v>
      </c>
      <c r="D18" s="16"/>
      <c r="E18" s="133">
        <f>C18-C20</f>
        <v>11841.264000000001</v>
      </c>
      <c r="F18" s="132"/>
      <c r="G18" s="132"/>
      <c r="H18" s="132"/>
    </row>
    <row r="19" spans="1:8" ht="15">
      <c r="A19" s="8" t="s">
        <v>20</v>
      </c>
      <c r="B19" s="12" t="s">
        <v>16</v>
      </c>
      <c r="C19" s="15">
        <f>C18-C20-C21</f>
        <v>6371.76</v>
      </c>
      <c r="D19" s="16"/>
      <c r="E19" s="133">
        <f>E18-E39</f>
        <v>0.0020000000004074536</v>
      </c>
      <c r="F19" s="132"/>
      <c r="G19" s="132"/>
      <c r="H19" s="132"/>
    </row>
    <row r="20" spans="1:8" ht="15">
      <c r="A20" s="8" t="s">
        <v>21</v>
      </c>
      <c r="B20" s="12" t="s">
        <v>16</v>
      </c>
      <c r="C20" s="15">
        <f>(1.66+0.53)*6*93.4+3026.16</f>
        <v>4253.436</v>
      </c>
      <c r="D20" s="16"/>
      <c r="E20" s="134"/>
      <c r="F20" s="132"/>
      <c r="G20" s="132"/>
      <c r="H20" s="132"/>
    </row>
    <row r="21" spans="1:8" ht="15">
      <c r="A21" s="8" t="s">
        <v>22</v>
      </c>
      <c r="B21" s="12" t="s">
        <v>16</v>
      </c>
      <c r="C21" s="20">
        <f>93.4*4.88*12</f>
        <v>5469.504000000001</v>
      </c>
      <c r="D21" s="16"/>
      <c r="E21" s="132"/>
      <c r="F21" s="132"/>
      <c r="G21" s="132"/>
      <c r="H21" s="132"/>
    </row>
    <row r="22" spans="1:8" ht="15">
      <c r="A22" s="21" t="s">
        <v>23</v>
      </c>
      <c r="B22" s="12" t="s">
        <v>16</v>
      </c>
      <c r="C22" s="15">
        <f>C23+C24+C25+C26+C27</f>
        <v>16094.7</v>
      </c>
      <c r="D22" s="16" t="s">
        <v>24</v>
      </c>
      <c r="E22" s="133" t="e">
        <f>B24+B25+B26+B27+B28</f>
        <v>#VALUE!</v>
      </c>
      <c r="F22" s="132"/>
      <c r="G22" s="132"/>
      <c r="H22" s="132"/>
    </row>
    <row r="23" spans="1:8" ht="15">
      <c r="A23" s="8" t="s">
        <v>25</v>
      </c>
      <c r="B23" s="12" t="s">
        <v>16</v>
      </c>
      <c r="C23" s="15">
        <f>C18*1</f>
        <v>16094.7</v>
      </c>
      <c r="D23" s="16"/>
      <c r="E23" s="132"/>
      <c r="F23" s="132"/>
      <c r="G23" s="132"/>
      <c r="H23" s="132"/>
    </row>
    <row r="24" spans="1:8" ht="15">
      <c r="A24" s="8" t="s">
        <v>26</v>
      </c>
      <c r="B24" s="12" t="s">
        <v>16</v>
      </c>
      <c r="C24" s="15">
        <v>0</v>
      </c>
      <c r="D24" s="22">
        <v>65.21</v>
      </c>
      <c r="E24" s="134" t="e">
        <f>B24/#REF!*1</f>
        <v>#VALUE!</v>
      </c>
      <c r="F24" s="132"/>
      <c r="G24" s="132"/>
      <c r="H24" s="132" t="s">
        <v>27</v>
      </c>
    </row>
    <row r="25" spans="1:8" ht="15">
      <c r="A25" s="8" t="s">
        <v>28</v>
      </c>
      <c r="B25" s="12" t="s">
        <v>16</v>
      </c>
      <c r="C25" s="15">
        <v>0</v>
      </c>
      <c r="D25" s="22">
        <v>119.63</v>
      </c>
      <c r="E25" s="134" t="e">
        <f>B25/#REF!*1</f>
        <v>#VALUE!</v>
      </c>
      <c r="F25" s="132"/>
      <c r="G25" s="132"/>
      <c r="H25" s="132"/>
    </row>
    <row r="26" spans="1:8" ht="15">
      <c r="A26" s="9" t="s">
        <v>29</v>
      </c>
      <c r="B26" s="12" t="s">
        <v>16</v>
      </c>
      <c r="C26" s="15">
        <v>0</v>
      </c>
      <c r="D26" s="22"/>
      <c r="E26" s="134" t="e">
        <f>B26/#REF!*1</f>
        <v>#VALUE!</v>
      </c>
      <c r="F26" s="132"/>
      <c r="G26" s="132"/>
      <c r="H26" s="132"/>
    </row>
    <row r="27" spans="1:8" ht="16.5" customHeight="1">
      <c r="A27" s="116" t="s">
        <v>112</v>
      </c>
      <c r="B27" s="12" t="s">
        <v>16</v>
      </c>
      <c r="C27" s="15">
        <v>0</v>
      </c>
      <c r="D27" s="22">
        <v>139.18</v>
      </c>
      <c r="E27" s="134" t="e">
        <f>B27/#REF!*1</f>
        <v>#VALUE!</v>
      </c>
      <c r="F27" s="132"/>
      <c r="G27" s="132"/>
      <c r="H27" s="132"/>
    </row>
    <row r="28" spans="1:8" ht="15">
      <c r="A28" s="8" t="s">
        <v>31</v>
      </c>
      <c r="B28" s="12" t="s">
        <v>16</v>
      </c>
      <c r="C28" s="15">
        <f>C15+C22</f>
        <v>22113.38</v>
      </c>
      <c r="D28" s="16" t="s">
        <v>32</v>
      </c>
      <c r="E28" s="134" t="e">
        <f>B28/#REF!*1</f>
        <v>#VALUE!</v>
      </c>
      <c r="F28" s="132"/>
      <c r="G28" s="132"/>
      <c r="H28" s="132"/>
    </row>
    <row r="29" spans="1:8" ht="35.25" customHeight="1">
      <c r="A29" s="260" t="s">
        <v>33</v>
      </c>
      <c r="B29" s="260"/>
      <c r="C29" s="260"/>
      <c r="D29" s="260"/>
      <c r="E29" s="132"/>
      <c r="F29" s="132"/>
      <c r="G29" s="132"/>
      <c r="H29" s="132"/>
    </row>
    <row r="30" spans="1:8" ht="60">
      <c r="A30" s="23" t="s">
        <v>34</v>
      </c>
      <c r="B30" s="24" t="s">
        <v>35</v>
      </c>
      <c r="C30" s="25" t="s">
        <v>36</v>
      </c>
      <c r="D30" s="26" t="s">
        <v>37</v>
      </c>
      <c r="E30" s="132"/>
      <c r="F30" s="132"/>
      <c r="G30" s="132"/>
      <c r="H30" s="132"/>
    </row>
    <row r="31" spans="1:8" ht="15">
      <c r="A31" s="27" t="s">
        <v>38</v>
      </c>
      <c r="B31" s="28" t="s">
        <v>39</v>
      </c>
      <c r="C31" s="29" t="s">
        <v>40</v>
      </c>
      <c r="D31" s="107">
        <f>(0.17+0.16)*6*93.4</f>
        <v>184.93200000000002</v>
      </c>
      <c r="E31" s="132"/>
      <c r="F31" s="132"/>
      <c r="G31" s="132"/>
      <c r="H31" s="132"/>
    </row>
    <row r="32" spans="1:8" ht="15">
      <c r="A32" s="31" t="s">
        <v>41</v>
      </c>
      <c r="B32" s="32" t="s">
        <v>42</v>
      </c>
      <c r="C32" s="33" t="s">
        <v>43</v>
      </c>
      <c r="D32" s="34">
        <f>(3.03+3)*6*93.4</f>
        <v>3379.2119999999995</v>
      </c>
      <c r="E32" s="132"/>
      <c r="F32" s="132"/>
      <c r="G32" s="132"/>
      <c r="H32" s="132"/>
    </row>
    <row r="33" spans="1:8" ht="15">
      <c r="A33" s="31" t="s">
        <v>44</v>
      </c>
      <c r="B33" s="32" t="s">
        <v>39</v>
      </c>
      <c r="C33" s="33" t="s">
        <v>45</v>
      </c>
      <c r="D33" s="108">
        <f>(0.21+0.2)*6*93.4</f>
        <v>229.764</v>
      </c>
      <c r="E33" s="132"/>
      <c r="F33" s="132"/>
      <c r="G33" s="132"/>
      <c r="H33" s="132"/>
    </row>
    <row r="34" spans="1:8" ht="15">
      <c r="A34" s="204" t="s">
        <v>246</v>
      </c>
      <c r="B34" s="32" t="s">
        <v>39</v>
      </c>
      <c r="C34" s="33" t="s">
        <v>40</v>
      </c>
      <c r="D34" s="108">
        <f>(0.23+0.22)*6*93.4</f>
        <v>252.18000000000004</v>
      </c>
      <c r="E34" s="132"/>
      <c r="F34" s="132"/>
      <c r="G34" s="132"/>
      <c r="H34" s="132"/>
    </row>
    <row r="35" spans="1:8" ht="15">
      <c r="A35" s="31" t="s">
        <v>90</v>
      </c>
      <c r="B35" s="106" t="s">
        <v>91</v>
      </c>
      <c r="C35" s="33" t="s">
        <v>40</v>
      </c>
      <c r="D35" s="108">
        <f>(1.33+1.27)*6*93.4</f>
        <v>1457.0400000000002</v>
      </c>
      <c r="E35" s="132"/>
      <c r="F35" s="132"/>
      <c r="G35" s="132"/>
      <c r="H35" s="132"/>
    </row>
    <row r="36" spans="1:8" ht="15">
      <c r="A36" s="31" t="s">
        <v>46</v>
      </c>
      <c r="B36" s="32" t="s">
        <v>42</v>
      </c>
      <c r="C36" s="35" t="s">
        <v>47</v>
      </c>
      <c r="D36" s="108">
        <f>4.88*93.4*12</f>
        <v>5469.504000000001</v>
      </c>
      <c r="E36" s="132"/>
      <c r="F36" s="132"/>
      <c r="G36" s="132"/>
      <c r="H36" s="132"/>
    </row>
    <row r="37" spans="1:14" s="1" customFormat="1" ht="45">
      <c r="A37" s="36" t="s">
        <v>48</v>
      </c>
      <c r="B37" s="37" t="s">
        <v>49</v>
      </c>
      <c r="C37" s="131" t="s">
        <v>86</v>
      </c>
      <c r="D37" s="39">
        <v>0</v>
      </c>
      <c r="E37" s="132"/>
      <c r="F37" s="132"/>
      <c r="G37" s="132"/>
      <c r="H37" s="132"/>
      <c r="K37"/>
      <c r="L37"/>
      <c r="M37"/>
      <c r="N37"/>
    </row>
    <row r="38" spans="1:14" s="1" customFormat="1" ht="45">
      <c r="A38" s="109" t="s">
        <v>95</v>
      </c>
      <c r="B38" s="110" t="s">
        <v>96</v>
      </c>
      <c r="C38" s="29" t="s">
        <v>97</v>
      </c>
      <c r="D38" s="112">
        <v>868.63</v>
      </c>
      <c r="E38" s="132"/>
      <c r="F38" s="132"/>
      <c r="G38" s="132"/>
      <c r="H38" s="132"/>
      <c r="K38"/>
      <c r="L38"/>
      <c r="M38"/>
      <c r="N38"/>
    </row>
    <row r="39" spans="1:14" s="1" customFormat="1" ht="15.75">
      <c r="A39" s="40" t="s">
        <v>50</v>
      </c>
      <c r="B39" s="41"/>
      <c r="C39" s="42"/>
      <c r="D39" s="113">
        <f>SUM(D31:D38)</f>
        <v>11841.262</v>
      </c>
      <c r="E39" s="135">
        <f>D39-D37</f>
        <v>11841.262</v>
      </c>
      <c r="F39" s="132"/>
      <c r="G39" s="132"/>
      <c r="H39" s="132"/>
      <c r="K39"/>
      <c r="L39"/>
      <c r="M39"/>
      <c r="N39"/>
    </row>
    <row r="40" spans="1:14" s="1" customFormat="1" ht="15">
      <c r="A40" s="43" t="s">
        <v>51</v>
      </c>
      <c r="B40" s="44" t="s">
        <v>16</v>
      </c>
      <c r="C40" s="45"/>
      <c r="D40" s="46">
        <f>C15+C20-D37</f>
        <v>10272.116</v>
      </c>
      <c r="E40" s="135"/>
      <c r="F40" s="132"/>
      <c r="G40" s="132"/>
      <c r="H40" s="132"/>
      <c r="K40"/>
      <c r="L40"/>
      <c r="M40"/>
      <c r="N40"/>
    </row>
    <row r="41" spans="1:14" s="1" customFormat="1" ht="15">
      <c r="A41" s="48" t="s">
        <v>17</v>
      </c>
      <c r="B41" s="49" t="s">
        <v>16</v>
      </c>
      <c r="C41" s="33"/>
      <c r="D41" s="14"/>
      <c r="E41" s="132"/>
      <c r="F41" s="132"/>
      <c r="G41" s="132"/>
      <c r="H41" s="132"/>
      <c r="K41"/>
      <c r="L41"/>
      <c r="M41"/>
      <c r="N41"/>
    </row>
    <row r="42" spans="1:14" s="1" customFormat="1" ht="15">
      <c r="A42" s="48" t="s">
        <v>18</v>
      </c>
      <c r="B42" s="49" t="s">
        <v>16</v>
      </c>
      <c r="C42" s="33"/>
      <c r="D42" s="14">
        <v>0</v>
      </c>
      <c r="E42" s="132"/>
      <c r="F42" s="132"/>
      <c r="G42" s="132"/>
      <c r="H42" s="132"/>
      <c r="K42"/>
      <c r="L42"/>
      <c r="M42"/>
      <c r="N42"/>
    </row>
    <row r="43" spans="1:14" s="1" customFormat="1" ht="24" customHeight="1">
      <c r="A43" s="261" t="s">
        <v>52</v>
      </c>
      <c r="B43" s="261"/>
      <c r="C43" s="261"/>
      <c r="D43" s="261"/>
      <c r="E43" s="132"/>
      <c r="F43" s="132"/>
      <c r="G43" s="132"/>
      <c r="H43" s="132"/>
      <c r="K43"/>
      <c r="L43"/>
      <c r="M43"/>
      <c r="N43"/>
    </row>
    <row r="44" spans="1:14" s="1" customFormat="1" ht="15">
      <c r="A44" s="48" t="s">
        <v>53</v>
      </c>
      <c r="B44" s="32" t="s">
        <v>54</v>
      </c>
      <c r="C44" s="33">
        <v>0</v>
      </c>
      <c r="D44" s="14">
        <v>0</v>
      </c>
      <c r="E44" s="132"/>
      <c r="F44" s="132"/>
      <c r="G44" s="132"/>
      <c r="H44" s="132"/>
      <c r="K44"/>
      <c r="L44"/>
      <c r="M44"/>
      <c r="N44"/>
    </row>
    <row r="45" spans="1:14" s="1" customFormat="1" ht="15">
      <c r="A45" s="48" t="s">
        <v>55</v>
      </c>
      <c r="B45" s="32" t="s">
        <v>54</v>
      </c>
      <c r="C45" s="33">
        <v>0</v>
      </c>
      <c r="D45" s="14">
        <v>0</v>
      </c>
      <c r="E45" s="132"/>
      <c r="F45" s="132"/>
      <c r="G45" s="132"/>
      <c r="H45" s="132"/>
      <c r="K45"/>
      <c r="L45"/>
      <c r="M45"/>
      <c r="N45"/>
    </row>
    <row r="46" spans="1:14" s="1" customFormat="1" ht="15">
      <c r="A46" s="50" t="s">
        <v>56</v>
      </c>
      <c r="B46" s="32" t="s">
        <v>54</v>
      </c>
      <c r="C46" s="33">
        <v>0</v>
      </c>
      <c r="D46" s="14">
        <v>0</v>
      </c>
      <c r="E46" s="132"/>
      <c r="F46" s="132"/>
      <c r="G46" s="132"/>
      <c r="H46" s="132"/>
      <c r="K46"/>
      <c r="L46"/>
      <c r="M46"/>
      <c r="N46"/>
    </row>
    <row r="47" spans="1:14" s="1" customFormat="1" ht="15">
      <c r="A47" s="48" t="s">
        <v>57</v>
      </c>
      <c r="B47" s="32" t="s">
        <v>16</v>
      </c>
      <c r="C47" s="33">
        <v>0</v>
      </c>
      <c r="D47" s="14">
        <v>0</v>
      </c>
      <c r="E47" s="132"/>
      <c r="F47" s="132"/>
      <c r="G47" s="132"/>
      <c r="H47" s="132"/>
      <c r="K47"/>
      <c r="L47"/>
      <c r="M47"/>
      <c r="N47"/>
    </row>
    <row r="48" spans="1:8" ht="20.25" customHeight="1">
      <c r="A48" s="262" t="s">
        <v>58</v>
      </c>
      <c r="B48" s="262"/>
      <c r="C48" s="262"/>
      <c r="D48" s="262"/>
      <c r="E48" s="132"/>
      <c r="F48" s="132"/>
      <c r="G48" s="132"/>
      <c r="H48" s="132"/>
    </row>
    <row r="49" spans="1:8" ht="25.5">
      <c r="A49" s="50" t="s">
        <v>59</v>
      </c>
      <c r="B49" s="32" t="s">
        <v>16</v>
      </c>
      <c r="C49" s="33"/>
      <c r="D49" s="14">
        <v>0</v>
      </c>
      <c r="E49" s="132"/>
      <c r="F49" s="132"/>
      <c r="G49" s="132"/>
      <c r="H49" s="132"/>
    </row>
    <row r="50" spans="1:8" ht="15">
      <c r="A50" s="48" t="s">
        <v>17</v>
      </c>
      <c r="B50" s="32" t="s">
        <v>16</v>
      </c>
      <c r="C50" s="33"/>
      <c r="D50" s="14">
        <v>0</v>
      </c>
      <c r="E50" s="132"/>
      <c r="F50" s="132"/>
      <c r="G50" s="132"/>
      <c r="H50" s="132"/>
    </row>
    <row r="51" spans="1:8" ht="15">
      <c r="A51" s="48" t="s">
        <v>18</v>
      </c>
      <c r="B51" s="32" t="s">
        <v>16</v>
      </c>
      <c r="C51" s="33"/>
      <c r="D51" s="51">
        <v>0</v>
      </c>
      <c r="E51" s="132"/>
      <c r="F51" s="132"/>
      <c r="G51" s="132"/>
      <c r="H51" s="136"/>
    </row>
    <row r="52" spans="1:8" ht="25.5">
      <c r="A52" s="53" t="s">
        <v>60</v>
      </c>
      <c r="B52" s="32" t="s">
        <v>16</v>
      </c>
      <c r="C52" s="54"/>
      <c r="D52" s="55">
        <v>0</v>
      </c>
      <c r="E52" s="132"/>
      <c r="F52" s="132"/>
      <c r="G52" s="132"/>
      <c r="H52" s="132"/>
    </row>
    <row r="53" spans="1:10" ht="17.25" customHeight="1">
      <c r="A53" s="56" t="s">
        <v>17</v>
      </c>
      <c r="B53" s="32" t="s">
        <v>16</v>
      </c>
      <c r="C53" s="57"/>
      <c r="D53" s="58">
        <v>0</v>
      </c>
      <c r="E53" s="132"/>
      <c r="F53" s="132"/>
      <c r="G53" s="132"/>
      <c r="H53" s="132"/>
      <c r="I53" s="52"/>
      <c r="J53" s="52"/>
    </row>
    <row r="54" spans="1:14" ht="15">
      <c r="A54" s="59" t="s">
        <v>18</v>
      </c>
      <c r="B54" s="32" t="s">
        <v>16</v>
      </c>
      <c r="C54" s="60"/>
      <c r="D54" s="61">
        <v>0</v>
      </c>
      <c r="E54" s="132"/>
      <c r="F54" s="132"/>
      <c r="G54" s="132"/>
      <c r="H54" s="132" t="s">
        <v>32</v>
      </c>
      <c r="I54" s="63"/>
      <c r="J54" s="63"/>
      <c r="K54" s="64"/>
      <c r="L54" s="64"/>
      <c r="M54" s="64"/>
      <c r="N54" s="64"/>
    </row>
    <row r="55" spans="1:14" ht="18" customHeight="1">
      <c r="A55" s="263" t="s">
        <v>61</v>
      </c>
      <c r="B55" s="263"/>
      <c r="C55" s="263"/>
      <c r="D55" s="263"/>
      <c r="E55" s="137"/>
      <c r="F55" s="138"/>
      <c r="G55" s="139"/>
      <c r="H55" s="132"/>
      <c r="I55" s="68"/>
      <c r="J55" s="68"/>
      <c r="K55" s="69"/>
      <c r="L55" s="69"/>
      <c r="M55" s="69"/>
      <c r="N55" s="69"/>
    </row>
    <row r="56" spans="1:14" ht="47.25">
      <c r="A56" s="70" t="s">
        <v>62</v>
      </c>
      <c r="B56" s="71" t="s">
        <v>63</v>
      </c>
      <c r="C56" s="72" t="s">
        <v>64</v>
      </c>
      <c r="D56" s="73" t="s">
        <v>65</v>
      </c>
      <c r="E56" s="137"/>
      <c r="F56" s="138"/>
      <c r="G56" s="139"/>
      <c r="H56" s="132"/>
      <c r="I56" s="68"/>
      <c r="J56" s="74"/>
      <c r="K56" s="69"/>
      <c r="L56" s="69"/>
      <c r="M56" s="69"/>
      <c r="N56" s="69"/>
    </row>
    <row r="57" spans="1:14" ht="15">
      <c r="A57" s="75" t="s">
        <v>66</v>
      </c>
      <c r="B57" s="117">
        <v>7539.78</v>
      </c>
      <c r="C57" s="118">
        <f>B57*1</f>
        <v>7539.78</v>
      </c>
      <c r="D57" s="119">
        <f>B57-C57</f>
        <v>0</v>
      </c>
      <c r="E57" s="140"/>
      <c r="F57" s="138"/>
      <c r="G57" s="139"/>
      <c r="H57" s="132"/>
      <c r="I57" s="68"/>
      <c r="J57" s="68"/>
      <c r="K57" s="69"/>
      <c r="L57" s="69"/>
      <c r="M57" s="69"/>
      <c r="N57" s="69"/>
    </row>
    <row r="58" spans="1:14" ht="15">
      <c r="A58" s="75" t="s">
        <v>67</v>
      </c>
      <c r="B58" s="117">
        <v>7536.2</v>
      </c>
      <c r="C58" s="118">
        <f>B58*1</f>
        <v>7536.2</v>
      </c>
      <c r="D58" s="119">
        <f>B58-C58</f>
        <v>0</v>
      </c>
      <c r="E58" s="137"/>
      <c r="F58" s="138"/>
      <c r="G58" s="139"/>
      <c r="H58" s="132"/>
      <c r="I58" s="68"/>
      <c r="J58" s="68"/>
      <c r="K58" s="69"/>
      <c r="L58" s="69"/>
      <c r="M58" s="69"/>
      <c r="N58" s="69"/>
    </row>
    <row r="59" spans="1:14" ht="15">
      <c r="A59" s="75" t="s">
        <v>68</v>
      </c>
      <c r="B59" s="120">
        <v>0</v>
      </c>
      <c r="C59" s="118">
        <f>B59*0.8954</f>
        <v>0</v>
      </c>
      <c r="D59" s="119">
        <f>B59-C59</f>
        <v>0</v>
      </c>
      <c r="E59" s="137">
        <f>(2.07+1.8)*6*2301.2-0.37*2301.2*6</f>
        <v>48325.2</v>
      </c>
      <c r="F59" s="141"/>
      <c r="G59" s="142"/>
      <c r="H59" s="137"/>
      <c r="I59" s="68"/>
      <c r="J59" s="68"/>
      <c r="K59" s="69"/>
      <c r="L59" s="69"/>
      <c r="M59" s="69"/>
      <c r="N59" s="69"/>
    </row>
    <row r="60" spans="1:14" ht="15.75" thickBot="1">
      <c r="A60" s="150" t="s">
        <v>69</v>
      </c>
      <c r="B60" s="151">
        <v>0</v>
      </c>
      <c r="C60" s="152">
        <f>B60*0.8954</f>
        <v>0</v>
      </c>
      <c r="D60" s="153">
        <f>B60-C60</f>
        <v>0</v>
      </c>
      <c r="E60" s="137"/>
      <c r="F60" s="141"/>
      <c r="G60" s="142"/>
      <c r="H60" s="132"/>
      <c r="I60" s="68"/>
      <c r="J60" s="68"/>
      <c r="K60" s="69"/>
      <c r="L60" s="69"/>
      <c r="M60" s="69"/>
      <c r="N60" s="69"/>
    </row>
    <row r="61" spans="1:14" ht="63">
      <c r="A61" s="154" t="s">
        <v>70</v>
      </c>
      <c r="B61" s="155" t="s">
        <v>71</v>
      </c>
      <c r="C61" s="156" t="s">
        <v>72</v>
      </c>
      <c r="D61" s="157" t="s">
        <v>73</v>
      </c>
      <c r="E61" s="137"/>
      <c r="F61" s="141"/>
      <c r="G61" s="132"/>
      <c r="H61" s="143"/>
      <c r="I61" s="68"/>
      <c r="J61" s="68"/>
      <c r="K61" s="69"/>
      <c r="L61" s="69"/>
      <c r="M61" s="69"/>
      <c r="N61" s="69"/>
    </row>
    <row r="62" spans="1:14" ht="15">
      <c r="A62" s="158" t="s">
        <v>66</v>
      </c>
      <c r="B62" s="124">
        <f>B57</f>
        <v>7539.78</v>
      </c>
      <c r="C62" s="125">
        <f>B62</f>
        <v>7539.78</v>
      </c>
      <c r="D62" s="159">
        <f>B62-C62</f>
        <v>0</v>
      </c>
      <c r="E62" s="137"/>
      <c r="F62" s="141"/>
      <c r="G62" s="132"/>
      <c r="H62" s="143"/>
      <c r="I62" s="68"/>
      <c r="J62" s="68" t="s">
        <v>32</v>
      </c>
      <c r="K62" s="69"/>
      <c r="L62" s="69"/>
      <c r="M62" s="69"/>
      <c r="N62" s="69"/>
    </row>
    <row r="63" spans="1:14" ht="15">
      <c r="A63" s="158" t="s">
        <v>67</v>
      </c>
      <c r="B63" s="124">
        <f>B58</f>
        <v>7536.2</v>
      </c>
      <c r="C63" s="125">
        <f>B63</f>
        <v>7536.2</v>
      </c>
      <c r="D63" s="159">
        <f>B63-C63</f>
        <v>0</v>
      </c>
      <c r="E63" s="137"/>
      <c r="F63" s="141"/>
      <c r="G63" s="132"/>
      <c r="H63" s="143"/>
      <c r="I63" s="68"/>
      <c r="J63" s="68"/>
      <c r="K63" s="69"/>
      <c r="L63" s="69"/>
      <c r="M63" s="69"/>
      <c r="N63" s="69"/>
    </row>
    <row r="64" spans="1:14" ht="15">
      <c r="A64" s="158" t="s">
        <v>68</v>
      </c>
      <c r="B64" s="124">
        <v>0</v>
      </c>
      <c r="C64" s="125">
        <v>0</v>
      </c>
      <c r="D64" s="159">
        <f>B64-C64</f>
        <v>0</v>
      </c>
      <c r="E64" s="137"/>
      <c r="F64" s="141"/>
      <c r="G64" s="132"/>
      <c r="H64" s="143"/>
      <c r="I64" s="68"/>
      <c r="J64" s="68"/>
      <c r="K64" s="69"/>
      <c r="L64" s="69"/>
      <c r="M64" s="69"/>
      <c r="N64" s="69"/>
    </row>
    <row r="65" spans="1:14" ht="15">
      <c r="A65" s="158" t="s">
        <v>74</v>
      </c>
      <c r="B65" s="124">
        <v>0</v>
      </c>
      <c r="C65" s="125">
        <v>0</v>
      </c>
      <c r="D65" s="159">
        <f>B65-C65</f>
        <v>0</v>
      </c>
      <c r="E65" s="65"/>
      <c r="F65" s="81"/>
      <c r="H65" s="68"/>
      <c r="I65" s="68"/>
      <c r="J65" s="68"/>
      <c r="K65" s="69"/>
      <c r="L65" s="69"/>
      <c r="M65" s="69"/>
      <c r="N65" s="69"/>
    </row>
    <row r="66" spans="1:14" ht="15.75" thickBot="1">
      <c r="A66" s="160" t="s">
        <v>69</v>
      </c>
      <c r="B66" s="161">
        <v>0</v>
      </c>
      <c r="C66" s="162">
        <v>0</v>
      </c>
      <c r="D66" s="163">
        <f>B66-C66</f>
        <v>0</v>
      </c>
      <c r="E66" s="65"/>
      <c r="F66" s="81"/>
      <c r="H66" s="68" t="s">
        <v>32</v>
      </c>
      <c r="I66" s="68"/>
      <c r="J66" s="68"/>
      <c r="K66" s="69"/>
      <c r="L66" s="69"/>
      <c r="M66" s="69"/>
      <c r="N66" s="69"/>
    </row>
    <row r="67" spans="1:14" ht="15">
      <c r="A67" s="91"/>
      <c r="B67" s="87"/>
      <c r="C67" s="92"/>
      <c r="D67" s="93"/>
      <c r="E67" s="65"/>
      <c r="F67" s="81"/>
      <c r="H67" s="68"/>
      <c r="I67" s="68"/>
      <c r="J67" s="68"/>
      <c r="K67" s="69"/>
      <c r="L67" s="69"/>
      <c r="M67" s="69"/>
      <c r="N67" s="69"/>
    </row>
    <row r="68" spans="1:14" ht="25.5">
      <c r="A68" s="94" t="s">
        <v>75</v>
      </c>
      <c r="B68" s="87" t="s">
        <v>16</v>
      </c>
      <c r="C68" s="95"/>
      <c r="D68" s="96">
        <v>0</v>
      </c>
      <c r="E68" s="65"/>
      <c r="F68" s="81"/>
      <c r="H68" s="68"/>
      <c r="I68" s="68"/>
      <c r="J68" s="68" t="s">
        <v>32</v>
      </c>
      <c r="K68" s="69"/>
      <c r="L68" s="69"/>
      <c r="M68" s="69"/>
      <c r="N68" s="69"/>
    </row>
    <row r="69" spans="1:14" ht="17.25" customHeight="1">
      <c r="A69" s="264" t="s">
        <v>76</v>
      </c>
      <c r="B69" s="264"/>
      <c r="C69" s="264"/>
      <c r="D69" s="264"/>
      <c r="E69" s="97" t="e">
        <f>D69+B19</f>
        <v>#VALUE!</v>
      </c>
      <c r="F69" s="68"/>
      <c r="H69" s="98" t="e">
        <f>E69-B18</f>
        <v>#VALUE!</v>
      </c>
      <c r="I69" s="68"/>
      <c r="J69" s="68"/>
      <c r="K69" s="69"/>
      <c r="L69" s="69"/>
      <c r="M69" s="69"/>
      <c r="N69" s="69"/>
    </row>
    <row r="70" spans="1:5" ht="21" customHeight="1">
      <c r="A70" s="99" t="s">
        <v>53</v>
      </c>
      <c r="B70" s="99" t="s">
        <v>54</v>
      </c>
      <c r="C70" s="100">
        <v>0</v>
      </c>
      <c r="D70" s="101"/>
      <c r="E70" s="102"/>
    </row>
    <row r="71" spans="1:5" ht="21" customHeight="1">
      <c r="A71" s="99" t="s">
        <v>55</v>
      </c>
      <c r="B71" s="99" t="s">
        <v>54</v>
      </c>
      <c r="C71" s="99">
        <v>0</v>
      </c>
      <c r="D71" s="101"/>
      <c r="E71" s="102"/>
    </row>
    <row r="72" spans="1:5" ht="18" customHeight="1">
      <c r="A72" s="99" t="s">
        <v>56</v>
      </c>
      <c r="B72" s="99" t="s">
        <v>54</v>
      </c>
      <c r="C72" s="99">
        <v>0</v>
      </c>
      <c r="D72" s="101"/>
      <c r="E72" s="102"/>
    </row>
    <row r="73" spans="1:5" ht="16.5" customHeight="1">
      <c r="A73" s="99" t="s">
        <v>57</v>
      </c>
      <c r="B73" s="99" t="s">
        <v>16</v>
      </c>
      <c r="C73" s="99">
        <v>0</v>
      </c>
      <c r="D73" s="101"/>
      <c r="E73" s="102"/>
    </row>
    <row r="74" spans="1:5" ht="15.75" customHeight="1">
      <c r="A74" s="258" t="s">
        <v>77</v>
      </c>
      <c r="B74" s="258"/>
      <c r="C74" s="258"/>
      <c r="D74" s="258"/>
      <c r="E74" s="102"/>
    </row>
    <row r="75" spans="1:5" ht="18.75" customHeight="1">
      <c r="A75" s="99" t="s">
        <v>78</v>
      </c>
      <c r="B75" s="99" t="s">
        <v>54</v>
      </c>
      <c r="C75" s="99">
        <v>0</v>
      </c>
      <c r="D75" s="101"/>
      <c r="E75" s="102"/>
    </row>
    <row r="76" spans="1:5" ht="21.75" customHeight="1">
      <c r="A76" s="99" t="s">
        <v>79</v>
      </c>
      <c r="B76" s="56" t="s">
        <v>54</v>
      </c>
      <c r="C76" s="56">
        <v>0</v>
      </c>
      <c r="D76" s="101"/>
      <c r="E76" s="102"/>
    </row>
    <row r="77" spans="1:5" ht="36" customHeight="1">
      <c r="A77" s="103" t="s">
        <v>80</v>
      </c>
      <c r="B77" s="99" t="s">
        <v>16</v>
      </c>
      <c r="C77" s="99">
        <v>0</v>
      </c>
      <c r="D77" s="101"/>
      <c r="E77" s="102"/>
    </row>
    <row r="78" spans="1:4" ht="15">
      <c r="A78" s="69"/>
      <c r="B78" s="69"/>
      <c r="C78" s="69"/>
      <c r="D78" s="104"/>
    </row>
    <row r="79" spans="1:14" s="1" customFormat="1" ht="12.75">
      <c r="A79"/>
      <c r="B79"/>
      <c r="C79"/>
      <c r="D79"/>
      <c r="H79" s="1" t="s">
        <v>32</v>
      </c>
      <c r="K79"/>
      <c r="L79"/>
      <c r="M79"/>
      <c r="N79"/>
    </row>
    <row r="80" spans="1:14" s="1" customFormat="1" ht="12.75">
      <c r="A80" t="s">
        <v>81</v>
      </c>
      <c r="B80"/>
      <c r="C80"/>
      <c r="D80"/>
      <c r="K80"/>
      <c r="L80"/>
      <c r="M80"/>
      <c r="N80"/>
    </row>
    <row r="81" spans="1:14" s="1" customFormat="1" ht="12.75">
      <c r="A81"/>
      <c r="B81"/>
      <c r="C81"/>
      <c r="D81"/>
      <c r="H81" s="1" t="s">
        <v>32</v>
      </c>
      <c r="K81"/>
      <c r="L81"/>
      <c r="M81"/>
      <c r="N81"/>
    </row>
    <row r="82" spans="1:14" s="1" customFormat="1" ht="12.75">
      <c r="A82" t="s">
        <v>82</v>
      </c>
      <c r="B82"/>
      <c r="C82"/>
      <c r="D82"/>
      <c r="K82"/>
      <c r="L82"/>
      <c r="M82"/>
      <c r="N82"/>
    </row>
    <row r="86" spans="1:14" s="1" customFormat="1" ht="12.75">
      <c r="A86"/>
      <c r="B86"/>
      <c r="C86"/>
      <c r="D86"/>
      <c r="E86" s="1" t="s">
        <v>32</v>
      </c>
      <c r="K86"/>
      <c r="L86"/>
      <c r="M86"/>
      <c r="N86"/>
    </row>
  </sheetData>
  <sheetProtection selectLockedCells="1" selectUnlockedCells="1"/>
  <mergeCells count="13">
    <mergeCell ref="A1:D1"/>
    <mergeCell ref="A2:D2"/>
    <mergeCell ref="A3:D3"/>
    <mergeCell ref="A4:D4"/>
    <mergeCell ref="A5:D5"/>
    <mergeCell ref="A7:D7"/>
    <mergeCell ref="A74:D74"/>
    <mergeCell ref="A14:D14"/>
    <mergeCell ref="A29:D29"/>
    <mergeCell ref="A43:D43"/>
    <mergeCell ref="A48:D48"/>
    <mergeCell ref="A55:D55"/>
    <mergeCell ref="A69:D69"/>
  </mergeCells>
  <printOptions/>
  <pageMargins left="0.5597222222222222" right="0.7875" top="0.34097222222222223" bottom="0.7875" header="0.5118055555555555" footer="0.5118055555555555"/>
  <pageSetup fitToHeight="3" fitToWidth="2" horizontalDpi="300" verticalDpi="300" orientation="landscape" paperSize="12" r:id="rId1"/>
</worksheet>
</file>

<file path=xl/worksheets/sheet5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6"/>
  <sheetViews>
    <sheetView zoomScale="80" zoomScaleNormal="80" zoomScalePageLayoutView="0" workbookViewId="0" topLeftCell="A13">
      <selection activeCell="E18" sqref="E18:H39"/>
    </sheetView>
  </sheetViews>
  <sheetFormatPr defaultColWidth="11.57421875" defaultRowHeight="12.75"/>
  <cols>
    <col min="1" max="1" width="63.28125" style="0" customWidth="1"/>
    <col min="2" max="2" width="20.28125" style="0" customWidth="1"/>
    <col min="3" max="3" width="31.421875" style="0" customWidth="1"/>
    <col min="4" max="4" width="27.57421875" style="0" customWidth="1"/>
    <col min="5" max="5" width="16.8515625" style="1" customWidth="1"/>
    <col min="6" max="7" width="0" style="1" hidden="1" customWidth="1"/>
    <col min="8" max="8" width="11.57421875" style="1" customWidth="1"/>
    <col min="9" max="9" width="5.28125" style="1" customWidth="1"/>
    <col min="10" max="10" width="30.00390625" style="1" customWidth="1"/>
    <col min="11" max="12" width="23.28125" style="0" customWidth="1"/>
    <col min="13" max="13" width="6.57421875" style="0" customWidth="1"/>
    <col min="14" max="14" width="7.00390625" style="0" customWidth="1"/>
  </cols>
  <sheetData>
    <row r="1" spans="1:4" ht="18">
      <c r="A1" s="265" t="s">
        <v>0</v>
      </c>
      <c r="B1" s="265"/>
      <c r="C1" s="265"/>
      <c r="D1" s="265"/>
    </row>
    <row r="2" spans="1:4" ht="15.75">
      <c r="A2" s="266" t="s">
        <v>1</v>
      </c>
      <c r="B2" s="266"/>
      <c r="C2" s="266"/>
      <c r="D2" s="266"/>
    </row>
    <row r="3" spans="1:4" ht="15.75">
      <c r="A3" s="266" t="s">
        <v>2</v>
      </c>
      <c r="B3" s="266"/>
      <c r="C3" s="266"/>
      <c r="D3" s="266"/>
    </row>
    <row r="4" spans="1:4" ht="12.75">
      <c r="A4" s="267" t="s">
        <v>161</v>
      </c>
      <c r="B4" s="267"/>
      <c r="C4" s="267"/>
      <c r="D4" s="267"/>
    </row>
    <row r="5" spans="1:4" ht="12.75">
      <c r="A5" s="268" t="s">
        <v>171</v>
      </c>
      <c r="B5" s="267"/>
      <c r="C5" s="267"/>
      <c r="D5" s="267"/>
    </row>
    <row r="6" ht="9" customHeight="1">
      <c r="A6" s="2"/>
    </row>
    <row r="7" spans="1:4" ht="18" customHeight="1">
      <c r="A7" s="269" t="s">
        <v>4</v>
      </c>
      <c r="B7" s="269"/>
      <c r="C7" s="269"/>
      <c r="D7" s="269"/>
    </row>
    <row r="8" spans="1:3" ht="12.75">
      <c r="A8" s="2" t="s">
        <v>278</v>
      </c>
      <c r="C8" s="3"/>
    </row>
    <row r="9" spans="1:4" ht="12.75">
      <c r="A9" s="4" t="s">
        <v>5</v>
      </c>
      <c r="B9" s="4" t="s">
        <v>6</v>
      </c>
      <c r="C9" s="4" t="s">
        <v>7</v>
      </c>
      <c r="D9" s="5"/>
    </row>
    <row r="10" spans="1:4" ht="12.75">
      <c r="A10" s="6">
        <v>1</v>
      </c>
      <c r="B10" s="6">
        <v>2</v>
      </c>
      <c r="C10" s="6">
        <v>3</v>
      </c>
      <c r="D10" s="7">
        <v>4</v>
      </c>
    </row>
    <row r="11" spans="1:4" ht="12.75">
      <c r="A11" s="8" t="s">
        <v>8</v>
      </c>
      <c r="B11" s="9"/>
      <c r="C11" s="177" t="s">
        <v>172</v>
      </c>
      <c r="D11" s="10"/>
    </row>
    <row r="12" spans="1:4" ht="12.75">
      <c r="A12" s="8" t="s">
        <v>10</v>
      </c>
      <c r="B12" s="9"/>
      <c r="C12" s="177" t="s">
        <v>173</v>
      </c>
      <c r="D12" s="10"/>
    </row>
    <row r="13" spans="1:4" ht="12.75">
      <c r="A13" s="8" t="s">
        <v>12</v>
      </c>
      <c r="B13" s="9"/>
      <c r="C13" s="177" t="s">
        <v>174</v>
      </c>
      <c r="D13" s="10"/>
    </row>
    <row r="14" spans="1:4" ht="31.5" customHeight="1">
      <c r="A14" s="259" t="s">
        <v>14</v>
      </c>
      <c r="B14" s="259"/>
      <c r="C14" s="259"/>
      <c r="D14" s="259"/>
    </row>
    <row r="15" spans="1:4" ht="25.5">
      <c r="A15" s="11" t="s">
        <v>15</v>
      </c>
      <c r="B15" s="12" t="s">
        <v>16</v>
      </c>
      <c r="C15" s="13">
        <v>21876.34</v>
      </c>
      <c r="D15" s="14"/>
    </row>
    <row r="16" spans="1:4" ht="15">
      <c r="A16" s="8" t="s">
        <v>17</v>
      </c>
      <c r="B16" s="12" t="s">
        <v>16</v>
      </c>
      <c r="C16" s="13">
        <v>0</v>
      </c>
      <c r="D16" s="14"/>
    </row>
    <row r="17" spans="1:5" ht="15">
      <c r="A17" s="8" t="s">
        <v>18</v>
      </c>
      <c r="B17" s="12" t="s">
        <v>16</v>
      </c>
      <c r="C17" s="15">
        <v>0</v>
      </c>
      <c r="D17" s="16"/>
      <c r="E17" s="1" t="e">
        <f>B17/12/1022.6</f>
        <v>#VALUE!</v>
      </c>
    </row>
    <row r="18" spans="1:8" ht="31.5" customHeight="1">
      <c r="A18" s="17" t="s">
        <v>19</v>
      </c>
      <c r="B18" s="12" t="s">
        <v>16</v>
      </c>
      <c r="C18" s="15">
        <v>15375.3</v>
      </c>
      <c r="D18" s="16"/>
      <c r="E18" s="133">
        <f>C18-C20</f>
        <v>11921.568</v>
      </c>
      <c r="F18" s="132"/>
      <c r="G18" s="132"/>
      <c r="H18" s="132"/>
    </row>
    <row r="19" spans="1:8" ht="15">
      <c r="A19" s="8" t="s">
        <v>20</v>
      </c>
      <c r="B19" s="12" t="s">
        <v>16</v>
      </c>
      <c r="C19" s="15">
        <f>C18-C20-C21</f>
        <v>5966.016</v>
      </c>
      <c r="D19" s="16"/>
      <c r="E19" s="133">
        <f>E18-E39</f>
        <v>0.004000000000814907</v>
      </c>
      <c r="F19" s="132"/>
      <c r="G19" s="132"/>
      <c r="H19" s="132"/>
    </row>
    <row r="20" spans="1:8" ht="15">
      <c r="A20" s="8" t="s">
        <v>21</v>
      </c>
      <c r="B20" s="12" t="s">
        <v>16</v>
      </c>
      <c r="C20" s="15">
        <f>(0.26)*6*101.7+3295.08</f>
        <v>3453.732</v>
      </c>
      <c r="D20" s="16"/>
      <c r="E20" s="134"/>
      <c r="F20" s="132"/>
      <c r="G20" s="132"/>
      <c r="H20" s="132"/>
    </row>
    <row r="21" spans="1:8" ht="15">
      <c r="A21" s="8" t="s">
        <v>22</v>
      </c>
      <c r="B21" s="12" t="s">
        <v>16</v>
      </c>
      <c r="C21" s="20">
        <f>101.7*4.88*12</f>
        <v>5955.552</v>
      </c>
      <c r="D21" s="16"/>
      <c r="E21" s="132"/>
      <c r="F21" s="132"/>
      <c r="G21" s="132"/>
      <c r="H21" s="132"/>
    </row>
    <row r="22" spans="1:8" ht="15">
      <c r="A22" s="21" t="s">
        <v>23</v>
      </c>
      <c r="B22" s="12" t="s">
        <v>16</v>
      </c>
      <c r="C22" s="15">
        <f>C23+C24+C25+C26+C27</f>
        <v>14486.60766</v>
      </c>
      <c r="D22" s="16" t="s">
        <v>24</v>
      </c>
      <c r="E22" s="133" t="e">
        <f>B24+B25+B26+B27+B28</f>
        <v>#VALUE!</v>
      </c>
      <c r="F22" s="132"/>
      <c r="G22" s="132"/>
      <c r="H22" s="132"/>
    </row>
    <row r="23" spans="1:8" ht="15">
      <c r="A23" s="8" t="s">
        <v>25</v>
      </c>
      <c r="B23" s="12" t="s">
        <v>16</v>
      </c>
      <c r="C23" s="15">
        <f>C18*0.9422</f>
        <v>14486.60766</v>
      </c>
      <c r="D23" s="16"/>
      <c r="E23" s="132"/>
      <c r="F23" s="132"/>
      <c r="G23" s="132"/>
      <c r="H23" s="132"/>
    </row>
    <row r="24" spans="1:8" ht="15">
      <c r="A24" s="8" t="s">
        <v>26</v>
      </c>
      <c r="B24" s="12" t="s">
        <v>16</v>
      </c>
      <c r="C24" s="15">
        <v>0</v>
      </c>
      <c r="D24" s="22">
        <v>65.21</v>
      </c>
      <c r="E24" s="134" t="e">
        <f>B24/#REF!*1</f>
        <v>#VALUE!</v>
      </c>
      <c r="F24" s="132"/>
      <c r="G24" s="132"/>
      <c r="H24" s="132" t="s">
        <v>27</v>
      </c>
    </row>
    <row r="25" spans="1:8" ht="15">
      <c r="A25" s="8" t="s">
        <v>28</v>
      </c>
      <c r="B25" s="12" t="s">
        <v>16</v>
      </c>
      <c r="C25" s="15">
        <v>0</v>
      </c>
      <c r="D25" s="22">
        <v>119.63</v>
      </c>
      <c r="E25" s="134" t="e">
        <f>B25/#REF!*1</f>
        <v>#VALUE!</v>
      </c>
      <c r="F25" s="132"/>
      <c r="G25" s="132"/>
      <c r="H25" s="132"/>
    </row>
    <row r="26" spans="1:8" ht="15">
      <c r="A26" s="9" t="s">
        <v>29</v>
      </c>
      <c r="B26" s="12" t="s">
        <v>16</v>
      </c>
      <c r="C26" s="15">
        <v>0</v>
      </c>
      <c r="D26" s="22"/>
      <c r="E26" s="134" t="e">
        <f>B26/#REF!*1</f>
        <v>#VALUE!</v>
      </c>
      <c r="F26" s="132"/>
      <c r="G26" s="132"/>
      <c r="H26" s="132"/>
    </row>
    <row r="27" spans="1:8" ht="16.5" customHeight="1">
      <c r="A27" s="116" t="s">
        <v>112</v>
      </c>
      <c r="B27" s="12" t="s">
        <v>16</v>
      </c>
      <c r="C27" s="15">
        <v>0</v>
      </c>
      <c r="D27" s="22">
        <v>139.18</v>
      </c>
      <c r="E27" s="134" t="e">
        <f>B27/#REF!*1</f>
        <v>#VALUE!</v>
      </c>
      <c r="F27" s="132"/>
      <c r="G27" s="132"/>
      <c r="H27" s="132"/>
    </row>
    <row r="28" spans="1:8" ht="15">
      <c r="A28" s="8" t="s">
        <v>31</v>
      </c>
      <c r="B28" s="12" t="s">
        <v>16</v>
      </c>
      <c r="C28" s="15">
        <f>C15+C22</f>
        <v>36362.94766</v>
      </c>
      <c r="D28" s="16" t="s">
        <v>32</v>
      </c>
      <c r="E28" s="134" t="e">
        <f>B28/#REF!*1</f>
        <v>#VALUE!</v>
      </c>
      <c r="F28" s="132"/>
      <c r="G28" s="132"/>
      <c r="H28" s="132"/>
    </row>
    <row r="29" spans="1:8" ht="35.25" customHeight="1">
      <c r="A29" s="260" t="s">
        <v>33</v>
      </c>
      <c r="B29" s="260"/>
      <c r="C29" s="260"/>
      <c r="D29" s="260"/>
      <c r="E29" s="132"/>
      <c r="F29" s="132"/>
      <c r="G29" s="132"/>
      <c r="H29" s="132"/>
    </row>
    <row r="30" spans="1:8" ht="60">
      <c r="A30" s="23" t="s">
        <v>34</v>
      </c>
      <c r="B30" s="24" t="s">
        <v>35</v>
      </c>
      <c r="C30" s="25" t="s">
        <v>36</v>
      </c>
      <c r="D30" s="26" t="s">
        <v>37</v>
      </c>
      <c r="E30" s="132"/>
      <c r="F30" s="132"/>
      <c r="G30" s="132"/>
      <c r="H30" s="132"/>
    </row>
    <row r="31" spans="1:8" ht="15">
      <c r="A31" s="27" t="s">
        <v>38</v>
      </c>
      <c r="B31" s="28" t="s">
        <v>39</v>
      </c>
      <c r="C31" s="29" t="s">
        <v>40</v>
      </c>
      <c r="D31" s="107">
        <f>(0.17+0.16)*6*101.7</f>
        <v>201.366</v>
      </c>
      <c r="E31" s="132"/>
      <c r="F31" s="132"/>
      <c r="G31" s="132"/>
      <c r="H31" s="132"/>
    </row>
    <row r="32" spans="1:8" ht="15">
      <c r="A32" s="31" t="s">
        <v>41</v>
      </c>
      <c r="B32" s="32" t="s">
        <v>42</v>
      </c>
      <c r="C32" s="33" t="s">
        <v>43</v>
      </c>
      <c r="D32" s="34">
        <f>(3.03+3)*6*101.7</f>
        <v>3679.5059999999994</v>
      </c>
      <c r="E32" s="132"/>
      <c r="F32" s="132"/>
      <c r="G32" s="132"/>
      <c r="H32" s="132"/>
    </row>
    <row r="33" spans="1:8" ht="15">
      <c r="A33" s="31" t="s">
        <v>44</v>
      </c>
      <c r="B33" s="32" t="s">
        <v>39</v>
      </c>
      <c r="C33" s="33" t="s">
        <v>45</v>
      </c>
      <c r="D33" s="108">
        <f>(0.21+0.2)*6*101.7</f>
        <v>250.18200000000002</v>
      </c>
      <c r="E33" s="132"/>
      <c r="F33" s="132"/>
      <c r="G33" s="132"/>
      <c r="H33" s="132"/>
    </row>
    <row r="34" spans="1:8" ht="15">
      <c r="A34" s="204" t="s">
        <v>255</v>
      </c>
      <c r="B34" s="32" t="s">
        <v>39</v>
      </c>
      <c r="C34" s="33" t="s">
        <v>40</v>
      </c>
      <c r="D34" s="108">
        <f>(0.23+0.22)*6*101.7</f>
        <v>274.59000000000003</v>
      </c>
      <c r="E34" s="132"/>
      <c r="F34" s="132"/>
      <c r="G34" s="132"/>
      <c r="H34" s="132"/>
    </row>
    <row r="35" spans="1:8" ht="15">
      <c r="A35" s="31" t="s">
        <v>90</v>
      </c>
      <c r="B35" s="106" t="s">
        <v>91</v>
      </c>
      <c r="C35" s="33" t="s">
        <v>40</v>
      </c>
      <c r="D35" s="108">
        <f>101.7*(1.27+0.62)*6</f>
        <v>1153.2780000000002</v>
      </c>
      <c r="E35" s="132"/>
      <c r="F35" s="132"/>
      <c r="G35" s="132"/>
      <c r="H35" s="132"/>
    </row>
    <row r="36" spans="1:8" ht="15">
      <c r="A36" s="31" t="s">
        <v>46</v>
      </c>
      <c r="B36" s="32" t="s">
        <v>42</v>
      </c>
      <c r="C36" s="35" t="s">
        <v>47</v>
      </c>
      <c r="D36" s="108">
        <f>4.88*101.7*12</f>
        <v>5955.552</v>
      </c>
      <c r="E36" s="132"/>
      <c r="F36" s="132"/>
      <c r="G36" s="132"/>
      <c r="H36" s="132"/>
    </row>
    <row r="37" spans="1:14" s="1" customFormat="1" ht="45">
      <c r="A37" s="36" t="s">
        <v>48</v>
      </c>
      <c r="B37" s="37" t="s">
        <v>49</v>
      </c>
      <c r="C37" s="131" t="s">
        <v>86</v>
      </c>
      <c r="D37" s="39">
        <v>0</v>
      </c>
      <c r="E37" s="132"/>
      <c r="F37" s="132"/>
      <c r="G37" s="132"/>
      <c r="H37" s="132"/>
      <c r="K37"/>
      <c r="L37"/>
      <c r="M37"/>
      <c r="N37"/>
    </row>
    <row r="38" spans="1:14" s="1" customFormat="1" ht="45">
      <c r="A38" s="109" t="s">
        <v>95</v>
      </c>
      <c r="B38" s="110" t="s">
        <v>96</v>
      </c>
      <c r="C38" s="29" t="s">
        <v>97</v>
      </c>
      <c r="D38" s="112">
        <v>407.09</v>
      </c>
      <c r="E38" s="132"/>
      <c r="F38" s="132"/>
      <c r="G38" s="132"/>
      <c r="H38" s="132"/>
      <c r="K38"/>
      <c r="L38"/>
      <c r="M38"/>
      <c r="N38"/>
    </row>
    <row r="39" spans="1:14" s="1" customFormat="1" ht="15.75">
      <c r="A39" s="40" t="s">
        <v>50</v>
      </c>
      <c r="B39" s="41"/>
      <c r="C39" s="42"/>
      <c r="D39" s="113">
        <f>SUM(D31:D38)</f>
        <v>11921.563999999998</v>
      </c>
      <c r="E39" s="135">
        <f>D39-D37</f>
        <v>11921.563999999998</v>
      </c>
      <c r="F39" s="132"/>
      <c r="G39" s="132"/>
      <c r="H39" s="132"/>
      <c r="K39"/>
      <c r="L39"/>
      <c r="M39"/>
      <c r="N39"/>
    </row>
    <row r="40" spans="1:14" s="1" customFormat="1" ht="15">
      <c r="A40" s="43" t="s">
        <v>51</v>
      </c>
      <c r="B40" s="44" t="s">
        <v>16</v>
      </c>
      <c r="C40" s="45"/>
      <c r="D40" s="46">
        <f>C15+C20*0.9422-D37</f>
        <v>25130.4462904</v>
      </c>
      <c r="E40" s="47"/>
      <c r="K40"/>
      <c r="L40"/>
      <c r="M40"/>
      <c r="N40"/>
    </row>
    <row r="41" spans="1:14" s="1" customFormat="1" ht="15">
      <c r="A41" s="48" t="s">
        <v>17</v>
      </c>
      <c r="B41" s="49" t="s">
        <v>16</v>
      </c>
      <c r="C41" s="33"/>
      <c r="D41" s="14"/>
      <c r="K41"/>
      <c r="L41"/>
      <c r="M41"/>
      <c r="N41"/>
    </row>
    <row r="42" spans="1:14" s="1" customFormat="1" ht="15">
      <c r="A42" s="48" t="s">
        <v>18</v>
      </c>
      <c r="B42" s="49" t="s">
        <v>16</v>
      </c>
      <c r="C42" s="33"/>
      <c r="D42" s="14">
        <v>888.69</v>
      </c>
      <c r="K42"/>
      <c r="L42"/>
      <c r="M42"/>
      <c r="N42"/>
    </row>
    <row r="43" spans="1:14" s="1" customFormat="1" ht="24" customHeight="1">
      <c r="A43" s="261" t="s">
        <v>52</v>
      </c>
      <c r="B43" s="261"/>
      <c r="C43" s="261"/>
      <c r="D43" s="261"/>
      <c r="K43"/>
      <c r="L43"/>
      <c r="M43"/>
      <c r="N43"/>
    </row>
    <row r="44" spans="1:14" s="1" customFormat="1" ht="15">
      <c r="A44" s="48" t="s">
        <v>53</v>
      </c>
      <c r="B44" s="32" t="s">
        <v>54</v>
      </c>
      <c r="C44" s="33">
        <v>0</v>
      </c>
      <c r="D44" s="14">
        <v>0</v>
      </c>
      <c r="K44"/>
      <c r="L44"/>
      <c r="M44"/>
      <c r="N44"/>
    </row>
    <row r="45" spans="1:14" s="1" customFormat="1" ht="15">
      <c r="A45" s="48" t="s">
        <v>55</v>
      </c>
      <c r="B45" s="32" t="s">
        <v>54</v>
      </c>
      <c r="C45" s="33">
        <v>0</v>
      </c>
      <c r="D45" s="14">
        <v>0</v>
      </c>
      <c r="K45"/>
      <c r="L45"/>
      <c r="M45"/>
      <c r="N45"/>
    </row>
    <row r="46" spans="1:14" s="1" customFormat="1" ht="15">
      <c r="A46" s="50" t="s">
        <v>56</v>
      </c>
      <c r="B46" s="32" t="s">
        <v>54</v>
      </c>
      <c r="C46" s="33">
        <v>0</v>
      </c>
      <c r="D46" s="14">
        <v>0</v>
      </c>
      <c r="K46"/>
      <c r="L46"/>
      <c r="M46"/>
      <c r="N46"/>
    </row>
    <row r="47" spans="1:14" s="1" customFormat="1" ht="15">
      <c r="A47" s="48" t="s">
        <v>57</v>
      </c>
      <c r="B47" s="32" t="s">
        <v>16</v>
      </c>
      <c r="C47" s="33">
        <v>0</v>
      </c>
      <c r="D47" s="14">
        <v>0</v>
      </c>
      <c r="K47"/>
      <c r="L47"/>
      <c r="M47"/>
      <c r="N47"/>
    </row>
    <row r="48" spans="1:4" ht="20.25" customHeight="1">
      <c r="A48" s="262" t="s">
        <v>58</v>
      </c>
      <c r="B48" s="262"/>
      <c r="C48" s="262"/>
      <c r="D48" s="262"/>
    </row>
    <row r="49" spans="1:4" ht="25.5">
      <c r="A49" s="50" t="s">
        <v>59</v>
      </c>
      <c r="B49" s="32" t="s">
        <v>16</v>
      </c>
      <c r="C49" s="33"/>
      <c r="D49" s="14">
        <v>0</v>
      </c>
    </row>
    <row r="50" spans="1:4" ht="15">
      <c r="A50" s="48" t="s">
        <v>17</v>
      </c>
      <c r="B50" s="32" t="s">
        <v>16</v>
      </c>
      <c r="C50" s="33"/>
      <c r="D50" s="14">
        <v>0</v>
      </c>
    </row>
    <row r="51" spans="1:8" ht="15">
      <c r="A51" s="48" t="s">
        <v>18</v>
      </c>
      <c r="B51" s="32" t="s">
        <v>16</v>
      </c>
      <c r="C51" s="33"/>
      <c r="D51" s="51">
        <f>D54-D57-D58</f>
        <v>0.0045400000000199725</v>
      </c>
      <c r="H51" s="52"/>
    </row>
    <row r="52" spans="1:4" ht="25.5">
      <c r="A52" s="53" t="s">
        <v>60</v>
      </c>
      <c r="B52" s="32" t="s">
        <v>16</v>
      </c>
      <c r="C52" s="54"/>
      <c r="D52" s="55">
        <v>0</v>
      </c>
    </row>
    <row r="53" spans="1:10" ht="17.25" customHeight="1">
      <c r="A53" s="56" t="s">
        <v>17</v>
      </c>
      <c r="B53" s="32" t="s">
        <v>16</v>
      </c>
      <c r="C53" s="33"/>
      <c r="D53" s="14">
        <v>0</v>
      </c>
      <c r="I53" s="52"/>
      <c r="J53" s="52"/>
    </row>
    <row r="54" spans="1:14" ht="15">
      <c r="A54" s="59" t="s">
        <v>18</v>
      </c>
      <c r="B54" s="32" t="s">
        <v>16</v>
      </c>
      <c r="C54" s="60"/>
      <c r="D54" s="61">
        <v>463.89</v>
      </c>
      <c r="E54" s="62"/>
      <c r="H54" s="1" t="s">
        <v>32</v>
      </c>
      <c r="I54" s="63"/>
      <c r="J54" s="63"/>
      <c r="K54" s="64"/>
      <c r="L54" s="64"/>
      <c r="M54" s="64"/>
      <c r="N54" s="64"/>
    </row>
    <row r="55" spans="1:14" ht="18" customHeight="1">
      <c r="A55" s="263" t="s">
        <v>61</v>
      </c>
      <c r="B55" s="263"/>
      <c r="C55" s="263"/>
      <c r="D55" s="263"/>
      <c r="E55" s="65"/>
      <c r="F55" s="66"/>
      <c r="G55" s="67"/>
      <c r="I55" s="68"/>
      <c r="J55" s="68"/>
      <c r="K55" s="69"/>
      <c r="L55" s="69"/>
      <c r="M55" s="69"/>
      <c r="N55" s="69"/>
    </row>
    <row r="56" spans="1:14" ht="47.25">
      <c r="A56" s="70" t="s">
        <v>62</v>
      </c>
      <c r="B56" s="71" t="s">
        <v>63</v>
      </c>
      <c r="C56" s="72" t="s">
        <v>64</v>
      </c>
      <c r="D56" s="73" t="s">
        <v>65</v>
      </c>
      <c r="E56" s="65"/>
      <c r="F56" s="66"/>
      <c r="G56" s="67"/>
      <c r="I56" s="68"/>
      <c r="J56" s="74"/>
      <c r="K56" s="69"/>
      <c r="L56" s="69"/>
      <c r="M56" s="69"/>
      <c r="N56" s="69"/>
    </row>
    <row r="57" spans="1:14" ht="15">
      <c r="A57" s="75" t="s">
        <v>66</v>
      </c>
      <c r="B57" s="117">
        <v>4799.2</v>
      </c>
      <c r="C57" s="118">
        <f>B57*0.9422</f>
        <v>4521.80624</v>
      </c>
      <c r="D57" s="119">
        <f>B57-C57</f>
        <v>277.39375999999993</v>
      </c>
      <c r="E57" s="79"/>
      <c r="F57" s="66"/>
      <c r="G57" s="67"/>
      <c r="I57" s="68"/>
      <c r="J57" s="68"/>
      <c r="K57" s="69"/>
      <c r="L57" s="69"/>
      <c r="M57" s="69"/>
      <c r="N57" s="69"/>
    </row>
    <row r="58" spans="1:14" ht="15">
      <c r="A58" s="75" t="s">
        <v>67</v>
      </c>
      <c r="B58" s="117">
        <v>3226.5</v>
      </c>
      <c r="C58" s="118">
        <f>B58*0.9422</f>
        <v>3040.0083</v>
      </c>
      <c r="D58" s="119">
        <f>B58-C58</f>
        <v>186.49170000000004</v>
      </c>
      <c r="E58" s="65"/>
      <c r="F58" s="66"/>
      <c r="G58" s="67"/>
      <c r="I58" s="68"/>
      <c r="J58" s="68"/>
      <c r="K58" s="69"/>
      <c r="L58" s="69"/>
      <c r="M58" s="69"/>
      <c r="N58" s="69"/>
    </row>
    <row r="59" spans="1:14" ht="15">
      <c r="A59" s="75" t="s">
        <v>68</v>
      </c>
      <c r="B59" s="120">
        <v>0</v>
      </c>
      <c r="C59" s="118">
        <f>B59*0.9918</f>
        <v>0</v>
      </c>
      <c r="D59" s="119">
        <f>B59-C59</f>
        <v>0</v>
      </c>
      <c r="E59" s="65">
        <f>(2.07+1.8)*6*2301.2-0.37*2301.2*6</f>
        <v>48325.2</v>
      </c>
      <c r="F59" s="81"/>
      <c r="G59" s="82"/>
      <c r="H59" s="65"/>
      <c r="I59" s="68"/>
      <c r="J59" s="68"/>
      <c r="K59" s="69"/>
      <c r="L59" s="69"/>
      <c r="M59" s="69"/>
      <c r="N59" s="69"/>
    </row>
    <row r="60" spans="1:14" ht="15.75" thickBot="1">
      <c r="A60" s="150" t="s">
        <v>69</v>
      </c>
      <c r="B60" s="151">
        <v>0</v>
      </c>
      <c r="C60" s="152">
        <f>B60*0.9918</f>
        <v>0</v>
      </c>
      <c r="D60" s="153">
        <f>B60-C60</f>
        <v>0</v>
      </c>
      <c r="E60" s="65"/>
      <c r="F60" s="81"/>
      <c r="G60" s="82"/>
      <c r="I60" s="68"/>
      <c r="J60" s="68"/>
      <c r="K60" s="69"/>
      <c r="L60" s="69"/>
      <c r="M60" s="69"/>
      <c r="N60" s="69"/>
    </row>
    <row r="61" spans="1:14" ht="63">
      <c r="A61" s="154" t="s">
        <v>70</v>
      </c>
      <c r="B61" s="155" t="s">
        <v>71</v>
      </c>
      <c r="C61" s="156" t="s">
        <v>72</v>
      </c>
      <c r="D61" s="157" t="s">
        <v>73</v>
      </c>
      <c r="E61" s="65"/>
      <c r="F61" s="81"/>
      <c r="H61" s="68"/>
      <c r="I61" s="68"/>
      <c r="J61" s="68"/>
      <c r="K61" s="69"/>
      <c r="L61" s="69"/>
      <c r="M61" s="69"/>
      <c r="N61" s="69"/>
    </row>
    <row r="62" spans="1:14" ht="15">
      <c r="A62" s="158" t="s">
        <v>66</v>
      </c>
      <c r="B62" s="124">
        <f>B57</f>
        <v>4799.2</v>
      </c>
      <c r="C62" s="125">
        <f>C57</f>
        <v>4521.80624</v>
      </c>
      <c r="D62" s="159">
        <f>B62-C62</f>
        <v>277.39375999999993</v>
      </c>
      <c r="E62" s="65"/>
      <c r="F62" s="81"/>
      <c r="H62" s="68"/>
      <c r="I62" s="68"/>
      <c r="J62" s="68" t="s">
        <v>32</v>
      </c>
      <c r="K62" s="69"/>
      <c r="L62" s="69"/>
      <c r="M62" s="69"/>
      <c r="N62" s="69"/>
    </row>
    <row r="63" spans="1:14" ht="15">
      <c r="A63" s="158" t="s">
        <v>67</v>
      </c>
      <c r="B63" s="124">
        <f>B58</f>
        <v>3226.5</v>
      </c>
      <c r="C63" s="125">
        <f>C58</f>
        <v>3040.0083</v>
      </c>
      <c r="D63" s="159">
        <f>B63-C63</f>
        <v>186.49170000000004</v>
      </c>
      <c r="E63" s="65"/>
      <c r="F63" s="81"/>
      <c r="H63" s="68"/>
      <c r="I63" s="68"/>
      <c r="J63" s="68"/>
      <c r="K63" s="69"/>
      <c r="L63" s="69"/>
      <c r="M63" s="69"/>
      <c r="N63" s="69"/>
    </row>
    <row r="64" spans="1:14" ht="15">
      <c r="A64" s="158" t="s">
        <v>68</v>
      </c>
      <c r="B64" s="124">
        <v>0</v>
      </c>
      <c r="C64" s="125">
        <v>0</v>
      </c>
      <c r="D64" s="159">
        <f>B64-C64</f>
        <v>0</v>
      </c>
      <c r="E64" s="65"/>
      <c r="F64" s="81"/>
      <c r="H64" s="68"/>
      <c r="I64" s="68"/>
      <c r="J64" s="68"/>
      <c r="K64" s="69"/>
      <c r="L64" s="69"/>
      <c r="M64" s="69"/>
      <c r="N64" s="69"/>
    </row>
    <row r="65" spans="1:14" ht="15">
      <c r="A65" s="158" t="s">
        <v>74</v>
      </c>
      <c r="B65" s="124">
        <v>0</v>
      </c>
      <c r="C65" s="125">
        <v>0</v>
      </c>
      <c r="D65" s="159">
        <f>B65-C65</f>
        <v>0</v>
      </c>
      <c r="E65" s="65"/>
      <c r="F65" s="81"/>
      <c r="H65" s="68"/>
      <c r="I65" s="68"/>
      <c r="J65" s="68"/>
      <c r="K65" s="69"/>
      <c r="L65" s="69"/>
      <c r="M65" s="69"/>
      <c r="N65" s="69"/>
    </row>
    <row r="66" spans="1:14" ht="15.75" thickBot="1">
      <c r="A66" s="160" t="s">
        <v>69</v>
      </c>
      <c r="B66" s="161">
        <v>0</v>
      </c>
      <c r="C66" s="162">
        <v>0</v>
      </c>
      <c r="D66" s="163">
        <f>B66-C66</f>
        <v>0</v>
      </c>
      <c r="E66" s="65"/>
      <c r="F66" s="81"/>
      <c r="H66" s="68" t="s">
        <v>32</v>
      </c>
      <c r="I66" s="68"/>
      <c r="J66" s="68"/>
      <c r="K66" s="69"/>
      <c r="L66" s="69"/>
      <c r="M66" s="69"/>
      <c r="N66" s="69"/>
    </row>
    <row r="67" spans="1:14" ht="15">
      <c r="A67" s="91"/>
      <c r="B67" s="87"/>
      <c r="C67" s="92"/>
      <c r="D67" s="93"/>
      <c r="E67" s="65"/>
      <c r="F67" s="81"/>
      <c r="H67" s="68"/>
      <c r="I67" s="68"/>
      <c r="J67" s="68"/>
      <c r="K67" s="69"/>
      <c r="L67" s="69"/>
      <c r="M67" s="69"/>
      <c r="N67" s="69"/>
    </row>
    <row r="68" spans="1:14" ht="25.5">
      <c r="A68" s="94" t="s">
        <v>75</v>
      </c>
      <c r="B68" s="87" t="s">
        <v>16</v>
      </c>
      <c r="C68" s="95"/>
      <c r="D68" s="96">
        <v>0</v>
      </c>
      <c r="E68" s="65"/>
      <c r="F68" s="81"/>
      <c r="H68" s="68"/>
      <c r="I68" s="68"/>
      <c r="J68" s="68" t="s">
        <v>32</v>
      </c>
      <c r="K68" s="69"/>
      <c r="L68" s="69"/>
      <c r="M68" s="69"/>
      <c r="N68" s="69"/>
    </row>
    <row r="69" spans="1:14" ht="17.25" customHeight="1">
      <c r="A69" s="264" t="s">
        <v>76</v>
      </c>
      <c r="B69" s="264"/>
      <c r="C69" s="264"/>
      <c r="D69" s="264"/>
      <c r="E69" s="97" t="e">
        <f>D69+B19</f>
        <v>#VALUE!</v>
      </c>
      <c r="F69" s="68"/>
      <c r="H69" s="98" t="e">
        <f>E69-B18</f>
        <v>#VALUE!</v>
      </c>
      <c r="I69" s="68"/>
      <c r="J69" s="68"/>
      <c r="K69" s="69"/>
      <c r="L69" s="69"/>
      <c r="M69" s="69"/>
      <c r="N69" s="69"/>
    </row>
    <row r="70" spans="1:5" ht="21" customHeight="1">
      <c r="A70" s="99" t="s">
        <v>53</v>
      </c>
      <c r="B70" s="99" t="s">
        <v>54</v>
      </c>
      <c r="C70" s="100">
        <v>0</v>
      </c>
      <c r="D70" s="101"/>
      <c r="E70" s="102"/>
    </row>
    <row r="71" spans="1:5" ht="21" customHeight="1">
      <c r="A71" s="99" t="s">
        <v>55</v>
      </c>
      <c r="B71" s="99" t="s">
        <v>54</v>
      </c>
      <c r="C71" s="99">
        <v>0</v>
      </c>
      <c r="D71" s="101"/>
      <c r="E71" s="102"/>
    </row>
    <row r="72" spans="1:5" ht="18" customHeight="1">
      <c r="A72" s="99" t="s">
        <v>56</v>
      </c>
      <c r="B72" s="99" t="s">
        <v>54</v>
      </c>
      <c r="C72" s="99">
        <v>0</v>
      </c>
      <c r="D72" s="101"/>
      <c r="E72" s="102"/>
    </row>
    <row r="73" spans="1:5" ht="16.5" customHeight="1">
      <c r="A73" s="99" t="s">
        <v>57</v>
      </c>
      <c r="B73" s="99" t="s">
        <v>16</v>
      </c>
      <c r="C73" s="99">
        <v>0</v>
      </c>
      <c r="D73" s="101"/>
      <c r="E73" s="102"/>
    </row>
    <row r="74" spans="1:5" ht="15.75" customHeight="1">
      <c r="A74" s="258" t="s">
        <v>77</v>
      </c>
      <c r="B74" s="258"/>
      <c r="C74" s="258"/>
      <c r="D74" s="258"/>
      <c r="E74" s="102"/>
    </row>
    <row r="75" spans="1:5" ht="18.75" customHeight="1">
      <c r="A75" s="99" t="s">
        <v>78</v>
      </c>
      <c r="B75" s="99" t="s">
        <v>54</v>
      </c>
      <c r="C75" s="99">
        <v>0</v>
      </c>
      <c r="D75" s="101"/>
      <c r="E75" s="102"/>
    </row>
    <row r="76" spans="1:5" ht="21.75" customHeight="1">
      <c r="A76" s="99" t="s">
        <v>79</v>
      </c>
      <c r="B76" s="56" t="s">
        <v>54</v>
      </c>
      <c r="C76" s="56">
        <v>0</v>
      </c>
      <c r="D76" s="101"/>
      <c r="E76" s="102"/>
    </row>
    <row r="77" spans="1:5" ht="36" customHeight="1">
      <c r="A77" s="103" t="s">
        <v>80</v>
      </c>
      <c r="B77" s="99" t="s">
        <v>16</v>
      </c>
      <c r="C77" s="99">
        <v>0</v>
      </c>
      <c r="D77" s="101"/>
      <c r="E77" s="102"/>
    </row>
    <row r="78" spans="1:4" ht="15">
      <c r="A78" s="69"/>
      <c r="B78" s="69"/>
      <c r="C78" s="69"/>
      <c r="D78" s="104"/>
    </row>
    <row r="79" spans="1:14" s="1" customFormat="1" ht="12.75">
      <c r="A79"/>
      <c r="B79"/>
      <c r="C79"/>
      <c r="D79"/>
      <c r="H79" s="1" t="s">
        <v>32</v>
      </c>
      <c r="K79"/>
      <c r="L79"/>
      <c r="M79"/>
      <c r="N79"/>
    </row>
    <row r="80" spans="1:14" s="1" customFormat="1" ht="12.75">
      <c r="A80" t="s">
        <v>81</v>
      </c>
      <c r="B80"/>
      <c r="C80"/>
      <c r="D80"/>
      <c r="K80"/>
      <c r="L80"/>
      <c r="M80"/>
      <c r="N80"/>
    </row>
    <row r="81" spans="1:14" s="1" customFormat="1" ht="12.75">
      <c r="A81"/>
      <c r="B81"/>
      <c r="C81"/>
      <c r="D81"/>
      <c r="H81" s="1" t="s">
        <v>32</v>
      </c>
      <c r="K81"/>
      <c r="L81"/>
      <c r="M81"/>
      <c r="N81"/>
    </row>
    <row r="82" spans="1:14" s="1" customFormat="1" ht="12.75">
      <c r="A82" t="s">
        <v>82</v>
      </c>
      <c r="B82"/>
      <c r="C82"/>
      <c r="D82"/>
      <c r="K82"/>
      <c r="L82"/>
      <c r="M82"/>
      <c r="N82"/>
    </row>
    <row r="86" spans="1:14" s="1" customFormat="1" ht="12.75">
      <c r="A86"/>
      <c r="B86"/>
      <c r="C86"/>
      <c r="D86"/>
      <c r="E86" s="1" t="s">
        <v>32</v>
      </c>
      <c r="K86"/>
      <c r="L86"/>
      <c r="M86"/>
      <c r="N86"/>
    </row>
  </sheetData>
  <sheetProtection selectLockedCells="1" selectUnlockedCells="1"/>
  <mergeCells count="13">
    <mergeCell ref="A1:D1"/>
    <mergeCell ref="A2:D2"/>
    <mergeCell ref="A3:D3"/>
    <mergeCell ref="A4:D4"/>
    <mergeCell ref="A5:D5"/>
    <mergeCell ref="A7:D7"/>
    <mergeCell ref="A74:D74"/>
    <mergeCell ref="A14:D14"/>
    <mergeCell ref="A29:D29"/>
    <mergeCell ref="A43:D43"/>
    <mergeCell ref="A48:D48"/>
    <mergeCell ref="A55:D55"/>
    <mergeCell ref="A69:D69"/>
  </mergeCells>
  <printOptions/>
  <pageMargins left="0.5597222222222222" right="0.7875" top="0.34097222222222223" bottom="0.7875" header="0.5118055555555555" footer="0.5118055555555555"/>
  <pageSetup fitToHeight="3" fitToWidth="2" horizontalDpi="300" verticalDpi="300" orientation="landscape" paperSize="12" r:id="rId1"/>
</worksheet>
</file>

<file path=xl/worksheets/sheet5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0"/>
  <sheetViews>
    <sheetView zoomScale="80" zoomScaleNormal="80" zoomScalePageLayoutView="0" workbookViewId="0" topLeftCell="A1">
      <selection activeCell="A1" sqref="A1:D87"/>
    </sheetView>
  </sheetViews>
  <sheetFormatPr defaultColWidth="11.57421875" defaultRowHeight="12.75"/>
  <cols>
    <col min="1" max="1" width="54.28125" style="0" customWidth="1"/>
    <col min="2" max="2" width="17.8515625" style="0" customWidth="1"/>
    <col min="3" max="3" width="24.57421875" style="0" customWidth="1"/>
    <col min="4" max="4" width="16.421875" style="0" customWidth="1"/>
    <col min="5" max="5" width="16.8515625" style="1" customWidth="1"/>
    <col min="6" max="7" width="0" style="1" hidden="1" customWidth="1"/>
    <col min="8" max="8" width="11.57421875" style="1" customWidth="1"/>
    <col min="9" max="9" width="5.28125" style="1" customWidth="1"/>
    <col min="10" max="10" width="30.00390625" style="1" customWidth="1"/>
    <col min="11" max="12" width="23.28125" style="0" customWidth="1"/>
    <col min="13" max="13" width="6.57421875" style="0" customWidth="1"/>
    <col min="14" max="14" width="7.00390625" style="0" customWidth="1"/>
  </cols>
  <sheetData>
    <row r="1" spans="1:4" ht="18">
      <c r="A1" s="265" t="s">
        <v>0</v>
      </c>
      <c r="B1" s="265"/>
      <c r="C1" s="265"/>
      <c r="D1" s="265"/>
    </row>
    <row r="2" spans="1:4" ht="15.75">
      <c r="A2" s="266" t="s">
        <v>1</v>
      </c>
      <c r="B2" s="266"/>
      <c r="C2" s="266"/>
      <c r="D2" s="266"/>
    </row>
    <row r="3" spans="1:4" ht="15.75">
      <c r="A3" s="266" t="s">
        <v>2</v>
      </c>
      <c r="B3" s="266"/>
      <c r="C3" s="266"/>
      <c r="D3" s="266"/>
    </row>
    <row r="4" spans="1:4" ht="12.75">
      <c r="A4" s="267" t="s">
        <v>162</v>
      </c>
      <c r="B4" s="267"/>
      <c r="C4" s="267"/>
      <c r="D4" s="267"/>
    </row>
    <row r="5" spans="1:4" ht="12.75">
      <c r="A5" s="268" t="s">
        <v>171</v>
      </c>
      <c r="B5" s="267"/>
      <c r="C5" s="267"/>
      <c r="D5" s="267"/>
    </row>
    <row r="6" ht="9" customHeight="1">
      <c r="A6" s="2"/>
    </row>
    <row r="7" spans="1:4" ht="32.25" customHeight="1">
      <c r="A7" s="269" t="s">
        <v>4</v>
      </c>
      <c r="B7" s="269"/>
      <c r="C7" s="269"/>
      <c r="D7" s="269"/>
    </row>
    <row r="8" spans="1:3" ht="12.75">
      <c r="A8" s="2" t="s">
        <v>234</v>
      </c>
      <c r="C8" s="3"/>
    </row>
    <row r="9" spans="1:5" ht="12.75">
      <c r="A9" s="4" t="s">
        <v>5</v>
      </c>
      <c r="B9" s="4" t="s">
        <v>6</v>
      </c>
      <c r="C9" s="4" t="s">
        <v>7</v>
      </c>
      <c r="D9" s="5"/>
      <c r="E9" s="132"/>
    </row>
    <row r="10" spans="1:8" ht="12.75">
      <c r="A10" s="6">
        <v>1</v>
      </c>
      <c r="B10" s="6">
        <v>2</v>
      </c>
      <c r="C10" s="6">
        <v>3</v>
      </c>
      <c r="D10" s="7">
        <v>4</v>
      </c>
      <c r="E10" s="132"/>
      <c r="F10" s="132"/>
      <c r="G10" s="132"/>
      <c r="H10" s="132"/>
    </row>
    <row r="11" spans="1:8" ht="12.75">
      <c r="A11" s="8" t="s">
        <v>8</v>
      </c>
      <c r="B11" s="9"/>
      <c r="C11" s="177" t="s">
        <v>172</v>
      </c>
      <c r="D11" s="10"/>
      <c r="E11" s="132"/>
      <c r="F11" s="132"/>
      <c r="G11" s="132"/>
      <c r="H11" s="132"/>
    </row>
    <row r="12" spans="1:8" ht="12.75">
      <c r="A12" s="8" t="s">
        <v>10</v>
      </c>
      <c r="B12" s="9"/>
      <c r="C12" s="177" t="s">
        <v>173</v>
      </c>
      <c r="D12" s="10"/>
      <c r="E12" s="132"/>
      <c r="F12" s="132"/>
      <c r="G12" s="132"/>
      <c r="H12" s="132"/>
    </row>
    <row r="13" spans="1:8" ht="12.75">
      <c r="A13" s="8" t="s">
        <v>12</v>
      </c>
      <c r="B13" s="9"/>
      <c r="C13" s="177" t="s">
        <v>174</v>
      </c>
      <c r="D13" s="10"/>
      <c r="E13" s="132"/>
      <c r="F13" s="132"/>
      <c r="G13" s="132"/>
      <c r="H13" s="132"/>
    </row>
    <row r="14" spans="1:8" ht="31.5" customHeight="1">
      <c r="A14" s="259" t="s">
        <v>14</v>
      </c>
      <c r="B14" s="259"/>
      <c r="C14" s="259"/>
      <c r="D14" s="259"/>
      <c r="E14" s="132"/>
      <c r="F14" s="132"/>
      <c r="G14" s="132"/>
      <c r="H14" s="132"/>
    </row>
    <row r="15" spans="1:8" ht="25.5">
      <c r="A15" s="11" t="s">
        <v>15</v>
      </c>
      <c r="B15" s="12" t="s">
        <v>16</v>
      </c>
      <c r="C15" s="13">
        <v>20519.75</v>
      </c>
      <c r="D15" s="14"/>
      <c r="E15" s="132"/>
      <c r="F15" s="132"/>
      <c r="G15" s="132"/>
      <c r="H15" s="132"/>
    </row>
    <row r="16" spans="1:8" ht="15">
      <c r="A16" s="8" t="s">
        <v>17</v>
      </c>
      <c r="B16" s="12" t="s">
        <v>16</v>
      </c>
      <c r="C16" s="13">
        <v>0</v>
      </c>
      <c r="D16" s="14"/>
      <c r="E16" s="132"/>
      <c r="F16" s="132"/>
      <c r="G16" s="132"/>
      <c r="H16" s="132"/>
    </row>
    <row r="17" spans="1:8" ht="15">
      <c r="A17" s="8" t="s">
        <v>18</v>
      </c>
      <c r="B17" s="12" t="s">
        <v>16</v>
      </c>
      <c r="C17" s="15">
        <v>35486.78</v>
      </c>
      <c r="D17" s="16"/>
      <c r="E17" s="132" t="e">
        <f>B17/12/1022.6</f>
        <v>#VALUE!</v>
      </c>
      <c r="F17" s="132"/>
      <c r="G17" s="132"/>
      <c r="H17" s="132"/>
    </row>
    <row r="18" spans="1:8" ht="31.5" customHeight="1">
      <c r="A18" s="17" t="s">
        <v>19</v>
      </c>
      <c r="B18" s="12" t="s">
        <v>16</v>
      </c>
      <c r="C18" s="15">
        <f>C19+C20+C21</f>
        <v>242694.05599999998</v>
      </c>
      <c r="D18" s="16"/>
      <c r="E18" s="133">
        <f>C18-C20</f>
        <v>224476.61599999998</v>
      </c>
      <c r="F18" s="132"/>
      <c r="G18" s="132"/>
      <c r="H18" s="132"/>
    </row>
    <row r="19" spans="1:8" ht="15">
      <c r="A19" s="8" t="s">
        <v>20</v>
      </c>
      <c r="B19" s="12" t="s">
        <v>16</v>
      </c>
      <c r="C19" s="15">
        <v>150392.36</v>
      </c>
      <c r="D19" s="16"/>
      <c r="E19" s="133">
        <f>E18-E43</f>
        <v>-0.0020000000367872417</v>
      </c>
      <c r="F19" s="132"/>
      <c r="G19" s="132"/>
      <c r="H19" s="132"/>
    </row>
    <row r="20" spans="1:8" ht="15">
      <c r="A20" s="8" t="s">
        <v>21</v>
      </c>
      <c r="B20" s="12" t="s">
        <v>16</v>
      </c>
      <c r="C20" s="15">
        <f>(1.13+1.27)*6*1265.1</f>
        <v>18217.44</v>
      </c>
      <c r="D20" s="16"/>
      <c r="E20" s="134"/>
      <c r="F20" s="132"/>
      <c r="G20" s="132"/>
      <c r="H20" s="132"/>
    </row>
    <row r="21" spans="1:8" ht="15">
      <c r="A21" s="8" t="s">
        <v>22</v>
      </c>
      <c r="B21" s="12" t="s">
        <v>16</v>
      </c>
      <c r="C21" s="20">
        <f>1265.1*4.88*12</f>
        <v>74084.256</v>
      </c>
      <c r="D21" s="16"/>
      <c r="E21" s="132"/>
      <c r="F21" s="132"/>
      <c r="G21" s="132"/>
      <c r="H21" s="132"/>
    </row>
    <row r="22" spans="1:8" ht="15">
      <c r="A22" s="21" t="s">
        <v>23</v>
      </c>
      <c r="B22" s="12" t="s">
        <v>16</v>
      </c>
      <c r="C22" s="15">
        <f>C23+C24+C25+C26+C27</f>
        <v>219395.0358888</v>
      </c>
      <c r="D22" s="16" t="s">
        <v>24</v>
      </c>
      <c r="E22" s="133" t="e">
        <f>B24+B25+B26+B27+B28</f>
        <v>#VALUE!</v>
      </c>
      <c r="F22" s="132"/>
      <c r="G22" s="132"/>
      <c r="H22" s="132"/>
    </row>
    <row r="23" spans="1:8" ht="15">
      <c r="A23" s="8" t="s">
        <v>25</v>
      </c>
      <c r="B23" s="12" t="s">
        <v>16</v>
      </c>
      <c r="C23" s="15">
        <f>C18*0.8873</f>
        <v>215342.43588879998</v>
      </c>
      <c r="D23" s="16"/>
      <c r="E23" s="132"/>
      <c r="F23" s="132"/>
      <c r="G23" s="132"/>
      <c r="H23" s="132"/>
    </row>
    <row r="24" spans="1:8" ht="15">
      <c r="A24" s="8" t="s">
        <v>26</v>
      </c>
      <c r="B24" s="12" t="s">
        <v>16</v>
      </c>
      <c r="C24" s="15">
        <v>0</v>
      </c>
      <c r="D24" s="22">
        <v>65.21</v>
      </c>
      <c r="E24" s="134" t="e">
        <f>B24/#REF!*1</f>
        <v>#VALUE!</v>
      </c>
      <c r="F24" s="132"/>
      <c r="G24" s="132"/>
      <c r="H24" s="132" t="s">
        <v>27</v>
      </c>
    </row>
    <row r="25" spans="1:8" ht="15">
      <c r="A25" s="8" t="s">
        <v>28</v>
      </c>
      <c r="B25" s="12" t="s">
        <v>16</v>
      </c>
      <c r="C25" s="15">
        <v>0</v>
      </c>
      <c r="D25" s="22">
        <v>119.63</v>
      </c>
      <c r="E25" s="134" t="e">
        <f>B25/#REF!*1</f>
        <v>#VALUE!</v>
      </c>
      <c r="F25" s="132"/>
      <c r="G25" s="132"/>
      <c r="H25" s="132"/>
    </row>
    <row r="26" spans="1:8" ht="15">
      <c r="A26" s="9" t="s">
        <v>29</v>
      </c>
      <c r="B26" s="12" t="s">
        <v>16</v>
      </c>
      <c r="C26" s="15">
        <v>0</v>
      </c>
      <c r="D26" s="22"/>
      <c r="E26" s="134" t="e">
        <f>B26/#REF!*1</f>
        <v>#VALUE!</v>
      </c>
      <c r="F26" s="132"/>
      <c r="G26" s="132"/>
      <c r="H26" s="132"/>
    </row>
    <row r="27" spans="1:8" ht="16.5" customHeight="1">
      <c r="A27" s="116" t="s">
        <v>112</v>
      </c>
      <c r="B27" s="12" t="s">
        <v>16</v>
      </c>
      <c r="C27" s="15">
        <v>4052.6</v>
      </c>
      <c r="D27" s="22">
        <v>139.18</v>
      </c>
      <c r="E27" s="134" t="e">
        <f>B27/#REF!*1</f>
        <v>#VALUE!</v>
      </c>
      <c r="F27" s="132"/>
      <c r="G27" s="132"/>
      <c r="H27" s="132"/>
    </row>
    <row r="28" spans="1:8" ht="15">
      <c r="A28" s="8" t="s">
        <v>31</v>
      </c>
      <c r="B28" s="12" t="s">
        <v>16</v>
      </c>
      <c r="C28" s="15">
        <f>C15+C22</f>
        <v>239914.7858888</v>
      </c>
      <c r="D28" s="16" t="s">
        <v>32</v>
      </c>
      <c r="E28" s="134" t="e">
        <f>B28/#REF!*1</f>
        <v>#VALUE!</v>
      </c>
      <c r="F28" s="132"/>
      <c r="G28" s="132"/>
      <c r="H28" s="132"/>
    </row>
    <row r="29" spans="1:8" ht="35.25" customHeight="1">
      <c r="A29" s="260" t="s">
        <v>33</v>
      </c>
      <c r="B29" s="260"/>
      <c r="C29" s="260"/>
      <c r="D29" s="260"/>
      <c r="E29" s="132"/>
      <c r="F29" s="132"/>
      <c r="G29" s="132"/>
      <c r="H29" s="132"/>
    </row>
    <row r="30" spans="1:8" ht="51">
      <c r="A30" s="218" t="s">
        <v>34</v>
      </c>
      <c r="B30" s="221" t="s">
        <v>35</v>
      </c>
      <c r="C30" s="216" t="s">
        <v>36</v>
      </c>
      <c r="D30" s="222" t="s">
        <v>37</v>
      </c>
      <c r="E30" s="132"/>
      <c r="F30" s="132"/>
      <c r="G30" s="132"/>
      <c r="H30" s="132"/>
    </row>
    <row r="31" spans="1:8" ht="15">
      <c r="A31" s="27" t="s">
        <v>38</v>
      </c>
      <c r="B31" s="28" t="s">
        <v>39</v>
      </c>
      <c r="C31" s="29" t="s">
        <v>40</v>
      </c>
      <c r="D31" s="107">
        <f>(0.43+0.41)*6*1265.1</f>
        <v>6376.103999999999</v>
      </c>
      <c r="E31" s="132"/>
      <c r="F31" s="132"/>
      <c r="G31" s="132"/>
      <c r="H31" s="132"/>
    </row>
    <row r="32" spans="1:8" ht="15">
      <c r="A32" s="31" t="s">
        <v>84</v>
      </c>
      <c r="B32" s="32" t="s">
        <v>85</v>
      </c>
      <c r="C32" s="33" t="s">
        <v>86</v>
      </c>
      <c r="D32" s="108">
        <f>(2.45+2.34)*6*1265.1</f>
        <v>36358.974</v>
      </c>
      <c r="E32" s="132"/>
      <c r="F32" s="132"/>
      <c r="G32" s="132"/>
      <c r="H32" s="132"/>
    </row>
    <row r="33" spans="1:8" ht="15">
      <c r="A33" s="31" t="s">
        <v>41</v>
      </c>
      <c r="B33" s="32" t="s">
        <v>42</v>
      </c>
      <c r="C33" s="33" t="s">
        <v>43</v>
      </c>
      <c r="D33" s="34">
        <f>(3.03+3)*6*1265.1</f>
        <v>45771.317999999985</v>
      </c>
      <c r="E33" s="132"/>
      <c r="F33" s="132"/>
      <c r="G33" s="132"/>
      <c r="H33" s="132"/>
    </row>
    <row r="34" spans="1:8" ht="15">
      <c r="A34" s="31" t="s">
        <v>44</v>
      </c>
      <c r="B34" s="32" t="s">
        <v>39</v>
      </c>
      <c r="C34" s="33" t="s">
        <v>45</v>
      </c>
      <c r="D34" s="108">
        <f>(0.21+0.2)*6*1265.1</f>
        <v>3112.1459999999997</v>
      </c>
      <c r="E34" s="132"/>
      <c r="F34" s="132"/>
      <c r="G34" s="132"/>
      <c r="H34" s="132"/>
    </row>
    <row r="35" spans="1:8" ht="15">
      <c r="A35" s="31" t="s">
        <v>88</v>
      </c>
      <c r="B35" s="105" t="s">
        <v>87</v>
      </c>
      <c r="C35" s="33" t="s">
        <v>40</v>
      </c>
      <c r="D35" s="108">
        <f>(0.6+0.57)*6*1265.1</f>
        <v>8881.001999999999</v>
      </c>
      <c r="E35" s="132"/>
      <c r="F35" s="132"/>
      <c r="G35" s="132"/>
      <c r="H35" s="132"/>
    </row>
    <row r="36" spans="1:8" ht="25.5">
      <c r="A36" s="205" t="s">
        <v>235</v>
      </c>
      <c r="B36" s="32" t="s">
        <v>39</v>
      </c>
      <c r="C36" s="33" t="s">
        <v>40</v>
      </c>
      <c r="D36" s="108">
        <v>26134.24</v>
      </c>
      <c r="E36" s="132"/>
      <c r="F36" s="132"/>
      <c r="G36" s="132"/>
      <c r="H36" s="132"/>
    </row>
    <row r="37" spans="1:8" ht="15">
      <c r="A37" s="31" t="s">
        <v>90</v>
      </c>
      <c r="B37" s="106" t="s">
        <v>91</v>
      </c>
      <c r="C37" s="33" t="s">
        <v>40</v>
      </c>
      <c r="D37" s="108">
        <f>(1.33+1.27)*6*1265.1</f>
        <v>19735.56</v>
      </c>
      <c r="E37" s="132"/>
      <c r="F37" s="132"/>
      <c r="G37" s="132"/>
      <c r="H37" s="132"/>
    </row>
    <row r="38" spans="1:8" ht="15">
      <c r="A38" s="31" t="s">
        <v>46</v>
      </c>
      <c r="B38" s="32" t="s">
        <v>42</v>
      </c>
      <c r="C38" s="35" t="s">
        <v>47</v>
      </c>
      <c r="D38" s="108">
        <f>4.88*1265.1*12</f>
        <v>74084.256</v>
      </c>
      <c r="E38" s="132"/>
      <c r="F38" s="132"/>
      <c r="G38" s="132"/>
      <c r="H38" s="132"/>
    </row>
    <row r="39" spans="1:8" ht="46.5" customHeight="1">
      <c r="A39" s="31" t="s">
        <v>95</v>
      </c>
      <c r="B39" s="32" t="s">
        <v>96</v>
      </c>
      <c r="C39" s="252" t="s">
        <v>97</v>
      </c>
      <c r="D39" s="108">
        <v>4023.018</v>
      </c>
      <c r="E39" s="132"/>
      <c r="F39" s="132"/>
      <c r="G39" s="132"/>
      <c r="H39" s="132"/>
    </row>
    <row r="40" spans="1:14" s="1" customFormat="1" ht="52.5" customHeight="1">
      <c r="A40" s="248" t="s">
        <v>290</v>
      </c>
      <c r="B40" s="37" t="s">
        <v>49</v>
      </c>
      <c r="C40" s="131"/>
      <c r="D40" s="39">
        <v>32102.61</v>
      </c>
      <c r="E40" s="132"/>
      <c r="F40" s="132"/>
      <c r="G40" s="132"/>
      <c r="H40" s="132"/>
      <c r="K40"/>
      <c r="L40"/>
      <c r="M40"/>
      <c r="N40"/>
    </row>
    <row r="41" spans="1:14" s="1" customFormat="1" ht="15">
      <c r="A41" s="182" t="s">
        <v>236</v>
      </c>
      <c r="B41" s="110" t="s">
        <v>178</v>
      </c>
      <c r="C41" s="33" t="s">
        <v>237</v>
      </c>
      <c r="D41" s="179">
        <v>31681</v>
      </c>
      <c r="E41" s="132"/>
      <c r="F41" s="132"/>
      <c r="G41" s="132"/>
      <c r="H41" s="132"/>
      <c r="K41"/>
      <c r="L41"/>
      <c r="M41"/>
      <c r="N41"/>
    </row>
    <row r="42" spans="1:14" s="1" customFormat="1" ht="15">
      <c r="A42" s="182" t="s">
        <v>238</v>
      </c>
      <c r="B42" s="110" t="s">
        <v>181</v>
      </c>
      <c r="C42" s="33" t="s">
        <v>86</v>
      </c>
      <c r="D42" s="179">
        <v>421.62</v>
      </c>
      <c r="E42" s="132"/>
      <c r="F42" s="132"/>
      <c r="G42" s="132"/>
      <c r="H42" s="132"/>
      <c r="K42"/>
      <c r="L42"/>
      <c r="M42"/>
      <c r="N42"/>
    </row>
    <row r="43" spans="1:14" s="1" customFormat="1" ht="15.75">
      <c r="A43" s="40" t="s">
        <v>50</v>
      </c>
      <c r="B43" s="41"/>
      <c r="C43" s="42"/>
      <c r="D43" s="113">
        <f>D31+D32+D33+D34+D35+D36+D37+D38+D39+D40</f>
        <v>256579.228</v>
      </c>
      <c r="E43" s="135">
        <f>D43-D40</f>
        <v>224476.61800000002</v>
      </c>
      <c r="F43" s="132"/>
      <c r="G43" s="132"/>
      <c r="H43" s="132"/>
      <c r="K43"/>
      <c r="L43"/>
      <c r="M43"/>
      <c r="N43"/>
    </row>
    <row r="44" spans="1:14" s="1" customFormat="1" ht="15">
      <c r="A44" s="43" t="s">
        <v>51</v>
      </c>
      <c r="B44" s="44" t="s">
        <v>16</v>
      </c>
      <c r="C44" s="45"/>
      <c r="D44" s="46">
        <f>C15+C20*0.8078+C27-D40</f>
        <v>7185.788031999997</v>
      </c>
      <c r="E44" s="135"/>
      <c r="F44" s="132"/>
      <c r="G44" s="132"/>
      <c r="H44" s="132"/>
      <c r="K44"/>
      <c r="L44"/>
      <c r="M44"/>
      <c r="N44"/>
    </row>
    <row r="45" spans="1:14" s="1" customFormat="1" ht="15">
      <c r="A45" s="48" t="s">
        <v>17</v>
      </c>
      <c r="B45" s="49" t="s">
        <v>16</v>
      </c>
      <c r="C45" s="33"/>
      <c r="D45" s="14"/>
      <c r="E45" s="132"/>
      <c r="F45" s="132"/>
      <c r="G45" s="132"/>
      <c r="H45" s="132"/>
      <c r="K45"/>
      <c r="L45"/>
      <c r="M45"/>
      <c r="N45"/>
    </row>
    <row r="46" spans="1:14" s="1" customFormat="1" ht="15">
      <c r="A46" s="48" t="s">
        <v>18</v>
      </c>
      <c r="B46" s="49" t="s">
        <v>16</v>
      </c>
      <c r="C46" s="33"/>
      <c r="D46" s="14">
        <v>62838.4</v>
      </c>
      <c r="E46" s="132"/>
      <c r="F46" s="132"/>
      <c r="G46" s="132"/>
      <c r="H46" s="132"/>
      <c r="K46"/>
      <c r="L46"/>
      <c r="M46"/>
      <c r="N46"/>
    </row>
    <row r="47" spans="1:14" s="1" customFormat="1" ht="24" customHeight="1">
      <c r="A47" s="261" t="s">
        <v>52</v>
      </c>
      <c r="B47" s="261"/>
      <c r="C47" s="261"/>
      <c r="D47" s="261"/>
      <c r="E47" s="132"/>
      <c r="F47" s="132"/>
      <c r="G47" s="132"/>
      <c r="H47" s="132"/>
      <c r="K47"/>
      <c r="L47"/>
      <c r="M47"/>
      <c r="N47"/>
    </row>
    <row r="48" spans="1:14" s="1" customFormat="1" ht="15">
      <c r="A48" s="48" t="s">
        <v>53</v>
      </c>
      <c r="B48" s="32" t="s">
        <v>54</v>
      </c>
      <c r="C48" s="33">
        <v>0</v>
      </c>
      <c r="D48" s="14">
        <v>0</v>
      </c>
      <c r="E48" s="132"/>
      <c r="F48" s="132"/>
      <c r="G48" s="132"/>
      <c r="H48" s="132"/>
      <c r="K48"/>
      <c r="L48"/>
      <c r="M48"/>
      <c r="N48"/>
    </row>
    <row r="49" spans="1:14" s="1" customFormat="1" ht="15">
      <c r="A49" s="48" t="s">
        <v>55</v>
      </c>
      <c r="B49" s="32" t="s">
        <v>54</v>
      </c>
      <c r="C49" s="33">
        <v>0</v>
      </c>
      <c r="D49" s="14">
        <v>0</v>
      </c>
      <c r="E49" s="132"/>
      <c r="F49" s="132"/>
      <c r="G49" s="132"/>
      <c r="H49" s="132"/>
      <c r="K49"/>
      <c r="L49"/>
      <c r="M49"/>
      <c r="N49"/>
    </row>
    <row r="50" spans="1:14" s="1" customFormat="1" ht="15">
      <c r="A50" s="50" t="s">
        <v>56</v>
      </c>
      <c r="B50" s="32" t="s">
        <v>54</v>
      </c>
      <c r="C50" s="33">
        <v>0</v>
      </c>
      <c r="D50" s="14">
        <v>0</v>
      </c>
      <c r="E50" s="132"/>
      <c r="F50" s="132"/>
      <c r="G50" s="132"/>
      <c r="H50" s="132"/>
      <c r="K50"/>
      <c r="L50"/>
      <c r="M50"/>
      <c r="N50"/>
    </row>
    <row r="51" spans="1:14" s="1" customFormat="1" ht="15">
      <c r="A51" s="48" t="s">
        <v>57</v>
      </c>
      <c r="B51" s="32" t="s">
        <v>16</v>
      </c>
      <c r="C51" s="33">
        <v>0</v>
      </c>
      <c r="D51" s="14">
        <v>0</v>
      </c>
      <c r="E51" s="132"/>
      <c r="F51" s="132"/>
      <c r="G51" s="132"/>
      <c r="H51" s="132"/>
      <c r="K51"/>
      <c r="L51"/>
      <c r="M51"/>
      <c r="N51"/>
    </row>
    <row r="52" spans="1:8" ht="20.25" customHeight="1">
      <c r="A52" s="262" t="s">
        <v>58</v>
      </c>
      <c r="B52" s="262"/>
      <c r="C52" s="262"/>
      <c r="D52" s="262"/>
      <c r="E52" s="132"/>
      <c r="F52" s="132"/>
      <c r="G52" s="132"/>
      <c r="H52" s="132"/>
    </row>
    <row r="53" spans="1:8" ht="25.5">
      <c r="A53" s="50" t="s">
        <v>59</v>
      </c>
      <c r="B53" s="32" t="s">
        <v>16</v>
      </c>
      <c r="C53" s="33"/>
      <c r="D53" s="14">
        <v>0</v>
      </c>
      <c r="E53" s="132"/>
      <c r="F53" s="132"/>
      <c r="G53" s="132"/>
      <c r="H53" s="132"/>
    </row>
    <row r="54" spans="1:8" ht="15">
      <c r="A54" s="48" t="s">
        <v>17</v>
      </c>
      <c r="B54" s="32" t="s">
        <v>16</v>
      </c>
      <c r="C54" s="33"/>
      <c r="D54" s="14">
        <v>0</v>
      </c>
      <c r="E54" s="132"/>
      <c r="F54" s="132"/>
      <c r="G54" s="132"/>
      <c r="H54" s="132"/>
    </row>
    <row r="55" spans="1:8" ht="15">
      <c r="A55" s="48" t="s">
        <v>18</v>
      </c>
      <c r="B55" s="32" t="s">
        <v>16</v>
      </c>
      <c r="C55" s="33"/>
      <c r="D55" s="51">
        <f>D58-D61-D62-D63</f>
        <v>72940.25359</v>
      </c>
      <c r="E55" s="132"/>
      <c r="F55" s="132"/>
      <c r="G55" s="132"/>
      <c r="H55" s="136"/>
    </row>
    <row r="56" spans="1:8" ht="25.5">
      <c r="A56" s="53" t="s">
        <v>60</v>
      </c>
      <c r="B56" s="32" t="s">
        <v>16</v>
      </c>
      <c r="C56" s="54"/>
      <c r="D56" s="55">
        <v>0</v>
      </c>
      <c r="E56" s="132"/>
      <c r="F56" s="132"/>
      <c r="G56" s="132"/>
      <c r="H56" s="132"/>
    </row>
    <row r="57" spans="1:10" ht="17.25" customHeight="1">
      <c r="A57" s="56" t="s">
        <v>17</v>
      </c>
      <c r="B57" s="32" t="s">
        <v>16</v>
      </c>
      <c r="C57" s="33"/>
      <c r="D57" s="14">
        <v>0</v>
      </c>
      <c r="E57" s="132"/>
      <c r="F57" s="132"/>
      <c r="G57" s="132"/>
      <c r="H57" s="132"/>
      <c r="I57" s="52"/>
      <c r="J57" s="52"/>
    </row>
    <row r="58" spans="1:14" ht="15">
      <c r="A58" s="59" t="s">
        <v>18</v>
      </c>
      <c r="B58" s="32" t="s">
        <v>16</v>
      </c>
      <c r="C58" s="60"/>
      <c r="D58" s="61">
        <v>129159.33</v>
      </c>
      <c r="E58" s="132"/>
      <c r="F58" s="132"/>
      <c r="G58" s="132"/>
      <c r="H58" s="132" t="s">
        <v>32</v>
      </c>
      <c r="I58" s="63"/>
      <c r="J58" s="63"/>
      <c r="K58" s="64"/>
      <c r="L58" s="64"/>
      <c r="M58" s="64"/>
      <c r="N58" s="64"/>
    </row>
    <row r="59" spans="1:14" ht="18" customHeight="1">
      <c r="A59" s="263" t="s">
        <v>61</v>
      </c>
      <c r="B59" s="263"/>
      <c r="C59" s="263"/>
      <c r="D59" s="263"/>
      <c r="E59" s="137"/>
      <c r="F59" s="138"/>
      <c r="G59" s="139"/>
      <c r="H59" s="132"/>
      <c r="I59" s="68"/>
      <c r="J59" s="68"/>
      <c r="K59" s="69"/>
      <c r="L59" s="69"/>
      <c r="M59" s="69"/>
      <c r="N59" s="69"/>
    </row>
    <row r="60" spans="1:14" ht="38.25">
      <c r="A60" s="70" t="s">
        <v>62</v>
      </c>
      <c r="B60" s="71" t="s">
        <v>63</v>
      </c>
      <c r="C60" s="212" t="s">
        <v>64</v>
      </c>
      <c r="D60" s="213" t="s">
        <v>65</v>
      </c>
      <c r="E60" s="137"/>
      <c r="F60" s="138"/>
      <c r="G60" s="139"/>
      <c r="H60" s="132"/>
      <c r="I60" s="68"/>
      <c r="J60" s="74"/>
      <c r="K60" s="69"/>
      <c r="L60" s="69"/>
      <c r="M60" s="69"/>
      <c r="N60" s="69"/>
    </row>
    <row r="61" spans="1:14" ht="15">
      <c r="A61" s="75" t="s">
        <v>66</v>
      </c>
      <c r="B61" s="117">
        <v>114233.38</v>
      </c>
      <c r="C61" s="118">
        <f>B61*0.8873</f>
        <v>101359.278074</v>
      </c>
      <c r="D61" s="119">
        <f>B61-C61</f>
        <v>12874.101926000003</v>
      </c>
      <c r="E61" s="140"/>
      <c r="F61" s="138"/>
      <c r="G61" s="139"/>
      <c r="H61" s="132"/>
      <c r="I61" s="68"/>
      <c r="J61" s="68"/>
      <c r="K61" s="69"/>
      <c r="L61" s="69"/>
      <c r="M61" s="69"/>
      <c r="N61" s="69"/>
    </row>
    <row r="62" spans="1:14" ht="15">
      <c r="A62" s="75" t="s">
        <v>67</v>
      </c>
      <c r="B62" s="117">
        <v>122254.37</v>
      </c>
      <c r="C62" s="118">
        <f>B62*0.8873</f>
        <v>108476.302501</v>
      </c>
      <c r="D62" s="119">
        <f>B62-C62</f>
        <v>13778.067498999997</v>
      </c>
      <c r="E62" s="137"/>
      <c r="F62" s="138"/>
      <c r="G62" s="139"/>
      <c r="H62" s="132"/>
      <c r="I62" s="68"/>
      <c r="J62" s="68"/>
      <c r="K62" s="69"/>
      <c r="L62" s="69"/>
      <c r="M62" s="69"/>
      <c r="N62" s="69"/>
    </row>
    <row r="63" spans="1:14" ht="15">
      <c r="A63" s="75" t="s">
        <v>68</v>
      </c>
      <c r="B63" s="120">
        <v>262350.55</v>
      </c>
      <c r="C63" s="118">
        <f>B63*0.8873</f>
        <v>232783.64301499998</v>
      </c>
      <c r="D63" s="119">
        <f>B63-C63</f>
        <v>29566.90698500001</v>
      </c>
      <c r="E63" s="137">
        <f>(2.07+1.8)*6*2301.2-0.37*2301.2*6</f>
        <v>48325.2</v>
      </c>
      <c r="F63" s="141"/>
      <c r="G63" s="142"/>
      <c r="H63" s="137"/>
      <c r="I63" s="68"/>
      <c r="J63" s="68"/>
      <c r="K63" s="69"/>
      <c r="L63" s="69"/>
      <c r="M63" s="69"/>
      <c r="N63" s="69"/>
    </row>
    <row r="64" spans="1:14" ht="15.75" thickBot="1">
      <c r="A64" s="150" t="s">
        <v>69</v>
      </c>
      <c r="B64" s="151">
        <v>0</v>
      </c>
      <c r="C64" s="152">
        <f>B64*1.0372</f>
        <v>0</v>
      </c>
      <c r="D64" s="153">
        <f>B64-C64</f>
        <v>0</v>
      </c>
      <c r="E64" s="137"/>
      <c r="F64" s="141"/>
      <c r="G64" s="142"/>
      <c r="H64" s="132"/>
      <c r="I64" s="68"/>
      <c r="J64" s="68"/>
      <c r="K64" s="69"/>
      <c r="L64" s="69"/>
      <c r="M64" s="69"/>
      <c r="N64" s="69"/>
    </row>
    <row r="65" spans="1:14" ht="63.75">
      <c r="A65" s="154" t="s">
        <v>70</v>
      </c>
      <c r="B65" s="155" t="s">
        <v>71</v>
      </c>
      <c r="C65" s="155" t="s">
        <v>72</v>
      </c>
      <c r="D65" s="214" t="s">
        <v>73</v>
      </c>
      <c r="E65" s="137"/>
      <c r="F65" s="141"/>
      <c r="G65" s="132"/>
      <c r="H65" s="143"/>
      <c r="I65" s="68"/>
      <c r="J65" s="68"/>
      <c r="K65" s="69"/>
      <c r="L65" s="69"/>
      <c r="M65" s="69"/>
      <c r="N65" s="69"/>
    </row>
    <row r="66" spans="1:14" ht="15">
      <c r="A66" s="158" t="s">
        <v>66</v>
      </c>
      <c r="B66" s="124">
        <v>114233.38</v>
      </c>
      <c r="C66" s="125">
        <v>101359.28</v>
      </c>
      <c r="D66" s="159">
        <f>B66-C66</f>
        <v>12874.100000000006</v>
      </c>
      <c r="E66" s="137"/>
      <c r="F66" s="141"/>
      <c r="G66" s="132"/>
      <c r="H66" s="143"/>
      <c r="I66" s="68"/>
      <c r="J66" s="68" t="s">
        <v>32</v>
      </c>
      <c r="K66" s="69"/>
      <c r="L66" s="69"/>
      <c r="M66" s="69"/>
      <c r="N66" s="69"/>
    </row>
    <row r="67" spans="1:14" ht="15">
      <c r="A67" s="158" t="s">
        <v>67</v>
      </c>
      <c r="B67" s="124">
        <v>122254.37</v>
      </c>
      <c r="C67" s="125">
        <v>108476.3</v>
      </c>
      <c r="D67" s="159">
        <f>B67-C67</f>
        <v>13778.069999999992</v>
      </c>
      <c r="E67" s="137"/>
      <c r="F67" s="141"/>
      <c r="G67" s="132"/>
      <c r="H67" s="143"/>
      <c r="I67" s="68"/>
      <c r="J67" s="68"/>
      <c r="K67" s="69"/>
      <c r="L67" s="69"/>
      <c r="M67" s="69"/>
      <c r="N67" s="69"/>
    </row>
    <row r="68" spans="1:14" ht="15">
      <c r="A68" s="158" t="s">
        <v>68</v>
      </c>
      <c r="B68" s="124">
        <v>274473.18</v>
      </c>
      <c r="C68" s="125">
        <v>232783.64</v>
      </c>
      <c r="D68" s="159">
        <f>B68-C68</f>
        <v>41689.53999999998</v>
      </c>
      <c r="E68" s="137"/>
      <c r="F68" s="141"/>
      <c r="G68" s="132"/>
      <c r="H68" s="143"/>
      <c r="I68" s="68"/>
      <c r="J68" s="68"/>
      <c r="K68" s="69"/>
      <c r="L68" s="69"/>
      <c r="M68" s="69"/>
      <c r="N68" s="69"/>
    </row>
    <row r="69" spans="1:14" ht="15">
      <c r="A69" s="158" t="s">
        <v>74</v>
      </c>
      <c r="B69" s="124"/>
      <c r="C69" s="125">
        <f>C64*1.0063</f>
        <v>0</v>
      </c>
      <c r="D69" s="159">
        <f>B69-C69</f>
        <v>0</v>
      </c>
      <c r="E69" s="137"/>
      <c r="F69" s="141"/>
      <c r="G69" s="132"/>
      <c r="H69" s="143"/>
      <c r="I69" s="68"/>
      <c r="J69" s="68"/>
      <c r="K69" s="69"/>
      <c r="L69" s="69"/>
      <c r="M69" s="69"/>
      <c r="N69" s="69"/>
    </row>
    <row r="70" spans="1:14" ht="15.75" thickBot="1">
      <c r="A70" s="160" t="s">
        <v>69</v>
      </c>
      <c r="B70" s="161"/>
      <c r="C70" s="167">
        <f>C64*1.0063</f>
        <v>0</v>
      </c>
      <c r="D70" s="163">
        <f>B70-C70</f>
        <v>0</v>
      </c>
      <c r="E70" s="137"/>
      <c r="F70" s="141"/>
      <c r="G70" s="132"/>
      <c r="H70" s="143" t="s">
        <v>32</v>
      </c>
      <c r="I70" s="68"/>
      <c r="J70" s="68"/>
      <c r="K70" s="69"/>
      <c r="L70" s="69"/>
      <c r="M70" s="69"/>
      <c r="N70" s="69"/>
    </row>
    <row r="71" spans="1:14" ht="15">
      <c r="A71" s="91"/>
      <c r="B71" s="124"/>
      <c r="C71" s="127"/>
      <c r="D71" s="128"/>
      <c r="E71" s="137"/>
      <c r="F71" s="141"/>
      <c r="G71" s="132"/>
      <c r="H71" s="143"/>
      <c r="I71" s="68"/>
      <c r="J71" s="68"/>
      <c r="K71" s="69"/>
      <c r="L71" s="69"/>
      <c r="M71" s="69"/>
      <c r="N71" s="69"/>
    </row>
    <row r="72" spans="1:14" ht="25.5">
      <c r="A72" s="94" t="s">
        <v>75</v>
      </c>
      <c r="B72" s="87" t="s">
        <v>16</v>
      </c>
      <c r="C72" s="95"/>
      <c r="D72" s="96">
        <v>0</v>
      </c>
      <c r="E72" s="137"/>
      <c r="F72" s="141"/>
      <c r="G72" s="132"/>
      <c r="H72" s="143"/>
      <c r="I72" s="68"/>
      <c r="J72" s="68" t="s">
        <v>32</v>
      </c>
      <c r="K72" s="69"/>
      <c r="L72" s="69"/>
      <c r="M72" s="69"/>
      <c r="N72" s="69"/>
    </row>
    <row r="73" spans="1:14" ht="17.25" customHeight="1">
      <c r="A73" s="264" t="s">
        <v>76</v>
      </c>
      <c r="B73" s="264"/>
      <c r="C73" s="264"/>
      <c r="D73" s="264"/>
      <c r="E73" s="144" t="e">
        <f>D73+B19</f>
        <v>#VALUE!</v>
      </c>
      <c r="F73" s="143"/>
      <c r="G73" s="132"/>
      <c r="H73" s="145" t="e">
        <f>E73-B18</f>
        <v>#VALUE!</v>
      </c>
      <c r="I73" s="68"/>
      <c r="J73" s="68"/>
      <c r="K73" s="69"/>
      <c r="L73" s="69"/>
      <c r="M73" s="69"/>
      <c r="N73" s="69"/>
    </row>
    <row r="74" spans="1:8" ht="21" customHeight="1">
      <c r="A74" s="99" t="s">
        <v>53</v>
      </c>
      <c r="B74" s="99" t="s">
        <v>54</v>
      </c>
      <c r="C74" s="100">
        <v>0</v>
      </c>
      <c r="D74" s="101"/>
      <c r="E74" s="146"/>
      <c r="F74" s="132"/>
      <c r="G74" s="132"/>
      <c r="H74" s="132"/>
    </row>
    <row r="75" spans="1:8" ht="21" customHeight="1">
      <c r="A75" s="99" t="s">
        <v>55</v>
      </c>
      <c r="B75" s="99" t="s">
        <v>54</v>
      </c>
      <c r="C75" s="99">
        <v>0</v>
      </c>
      <c r="D75" s="101"/>
      <c r="E75" s="146"/>
      <c r="F75" s="132"/>
      <c r="G75" s="132"/>
      <c r="H75" s="132"/>
    </row>
    <row r="76" spans="1:5" ht="18" customHeight="1">
      <c r="A76" s="99" t="s">
        <v>56</v>
      </c>
      <c r="B76" s="99" t="s">
        <v>54</v>
      </c>
      <c r="C76" s="99">
        <v>0</v>
      </c>
      <c r="D76" s="101"/>
      <c r="E76" s="102"/>
    </row>
    <row r="77" spans="1:5" ht="16.5" customHeight="1">
      <c r="A77" s="99" t="s">
        <v>57</v>
      </c>
      <c r="B77" s="99" t="s">
        <v>16</v>
      </c>
      <c r="C77" s="99">
        <v>0</v>
      </c>
      <c r="D77" s="101"/>
      <c r="E77" s="102"/>
    </row>
    <row r="78" spans="1:5" ht="15.75" customHeight="1">
      <c r="A78" s="258" t="s">
        <v>77</v>
      </c>
      <c r="B78" s="258"/>
      <c r="C78" s="258"/>
      <c r="D78" s="258"/>
      <c r="E78" s="102"/>
    </row>
    <row r="79" spans="1:5" ht="18.75" customHeight="1">
      <c r="A79" s="99" t="s">
        <v>78</v>
      </c>
      <c r="B79" s="99" t="s">
        <v>54</v>
      </c>
      <c r="C79" s="99">
        <v>0</v>
      </c>
      <c r="D79" s="101"/>
      <c r="E79" s="102"/>
    </row>
    <row r="80" spans="1:5" ht="21.75" customHeight="1">
      <c r="A80" s="99" t="s">
        <v>79</v>
      </c>
      <c r="B80" s="56" t="s">
        <v>54</v>
      </c>
      <c r="C80" s="56">
        <v>0</v>
      </c>
      <c r="D80" s="101"/>
      <c r="E80" s="102"/>
    </row>
    <row r="81" spans="1:5" ht="36" customHeight="1">
      <c r="A81" s="103" t="s">
        <v>80</v>
      </c>
      <c r="B81" s="99" t="s">
        <v>16</v>
      </c>
      <c r="C81" s="99">
        <v>0</v>
      </c>
      <c r="D81" s="101"/>
      <c r="E81" s="102"/>
    </row>
    <row r="82" spans="1:4" ht="15">
      <c r="A82" s="69"/>
      <c r="B82" s="69"/>
      <c r="C82" s="69"/>
      <c r="D82" s="104"/>
    </row>
    <row r="83" spans="1:14" s="1" customFormat="1" ht="12.75">
      <c r="A83"/>
      <c r="B83"/>
      <c r="C83"/>
      <c r="D83"/>
      <c r="H83" s="1" t="s">
        <v>32</v>
      </c>
      <c r="K83"/>
      <c r="L83"/>
      <c r="M83"/>
      <c r="N83"/>
    </row>
    <row r="84" spans="1:14" s="1" customFormat="1" ht="12.75">
      <c r="A84" t="s">
        <v>81</v>
      </c>
      <c r="B84"/>
      <c r="C84" t="s">
        <v>170</v>
      </c>
      <c r="D84"/>
      <c r="K84"/>
      <c r="L84"/>
      <c r="M84"/>
      <c r="N84"/>
    </row>
    <row r="85" spans="1:14" s="1" customFormat="1" ht="12.75">
      <c r="A85"/>
      <c r="B85"/>
      <c r="C85"/>
      <c r="D85"/>
      <c r="H85" s="1" t="s">
        <v>32</v>
      </c>
      <c r="K85"/>
      <c r="L85"/>
      <c r="M85"/>
      <c r="N85"/>
    </row>
    <row r="86" spans="1:14" s="1" customFormat="1" ht="12.75">
      <c r="A86" t="s">
        <v>82</v>
      </c>
      <c r="B86"/>
      <c r="C86"/>
      <c r="D86"/>
      <c r="K86"/>
      <c r="L86"/>
      <c r="M86"/>
      <c r="N86"/>
    </row>
    <row r="90" spans="1:14" s="1" customFormat="1" ht="12.75">
      <c r="A90"/>
      <c r="B90"/>
      <c r="C90"/>
      <c r="D90"/>
      <c r="E90" s="1" t="s">
        <v>32</v>
      </c>
      <c r="K90"/>
      <c r="L90"/>
      <c r="M90"/>
      <c r="N90"/>
    </row>
  </sheetData>
  <sheetProtection selectLockedCells="1" selectUnlockedCells="1"/>
  <mergeCells count="13">
    <mergeCell ref="A1:D1"/>
    <mergeCell ref="A2:D2"/>
    <mergeCell ref="A3:D3"/>
    <mergeCell ref="A4:D4"/>
    <mergeCell ref="A5:D5"/>
    <mergeCell ref="A7:D7"/>
    <mergeCell ref="A78:D78"/>
    <mergeCell ref="A14:D14"/>
    <mergeCell ref="A29:D29"/>
    <mergeCell ref="A47:D47"/>
    <mergeCell ref="A52:D52"/>
    <mergeCell ref="A59:D59"/>
    <mergeCell ref="A73:D73"/>
  </mergeCells>
  <printOptions/>
  <pageMargins left="0.5597222222222222" right="0.7875" top="0.34097222222222223" bottom="0.7875" header="0.5118055555555555" footer="0.5118055555555555"/>
  <pageSetup fitToHeight="3" fitToWidth="2" horizontalDpi="600" verticalDpi="600" orientation="portrait" paperSize="12" r:id="rId1"/>
</worksheet>
</file>

<file path=xl/worksheets/sheet5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6"/>
  <sheetViews>
    <sheetView zoomScale="80" zoomScaleNormal="80" zoomScalePageLayoutView="0" workbookViewId="0" topLeftCell="A1">
      <selection activeCell="E17" sqref="E17:E55"/>
    </sheetView>
  </sheetViews>
  <sheetFormatPr defaultColWidth="11.57421875" defaultRowHeight="12.75"/>
  <cols>
    <col min="1" max="1" width="63.28125" style="0" customWidth="1"/>
    <col min="2" max="2" width="20.28125" style="0" customWidth="1"/>
    <col min="3" max="3" width="31.421875" style="0" customWidth="1"/>
    <col min="4" max="4" width="27.57421875" style="0" customWidth="1"/>
    <col min="5" max="5" width="16.8515625" style="1" customWidth="1"/>
    <col min="6" max="7" width="0" style="1" hidden="1" customWidth="1"/>
    <col min="8" max="8" width="11.57421875" style="1" customWidth="1"/>
    <col min="9" max="9" width="5.28125" style="1" customWidth="1"/>
    <col min="10" max="10" width="30.00390625" style="1" customWidth="1"/>
    <col min="11" max="12" width="23.28125" style="0" customWidth="1"/>
    <col min="13" max="13" width="6.57421875" style="0" customWidth="1"/>
    <col min="14" max="14" width="7.00390625" style="0" customWidth="1"/>
  </cols>
  <sheetData>
    <row r="1" spans="1:4" ht="18">
      <c r="A1" s="265" t="s">
        <v>0</v>
      </c>
      <c r="B1" s="265"/>
      <c r="C1" s="265"/>
      <c r="D1" s="265"/>
    </row>
    <row r="2" spans="1:4" ht="15.75">
      <c r="A2" s="266" t="s">
        <v>1</v>
      </c>
      <c r="B2" s="266"/>
      <c r="C2" s="266"/>
      <c r="D2" s="266"/>
    </row>
    <row r="3" spans="1:4" ht="15.75">
      <c r="A3" s="266" t="s">
        <v>2</v>
      </c>
      <c r="B3" s="266"/>
      <c r="C3" s="266"/>
      <c r="D3" s="266"/>
    </row>
    <row r="4" spans="1:4" ht="12.75">
      <c r="A4" s="267" t="s">
        <v>164</v>
      </c>
      <c r="B4" s="267"/>
      <c r="C4" s="267"/>
      <c r="D4" s="267"/>
    </row>
    <row r="5" spans="1:4" ht="12.75">
      <c r="A5" s="268" t="s">
        <v>171</v>
      </c>
      <c r="B5" s="267"/>
      <c r="C5" s="267"/>
      <c r="D5" s="267"/>
    </row>
    <row r="6" ht="9" customHeight="1">
      <c r="A6" s="2"/>
    </row>
    <row r="7" spans="1:4" ht="18" customHeight="1">
      <c r="A7" s="269" t="s">
        <v>4</v>
      </c>
      <c r="B7" s="269"/>
      <c r="C7" s="269"/>
      <c r="D7" s="269"/>
    </row>
    <row r="8" spans="1:3" ht="12.75">
      <c r="A8" s="2" t="s">
        <v>279</v>
      </c>
      <c r="C8" s="3"/>
    </row>
    <row r="9" spans="1:4" ht="12.75">
      <c r="A9" s="4" t="s">
        <v>5</v>
      </c>
      <c r="B9" s="4" t="s">
        <v>6</v>
      </c>
      <c r="C9" s="4" t="s">
        <v>7</v>
      </c>
      <c r="D9" s="5"/>
    </row>
    <row r="10" spans="1:5" ht="12.75">
      <c r="A10" s="6">
        <v>1</v>
      </c>
      <c r="B10" s="6">
        <v>2</v>
      </c>
      <c r="C10" s="6">
        <v>3</v>
      </c>
      <c r="D10" s="7">
        <v>4</v>
      </c>
      <c r="E10" s="132"/>
    </row>
    <row r="11" spans="1:5" ht="12.75">
      <c r="A11" s="8" t="s">
        <v>8</v>
      </c>
      <c r="B11" s="9"/>
      <c r="C11" s="177" t="s">
        <v>172</v>
      </c>
      <c r="D11" s="10"/>
      <c r="E11" s="132"/>
    </row>
    <row r="12" spans="1:5" ht="12.75">
      <c r="A12" s="8" t="s">
        <v>10</v>
      </c>
      <c r="B12" s="9"/>
      <c r="C12" s="177" t="s">
        <v>173</v>
      </c>
      <c r="D12" s="10"/>
      <c r="E12" s="132"/>
    </row>
    <row r="13" spans="1:5" ht="12.75">
      <c r="A13" s="8" t="s">
        <v>12</v>
      </c>
      <c r="B13" s="9"/>
      <c r="C13" s="177" t="s">
        <v>174</v>
      </c>
      <c r="D13" s="10"/>
      <c r="E13" s="132"/>
    </row>
    <row r="14" spans="1:5" ht="31.5" customHeight="1">
      <c r="A14" s="259" t="s">
        <v>14</v>
      </c>
      <c r="B14" s="259"/>
      <c r="C14" s="259"/>
      <c r="D14" s="259"/>
      <c r="E14" s="132"/>
    </row>
    <row r="15" spans="1:5" ht="25.5">
      <c r="A15" s="11" t="s">
        <v>15</v>
      </c>
      <c r="B15" s="12" t="s">
        <v>16</v>
      </c>
      <c r="C15" s="13">
        <v>805.15</v>
      </c>
      <c r="D15" s="14"/>
      <c r="E15" s="62"/>
    </row>
    <row r="16" spans="1:5" ht="15">
      <c r="A16" s="8" t="s">
        <v>17</v>
      </c>
      <c r="B16" s="12" t="s">
        <v>16</v>
      </c>
      <c r="C16" s="13">
        <v>0</v>
      </c>
      <c r="D16" s="14"/>
      <c r="E16" s="62"/>
    </row>
    <row r="17" spans="1:5" ht="15">
      <c r="A17" s="8" t="s">
        <v>18</v>
      </c>
      <c r="B17" s="12" t="s">
        <v>16</v>
      </c>
      <c r="C17" s="15">
        <v>0</v>
      </c>
      <c r="D17" s="16"/>
      <c r="E17" s="132" t="e">
        <f>B17/12/1022.6</f>
        <v>#VALUE!</v>
      </c>
    </row>
    <row r="18" spans="1:5" ht="31.5" customHeight="1">
      <c r="A18" s="17" t="s">
        <v>19</v>
      </c>
      <c r="B18" s="12" t="s">
        <v>16</v>
      </c>
      <c r="C18" s="15">
        <v>16059.9</v>
      </c>
      <c r="D18" s="16"/>
      <c r="E18" s="133">
        <f>C18-C20</f>
        <v>11466.27</v>
      </c>
    </row>
    <row r="19" spans="1:5" ht="15">
      <c r="A19" s="8" t="s">
        <v>20</v>
      </c>
      <c r="B19" s="12" t="s">
        <v>16</v>
      </c>
      <c r="C19" s="15">
        <f>C18-C20-C21</f>
        <v>6154.878000000001</v>
      </c>
      <c r="D19" s="16"/>
      <c r="E19" s="133">
        <f>E18-E39</f>
        <v>0.004000000002633897</v>
      </c>
    </row>
    <row r="20" spans="1:5" ht="15">
      <c r="A20" s="8" t="s">
        <v>21</v>
      </c>
      <c r="B20" s="12" t="s">
        <v>16</v>
      </c>
      <c r="C20" s="15">
        <f>(3.37+2.38)*6*90.7+1464.48</f>
        <v>4593.63</v>
      </c>
      <c r="D20" s="16"/>
      <c r="E20" s="134"/>
    </row>
    <row r="21" spans="1:5" ht="15">
      <c r="A21" s="8" t="s">
        <v>22</v>
      </c>
      <c r="B21" s="12" t="s">
        <v>16</v>
      </c>
      <c r="C21" s="20">
        <f>90.7*4.88*12</f>
        <v>5311.392</v>
      </c>
      <c r="D21" s="16"/>
      <c r="E21" s="132"/>
    </row>
    <row r="22" spans="1:5" ht="15">
      <c r="A22" s="21" t="s">
        <v>23</v>
      </c>
      <c r="B22" s="12" t="s">
        <v>16</v>
      </c>
      <c r="C22" s="15">
        <f>C23</f>
        <v>13154.66409</v>
      </c>
      <c r="D22" s="16" t="s">
        <v>24</v>
      </c>
      <c r="E22" s="133" t="e">
        <f>B24+B25+B26+B27+B28</f>
        <v>#VALUE!</v>
      </c>
    </row>
    <row r="23" spans="1:5" ht="15">
      <c r="A23" s="8" t="s">
        <v>25</v>
      </c>
      <c r="B23" s="12" t="s">
        <v>16</v>
      </c>
      <c r="C23" s="15">
        <f>C18*0.8191</f>
        <v>13154.66409</v>
      </c>
      <c r="D23" s="16"/>
      <c r="E23" s="132"/>
    </row>
    <row r="24" spans="1:8" ht="15">
      <c r="A24" s="8" t="s">
        <v>26</v>
      </c>
      <c r="B24" s="12" t="s">
        <v>16</v>
      </c>
      <c r="C24" s="15">
        <v>0</v>
      </c>
      <c r="D24" s="22">
        <v>65.21</v>
      </c>
      <c r="E24" s="134" t="e">
        <f>B24/#REF!*1</f>
        <v>#VALUE!</v>
      </c>
      <c r="H24" s="1" t="s">
        <v>27</v>
      </c>
    </row>
    <row r="25" spans="1:5" ht="15">
      <c r="A25" s="8" t="s">
        <v>28</v>
      </c>
      <c r="B25" s="12" t="s">
        <v>16</v>
      </c>
      <c r="C25" s="15">
        <v>0</v>
      </c>
      <c r="D25" s="22">
        <v>119.63</v>
      </c>
      <c r="E25" s="134" t="e">
        <f>B25/#REF!*1</f>
        <v>#VALUE!</v>
      </c>
    </row>
    <row r="26" spans="1:5" ht="15">
      <c r="A26" s="9" t="s">
        <v>29</v>
      </c>
      <c r="B26" s="12" t="s">
        <v>16</v>
      </c>
      <c r="C26" s="15">
        <v>0</v>
      </c>
      <c r="D26" s="22"/>
      <c r="E26" s="134" t="e">
        <f>B26/#REF!*1</f>
        <v>#VALUE!</v>
      </c>
    </row>
    <row r="27" spans="1:5" ht="16.5" customHeight="1">
      <c r="A27" s="116" t="s">
        <v>112</v>
      </c>
      <c r="B27" s="12" t="s">
        <v>16</v>
      </c>
      <c r="C27" s="15">
        <v>0</v>
      </c>
      <c r="D27" s="22">
        <v>139.18</v>
      </c>
      <c r="E27" s="134" t="e">
        <f>B27/#REF!*1</f>
        <v>#VALUE!</v>
      </c>
    </row>
    <row r="28" spans="1:5" ht="15">
      <c r="A28" s="8" t="s">
        <v>31</v>
      </c>
      <c r="B28" s="12" t="s">
        <v>16</v>
      </c>
      <c r="C28" s="15">
        <f>C15+C22</f>
        <v>13959.81409</v>
      </c>
      <c r="D28" s="16" t="s">
        <v>32</v>
      </c>
      <c r="E28" s="134" t="e">
        <f>B28/#REF!*1</f>
        <v>#VALUE!</v>
      </c>
    </row>
    <row r="29" spans="1:5" ht="35.25" customHeight="1">
      <c r="A29" s="260" t="s">
        <v>33</v>
      </c>
      <c r="B29" s="260"/>
      <c r="C29" s="260"/>
      <c r="D29" s="260"/>
      <c r="E29" s="132"/>
    </row>
    <row r="30" spans="1:5" ht="60">
      <c r="A30" s="23" t="s">
        <v>34</v>
      </c>
      <c r="B30" s="24" t="s">
        <v>35</v>
      </c>
      <c r="C30" s="25" t="s">
        <v>36</v>
      </c>
      <c r="D30" s="26" t="s">
        <v>37</v>
      </c>
      <c r="E30" s="132"/>
    </row>
    <row r="31" spans="1:5" ht="15">
      <c r="A31" s="27" t="s">
        <v>38</v>
      </c>
      <c r="B31" s="28" t="s">
        <v>39</v>
      </c>
      <c r="C31" s="29" t="s">
        <v>40</v>
      </c>
      <c r="D31" s="107">
        <f>(0.17+0.16)*6*90.7</f>
        <v>179.586</v>
      </c>
      <c r="E31" s="132"/>
    </row>
    <row r="32" spans="1:5" ht="15">
      <c r="A32" s="31" t="s">
        <v>41</v>
      </c>
      <c r="B32" s="32" t="s">
        <v>42</v>
      </c>
      <c r="C32" s="33" t="s">
        <v>43</v>
      </c>
      <c r="D32" s="34">
        <f>(3.03+3)*6*90.7</f>
        <v>3281.5259999999994</v>
      </c>
      <c r="E32" s="132"/>
    </row>
    <row r="33" spans="1:5" ht="15">
      <c r="A33" s="31" t="s">
        <v>44</v>
      </c>
      <c r="B33" s="32" t="s">
        <v>39</v>
      </c>
      <c r="C33" s="33" t="s">
        <v>45</v>
      </c>
      <c r="D33" s="108">
        <f>(0.21+0.2)*6*90.7</f>
        <v>223.122</v>
      </c>
      <c r="E33" s="132"/>
    </row>
    <row r="34" spans="1:5" ht="15">
      <c r="A34" s="204" t="s">
        <v>255</v>
      </c>
      <c r="B34" s="32" t="s">
        <v>39</v>
      </c>
      <c r="C34" s="33" t="s">
        <v>40</v>
      </c>
      <c r="D34" s="108">
        <f>90.7*(0.22+0.23)*6</f>
        <v>244.89000000000004</v>
      </c>
      <c r="E34" s="132"/>
    </row>
    <row r="35" spans="1:5" ht="15">
      <c r="A35" s="31" t="s">
        <v>90</v>
      </c>
      <c r="B35" s="106" t="s">
        <v>91</v>
      </c>
      <c r="C35" s="33" t="s">
        <v>40</v>
      </c>
      <c r="D35" s="108">
        <f>(1.33+1.27)*6*90.7</f>
        <v>1414.92</v>
      </c>
      <c r="E35" s="132"/>
    </row>
    <row r="36" spans="1:5" ht="15">
      <c r="A36" s="31" t="s">
        <v>46</v>
      </c>
      <c r="B36" s="32" t="s">
        <v>42</v>
      </c>
      <c r="C36" s="35" t="s">
        <v>47</v>
      </c>
      <c r="D36" s="108">
        <f>4.88*90.7*12</f>
        <v>5311.392</v>
      </c>
      <c r="E36" s="132"/>
    </row>
    <row r="37" spans="1:14" s="1" customFormat="1" ht="45">
      <c r="A37" s="36" t="s">
        <v>48</v>
      </c>
      <c r="B37" s="37" t="s">
        <v>49</v>
      </c>
      <c r="C37" s="131" t="s">
        <v>163</v>
      </c>
      <c r="D37" s="39">
        <v>0</v>
      </c>
      <c r="E37" s="132"/>
      <c r="K37"/>
      <c r="L37"/>
      <c r="M37"/>
      <c r="N37"/>
    </row>
    <row r="38" spans="1:14" s="1" customFormat="1" ht="45">
      <c r="A38" s="109" t="s">
        <v>95</v>
      </c>
      <c r="B38" s="110" t="s">
        <v>96</v>
      </c>
      <c r="C38" s="29" t="s">
        <v>97</v>
      </c>
      <c r="D38" s="112">
        <v>810.83</v>
      </c>
      <c r="E38" s="132"/>
      <c r="K38"/>
      <c r="L38"/>
      <c r="M38"/>
      <c r="N38"/>
    </row>
    <row r="39" spans="1:14" s="1" customFormat="1" ht="15.75">
      <c r="A39" s="40" t="s">
        <v>50</v>
      </c>
      <c r="B39" s="41"/>
      <c r="C39" s="42"/>
      <c r="D39" s="113">
        <f>SUM(D31:D38)</f>
        <v>11466.265999999998</v>
      </c>
      <c r="E39" s="135">
        <f>D39-D37</f>
        <v>11466.265999999998</v>
      </c>
      <c r="K39"/>
      <c r="L39"/>
      <c r="M39"/>
      <c r="N39"/>
    </row>
    <row r="40" spans="1:14" s="1" customFormat="1" ht="15">
      <c r="A40" s="43" t="s">
        <v>51</v>
      </c>
      <c r="B40" s="44" t="s">
        <v>16</v>
      </c>
      <c r="C40" s="45"/>
      <c r="D40" s="46">
        <f>C15+C20*0.8191-D37</f>
        <v>4567.792333</v>
      </c>
      <c r="E40" s="135"/>
      <c r="K40"/>
      <c r="L40"/>
      <c r="M40"/>
      <c r="N40"/>
    </row>
    <row r="41" spans="1:14" s="1" customFormat="1" ht="15">
      <c r="A41" s="48" t="s">
        <v>17</v>
      </c>
      <c r="B41" s="49" t="s">
        <v>16</v>
      </c>
      <c r="C41" s="33"/>
      <c r="D41" s="14"/>
      <c r="E41" s="132"/>
      <c r="K41"/>
      <c r="L41"/>
      <c r="M41"/>
      <c r="N41"/>
    </row>
    <row r="42" spans="1:14" s="1" customFormat="1" ht="15">
      <c r="A42" s="48" t="s">
        <v>18</v>
      </c>
      <c r="B42" s="49" t="s">
        <v>16</v>
      </c>
      <c r="C42" s="33"/>
      <c r="D42" s="14">
        <v>2905.24</v>
      </c>
      <c r="E42" s="132"/>
      <c r="K42"/>
      <c r="L42"/>
      <c r="M42"/>
      <c r="N42"/>
    </row>
    <row r="43" spans="1:14" s="1" customFormat="1" ht="24" customHeight="1">
      <c r="A43" s="261" t="s">
        <v>52</v>
      </c>
      <c r="B43" s="261"/>
      <c r="C43" s="261"/>
      <c r="D43" s="261"/>
      <c r="E43" s="132"/>
      <c r="K43"/>
      <c r="L43"/>
      <c r="M43"/>
      <c r="N43"/>
    </row>
    <row r="44" spans="1:14" s="1" customFormat="1" ht="15">
      <c r="A44" s="48" t="s">
        <v>53</v>
      </c>
      <c r="B44" s="32" t="s">
        <v>54</v>
      </c>
      <c r="C44" s="33">
        <v>0</v>
      </c>
      <c r="D44" s="14">
        <v>0</v>
      </c>
      <c r="E44" s="132"/>
      <c r="K44"/>
      <c r="L44"/>
      <c r="M44"/>
      <c r="N44"/>
    </row>
    <row r="45" spans="1:14" s="1" customFormat="1" ht="15">
      <c r="A45" s="48" t="s">
        <v>55</v>
      </c>
      <c r="B45" s="32" t="s">
        <v>54</v>
      </c>
      <c r="C45" s="33">
        <v>0</v>
      </c>
      <c r="D45" s="14">
        <v>0</v>
      </c>
      <c r="E45" s="132"/>
      <c r="K45"/>
      <c r="L45"/>
      <c r="M45"/>
      <c r="N45"/>
    </row>
    <row r="46" spans="1:14" s="1" customFormat="1" ht="15">
      <c r="A46" s="50" t="s">
        <v>56</v>
      </c>
      <c r="B46" s="32" t="s">
        <v>54</v>
      </c>
      <c r="C46" s="33">
        <v>0</v>
      </c>
      <c r="D46" s="14">
        <v>0</v>
      </c>
      <c r="E46" s="132"/>
      <c r="K46"/>
      <c r="L46"/>
      <c r="M46"/>
      <c r="N46"/>
    </row>
    <row r="47" spans="1:14" s="1" customFormat="1" ht="15">
      <c r="A47" s="48" t="s">
        <v>57</v>
      </c>
      <c r="B47" s="32" t="s">
        <v>16</v>
      </c>
      <c r="C47" s="33">
        <v>0</v>
      </c>
      <c r="D47" s="14">
        <v>0</v>
      </c>
      <c r="E47" s="132"/>
      <c r="K47"/>
      <c r="L47"/>
      <c r="M47"/>
      <c r="N47"/>
    </row>
    <row r="48" spans="1:5" ht="20.25" customHeight="1">
      <c r="A48" s="262" t="s">
        <v>58</v>
      </c>
      <c r="B48" s="262"/>
      <c r="C48" s="262"/>
      <c r="D48" s="262"/>
      <c r="E48" s="132"/>
    </row>
    <row r="49" spans="1:5" ht="25.5">
      <c r="A49" s="50" t="s">
        <v>59</v>
      </c>
      <c r="B49" s="32" t="s">
        <v>16</v>
      </c>
      <c r="C49" s="33"/>
      <c r="D49" s="14">
        <v>0</v>
      </c>
      <c r="E49" s="132"/>
    </row>
    <row r="50" spans="1:5" ht="15">
      <c r="A50" s="48" t="s">
        <v>17</v>
      </c>
      <c r="B50" s="32" t="s">
        <v>16</v>
      </c>
      <c r="C50" s="33"/>
      <c r="D50" s="14">
        <v>0</v>
      </c>
      <c r="E50" s="132"/>
    </row>
    <row r="51" spans="1:8" ht="15">
      <c r="A51" s="48" t="s">
        <v>18</v>
      </c>
      <c r="B51" s="32" t="s">
        <v>16</v>
      </c>
      <c r="C51" s="33"/>
      <c r="D51" s="51">
        <v>0</v>
      </c>
      <c r="E51" s="132"/>
      <c r="H51" s="52"/>
    </row>
    <row r="52" spans="1:5" ht="25.5">
      <c r="A52" s="53" t="s">
        <v>60</v>
      </c>
      <c r="B52" s="32" t="s">
        <v>16</v>
      </c>
      <c r="C52" s="54"/>
      <c r="D52" s="55">
        <v>0</v>
      </c>
      <c r="E52" s="132"/>
    </row>
    <row r="53" spans="1:10" ht="17.25" customHeight="1">
      <c r="A53" s="56" t="s">
        <v>17</v>
      </c>
      <c r="B53" s="32" t="s">
        <v>16</v>
      </c>
      <c r="C53" s="57"/>
      <c r="D53" s="58">
        <v>0</v>
      </c>
      <c r="E53" s="132"/>
      <c r="I53" s="52"/>
      <c r="J53" s="52"/>
    </row>
    <row r="54" spans="1:14" ht="15">
      <c r="A54" s="59" t="s">
        <v>18</v>
      </c>
      <c r="B54" s="32" t="s">
        <v>16</v>
      </c>
      <c r="C54" s="60"/>
      <c r="D54" s="61">
        <v>1124.17</v>
      </c>
      <c r="E54" s="132"/>
      <c r="H54" s="1" t="s">
        <v>32</v>
      </c>
      <c r="I54" s="63"/>
      <c r="J54" s="63"/>
      <c r="K54" s="64"/>
      <c r="L54" s="64"/>
      <c r="M54" s="64"/>
      <c r="N54" s="64"/>
    </row>
    <row r="55" spans="1:14" ht="18" customHeight="1">
      <c r="A55" s="263" t="s">
        <v>61</v>
      </c>
      <c r="B55" s="263"/>
      <c r="C55" s="263"/>
      <c r="D55" s="263"/>
      <c r="E55" s="137"/>
      <c r="F55" s="66"/>
      <c r="G55" s="67"/>
      <c r="I55" s="68"/>
      <c r="J55" s="68"/>
      <c r="K55" s="69"/>
      <c r="L55" s="69"/>
      <c r="M55" s="69"/>
      <c r="N55" s="69"/>
    </row>
    <row r="56" spans="1:14" ht="47.25">
      <c r="A56" s="70" t="s">
        <v>62</v>
      </c>
      <c r="B56" s="71" t="s">
        <v>63</v>
      </c>
      <c r="C56" s="72" t="s">
        <v>64</v>
      </c>
      <c r="D56" s="73" t="s">
        <v>65</v>
      </c>
      <c r="E56" s="137"/>
      <c r="F56" s="66"/>
      <c r="G56" s="67"/>
      <c r="I56" s="68"/>
      <c r="J56" s="74"/>
      <c r="K56" s="69"/>
      <c r="L56" s="69"/>
      <c r="M56" s="69"/>
      <c r="N56" s="69"/>
    </row>
    <row r="57" spans="1:14" ht="15">
      <c r="A57" s="75" t="s">
        <v>66</v>
      </c>
      <c r="B57" s="117">
        <v>6214.32</v>
      </c>
      <c r="C57" s="118">
        <f>B57*0.8191</f>
        <v>5090.149512</v>
      </c>
      <c r="D57" s="119">
        <f>B57-C57</f>
        <v>1124.1704879999998</v>
      </c>
      <c r="E57" s="140"/>
      <c r="F57" s="66"/>
      <c r="G57" s="67"/>
      <c r="I57" s="68"/>
      <c r="J57" s="68"/>
      <c r="K57" s="69"/>
      <c r="L57" s="69"/>
      <c r="M57" s="69"/>
      <c r="N57" s="69"/>
    </row>
    <row r="58" spans="1:14" ht="15">
      <c r="A58" s="75" t="s">
        <v>67</v>
      </c>
      <c r="B58" s="117">
        <v>0</v>
      </c>
      <c r="C58" s="118">
        <f>B58*1.0372</f>
        <v>0</v>
      </c>
      <c r="D58" s="119">
        <f>B58-C58</f>
        <v>0</v>
      </c>
      <c r="E58" s="137"/>
      <c r="F58" s="66"/>
      <c r="G58" s="67"/>
      <c r="I58" s="68"/>
      <c r="J58" s="68"/>
      <c r="K58" s="69"/>
      <c r="L58" s="69"/>
      <c r="M58" s="69"/>
      <c r="N58" s="69"/>
    </row>
    <row r="59" spans="1:14" ht="15">
      <c r="A59" s="75" t="s">
        <v>68</v>
      </c>
      <c r="B59" s="120">
        <v>0</v>
      </c>
      <c r="C59" s="118">
        <f>B59*1.0372</f>
        <v>0</v>
      </c>
      <c r="D59" s="119">
        <f>B59-C59</f>
        <v>0</v>
      </c>
      <c r="E59" s="137">
        <f>(2.07+1.8)*6*2301.2-0.37*2301.2*6</f>
        <v>48325.2</v>
      </c>
      <c r="F59" s="81"/>
      <c r="G59" s="82"/>
      <c r="H59" s="65"/>
      <c r="I59" s="68"/>
      <c r="J59" s="68"/>
      <c r="K59" s="69"/>
      <c r="L59" s="69"/>
      <c r="M59" s="69"/>
      <c r="N59" s="69"/>
    </row>
    <row r="60" spans="1:14" ht="15.75" thickBot="1">
      <c r="A60" s="150" t="s">
        <v>69</v>
      </c>
      <c r="B60" s="151">
        <v>0</v>
      </c>
      <c r="C60" s="152">
        <f>B60*1.0372</f>
        <v>0</v>
      </c>
      <c r="D60" s="153">
        <f>B60-C60</f>
        <v>0</v>
      </c>
      <c r="E60" s="137"/>
      <c r="F60" s="81"/>
      <c r="G60" s="82"/>
      <c r="I60" s="68"/>
      <c r="J60" s="68"/>
      <c r="K60" s="69"/>
      <c r="L60" s="69"/>
      <c r="M60" s="69"/>
      <c r="N60" s="69"/>
    </row>
    <row r="61" spans="1:14" ht="63">
      <c r="A61" s="154" t="s">
        <v>70</v>
      </c>
      <c r="B61" s="155" t="s">
        <v>71</v>
      </c>
      <c r="C61" s="156" t="s">
        <v>72</v>
      </c>
      <c r="D61" s="157" t="s">
        <v>73</v>
      </c>
      <c r="E61" s="137"/>
      <c r="F61" s="81"/>
      <c r="H61" s="68"/>
      <c r="I61" s="68"/>
      <c r="J61" s="68"/>
      <c r="K61" s="69"/>
      <c r="L61" s="69"/>
      <c r="M61" s="69"/>
      <c r="N61" s="69"/>
    </row>
    <row r="62" spans="1:14" ht="15">
      <c r="A62" s="158" t="s">
        <v>66</v>
      </c>
      <c r="B62" s="124">
        <f>B57</f>
        <v>6214.32</v>
      </c>
      <c r="C62" s="125">
        <f>C57</f>
        <v>5090.149512</v>
      </c>
      <c r="D62" s="159">
        <f>B62-C62</f>
        <v>1124.1704879999998</v>
      </c>
      <c r="E62" s="137"/>
      <c r="F62" s="81"/>
      <c r="H62" s="68"/>
      <c r="I62" s="68"/>
      <c r="J62" s="68" t="s">
        <v>32</v>
      </c>
      <c r="K62" s="69"/>
      <c r="L62" s="69"/>
      <c r="M62" s="69"/>
      <c r="N62" s="69"/>
    </row>
    <row r="63" spans="1:14" ht="15">
      <c r="A63" s="158" t="s">
        <v>67</v>
      </c>
      <c r="B63" s="124">
        <v>0</v>
      </c>
      <c r="C63" s="125">
        <v>0</v>
      </c>
      <c r="D63" s="159">
        <f>B63-C63</f>
        <v>0</v>
      </c>
      <c r="E63" s="137"/>
      <c r="F63" s="81"/>
      <c r="H63" s="68"/>
      <c r="I63" s="68"/>
      <c r="J63" s="68"/>
      <c r="K63" s="69"/>
      <c r="L63" s="69"/>
      <c r="M63" s="69"/>
      <c r="N63" s="69"/>
    </row>
    <row r="64" spans="1:14" ht="15">
      <c r="A64" s="158" t="s">
        <v>68</v>
      </c>
      <c r="B64" s="124">
        <v>0</v>
      </c>
      <c r="C64" s="125">
        <v>0</v>
      </c>
      <c r="D64" s="159">
        <f>B64-C64</f>
        <v>0</v>
      </c>
      <c r="E64" s="137"/>
      <c r="F64" s="81"/>
      <c r="H64" s="68"/>
      <c r="I64" s="68"/>
      <c r="J64" s="68"/>
      <c r="K64" s="69"/>
      <c r="L64" s="69"/>
      <c r="M64" s="69"/>
      <c r="N64" s="69"/>
    </row>
    <row r="65" spans="1:14" ht="15">
      <c r="A65" s="158" t="s">
        <v>74</v>
      </c>
      <c r="B65" s="124">
        <v>0</v>
      </c>
      <c r="C65" s="125">
        <v>0</v>
      </c>
      <c r="D65" s="159">
        <f>B65-C65</f>
        <v>0</v>
      </c>
      <c r="E65" s="137"/>
      <c r="F65" s="81"/>
      <c r="H65" s="68"/>
      <c r="I65" s="68"/>
      <c r="J65" s="68"/>
      <c r="K65" s="69"/>
      <c r="L65" s="69"/>
      <c r="M65" s="69"/>
      <c r="N65" s="69"/>
    </row>
    <row r="66" spans="1:14" ht="15.75" thickBot="1">
      <c r="A66" s="160" t="s">
        <v>69</v>
      </c>
      <c r="B66" s="161">
        <v>0</v>
      </c>
      <c r="C66" s="162">
        <v>0</v>
      </c>
      <c r="D66" s="163">
        <f>B66-C66</f>
        <v>0</v>
      </c>
      <c r="E66" s="137"/>
      <c r="F66" s="81"/>
      <c r="H66" s="68" t="s">
        <v>32</v>
      </c>
      <c r="I66" s="68"/>
      <c r="J66" s="68"/>
      <c r="K66" s="69"/>
      <c r="L66" s="69"/>
      <c r="M66" s="69"/>
      <c r="N66" s="69"/>
    </row>
    <row r="67" spans="1:14" ht="15">
      <c r="A67" s="91"/>
      <c r="B67" s="87"/>
      <c r="C67" s="92"/>
      <c r="D67" s="93"/>
      <c r="E67" s="65"/>
      <c r="F67" s="81"/>
      <c r="H67" s="68"/>
      <c r="I67" s="68"/>
      <c r="J67" s="68"/>
      <c r="K67" s="69"/>
      <c r="L67" s="69"/>
      <c r="M67" s="69"/>
      <c r="N67" s="69"/>
    </row>
    <row r="68" spans="1:14" ht="25.5">
      <c r="A68" s="94" t="s">
        <v>75</v>
      </c>
      <c r="B68" s="87" t="s">
        <v>16</v>
      </c>
      <c r="C68" s="95"/>
      <c r="D68" s="96"/>
      <c r="E68" s="65"/>
      <c r="F68" s="81"/>
      <c r="H68" s="68"/>
      <c r="I68" s="68"/>
      <c r="J68" s="68" t="s">
        <v>32</v>
      </c>
      <c r="K68" s="69"/>
      <c r="L68" s="69"/>
      <c r="M68" s="69"/>
      <c r="N68" s="69"/>
    </row>
    <row r="69" spans="1:14" ht="17.25" customHeight="1">
      <c r="A69" s="264" t="s">
        <v>76</v>
      </c>
      <c r="B69" s="264"/>
      <c r="C69" s="264"/>
      <c r="D69" s="264"/>
      <c r="E69" s="97" t="e">
        <f>D69+B19</f>
        <v>#VALUE!</v>
      </c>
      <c r="F69" s="68"/>
      <c r="H69" s="98" t="e">
        <f>E69-B18</f>
        <v>#VALUE!</v>
      </c>
      <c r="I69" s="68"/>
      <c r="J69" s="68"/>
      <c r="K69" s="69"/>
      <c r="L69" s="69"/>
      <c r="M69" s="69"/>
      <c r="N69" s="69"/>
    </row>
    <row r="70" spans="1:5" ht="21" customHeight="1">
      <c r="A70" s="99" t="s">
        <v>53</v>
      </c>
      <c r="B70" s="99" t="s">
        <v>54</v>
      </c>
      <c r="C70" s="100">
        <v>0</v>
      </c>
      <c r="D70" s="101"/>
      <c r="E70" s="102"/>
    </row>
    <row r="71" spans="1:5" ht="21" customHeight="1">
      <c r="A71" s="99" t="s">
        <v>55</v>
      </c>
      <c r="B71" s="99" t="s">
        <v>54</v>
      </c>
      <c r="C71" s="99">
        <v>0</v>
      </c>
      <c r="D71" s="101"/>
      <c r="E71" s="102"/>
    </row>
    <row r="72" spans="1:5" ht="18" customHeight="1">
      <c r="A72" s="99" t="s">
        <v>56</v>
      </c>
      <c r="B72" s="99" t="s">
        <v>54</v>
      </c>
      <c r="C72" s="99">
        <v>0</v>
      </c>
      <c r="D72" s="101"/>
      <c r="E72" s="102"/>
    </row>
    <row r="73" spans="1:5" ht="16.5" customHeight="1">
      <c r="A73" s="99" t="s">
        <v>57</v>
      </c>
      <c r="B73" s="99" t="s">
        <v>16</v>
      </c>
      <c r="C73" s="99">
        <v>0</v>
      </c>
      <c r="D73" s="101"/>
      <c r="E73" s="102"/>
    </row>
    <row r="74" spans="1:5" ht="15.75" customHeight="1">
      <c r="A74" s="258" t="s">
        <v>77</v>
      </c>
      <c r="B74" s="258"/>
      <c r="C74" s="258"/>
      <c r="D74" s="258"/>
      <c r="E74" s="102"/>
    </row>
    <row r="75" spans="1:5" ht="18.75" customHeight="1">
      <c r="A75" s="99" t="s">
        <v>78</v>
      </c>
      <c r="B75" s="99" t="s">
        <v>54</v>
      </c>
      <c r="C75" s="99">
        <v>0</v>
      </c>
      <c r="D75" s="101"/>
      <c r="E75" s="102"/>
    </row>
    <row r="76" spans="1:5" ht="21.75" customHeight="1">
      <c r="A76" s="99" t="s">
        <v>79</v>
      </c>
      <c r="B76" s="56" t="s">
        <v>54</v>
      </c>
      <c r="C76" s="56">
        <v>0</v>
      </c>
      <c r="D76" s="101"/>
      <c r="E76" s="102"/>
    </row>
    <row r="77" spans="1:5" ht="36" customHeight="1">
      <c r="A77" s="103" t="s">
        <v>80</v>
      </c>
      <c r="B77" s="99" t="s">
        <v>16</v>
      </c>
      <c r="C77" s="99">
        <v>0</v>
      </c>
      <c r="D77" s="101"/>
      <c r="E77" s="102"/>
    </row>
    <row r="78" spans="1:4" ht="15">
      <c r="A78" s="69"/>
      <c r="B78" s="69"/>
      <c r="C78" s="69"/>
      <c r="D78" s="104"/>
    </row>
    <row r="79" spans="1:14" s="1" customFormat="1" ht="12.75">
      <c r="A79"/>
      <c r="B79"/>
      <c r="C79"/>
      <c r="D79"/>
      <c r="H79" s="1" t="s">
        <v>32</v>
      </c>
      <c r="K79"/>
      <c r="L79"/>
      <c r="M79"/>
      <c r="N79"/>
    </row>
    <row r="80" spans="1:14" s="1" customFormat="1" ht="12.75">
      <c r="A80" t="s">
        <v>81</v>
      </c>
      <c r="B80"/>
      <c r="C80"/>
      <c r="D80"/>
      <c r="K80"/>
      <c r="L80"/>
      <c r="M80"/>
      <c r="N80"/>
    </row>
    <row r="81" spans="1:14" s="1" customFormat="1" ht="12.75">
      <c r="A81"/>
      <c r="B81"/>
      <c r="C81"/>
      <c r="D81"/>
      <c r="H81" s="1" t="s">
        <v>32</v>
      </c>
      <c r="K81"/>
      <c r="L81"/>
      <c r="M81"/>
      <c r="N81"/>
    </row>
    <row r="82" spans="1:14" s="1" customFormat="1" ht="12.75">
      <c r="A82" t="s">
        <v>82</v>
      </c>
      <c r="B82"/>
      <c r="C82"/>
      <c r="D82"/>
      <c r="K82"/>
      <c r="L82"/>
      <c r="M82"/>
      <c r="N82"/>
    </row>
    <row r="86" spans="1:14" s="1" customFormat="1" ht="12.75">
      <c r="A86"/>
      <c r="B86"/>
      <c r="C86"/>
      <c r="D86"/>
      <c r="E86" s="1" t="s">
        <v>32</v>
      </c>
      <c r="K86"/>
      <c r="L86"/>
      <c r="M86"/>
      <c r="N86"/>
    </row>
  </sheetData>
  <sheetProtection selectLockedCells="1" selectUnlockedCells="1"/>
  <mergeCells count="13">
    <mergeCell ref="A1:D1"/>
    <mergeCell ref="A2:D2"/>
    <mergeCell ref="A3:D3"/>
    <mergeCell ref="A4:D4"/>
    <mergeCell ref="A5:D5"/>
    <mergeCell ref="A7:D7"/>
    <mergeCell ref="A74:D74"/>
    <mergeCell ref="A14:D14"/>
    <mergeCell ref="A29:D29"/>
    <mergeCell ref="A43:D43"/>
    <mergeCell ref="A48:D48"/>
    <mergeCell ref="A55:D55"/>
    <mergeCell ref="A69:D69"/>
  </mergeCells>
  <printOptions/>
  <pageMargins left="0.5597222222222222" right="0.7875" top="0.34097222222222223" bottom="0.7875" header="0.5118055555555555" footer="0.5118055555555555"/>
  <pageSetup fitToHeight="3" fitToWidth="2" horizontalDpi="300" verticalDpi="300" orientation="landscape" paperSize="1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0"/>
  <sheetViews>
    <sheetView zoomScale="80" zoomScaleNormal="80" zoomScalePageLayoutView="0" workbookViewId="0" topLeftCell="A1">
      <selection activeCell="E16" sqref="E16:E77"/>
    </sheetView>
  </sheetViews>
  <sheetFormatPr defaultColWidth="11.57421875" defaultRowHeight="12.75"/>
  <cols>
    <col min="1" max="1" width="52.140625" style="0" customWidth="1"/>
    <col min="2" max="2" width="17.28125" style="0" customWidth="1"/>
    <col min="3" max="3" width="22.57421875" style="0" customWidth="1"/>
    <col min="4" max="4" width="20.28125" style="0" customWidth="1"/>
    <col min="5" max="5" width="16.8515625" style="1" customWidth="1"/>
    <col min="6" max="7" width="0" style="1" hidden="1" customWidth="1"/>
    <col min="8" max="8" width="11.57421875" style="1" customWidth="1"/>
    <col min="9" max="9" width="5.28125" style="1" customWidth="1"/>
    <col min="10" max="10" width="30.00390625" style="1" customWidth="1"/>
    <col min="11" max="12" width="23.28125" style="0" customWidth="1"/>
    <col min="13" max="13" width="6.57421875" style="0" customWidth="1"/>
    <col min="14" max="14" width="7.00390625" style="0" customWidth="1"/>
  </cols>
  <sheetData>
    <row r="1" spans="1:4" ht="18">
      <c r="A1" s="265" t="s">
        <v>0</v>
      </c>
      <c r="B1" s="265"/>
      <c r="C1" s="265"/>
      <c r="D1" s="265"/>
    </row>
    <row r="2" spans="1:4" ht="15.75">
      <c r="A2" s="266" t="s">
        <v>1</v>
      </c>
      <c r="B2" s="266"/>
      <c r="C2" s="266"/>
      <c r="D2" s="266"/>
    </row>
    <row r="3" spans="1:4" ht="15.75">
      <c r="A3" s="266" t="s">
        <v>2</v>
      </c>
      <c r="B3" s="266"/>
      <c r="C3" s="266"/>
      <c r="D3" s="266"/>
    </row>
    <row r="4" spans="1:4" ht="12.75">
      <c r="A4" s="267" t="s">
        <v>98</v>
      </c>
      <c r="B4" s="267"/>
      <c r="C4" s="267"/>
      <c r="D4" s="267"/>
    </row>
    <row r="5" spans="1:4" ht="12.75">
      <c r="A5" s="268" t="s">
        <v>171</v>
      </c>
      <c r="B5" s="267"/>
      <c r="C5" s="267"/>
      <c r="D5" s="267"/>
    </row>
    <row r="6" ht="10.5" customHeight="1">
      <c r="A6" s="2"/>
    </row>
    <row r="7" spans="1:4" ht="32.25" customHeight="1">
      <c r="A7" s="269" t="s">
        <v>4</v>
      </c>
      <c r="B7" s="269"/>
      <c r="C7" s="269"/>
      <c r="D7" s="269"/>
    </row>
    <row r="8" spans="1:3" ht="21" customHeight="1">
      <c r="A8" s="2" t="s">
        <v>204</v>
      </c>
      <c r="C8" s="3"/>
    </row>
    <row r="9" spans="1:4" ht="12.75">
      <c r="A9" s="4" t="s">
        <v>5</v>
      </c>
      <c r="B9" s="4" t="s">
        <v>6</v>
      </c>
      <c r="C9" s="4" t="s">
        <v>7</v>
      </c>
      <c r="D9" s="5"/>
    </row>
    <row r="10" spans="1:4" ht="12.75">
      <c r="A10" s="6">
        <v>1</v>
      </c>
      <c r="B10" s="6">
        <v>2</v>
      </c>
      <c r="C10" s="6">
        <v>3</v>
      </c>
      <c r="D10" s="7">
        <v>4</v>
      </c>
    </row>
    <row r="11" spans="1:4" ht="12.75">
      <c r="A11" s="8" t="s">
        <v>8</v>
      </c>
      <c r="B11" s="9"/>
      <c r="C11" s="177" t="s">
        <v>172</v>
      </c>
      <c r="D11" s="10"/>
    </row>
    <row r="12" spans="1:4" ht="12.75">
      <c r="A12" s="8" t="s">
        <v>10</v>
      </c>
      <c r="B12" s="9"/>
      <c r="C12" s="177" t="s">
        <v>173</v>
      </c>
      <c r="D12" s="10"/>
    </row>
    <row r="13" spans="1:4" ht="12.75">
      <c r="A13" s="8" t="s">
        <v>12</v>
      </c>
      <c r="B13" s="9"/>
      <c r="C13" s="177" t="s">
        <v>174</v>
      </c>
      <c r="D13" s="10"/>
    </row>
    <row r="14" spans="1:4" ht="31.5" customHeight="1">
      <c r="A14" s="259" t="s">
        <v>14</v>
      </c>
      <c r="B14" s="259"/>
      <c r="C14" s="259"/>
      <c r="D14" s="259"/>
    </row>
    <row r="15" spans="1:8" ht="25.5">
      <c r="A15" s="11" t="s">
        <v>15</v>
      </c>
      <c r="B15" s="12" t="s">
        <v>16</v>
      </c>
      <c r="C15" s="13">
        <v>11487.85</v>
      </c>
      <c r="D15" s="14"/>
      <c r="E15" s="132"/>
      <c r="F15" s="132"/>
      <c r="G15" s="132"/>
      <c r="H15" s="132"/>
    </row>
    <row r="16" spans="1:8" ht="15">
      <c r="A16" s="8" t="s">
        <v>17</v>
      </c>
      <c r="B16" s="12" t="s">
        <v>16</v>
      </c>
      <c r="C16" s="13">
        <v>0</v>
      </c>
      <c r="D16" s="14"/>
      <c r="E16" s="132"/>
      <c r="F16" s="132"/>
      <c r="G16" s="132"/>
      <c r="H16" s="132"/>
    </row>
    <row r="17" spans="1:8" ht="15">
      <c r="A17" s="8" t="s">
        <v>18</v>
      </c>
      <c r="B17" s="12" t="s">
        <v>16</v>
      </c>
      <c r="C17" s="15">
        <v>55540.17</v>
      </c>
      <c r="D17" s="16"/>
      <c r="E17" s="132" t="e">
        <f>B17/12/1022.6</f>
        <v>#VALUE!</v>
      </c>
      <c r="F17" s="132"/>
      <c r="G17" s="132"/>
      <c r="H17" s="132"/>
    </row>
    <row r="18" spans="1:8" ht="31.5" customHeight="1">
      <c r="A18" s="17" t="s">
        <v>19</v>
      </c>
      <c r="B18" s="12" t="s">
        <v>16</v>
      </c>
      <c r="C18" s="15">
        <f>C19+C20+C21</f>
        <v>71503.61300000001</v>
      </c>
      <c r="D18" s="16"/>
      <c r="E18" s="133">
        <f>C18-C20</f>
        <v>63259.44800000001</v>
      </c>
      <c r="F18" s="132"/>
      <c r="G18" s="132"/>
      <c r="H18" s="132"/>
    </row>
    <row r="19" spans="1:8" ht="15">
      <c r="A19" s="8" t="s">
        <v>20</v>
      </c>
      <c r="B19" s="12" t="s">
        <v>16</v>
      </c>
      <c r="C19" s="15">
        <v>40593.8</v>
      </c>
      <c r="D19" s="16"/>
      <c r="E19" s="133">
        <f>E18-E43</f>
        <v>-0.003999999978987034</v>
      </c>
      <c r="F19" s="132"/>
      <c r="G19" s="132"/>
      <c r="H19" s="132"/>
    </row>
    <row r="20" spans="1:8" ht="15">
      <c r="A20" s="8" t="s">
        <v>21</v>
      </c>
      <c r="B20" s="12" t="s">
        <v>16</v>
      </c>
      <c r="C20" s="15">
        <f>(1.8+1.75)*6*387.05</f>
        <v>8244.164999999999</v>
      </c>
      <c r="D20" s="16"/>
      <c r="E20" s="134"/>
      <c r="F20" s="132"/>
      <c r="G20" s="132"/>
      <c r="H20" s="132"/>
    </row>
    <row r="21" spans="1:8" ht="15">
      <c r="A21" s="8" t="s">
        <v>22</v>
      </c>
      <c r="B21" s="12" t="s">
        <v>16</v>
      </c>
      <c r="C21" s="20">
        <f>387.05*4.88*12</f>
        <v>22665.648</v>
      </c>
      <c r="D21" s="16"/>
      <c r="E21" s="132"/>
      <c r="F21" s="132"/>
      <c r="G21" s="132"/>
      <c r="H21" s="132"/>
    </row>
    <row r="22" spans="1:8" ht="15">
      <c r="A22" s="21" t="s">
        <v>23</v>
      </c>
      <c r="B22" s="12" t="s">
        <v>16</v>
      </c>
      <c r="C22" s="15">
        <f>C23+C24+C25+C26+C27</f>
        <v>61736.2194642</v>
      </c>
      <c r="D22" s="16" t="s">
        <v>24</v>
      </c>
      <c r="E22" s="133" t="e">
        <f>B24+B25+B26+B27+B28</f>
        <v>#VALUE!</v>
      </c>
      <c r="F22" s="132"/>
      <c r="G22" s="132"/>
      <c r="H22" s="132"/>
    </row>
    <row r="23" spans="1:8" ht="15">
      <c r="A23" s="8" t="s">
        <v>25</v>
      </c>
      <c r="B23" s="12" t="s">
        <v>16</v>
      </c>
      <c r="C23" s="15">
        <f>C18*0.8634</f>
        <v>61736.2194642</v>
      </c>
      <c r="D23" s="16"/>
      <c r="E23" s="132"/>
      <c r="F23" s="132"/>
      <c r="G23" s="132"/>
      <c r="H23" s="132"/>
    </row>
    <row r="24" spans="1:8" ht="15">
      <c r="A24" s="8" t="s">
        <v>26</v>
      </c>
      <c r="B24" s="12" t="s">
        <v>16</v>
      </c>
      <c r="C24" s="15">
        <v>0</v>
      </c>
      <c r="D24" s="22">
        <v>65.21</v>
      </c>
      <c r="E24" s="134" t="e">
        <f>B24/#REF!*1</f>
        <v>#VALUE!</v>
      </c>
      <c r="F24" s="132"/>
      <c r="G24" s="132"/>
      <c r="H24" s="132" t="s">
        <v>27</v>
      </c>
    </row>
    <row r="25" spans="1:8" ht="15">
      <c r="A25" s="8" t="s">
        <v>28</v>
      </c>
      <c r="B25" s="12" t="s">
        <v>16</v>
      </c>
      <c r="C25" s="15">
        <v>0</v>
      </c>
      <c r="D25" s="22">
        <v>119.63</v>
      </c>
      <c r="E25" s="134" t="e">
        <f>B25/#REF!*1</f>
        <v>#VALUE!</v>
      </c>
      <c r="F25" s="132"/>
      <c r="G25" s="132"/>
      <c r="H25" s="132"/>
    </row>
    <row r="26" spans="1:8" ht="15">
      <c r="A26" s="9" t="s">
        <v>29</v>
      </c>
      <c r="B26" s="12" t="s">
        <v>16</v>
      </c>
      <c r="C26" s="15">
        <v>0</v>
      </c>
      <c r="D26" s="22"/>
      <c r="E26" s="134" t="e">
        <f>B26/#REF!*1</f>
        <v>#VALUE!</v>
      </c>
      <c r="F26" s="132"/>
      <c r="G26" s="132"/>
      <c r="H26" s="132"/>
    </row>
    <row r="27" spans="1:8" ht="15">
      <c r="A27" s="9" t="s">
        <v>30</v>
      </c>
      <c r="B27" s="12" t="s">
        <v>16</v>
      </c>
      <c r="C27" s="15">
        <v>0</v>
      </c>
      <c r="D27" s="22">
        <v>139.18</v>
      </c>
      <c r="E27" s="134" t="e">
        <f>B27/#REF!*1</f>
        <v>#VALUE!</v>
      </c>
      <c r="F27" s="132"/>
      <c r="G27" s="132"/>
      <c r="H27" s="132"/>
    </row>
    <row r="28" spans="1:8" ht="15">
      <c r="A28" s="8" t="s">
        <v>31</v>
      </c>
      <c r="B28" s="12" t="s">
        <v>16</v>
      </c>
      <c r="C28" s="15">
        <f>C15+C22</f>
        <v>73224.0694642</v>
      </c>
      <c r="D28" s="16" t="s">
        <v>32</v>
      </c>
      <c r="E28" s="134" t="e">
        <f>B28/#REF!*1</f>
        <v>#VALUE!</v>
      </c>
      <c r="F28" s="132"/>
      <c r="G28" s="132"/>
      <c r="H28" s="132"/>
    </row>
    <row r="29" spans="1:8" ht="35.25" customHeight="1">
      <c r="A29" s="260" t="s">
        <v>33</v>
      </c>
      <c r="B29" s="260"/>
      <c r="C29" s="260"/>
      <c r="D29" s="260"/>
      <c r="E29" s="132"/>
      <c r="F29" s="132"/>
      <c r="G29" s="132"/>
      <c r="H29" s="132"/>
    </row>
    <row r="30" spans="1:8" ht="60">
      <c r="A30" s="218" t="s">
        <v>34</v>
      </c>
      <c r="B30" s="219" t="s">
        <v>35</v>
      </c>
      <c r="C30" s="25" t="s">
        <v>36</v>
      </c>
      <c r="D30" s="220" t="s">
        <v>37</v>
      </c>
      <c r="E30" s="132"/>
      <c r="F30" s="132"/>
      <c r="G30" s="132"/>
      <c r="H30" s="132"/>
    </row>
    <row r="31" spans="1:8" ht="15">
      <c r="A31" s="27" t="s">
        <v>38</v>
      </c>
      <c r="B31" s="28" t="s">
        <v>39</v>
      </c>
      <c r="C31" s="29" t="s">
        <v>40</v>
      </c>
      <c r="D31" s="107">
        <f>(0.17+0.16)*6*387.05</f>
        <v>766.359</v>
      </c>
      <c r="E31" s="132"/>
      <c r="F31" s="132"/>
      <c r="G31" s="132"/>
      <c r="H31" s="132"/>
    </row>
    <row r="32" spans="1:8" ht="15">
      <c r="A32" s="31" t="s">
        <v>84</v>
      </c>
      <c r="B32" s="32" t="s">
        <v>85</v>
      </c>
      <c r="C32" s="33" t="s">
        <v>86</v>
      </c>
      <c r="D32" s="108">
        <f>(2.45+2.34)*6*387.05</f>
        <v>11123.817000000001</v>
      </c>
      <c r="E32" s="132"/>
      <c r="F32" s="132"/>
      <c r="G32" s="132"/>
      <c r="H32" s="132"/>
    </row>
    <row r="33" spans="1:8" ht="15">
      <c r="A33" s="31" t="s">
        <v>41</v>
      </c>
      <c r="B33" s="32" t="s">
        <v>42</v>
      </c>
      <c r="C33" s="33" t="s">
        <v>43</v>
      </c>
      <c r="D33" s="34">
        <f>(3.03+3)*6*387.05</f>
        <v>14003.468999999997</v>
      </c>
      <c r="E33" s="132"/>
      <c r="F33" s="132"/>
      <c r="G33" s="132"/>
      <c r="H33" s="132"/>
    </row>
    <row r="34" spans="1:8" ht="15">
      <c r="A34" s="31" t="s">
        <v>44</v>
      </c>
      <c r="B34" s="32" t="s">
        <v>39</v>
      </c>
      <c r="C34" s="33" t="s">
        <v>45</v>
      </c>
      <c r="D34" s="108">
        <f>(0.2+0.21)*6*387.05</f>
        <v>952.143</v>
      </c>
      <c r="E34" s="132"/>
      <c r="F34" s="132"/>
      <c r="G34" s="132"/>
      <c r="H34" s="132"/>
    </row>
    <row r="35" spans="1:8" ht="15">
      <c r="A35" s="31" t="s">
        <v>88</v>
      </c>
      <c r="B35" s="105" t="s">
        <v>87</v>
      </c>
      <c r="C35" s="33" t="s">
        <v>40</v>
      </c>
      <c r="D35" s="108">
        <f>(0.7+0.67)*6*387.05</f>
        <v>3181.5510000000004</v>
      </c>
      <c r="E35" s="132"/>
      <c r="F35" s="132"/>
      <c r="G35" s="132"/>
      <c r="H35" s="132"/>
    </row>
    <row r="36" spans="1:8" ht="15">
      <c r="A36" s="31" t="s">
        <v>89</v>
      </c>
      <c r="B36" s="32" t="s">
        <v>39</v>
      </c>
      <c r="C36" s="33" t="s">
        <v>40</v>
      </c>
      <c r="D36" s="34">
        <f>(0.81+0.77)*6*387.05</f>
        <v>3669.2340000000004</v>
      </c>
      <c r="E36" s="132"/>
      <c r="F36" s="132"/>
      <c r="G36" s="132"/>
      <c r="H36" s="132"/>
    </row>
    <row r="37" spans="1:8" ht="15">
      <c r="A37" s="31" t="s">
        <v>90</v>
      </c>
      <c r="B37" s="106" t="s">
        <v>91</v>
      </c>
      <c r="C37" s="33" t="s">
        <v>40</v>
      </c>
      <c r="D37" s="34">
        <f>(1.33+1.27)*6*387.05</f>
        <v>6037.9800000000005</v>
      </c>
      <c r="E37" s="132"/>
      <c r="F37" s="132"/>
      <c r="G37" s="132"/>
      <c r="H37" s="132"/>
    </row>
    <row r="38" spans="1:8" ht="15">
      <c r="A38" s="31" t="s">
        <v>46</v>
      </c>
      <c r="B38" s="32" t="s">
        <v>42</v>
      </c>
      <c r="C38" s="35" t="s">
        <v>47</v>
      </c>
      <c r="D38" s="34">
        <f>4.88*387.05*12</f>
        <v>22665.648</v>
      </c>
      <c r="E38" s="132"/>
      <c r="F38" s="132"/>
      <c r="G38" s="132"/>
      <c r="H38" s="132"/>
    </row>
    <row r="39" spans="1:8" ht="15">
      <c r="A39" s="31" t="s">
        <v>95</v>
      </c>
      <c r="B39" s="32" t="s">
        <v>96</v>
      </c>
      <c r="C39" s="35" t="s">
        <v>97</v>
      </c>
      <c r="D39" s="34">
        <v>859.251</v>
      </c>
      <c r="E39" s="132"/>
      <c r="F39" s="132"/>
      <c r="G39" s="132"/>
      <c r="H39" s="132"/>
    </row>
    <row r="40" spans="1:14" s="1" customFormat="1" ht="60">
      <c r="A40" s="248" t="s">
        <v>294</v>
      </c>
      <c r="B40" s="37" t="s">
        <v>49</v>
      </c>
      <c r="C40" s="38"/>
      <c r="D40" s="39">
        <v>5086</v>
      </c>
      <c r="E40" s="132"/>
      <c r="F40" s="132"/>
      <c r="G40" s="132"/>
      <c r="H40" s="132"/>
      <c r="K40"/>
      <c r="L40"/>
      <c r="M40"/>
      <c r="N40"/>
    </row>
    <row r="41" spans="1:14" s="1" customFormat="1" ht="15">
      <c r="A41" s="109" t="s">
        <v>202</v>
      </c>
      <c r="B41" s="110" t="s">
        <v>201</v>
      </c>
      <c r="C41" s="33" t="s">
        <v>40</v>
      </c>
      <c r="D41" s="179">
        <v>1451</v>
      </c>
      <c r="E41" s="132"/>
      <c r="F41" s="132"/>
      <c r="G41" s="132"/>
      <c r="H41" s="132"/>
      <c r="K41"/>
      <c r="L41"/>
      <c r="M41"/>
      <c r="N41"/>
    </row>
    <row r="42" spans="1:14" s="1" customFormat="1" ht="15">
      <c r="A42" s="109" t="s">
        <v>203</v>
      </c>
      <c r="B42" s="110" t="s">
        <v>186</v>
      </c>
      <c r="C42" s="33" t="s">
        <v>40</v>
      </c>
      <c r="D42" s="179">
        <v>3635</v>
      </c>
      <c r="E42" s="132"/>
      <c r="F42" s="132"/>
      <c r="G42" s="132"/>
      <c r="H42" s="132"/>
      <c r="K42"/>
      <c r="L42"/>
      <c r="M42"/>
      <c r="N42"/>
    </row>
    <row r="43" spans="1:14" s="1" customFormat="1" ht="15.75">
      <c r="A43" s="40" t="s">
        <v>50</v>
      </c>
      <c r="B43" s="41"/>
      <c r="C43" s="42"/>
      <c r="D43" s="113">
        <f>D31+D32+D33+D34+D35+D36+D37+D38+D39+D40</f>
        <v>68345.45199999999</v>
      </c>
      <c r="E43" s="135">
        <f>D43-D40</f>
        <v>63259.45199999999</v>
      </c>
      <c r="F43" s="132"/>
      <c r="G43" s="132"/>
      <c r="H43" s="132"/>
      <c r="K43"/>
      <c r="L43"/>
      <c r="M43"/>
      <c r="N43"/>
    </row>
    <row r="44" spans="1:14" s="1" customFormat="1" ht="15">
      <c r="A44" s="43" t="s">
        <v>51</v>
      </c>
      <c r="B44" s="44" t="s">
        <v>16</v>
      </c>
      <c r="C44" s="45"/>
      <c r="D44" s="46">
        <f>C15+C20*0.8634-D40</f>
        <v>13519.862061</v>
      </c>
      <c r="E44" s="135"/>
      <c r="F44" s="132"/>
      <c r="G44" s="132"/>
      <c r="H44" s="132"/>
      <c r="K44"/>
      <c r="L44"/>
      <c r="M44"/>
      <c r="N44"/>
    </row>
    <row r="45" spans="1:14" s="1" customFormat="1" ht="15">
      <c r="A45" s="48" t="s">
        <v>17</v>
      </c>
      <c r="B45" s="49" t="s">
        <v>16</v>
      </c>
      <c r="C45" s="33"/>
      <c r="D45" s="14">
        <v>0</v>
      </c>
      <c r="E45" s="132"/>
      <c r="F45" s="132"/>
      <c r="G45" s="132"/>
      <c r="H45" s="132"/>
      <c r="K45"/>
      <c r="L45"/>
      <c r="M45"/>
      <c r="N45"/>
    </row>
    <row r="46" spans="1:14" s="1" customFormat="1" ht="15">
      <c r="A46" s="48" t="s">
        <v>18</v>
      </c>
      <c r="B46" s="49" t="s">
        <v>16</v>
      </c>
      <c r="C46" s="33"/>
      <c r="D46" s="14">
        <v>65307.56</v>
      </c>
      <c r="E46" s="132"/>
      <c r="F46" s="132"/>
      <c r="G46" s="132"/>
      <c r="H46" s="132"/>
      <c r="K46"/>
      <c r="L46"/>
      <c r="M46"/>
      <c r="N46"/>
    </row>
    <row r="47" spans="1:14" s="1" customFormat="1" ht="24" customHeight="1">
      <c r="A47" s="261" t="s">
        <v>52</v>
      </c>
      <c r="B47" s="261"/>
      <c r="C47" s="261"/>
      <c r="D47" s="261"/>
      <c r="E47" s="132"/>
      <c r="F47" s="132"/>
      <c r="G47" s="132"/>
      <c r="H47" s="132"/>
      <c r="K47"/>
      <c r="L47"/>
      <c r="M47"/>
      <c r="N47"/>
    </row>
    <row r="48" spans="1:14" s="1" customFormat="1" ht="15">
      <c r="A48" s="48" t="s">
        <v>53</v>
      </c>
      <c r="B48" s="32" t="s">
        <v>54</v>
      </c>
      <c r="C48" s="33"/>
      <c r="D48" s="14">
        <v>0</v>
      </c>
      <c r="E48" s="132"/>
      <c r="F48" s="132"/>
      <c r="G48" s="132"/>
      <c r="H48" s="132"/>
      <c r="K48"/>
      <c r="L48"/>
      <c r="M48"/>
      <c r="N48"/>
    </row>
    <row r="49" spans="1:14" s="1" customFormat="1" ht="15">
      <c r="A49" s="48" t="s">
        <v>55</v>
      </c>
      <c r="B49" s="32" t="s">
        <v>54</v>
      </c>
      <c r="C49" s="33"/>
      <c r="D49" s="14">
        <v>0</v>
      </c>
      <c r="E49" s="132"/>
      <c r="F49" s="132"/>
      <c r="G49" s="132"/>
      <c r="H49" s="132"/>
      <c r="K49"/>
      <c r="L49"/>
      <c r="M49"/>
      <c r="N49"/>
    </row>
    <row r="50" spans="1:14" s="1" customFormat="1" ht="25.5">
      <c r="A50" s="50" t="s">
        <v>56</v>
      </c>
      <c r="B50" s="32" t="s">
        <v>54</v>
      </c>
      <c r="C50" s="33"/>
      <c r="D50" s="14">
        <v>0</v>
      </c>
      <c r="E50" s="132"/>
      <c r="F50" s="132"/>
      <c r="G50" s="132"/>
      <c r="H50" s="132"/>
      <c r="K50"/>
      <c r="L50"/>
      <c r="M50"/>
      <c r="N50"/>
    </row>
    <row r="51" spans="1:14" s="1" customFormat="1" ht="15">
      <c r="A51" s="48" t="s">
        <v>57</v>
      </c>
      <c r="B51" s="32" t="s">
        <v>16</v>
      </c>
      <c r="C51" s="33"/>
      <c r="D51" s="14">
        <v>0</v>
      </c>
      <c r="E51" s="132"/>
      <c r="F51" s="132"/>
      <c r="G51" s="132"/>
      <c r="H51" s="132"/>
      <c r="K51"/>
      <c r="L51"/>
      <c r="M51"/>
      <c r="N51"/>
    </row>
    <row r="52" spans="1:8" ht="20.25" customHeight="1">
      <c r="A52" s="262" t="s">
        <v>58</v>
      </c>
      <c r="B52" s="262"/>
      <c r="C52" s="262"/>
      <c r="D52" s="262"/>
      <c r="E52" s="132"/>
      <c r="F52" s="132"/>
      <c r="G52" s="132"/>
      <c r="H52" s="132"/>
    </row>
    <row r="53" spans="1:8" ht="25.5">
      <c r="A53" s="50" t="s">
        <v>59</v>
      </c>
      <c r="B53" s="32" t="s">
        <v>16</v>
      </c>
      <c r="C53" s="33"/>
      <c r="D53" s="14">
        <v>0</v>
      </c>
      <c r="E53" s="132"/>
      <c r="F53" s="132"/>
      <c r="G53" s="132"/>
      <c r="H53" s="132"/>
    </row>
    <row r="54" spans="1:8" ht="15">
      <c r="A54" s="48" t="s">
        <v>17</v>
      </c>
      <c r="B54" s="32" t="s">
        <v>16</v>
      </c>
      <c r="C54" s="33"/>
      <c r="D54" s="14">
        <v>0</v>
      </c>
      <c r="E54" s="132"/>
      <c r="F54" s="132"/>
      <c r="G54" s="132"/>
      <c r="H54" s="132"/>
    </row>
    <row r="55" spans="1:8" ht="15">
      <c r="A55" s="48" t="s">
        <v>18</v>
      </c>
      <c r="B55" s="32" t="s">
        <v>16</v>
      </c>
      <c r="C55" s="33"/>
      <c r="D55" s="51">
        <f>D58-D61-D62-D63</f>
        <v>163841.10684</v>
      </c>
      <c r="E55" s="132"/>
      <c r="F55" s="132"/>
      <c r="G55" s="132"/>
      <c r="H55" s="136"/>
    </row>
    <row r="56" spans="1:8" ht="25.5">
      <c r="A56" s="53" t="s">
        <v>60</v>
      </c>
      <c r="B56" s="32" t="s">
        <v>16</v>
      </c>
      <c r="C56" s="54"/>
      <c r="D56" s="55">
        <v>0</v>
      </c>
      <c r="E56" s="132"/>
      <c r="F56" s="132"/>
      <c r="G56" s="132"/>
      <c r="H56" s="132"/>
    </row>
    <row r="57" spans="1:10" ht="17.25" customHeight="1">
      <c r="A57" s="56" t="s">
        <v>17</v>
      </c>
      <c r="B57" s="32" t="s">
        <v>16</v>
      </c>
      <c r="C57" s="57"/>
      <c r="D57" s="58">
        <v>0</v>
      </c>
      <c r="E57" s="132"/>
      <c r="F57" s="132"/>
      <c r="G57" s="132"/>
      <c r="H57" s="132"/>
      <c r="I57" s="52"/>
      <c r="J57" s="52"/>
    </row>
    <row r="58" spans="1:14" ht="15">
      <c r="A58" s="59" t="s">
        <v>18</v>
      </c>
      <c r="B58" s="32" t="s">
        <v>16</v>
      </c>
      <c r="C58" s="60"/>
      <c r="D58" s="61">
        <v>192654.5</v>
      </c>
      <c r="E58" s="132"/>
      <c r="F58" s="132"/>
      <c r="G58" s="132"/>
      <c r="H58" s="132" t="s">
        <v>32</v>
      </c>
      <c r="I58" s="63"/>
      <c r="J58" s="63"/>
      <c r="K58" s="64"/>
      <c r="L58" s="64"/>
      <c r="M58" s="64"/>
      <c r="N58" s="64"/>
    </row>
    <row r="59" spans="1:14" ht="18" customHeight="1" thickBot="1">
      <c r="A59" s="263" t="s">
        <v>61</v>
      </c>
      <c r="B59" s="263"/>
      <c r="C59" s="263"/>
      <c r="D59" s="263"/>
      <c r="E59" s="137"/>
      <c r="F59" s="138"/>
      <c r="G59" s="139"/>
      <c r="H59" s="132"/>
      <c r="I59" s="68"/>
      <c r="J59" s="68"/>
      <c r="K59" s="69"/>
      <c r="L59" s="69"/>
      <c r="M59" s="69"/>
      <c r="N59" s="69"/>
    </row>
    <row r="60" spans="1:14" ht="38.25">
      <c r="A60" s="223" t="s">
        <v>62</v>
      </c>
      <c r="B60" s="71" t="s">
        <v>63</v>
      </c>
      <c r="C60" s="212" t="s">
        <v>64</v>
      </c>
      <c r="D60" s="213" t="s">
        <v>65</v>
      </c>
      <c r="E60" s="137"/>
      <c r="F60" s="138"/>
      <c r="G60" s="139"/>
      <c r="H60" s="132"/>
      <c r="I60" s="68"/>
      <c r="J60" s="74"/>
      <c r="K60" s="69"/>
      <c r="L60" s="69"/>
      <c r="M60" s="69"/>
      <c r="N60" s="69"/>
    </row>
    <row r="61" spans="1:14" ht="15">
      <c r="A61" s="75" t="s">
        <v>66</v>
      </c>
      <c r="B61" s="76">
        <v>23140.34</v>
      </c>
      <c r="C61" s="77">
        <f>B61*0.8634</f>
        <v>19979.369555999998</v>
      </c>
      <c r="D61" s="78">
        <f>B61-C61</f>
        <v>3160.9704440000023</v>
      </c>
      <c r="E61" s="140"/>
      <c r="F61" s="66"/>
      <c r="G61" s="67"/>
      <c r="I61" s="68"/>
      <c r="J61" s="68"/>
      <c r="K61" s="69"/>
      <c r="L61" s="69"/>
      <c r="M61" s="69"/>
      <c r="N61" s="69"/>
    </row>
    <row r="62" spans="1:14" ht="15">
      <c r="A62" s="75" t="s">
        <v>67</v>
      </c>
      <c r="B62" s="76">
        <v>26098.32</v>
      </c>
      <c r="C62" s="77">
        <f>B62*0.8634</f>
        <v>22533.289488</v>
      </c>
      <c r="D62" s="78">
        <f>B62-C62</f>
        <v>3565.030512000001</v>
      </c>
      <c r="E62" s="137"/>
      <c r="F62" s="66"/>
      <c r="G62" s="67"/>
      <c r="I62" s="68"/>
      <c r="J62" s="68"/>
      <c r="K62" s="69"/>
      <c r="L62" s="69"/>
      <c r="M62" s="69"/>
      <c r="N62" s="69"/>
    </row>
    <row r="63" spans="1:14" ht="15">
      <c r="A63" s="75" t="s">
        <v>68</v>
      </c>
      <c r="B63" s="80">
        <v>161693.94</v>
      </c>
      <c r="C63" s="77">
        <f>B63*0.8634</f>
        <v>139606.547796</v>
      </c>
      <c r="D63" s="78">
        <f>B63-C63</f>
        <v>22087.392204000003</v>
      </c>
      <c r="E63" s="137">
        <f>(2.07+1.8)*6*2301.2-0.37*2301.2*6</f>
        <v>48325.2</v>
      </c>
      <c r="F63" s="81"/>
      <c r="G63" s="82"/>
      <c r="H63" s="65"/>
      <c r="I63" s="68"/>
      <c r="J63" s="68"/>
      <c r="K63" s="69"/>
      <c r="L63" s="69"/>
      <c r="M63" s="69"/>
      <c r="N63" s="69"/>
    </row>
    <row r="64" spans="1:14" ht="15.75" thickBot="1">
      <c r="A64" s="150" t="s">
        <v>69</v>
      </c>
      <c r="B64" s="169">
        <v>0</v>
      </c>
      <c r="C64" s="170">
        <f>B64*1.3124</f>
        <v>0</v>
      </c>
      <c r="D64" s="171">
        <f>B64-C64</f>
        <v>0</v>
      </c>
      <c r="E64" s="137"/>
      <c r="F64" s="81"/>
      <c r="G64" s="82"/>
      <c r="I64" s="68"/>
      <c r="J64" s="68"/>
      <c r="K64" s="69"/>
      <c r="L64" s="69"/>
      <c r="M64" s="69"/>
      <c r="N64" s="69"/>
    </row>
    <row r="65" spans="1:14" ht="78.75">
      <c r="A65" s="154" t="s">
        <v>70</v>
      </c>
      <c r="B65" s="172" t="s">
        <v>71</v>
      </c>
      <c r="C65" s="173" t="s">
        <v>72</v>
      </c>
      <c r="D65" s="174" t="s">
        <v>73</v>
      </c>
      <c r="E65" s="137"/>
      <c r="F65" s="81"/>
      <c r="H65" s="68"/>
      <c r="I65" s="68"/>
      <c r="J65" s="68"/>
      <c r="K65" s="69"/>
      <c r="L65" s="69"/>
      <c r="M65" s="69"/>
      <c r="N65" s="69"/>
    </row>
    <row r="66" spans="1:14" ht="15">
      <c r="A66" s="158" t="s">
        <v>66</v>
      </c>
      <c r="B66" s="87">
        <f>B61</f>
        <v>23140.34</v>
      </c>
      <c r="C66" s="88">
        <v>19979.37</v>
      </c>
      <c r="D66" s="175">
        <f>B66-C66</f>
        <v>3160.970000000001</v>
      </c>
      <c r="E66" s="137"/>
      <c r="F66" s="81"/>
      <c r="H66" s="68"/>
      <c r="I66" s="68"/>
      <c r="J66" s="68" t="s">
        <v>32</v>
      </c>
      <c r="K66" s="69"/>
      <c r="L66" s="69"/>
      <c r="M66" s="69"/>
      <c r="N66" s="69"/>
    </row>
    <row r="67" spans="1:14" ht="15">
      <c r="A67" s="158" t="s">
        <v>67</v>
      </c>
      <c r="B67" s="87">
        <f>B62</f>
        <v>26098.32</v>
      </c>
      <c r="C67" s="88">
        <v>22533.29</v>
      </c>
      <c r="D67" s="175">
        <f>B67-C67</f>
        <v>3565.029999999999</v>
      </c>
      <c r="E67" s="137"/>
      <c r="F67" s="81"/>
      <c r="H67" s="68"/>
      <c r="I67" s="68"/>
      <c r="J67" s="68"/>
      <c r="K67" s="69"/>
      <c r="L67" s="69"/>
      <c r="M67" s="69"/>
      <c r="N67" s="69"/>
    </row>
    <row r="68" spans="1:14" ht="15">
      <c r="A68" s="158" t="s">
        <v>68</v>
      </c>
      <c r="B68" s="87">
        <f>B63</f>
        <v>161693.94</v>
      </c>
      <c r="C68" s="88">
        <v>139606.55</v>
      </c>
      <c r="D68" s="175">
        <f>B68-C68</f>
        <v>22087.390000000014</v>
      </c>
      <c r="E68" s="137"/>
      <c r="F68" s="81"/>
      <c r="H68" s="68"/>
      <c r="I68" s="68"/>
      <c r="J68" s="68"/>
      <c r="K68" s="69"/>
      <c r="L68" s="69"/>
      <c r="M68" s="69"/>
      <c r="N68" s="69"/>
    </row>
    <row r="69" spans="1:14" ht="15">
      <c r="A69" s="158" t="s">
        <v>74</v>
      </c>
      <c r="B69" s="87">
        <v>0</v>
      </c>
      <c r="C69" s="95">
        <f>C64*1.0063</f>
        <v>0</v>
      </c>
      <c r="D69" s="175">
        <f>B69-C69</f>
        <v>0</v>
      </c>
      <c r="E69" s="137"/>
      <c r="F69" s="81"/>
      <c r="H69" s="68"/>
      <c r="I69" s="68"/>
      <c r="J69" s="68"/>
      <c r="K69" s="69"/>
      <c r="L69" s="69"/>
      <c r="M69" s="69"/>
      <c r="N69" s="69"/>
    </row>
    <row r="70" spans="1:14" ht="15.75" thickBot="1">
      <c r="A70" s="160" t="s">
        <v>69</v>
      </c>
      <c r="B70" s="164">
        <v>0</v>
      </c>
      <c r="C70" s="176">
        <v>0</v>
      </c>
      <c r="D70" s="166">
        <f>B70-C70</f>
        <v>0</v>
      </c>
      <c r="E70" s="137"/>
      <c r="F70" s="81"/>
      <c r="H70" s="68" t="s">
        <v>32</v>
      </c>
      <c r="I70" s="68"/>
      <c r="J70" s="68"/>
      <c r="K70" s="69"/>
      <c r="L70" s="69"/>
      <c r="M70" s="69"/>
      <c r="N70" s="69"/>
    </row>
    <row r="71" spans="1:14" ht="15">
      <c r="A71" s="91"/>
      <c r="B71" s="87"/>
      <c r="C71" s="92"/>
      <c r="D71" s="93"/>
      <c r="E71" s="137"/>
      <c r="F71" s="81"/>
      <c r="H71" s="68"/>
      <c r="I71" s="68"/>
      <c r="J71" s="68"/>
      <c r="K71" s="69"/>
      <c r="L71" s="69"/>
      <c r="M71" s="69"/>
      <c r="N71" s="69"/>
    </row>
    <row r="72" spans="1:14" ht="25.5">
      <c r="A72" s="94" t="s">
        <v>75</v>
      </c>
      <c r="B72" s="87" t="s">
        <v>16</v>
      </c>
      <c r="C72" s="95"/>
      <c r="D72" s="96">
        <v>0</v>
      </c>
      <c r="E72" s="137"/>
      <c r="F72" s="81"/>
      <c r="H72" s="68"/>
      <c r="I72" s="68"/>
      <c r="J72" s="68" t="s">
        <v>32</v>
      </c>
      <c r="K72" s="69"/>
      <c r="L72" s="69"/>
      <c r="M72" s="69"/>
      <c r="N72" s="69"/>
    </row>
    <row r="73" spans="1:14" ht="17.25" customHeight="1">
      <c r="A73" s="264" t="s">
        <v>76</v>
      </c>
      <c r="B73" s="264"/>
      <c r="C73" s="264"/>
      <c r="D73" s="264"/>
      <c r="E73" s="144" t="e">
        <f>D73+B19</f>
        <v>#VALUE!</v>
      </c>
      <c r="F73" s="68"/>
      <c r="H73" s="98" t="e">
        <f>E73-B18</f>
        <v>#VALUE!</v>
      </c>
      <c r="I73" s="68"/>
      <c r="J73" s="68"/>
      <c r="K73" s="69"/>
      <c r="L73" s="69"/>
      <c r="M73" s="69"/>
      <c r="N73" s="69"/>
    </row>
    <row r="74" spans="1:5" ht="21" customHeight="1">
      <c r="A74" s="99" t="s">
        <v>53</v>
      </c>
      <c r="B74" s="99" t="s">
        <v>54</v>
      </c>
      <c r="C74" s="100">
        <v>0</v>
      </c>
      <c r="D74" s="101"/>
      <c r="E74" s="146"/>
    </row>
    <row r="75" spans="1:5" ht="21" customHeight="1">
      <c r="A75" s="99" t="s">
        <v>55</v>
      </c>
      <c r="B75" s="99" t="s">
        <v>54</v>
      </c>
      <c r="C75" s="99">
        <v>0</v>
      </c>
      <c r="D75" s="101"/>
      <c r="E75" s="146"/>
    </row>
    <row r="76" spans="1:5" ht="18" customHeight="1">
      <c r="A76" s="99" t="s">
        <v>56</v>
      </c>
      <c r="B76" s="99" t="s">
        <v>54</v>
      </c>
      <c r="C76" s="99">
        <v>0</v>
      </c>
      <c r="D76" s="101"/>
      <c r="E76" s="146"/>
    </row>
    <row r="77" spans="1:5" ht="16.5" customHeight="1">
      <c r="A77" s="99" t="s">
        <v>57</v>
      </c>
      <c r="B77" s="99" t="s">
        <v>16</v>
      </c>
      <c r="C77" s="99">
        <v>0</v>
      </c>
      <c r="D77" s="101"/>
      <c r="E77" s="146"/>
    </row>
    <row r="78" spans="1:5" ht="15.75" customHeight="1">
      <c r="A78" s="258" t="s">
        <v>77</v>
      </c>
      <c r="B78" s="258"/>
      <c r="C78" s="258"/>
      <c r="D78" s="258"/>
      <c r="E78" s="102"/>
    </row>
    <row r="79" spans="1:5" ht="18.75" customHeight="1">
      <c r="A79" s="99" t="s">
        <v>78</v>
      </c>
      <c r="B79" s="99" t="s">
        <v>54</v>
      </c>
      <c r="C79" s="99">
        <v>0</v>
      </c>
      <c r="D79" s="101"/>
      <c r="E79" s="102"/>
    </row>
    <row r="80" spans="1:5" ht="21.75" customHeight="1">
      <c r="A80" s="99" t="s">
        <v>79</v>
      </c>
      <c r="B80" s="56" t="s">
        <v>54</v>
      </c>
      <c r="C80" s="56">
        <v>0</v>
      </c>
      <c r="D80" s="101"/>
      <c r="E80" s="102"/>
    </row>
    <row r="81" spans="1:5" ht="36" customHeight="1">
      <c r="A81" s="103" t="s">
        <v>80</v>
      </c>
      <c r="B81" s="99" t="s">
        <v>16</v>
      </c>
      <c r="C81" s="99">
        <v>0</v>
      </c>
      <c r="D81" s="101"/>
      <c r="E81" s="102"/>
    </row>
    <row r="82" spans="1:4" ht="15">
      <c r="A82" s="69"/>
      <c r="B82" s="69"/>
      <c r="C82" s="69"/>
      <c r="D82" s="104"/>
    </row>
    <row r="83" spans="1:14" s="1" customFormat="1" ht="12.75">
      <c r="A83"/>
      <c r="B83"/>
      <c r="C83"/>
      <c r="D83"/>
      <c r="H83" s="1" t="s">
        <v>32</v>
      </c>
      <c r="K83"/>
      <c r="L83"/>
      <c r="M83"/>
      <c r="N83"/>
    </row>
    <row r="84" spans="1:14" s="1" customFormat="1" ht="12.75">
      <c r="A84" t="s">
        <v>81</v>
      </c>
      <c r="B84"/>
      <c r="C84" t="s">
        <v>170</v>
      </c>
      <c r="D84"/>
      <c r="K84"/>
      <c r="L84"/>
      <c r="M84"/>
      <c r="N84"/>
    </row>
    <row r="85" spans="1:14" s="1" customFormat="1" ht="12.75">
      <c r="A85"/>
      <c r="B85"/>
      <c r="C85"/>
      <c r="D85"/>
      <c r="H85" s="1" t="s">
        <v>32</v>
      </c>
      <c r="K85"/>
      <c r="L85"/>
      <c r="M85"/>
      <c r="N85"/>
    </row>
    <row r="86" spans="1:14" s="1" customFormat="1" ht="12.75">
      <c r="A86" t="s">
        <v>82</v>
      </c>
      <c r="B86"/>
      <c r="C86"/>
      <c r="D86"/>
      <c r="K86"/>
      <c r="L86"/>
      <c r="M86"/>
      <c r="N86"/>
    </row>
    <row r="90" spans="1:14" s="1" customFormat="1" ht="12.75">
      <c r="A90"/>
      <c r="B90"/>
      <c r="C90"/>
      <c r="D90"/>
      <c r="E90" s="1" t="s">
        <v>32</v>
      </c>
      <c r="K90"/>
      <c r="L90"/>
      <c r="M90"/>
      <c r="N90"/>
    </row>
  </sheetData>
  <sheetProtection selectLockedCells="1" selectUnlockedCells="1"/>
  <mergeCells count="13">
    <mergeCell ref="A1:D1"/>
    <mergeCell ref="A2:D2"/>
    <mergeCell ref="A3:D3"/>
    <mergeCell ref="A4:D4"/>
    <mergeCell ref="A5:D5"/>
    <mergeCell ref="A7:D7"/>
    <mergeCell ref="A78:D78"/>
    <mergeCell ref="A14:D14"/>
    <mergeCell ref="A29:D29"/>
    <mergeCell ref="A47:D47"/>
    <mergeCell ref="A52:D52"/>
    <mergeCell ref="A59:D59"/>
    <mergeCell ref="A73:D73"/>
  </mergeCells>
  <printOptions/>
  <pageMargins left="0.5597222222222222" right="0.7875" top="0.34097222222222223" bottom="0.7875" header="0.5118055555555555" footer="0.5118055555555555"/>
  <pageSetup fitToHeight="3" fitToWidth="2" horizontalDpi="600" verticalDpi="600" orientation="portrait" paperSize="12" r:id="rId1"/>
</worksheet>
</file>

<file path=xl/worksheets/sheet6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8"/>
  <sheetViews>
    <sheetView zoomScale="80" zoomScaleNormal="80" zoomScalePageLayoutView="0" workbookViewId="0" topLeftCell="A16">
      <selection activeCell="C23" sqref="C23"/>
    </sheetView>
  </sheetViews>
  <sheetFormatPr defaultColWidth="11.57421875" defaultRowHeight="12.75"/>
  <cols>
    <col min="1" max="1" width="63.28125" style="0" customWidth="1"/>
    <col min="2" max="2" width="20.28125" style="0" customWidth="1"/>
    <col min="3" max="3" width="31.421875" style="0" customWidth="1"/>
    <col min="4" max="4" width="27.57421875" style="0" customWidth="1"/>
    <col min="5" max="5" width="16.8515625" style="1" customWidth="1"/>
    <col min="6" max="7" width="0" style="1" hidden="1" customWidth="1"/>
    <col min="8" max="8" width="11.57421875" style="1" customWidth="1"/>
    <col min="9" max="9" width="5.28125" style="1" customWidth="1"/>
    <col min="10" max="10" width="30.00390625" style="1" customWidth="1"/>
    <col min="11" max="12" width="23.28125" style="0" customWidth="1"/>
    <col min="13" max="13" width="6.57421875" style="0" customWidth="1"/>
    <col min="14" max="14" width="7.00390625" style="0" customWidth="1"/>
  </cols>
  <sheetData>
    <row r="1" spans="1:4" ht="18">
      <c r="A1" s="265" t="s">
        <v>0</v>
      </c>
      <c r="B1" s="265"/>
      <c r="C1" s="265"/>
      <c r="D1" s="265"/>
    </row>
    <row r="2" spans="1:4" ht="15.75">
      <c r="A2" s="266" t="s">
        <v>1</v>
      </c>
      <c r="B2" s="266"/>
      <c r="C2" s="266"/>
      <c r="D2" s="266"/>
    </row>
    <row r="3" spans="1:4" ht="15.75">
      <c r="A3" s="266" t="s">
        <v>2</v>
      </c>
      <c r="B3" s="266"/>
      <c r="C3" s="266"/>
      <c r="D3" s="266"/>
    </row>
    <row r="4" spans="1:4" ht="12.75">
      <c r="A4" s="267" t="s">
        <v>165</v>
      </c>
      <c r="B4" s="267"/>
      <c r="C4" s="267"/>
      <c r="D4" s="267"/>
    </row>
    <row r="5" spans="1:4" ht="12.75">
      <c r="A5" s="268" t="s">
        <v>171</v>
      </c>
      <c r="B5" s="267"/>
      <c r="C5" s="267"/>
      <c r="D5" s="267"/>
    </row>
    <row r="6" ht="9" customHeight="1">
      <c r="A6" s="2"/>
    </row>
    <row r="7" spans="1:4" ht="18" customHeight="1">
      <c r="A7" s="269" t="s">
        <v>4</v>
      </c>
      <c r="B7" s="269"/>
      <c r="C7" s="269"/>
      <c r="D7" s="269"/>
    </row>
    <row r="8" spans="1:3" ht="12.75">
      <c r="A8" s="2" t="s">
        <v>280</v>
      </c>
      <c r="C8" s="3"/>
    </row>
    <row r="9" spans="1:5" ht="12.75">
      <c r="A9" s="4" t="s">
        <v>5</v>
      </c>
      <c r="B9" s="4" t="s">
        <v>6</v>
      </c>
      <c r="C9" s="4" t="s">
        <v>7</v>
      </c>
      <c r="D9" s="5"/>
      <c r="E9" s="132"/>
    </row>
    <row r="10" spans="1:5" ht="12.75">
      <c r="A10" s="6">
        <v>1</v>
      </c>
      <c r="B10" s="6">
        <v>2</v>
      </c>
      <c r="C10" s="6">
        <v>3</v>
      </c>
      <c r="D10" s="7">
        <v>4</v>
      </c>
      <c r="E10" s="132"/>
    </row>
    <row r="11" spans="1:5" ht="12.75">
      <c r="A11" s="8" t="s">
        <v>8</v>
      </c>
      <c r="B11" s="9"/>
      <c r="C11" s="177" t="s">
        <v>172</v>
      </c>
      <c r="D11" s="10"/>
      <c r="E11" s="132"/>
    </row>
    <row r="12" spans="1:5" ht="12.75">
      <c r="A12" s="8" t="s">
        <v>10</v>
      </c>
      <c r="B12" s="9"/>
      <c r="C12" s="177" t="s">
        <v>173</v>
      </c>
      <c r="D12" s="10"/>
      <c r="E12" s="132"/>
    </row>
    <row r="13" spans="1:5" ht="12.75">
      <c r="A13" s="8" t="s">
        <v>12</v>
      </c>
      <c r="B13" s="9"/>
      <c r="C13" s="177" t="s">
        <v>174</v>
      </c>
      <c r="D13" s="10"/>
      <c r="E13" s="132"/>
    </row>
    <row r="14" spans="1:5" ht="31.5" customHeight="1">
      <c r="A14" s="259" t="s">
        <v>14</v>
      </c>
      <c r="B14" s="259"/>
      <c r="C14" s="259"/>
      <c r="D14" s="259"/>
      <c r="E14" s="132"/>
    </row>
    <row r="15" spans="1:5" ht="25.5">
      <c r="A15" s="11" t="s">
        <v>15</v>
      </c>
      <c r="B15" s="12" t="s">
        <v>16</v>
      </c>
      <c r="C15" s="13">
        <v>-486.01</v>
      </c>
      <c r="D15" s="14"/>
      <c r="E15" s="132"/>
    </row>
    <row r="16" spans="1:5" ht="15">
      <c r="A16" s="8" t="s">
        <v>17</v>
      </c>
      <c r="B16" s="12" t="s">
        <v>16</v>
      </c>
      <c r="C16" s="13">
        <v>0</v>
      </c>
      <c r="D16" s="14"/>
      <c r="E16" s="132"/>
    </row>
    <row r="17" spans="1:5" ht="15">
      <c r="A17" s="8" t="s">
        <v>18</v>
      </c>
      <c r="B17" s="12" t="s">
        <v>16</v>
      </c>
      <c r="C17" s="15">
        <v>5185.71</v>
      </c>
      <c r="D17" s="16"/>
      <c r="E17" s="132" t="e">
        <f>B17/12/1022.6</f>
        <v>#VALUE!</v>
      </c>
    </row>
    <row r="18" spans="1:5" ht="31.5" customHeight="1">
      <c r="A18" s="17" t="s">
        <v>19</v>
      </c>
      <c r="B18" s="12" t="s">
        <v>16</v>
      </c>
      <c r="C18" s="15">
        <v>6126.18</v>
      </c>
      <c r="D18" s="16"/>
      <c r="E18" s="133">
        <f>C18-C20</f>
        <v>5024.334000000001</v>
      </c>
    </row>
    <row r="19" spans="1:5" ht="15">
      <c r="A19" s="8" t="s">
        <v>20</v>
      </c>
      <c r="B19" s="12" t="s">
        <v>16</v>
      </c>
      <c r="C19" s="15">
        <f>C18-C20-C21</f>
        <v>2394.9900000000007</v>
      </c>
      <c r="D19" s="16"/>
      <c r="E19" s="133">
        <f>E18-E41</f>
        <v>498.41400000000067</v>
      </c>
    </row>
    <row r="20" spans="1:5" ht="15">
      <c r="A20" s="8" t="s">
        <v>21</v>
      </c>
      <c r="B20" s="12" t="s">
        <v>16</v>
      </c>
      <c r="C20" s="15">
        <f>(1.44+2.65)*6*44.9</f>
        <v>1101.846</v>
      </c>
      <c r="D20" s="16"/>
      <c r="E20" s="134"/>
    </row>
    <row r="21" spans="1:5" ht="15">
      <c r="A21" s="8" t="s">
        <v>22</v>
      </c>
      <c r="B21" s="12" t="s">
        <v>16</v>
      </c>
      <c r="C21" s="20">
        <f>44.9*4.88*12</f>
        <v>2629.344</v>
      </c>
      <c r="D21" s="16"/>
      <c r="E21" s="132"/>
    </row>
    <row r="22" spans="1:5" ht="15">
      <c r="A22" s="21" t="s">
        <v>23</v>
      </c>
      <c r="B22" s="12" t="s">
        <v>16</v>
      </c>
      <c r="C22" s="15">
        <f>C23</f>
        <v>5632.409892000001</v>
      </c>
      <c r="D22" s="16" t="s">
        <v>24</v>
      </c>
      <c r="E22" s="133" t="e">
        <f>B24+B25+B26+B27+B28</f>
        <v>#VALUE!</v>
      </c>
    </row>
    <row r="23" spans="1:5" ht="15">
      <c r="A23" s="8" t="s">
        <v>25</v>
      </c>
      <c r="B23" s="12" t="s">
        <v>16</v>
      </c>
      <c r="C23" s="15">
        <f>C18*0.9194</f>
        <v>5632.409892000001</v>
      </c>
      <c r="D23" s="16"/>
      <c r="E23" s="132"/>
    </row>
    <row r="24" spans="1:8" ht="15">
      <c r="A24" s="8" t="s">
        <v>26</v>
      </c>
      <c r="B24" s="12" t="s">
        <v>16</v>
      </c>
      <c r="C24" s="15">
        <v>0</v>
      </c>
      <c r="D24" s="22">
        <v>65.21</v>
      </c>
      <c r="E24" s="134" t="e">
        <f>B24/#REF!*1</f>
        <v>#VALUE!</v>
      </c>
      <c r="H24" s="1" t="s">
        <v>27</v>
      </c>
    </row>
    <row r="25" spans="1:5" ht="15">
      <c r="A25" s="8" t="s">
        <v>28</v>
      </c>
      <c r="B25" s="12" t="s">
        <v>16</v>
      </c>
      <c r="C25" s="15">
        <v>0</v>
      </c>
      <c r="D25" s="22">
        <v>119.63</v>
      </c>
      <c r="E25" s="134" t="e">
        <f>B25/#REF!*1</f>
        <v>#VALUE!</v>
      </c>
    </row>
    <row r="26" spans="1:5" ht="15">
      <c r="A26" s="9" t="s">
        <v>29</v>
      </c>
      <c r="B26" s="12" t="s">
        <v>16</v>
      </c>
      <c r="C26" s="15">
        <v>0</v>
      </c>
      <c r="D26" s="22"/>
      <c r="E26" s="134" t="e">
        <f>B26/#REF!*1</f>
        <v>#VALUE!</v>
      </c>
    </row>
    <row r="27" spans="1:5" ht="16.5" customHeight="1">
      <c r="A27" s="116" t="s">
        <v>112</v>
      </c>
      <c r="B27" s="12" t="s">
        <v>16</v>
      </c>
      <c r="C27" s="15">
        <v>0</v>
      </c>
      <c r="D27" s="22">
        <v>139.18</v>
      </c>
      <c r="E27" s="134" t="e">
        <f>B27/#REF!*1</f>
        <v>#VALUE!</v>
      </c>
    </row>
    <row r="28" spans="1:5" ht="15">
      <c r="A28" s="8" t="s">
        <v>31</v>
      </c>
      <c r="B28" s="12" t="s">
        <v>16</v>
      </c>
      <c r="C28" s="15">
        <f>C15+C22</f>
        <v>5146.399892</v>
      </c>
      <c r="D28" s="16" t="s">
        <v>32</v>
      </c>
      <c r="E28" s="134" t="e">
        <f>B28/#REF!*1</f>
        <v>#VALUE!</v>
      </c>
    </row>
    <row r="29" spans="1:5" ht="35.25" customHeight="1">
      <c r="A29" s="260" t="s">
        <v>33</v>
      </c>
      <c r="B29" s="260"/>
      <c r="C29" s="260"/>
      <c r="D29" s="260"/>
      <c r="E29" s="132"/>
    </row>
    <row r="30" spans="1:5" ht="60">
      <c r="A30" s="23" t="s">
        <v>34</v>
      </c>
      <c r="B30" s="24" t="s">
        <v>35</v>
      </c>
      <c r="C30" s="25" t="s">
        <v>36</v>
      </c>
      <c r="D30" s="26" t="s">
        <v>37</v>
      </c>
      <c r="E30" s="132"/>
    </row>
    <row r="31" spans="1:5" ht="15">
      <c r="A31" s="27" t="s">
        <v>38</v>
      </c>
      <c r="B31" s="28" t="s">
        <v>39</v>
      </c>
      <c r="C31" s="29" t="s">
        <v>40</v>
      </c>
      <c r="D31" s="107">
        <f>(0.15+0.16)*6*44.9</f>
        <v>83.514</v>
      </c>
      <c r="E31" s="132"/>
    </row>
    <row r="32" spans="1:5" ht="15">
      <c r="A32" s="31" t="s">
        <v>84</v>
      </c>
      <c r="B32" s="32" t="s">
        <v>85</v>
      </c>
      <c r="C32" s="33" t="s">
        <v>86</v>
      </c>
      <c r="D32" s="108">
        <v>0</v>
      </c>
      <c r="E32" s="132"/>
    </row>
    <row r="33" spans="1:5" ht="15">
      <c r="A33" s="31" t="s">
        <v>41</v>
      </c>
      <c r="B33" s="32" t="s">
        <v>42</v>
      </c>
      <c r="C33" s="33" t="s">
        <v>43</v>
      </c>
      <c r="D33" s="34">
        <f>(2+3)*6*44.9</f>
        <v>1347</v>
      </c>
      <c r="E33" s="132"/>
    </row>
    <row r="34" spans="1:5" ht="15">
      <c r="A34" s="31" t="s">
        <v>44</v>
      </c>
      <c r="B34" s="32" t="s">
        <v>39</v>
      </c>
      <c r="C34" s="33" t="s">
        <v>45</v>
      </c>
      <c r="D34" s="108">
        <f>(0.21+0.2)*6*44.9</f>
        <v>110.454</v>
      </c>
      <c r="E34" s="132"/>
    </row>
    <row r="35" spans="1:5" ht="15">
      <c r="A35" s="31" t="s">
        <v>88</v>
      </c>
      <c r="B35" s="105" t="s">
        <v>87</v>
      </c>
      <c r="C35" s="33" t="s">
        <v>40</v>
      </c>
      <c r="D35" s="108">
        <v>0</v>
      </c>
      <c r="E35" s="132"/>
    </row>
    <row r="36" spans="1:5" ht="15">
      <c r="A36" s="204" t="s">
        <v>255</v>
      </c>
      <c r="B36" s="32" t="s">
        <v>39</v>
      </c>
      <c r="C36" s="33" t="s">
        <v>40</v>
      </c>
      <c r="D36" s="108">
        <f>(0.21+0.22)*6*44.9</f>
        <v>115.842</v>
      </c>
      <c r="E36" s="132"/>
    </row>
    <row r="37" spans="1:5" ht="15">
      <c r="A37" s="31" t="s">
        <v>90</v>
      </c>
      <c r="B37" s="106" t="s">
        <v>91</v>
      </c>
      <c r="C37" s="33" t="s">
        <v>40</v>
      </c>
      <c r="D37" s="108"/>
      <c r="E37" s="132"/>
    </row>
    <row r="38" spans="1:5" ht="15">
      <c r="A38" s="31" t="s">
        <v>46</v>
      </c>
      <c r="B38" s="32" t="s">
        <v>42</v>
      </c>
      <c r="C38" s="35" t="s">
        <v>47</v>
      </c>
      <c r="D38" s="108">
        <f>4.88*44.9*12</f>
        <v>2629.344</v>
      </c>
      <c r="E38" s="132"/>
    </row>
    <row r="39" spans="1:14" s="1" customFormat="1" ht="45">
      <c r="A39" s="36" t="s">
        <v>48</v>
      </c>
      <c r="B39" s="37" t="s">
        <v>49</v>
      </c>
      <c r="C39" s="131" t="s">
        <v>163</v>
      </c>
      <c r="D39" s="39">
        <v>0</v>
      </c>
      <c r="E39" s="132"/>
      <c r="K39"/>
      <c r="L39"/>
      <c r="M39"/>
      <c r="N39"/>
    </row>
    <row r="40" spans="1:14" s="1" customFormat="1" ht="45">
      <c r="A40" s="109" t="s">
        <v>95</v>
      </c>
      <c r="B40" s="110" t="s">
        <v>96</v>
      </c>
      <c r="C40" s="29" t="s">
        <v>97</v>
      </c>
      <c r="D40" s="112">
        <f>0.89*6*44.9</f>
        <v>239.766</v>
      </c>
      <c r="E40" s="132"/>
      <c r="K40"/>
      <c r="L40"/>
      <c r="M40"/>
      <c r="N40"/>
    </row>
    <row r="41" spans="1:14" s="1" customFormat="1" ht="15.75">
      <c r="A41" s="40" t="s">
        <v>50</v>
      </c>
      <c r="B41" s="41"/>
      <c r="C41" s="42"/>
      <c r="D41" s="113">
        <f>SUM(D31:D40)</f>
        <v>4525.92</v>
      </c>
      <c r="E41" s="135">
        <f>D41-D39</f>
        <v>4525.92</v>
      </c>
      <c r="K41"/>
      <c r="L41"/>
      <c r="M41"/>
      <c r="N41"/>
    </row>
    <row r="42" spans="1:14" s="1" customFormat="1" ht="15">
      <c r="A42" s="43" t="s">
        <v>51</v>
      </c>
      <c r="B42" s="44" t="s">
        <v>16</v>
      </c>
      <c r="C42" s="45"/>
      <c r="D42" s="46">
        <f>C15+C20*0.9194-D39</f>
        <v>527.0272124</v>
      </c>
      <c r="E42" s="135"/>
      <c r="K42"/>
      <c r="L42"/>
      <c r="M42"/>
      <c r="N42"/>
    </row>
    <row r="43" spans="1:14" s="1" customFormat="1" ht="15">
      <c r="A43" s="48" t="s">
        <v>17</v>
      </c>
      <c r="B43" s="49" t="s">
        <v>16</v>
      </c>
      <c r="C43" s="33"/>
      <c r="D43" s="14">
        <v>0</v>
      </c>
      <c r="E43" s="132"/>
      <c r="K43"/>
      <c r="L43"/>
      <c r="M43"/>
      <c r="N43"/>
    </row>
    <row r="44" spans="1:14" s="1" customFormat="1" ht="15">
      <c r="A44" s="48" t="s">
        <v>18</v>
      </c>
      <c r="B44" s="49" t="s">
        <v>16</v>
      </c>
      <c r="C44" s="33"/>
      <c r="D44" s="14">
        <v>5679.51</v>
      </c>
      <c r="E44" s="132"/>
      <c r="K44"/>
      <c r="L44"/>
      <c r="M44"/>
      <c r="N44"/>
    </row>
    <row r="45" spans="1:14" s="1" customFormat="1" ht="24" customHeight="1">
      <c r="A45" s="261" t="s">
        <v>52</v>
      </c>
      <c r="B45" s="261"/>
      <c r="C45" s="261"/>
      <c r="D45" s="261"/>
      <c r="E45" s="132"/>
      <c r="K45"/>
      <c r="L45"/>
      <c r="M45"/>
      <c r="N45"/>
    </row>
    <row r="46" spans="1:14" s="1" customFormat="1" ht="15">
      <c r="A46" s="48" t="s">
        <v>53</v>
      </c>
      <c r="B46" s="32" t="s">
        <v>54</v>
      </c>
      <c r="C46" s="33">
        <v>0</v>
      </c>
      <c r="D46" s="14">
        <v>0</v>
      </c>
      <c r="E46" s="132"/>
      <c r="K46"/>
      <c r="L46"/>
      <c r="M46"/>
      <c r="N46"/>
    </row>
    <row r="47" spans="1:14" s="1" customFormat="1" ht="15">
      <c r="A47" s="48" t="s">
        <v>55</v>
      </c>
      <c r="B47" s="32" t="s">
        <v>54</v>
      </c>
      <c r="C47" s="33">
        <v>0</v>
      </c>
      <c r="D47" s="14">
        <v>0</v>
      </c>
      <c r="E47" s="132"/>
      <c r="K47"/>
      <c r="L47"/>
      <c r="M47"/>
      <c r="N47"/>
    </row>
    <row r="48" spans="1:14" s="1" customFormat="1" ht="15">
      <c r="A48" s="50" t="s">
        <v>56</v>
      </c>
      <c r="B48" s="32" t="s">
        <v>54</v>
      </c>
      <c r="C48" s="33">
        <v>0</v>
      </c>
      <c r="D48" s="14">
        <v>0</v>
      </c>
      <c r="E48" s="132"/>
      <c r="K48"/>
      <c r="L48"/>
      <c r="M48"/>
      <c r="N48"/>
    </row>
    <row r="49" spans="1:14" s="1" customFormat="1" ht="15">
      <c r="A49" s="48" t="s">
        <v>57</v>
      </c>
      <c r="B49" s="32" t="s">
        <v>16</v>
      </c>
      <c r="C49" s="33">
        <v>0</v>
      </c>
      <c r="D49" s="14">
        <v>0</v>
      </c>
      <c r="E49" s="132"/>
      <c r="K49"/>
      <c r="L49"/>
      <c r="M49"/>
      <c r="N49"/>
    </row>
    <row r="50" spans="1:5" ht="20.25" customHeight="1">
      <c r="A50" s="262" t="s">
        <v>58</v>
      </c>
      <c r="B50" s="262"/>
      <c r="C50" s="262"/>
      <c r="D50" s="262"/>
      <c r="E50" s="132"/>
    </row>
    <row r="51" spans="1:5" ht="25.5">
      <c r="A51" s="50" t="s">
        <v>59</v>
      </c>
      <c r="B51" s="32" t="s">
        <v>16</v>
      </c>
      <c r="C51" s="33"/>
      <c r="D51" s="14">
        <v>0</v>
      </c>
      <c r="E51" s="132"/>
    </row>
    <row r="52" spans="1:5" ht="15">
      <c r="A52" s="48" t="s">
        <v>17</v>
      </c>
      <c r="B52" s="32" t="s">
        <v>16</v>
      </c>
      <c r="C52" s="33"/>
      <c r="D52" s="14">
        <v>0</v>
      </c>
      <c r="E52" s="132"/>
    </row>
    <row r="53" spans="1:8" ht="15">
      <c r="A53" s="48" t="s">
        <v>18</v>
      </c>
      <c r="B53" s="32" t="s">
        <v>16</v>
      </c>
      <c r="C53" s="33"/>
      <c r="D53" s="51">
        <f>D56-D59</f>
        <v>1315.081452</v>
      </c>
      <c r="E53" s="132"/>
      <c r="H53" s="52"/>
    </row>
    <row r="54" spans="1:5" ht="25.5">
      <c r="A54" s="53" t="s">
        <v>60</v>
      </c>
      <c r="B54" s="32" t="s">
        <v>16</v>
      </c>
      <c r="C54" s="54"/>
      <c r="D54" s="55">
        <v>0</v>
      </c>
      <c r="E54" s="132"/>
    </row>
    <row r="55" spans="1:10" ht="17.25" customHeight="1">
      <c r="A55" s="56" t="s">
        <v>17</v>
      </c>
      <c r="B55" s="32" t="s">
        <v>16</v>
      </c>
      <c r="C55" s="33"/>
      <c r="D55" s="14">
        <v>0</v>
      </c>
      <c r="E55" s="132"/>
      <c r="I55" s="52"/>
      <c r="J55" s="52"/>
    </row>
    <row r="56" spans="1:14" ht="15">
      <c r="A56" s="59" t="s">
        <v>18</v>
      </c>
      <c r="B56" s="32" t="s">
        <v>16</v>
      </c>
      <c r="C56" s="60"/>
      <c r="D56" s="61">
        <v>1440.3</v>
      </c>
      <c r="E56" s="132"/>
      <c r="H56" s="1" t="s">
        <v>32</v>
      </c>
      <c r="I56" s="63"/>
      <c r="J56" s="63"/>
      <c r="K56" s="64"/>
      <c r="L56" s="64"/>
      <c r="M56" s="64"/>
      <c r="N56" s="64"/>
    </row>
    <row r="57" spans="1:14" ht="18" customHeight="1">
      <c r="A57" s="263" t="s">
        <v>61</v>
      </c>
      <c r="B57" s="263"/>
      <c r="C57" s="263"/>
      <c r="D57" s="263"/>
      <c r="E57" s="137"/>
      <c r="F57" s="66"/>
      <c r="G57" s="67"/>
      <c r="I57" s="68"/>
      <c r="J57" s="68"/>
      <c r="K57" s="69"/>
      <c r="L57" s="69"/>
      <c r="M57" s="69"/>
      <c r="N57" s="69"/>
    </row>
    <row r="58" spans="1:14" ht="47.25">
      <c r="A58" s="70" t="s">
        <v>62</v>
      </c>
      <c r="B58" s="71" t="s">
        <v>63</v>
      </c>
      <c r="C58" s="72" t="s">
        <v>64</v>
      </c>
      <c r="D58" s="73" t="s">
        <v>65</v>
      </c>
      <c r="E58" s="137"/>
      <c r="F58" s="66"/>
      <c r="G58" s="67"/>
      <c r="I58" s="68"/>
      <c r="J58" s="74"/>
      <c r="K58" s="69"/>
      <c r="L58" s="69"/>
      <c r="M58" s="69"/>
      <c r="N58" s="69"/>
    </row>
    <row r="59" spans="1:14" ht="15">
      <c r="A59" s="75" t="s">
        <v>66</v>
      </c>
      <c r="B59" s="117">
        <v>1553.58</v>
      </c>
      <c r="C59" s="118">
        <f>B59*0.9194</f>
        <v>1428.3614519999999</v>
      </c>
      <c r="D59" s="119">
        <f>B59-C59</f>
        <v>125.21854800000006</v>
      </c>
      <c r="E59" s="140"/>
      <c r="F59" s="66"/>
      <c r="G59" s="67"/>
      <c r="I59" s="68"/>
      <c r="J59" s="68"/>
      <c r="K59" s="69"/>
      <c r="L59" s="69"/>
      <c r="M59" s="69"/>
      <c r="N59" s="69"/>
    </row>
    <row r="60" spans="1:14" ht="15">
      <c r="A60" s="75" t="s">
        <v>67</v>
      </c>
      <c r="B60" s="117">
        <v>0</v>
      </c>
      <c r="C60" s="118">
        <f>B60*1.0372</f>
        <v>0</v>
      </c>
      <c r="D60" s="119">
        <f>B60-C60</f>
        <v>0</v>
      </c>
      <c r="E60" s="137"/>
      <c r="F60" s="66"/>
      <c r="G60" s="67"/>
      <c r="I60" s="68"/>
      <c r="J60" s="68"/>
      <c r="K60" s="69"/>
      <c r="L60" s="69"/>
      <c r="M60" s="69"/>
      <c r="N60" s="69"/>
    </row>
    <row r="61" spans="1:14" ht="15">
      <c r="A61" s="75" t="s">
        <v>68</v>
      </c>
      <c r="B61" s="120">
        <v>0</v>
      </c>
      <c r="C61" s="118">
        <f>B61*1.0372</f>
        <v>0</v>
      </c>
      <c r="D61" s="119">
        <f>B61-C61</f>
        <v>0</v>
      </c>
      <c r="E61" s="137">
        <f>(2.07+1.8)*6*2301.2-0.37*2301.2*6</f>
        <v>48325.2</v>
      </c>
      <c r="F61" s="81"/>
      <c r="G61" s="82"/>
      <c r="H61" s="65"/>
      <c r="I61" s="68"/>
      <c r="J61" s="68"/>
      <c r="K61" s="69"/>
      <c r="L61" s="69"/>
      <c r="M61" s="69"/>
      <c r="N61" s="69"/>
    </row>
    <row r="62" spans="1:14" ht="15.75" thickBot="1">
      <c r="A62" s="150" t="s">
        <v>69</v>
      </c>
      <c r="B62" s="151">
        <v>0</v>
      </c>
      <c r="C62" s="152">
        <f>B62*1.0372</f>
        <v>0</v>
      </c>
      <c r="D62" s="153">
        <f>B62-C62</f>
        <v>0</v>
      </c>
      <c r="E62" s="137"/>
      <c r="F62" s="81"/>
      <c r="G62" s="82"/>
      <c r="I62" s="68"/>
      <c r="J62" s="68"/>
      <c r="K62" s="69"/>
      <c r="L62" s="69"/>
      <c r="M62" s="69"/>
      <c r="N62" s="69"/>
    </row>
    <row r="63" spans="1:14" ht="63">
      <c r="A63" s="154" t="s">
        <v>70</v>
      </c>
      <c r="B63" s="155" t="s">
        <v>71</v>
      </c>
      <c r="C63" s="156" t="s">
        <v>72</v>
      </c>
      <c r="D63" s="157" t="s">
        <v>73</v>
      </c>
      <c r="E63" s="137"/>
      <c r="F63" s="81"/>
      <c r="H63" s="68"/>
      <c r="I63" s="68"/>
      <c r="J63" s="68"/>
      <c r="K63" s="69"/>
      <c r="L63" s="69"/>
      <c r="M63" s="69"/>
      <c r="N63" s="69"/>
    </row>
    <row r="64" spans="1:14" ht="15">
      <c r="A64" s="158" t="s">
        <v>66</v>
      </c>
      <c r="B64" s="124">
        <f>B59</f>
        <v>1553.58</v>
      </c>
      <c r="C64" s="125">
        <f>C59</f>
        <v>1428.3614519999999</v>
      </c>
      <c r="D64" s="159">
        <f>B64-C64</f>
        <v>125.21854800000006</v>
      </c>
      <c r="E64" s="137"/>
      <c r="F64" s="81"/>
      <c r="H64" s="68"/>
      <c r="I64" s="68"/>
      <c r="J64" s="68" t="s">
        <v>32</v>
      </c>
      <c r="K64" s="69"/>
      <c r="L64" s="69"/>
      <c r="M64" s="69"/>
      <c r="N64" s="69"/>
    </row>
    <row r="65" spans="1:14" ht="15">
      <c r="A65" s="158" t="s">
        <v>67</v>
      </c>
      <c r="B65" s="124">
        <v>0</v>
      </c>
      <c r="C65" s="125">
        <v>0</v>
      </c>
      <c r="D65" s="159">
        <f>B65-C65</f>
        <v>0</v>
      </c>
      <c r="E65" s="137"/>
      <c r="F65" s="81"/>
      <c r="H65" s="68"/>
      <c r="I65" s="68"/>
      <c r="J65" s="68"/>
      <c r="K65" s="69"/>
      <c r="L65" s="69"/>
      <c r="M65" s="69"/>
      <c r="N65" s="69"/>
    </row>
    <row r="66" spans="1:14" ht="15">
      <c r="A66" s="158" t="s">
        <v>68</v>
      </c>
      <c r="B66" s="124">
        <v>0</v>
      </c>
      <c r="C66" s="125">
        <v>0</v>
      </c>
      <c r="D66" s="159">
        <f>B66-C66</f>
        <v>0</v>
      </c>
      <c r="E66" s="137"/>
      <c r="F66" s="81"/>
      <c r="H66" s="68"/>
      <c r="I66" s="68"/>
      <c r="J66" s="68"/>
      <c r="K66" s="69"/>
      <c r="L66" s="69"/>
      <c r="M66" s="69"/>
      <c r="N66" s="69"/>
    </row>
    <row r="67" spans="1:14" ht="15">
      <c r="A67" s="158" t="s">
        <v>74</v>
      </c>
      <c r="B67" s="124">
        <v>0</v>
      </c>
      <c r="C67" s="125">
        <v>0</v>
      </c>
      <c r="D67" s="159">
        <f>B67-C67</f>
        <v>0</v>
      </c>
      <c r="E67" s="137"/>
      <c r="F67" s="81"/>
      <c r="H67" s="68"/>
      <c r="I67" s="68"/>
      <c r="J67" s="68"/>
      <c r="K67" s="69"/>
      <c r="L67" s="69"/>
      <c r="M67" s="69"/>
      <c r="N67" s="69"/>
    </row>
    <row r="68" spans="1:14" ht="15.75" thickBot="1">
      <c r="A68" s="160" t="s">
        <v>69</v>
      </c>
      <c r="B68" s="161">
        <v>0</v>
      </c>
      <c r="C68" s="162">
        <v>0</v>
      </c>
      <c r="D68" s="163">
        <f>B68-C68</f>
        <v>0</v>
      </c>
      <c r="E68" s="137"/>
      <c r="F68" s="81"/>
      <c r="H68" s="68" t="s">
        <v>32</v>
      </c>
      <c r="I68" s="68"/>
      <c r="J68" s="68"/>
      <c r="K68" s="69"/>
      <c r="L68" s="69"/>
      <c r="M68" s="69"/>
      <c r="N68" s="69"/>
    </row>
    <row r="69" spans="1:14" ht="15">
      <c r="A69" s="91"/>
      <c r="B69" s="87"/>
      <c r="C69" s="92"/>
      <c r="D69" s="93"/>
      <c r="E69" s="65"/>
      <c r="F69" s="81"/>
      <c r="H69" s="68"/>
      <c r="I69" s="68"/>
      <c r="J69" s="68"/>
      <c r="K69" s="69"/>
      <c r="L69" s="69"/>
      <c r="M69" s="69"/>
      <c r="N69" s="69"/>
    </row>
    <row r="70" spans="1:14" ht="25.5">
      <c r="A70" s="94" t="s">
        <v>75</v>
      </c>
      <c r="B70" s="87" t="s">
        <v>16</v>
      </c>
      <c r="C70" s="95"/>
      <c r="D70" s="96"/>
      <c r="E70" s="65"/>
      <c r="F70" s="81"/>
      <c r="H70" s="68"/>
      <c r="I70" s="68"/>
      <c r="J70" s="68" t="s">
        <v>32</v>
      </c>
      <c r="K70" s="69"/>
      <c r="L70" s="69"/>
      <c r="M70" s="69"/>
      <c r="N70" s="69"/>
    </row>
    <row r="71" spans="1:14" ht="17.25" customHeight="1">
      <c r="A71" s="264" t="s">
        <v>76</v>
      </c>
      <c r="B71" s="264"/>
      <c r="C71" s="264"/>
      <c r="D71" s="264"/>
      <c r="E71" s="97" t="e">
        <f>D71+B19</f>
        <v>#VALUE!</v>
      </c>
      <c r="F71" s="68"/>
      <c r="H71" s="98" t="e">
        <f>E71-B18</f>
        <v>#VALUE!</v>
      </c>
      <c r="I71" s="68"/>
      <c r="J71" s="68"/>
      <c r="K71" s="69"/>
      <c r="L71" s="69"/>
      <c r="M71" s="69"/>
      <c r="N71" s="69"/>
    </row>
    <row r="72" spans="1:5" ht="21" customHeight="1">
      <c r="A72" s="99" t="s">
        <v>53</v>
      </c>
      <c r="B72" s="99" t="s">
        <v>54</v>
      </c>
      <c r="C72" s="100">
        <v>0</v>
      </c>
      <c r="D72" s="101"/>
      <c r="E72" s="102"/>
    </row>
    <row r="73" spans="1:5" ht="21" customHeight="1">
      <c r="A73" s="99" t="s">
        <v>55</v>
      </c>
      <c r="B73" s="99" t="s">
        <v>54</v>
      </c>
      <c r="C73" s="99">
        <v>0</v>
      </c>
      <c r="D73" s="101"/>
      <c r="E73" s="102"/>
    </row>
    <row r="74" spans="1:5" ht="18" customHeight="1">
      <c r="A74" s="99" t="s">
        <v>56</v>
      </c>
      <c r="B74" s="99" t="s">
        <v>54</v>
      </c>
      <c r="C74" s="99">
        <v>0</v>
      </c>
      <c r="D74" s="101"/>
      <c r="E74" s="102"/>
    </row>
    <row r="75" spans="1:5" ht="16.5" customHeight="1">
      <c r="A75" s="99" t="s">
        <v>57</v>
      </c>
      <c r="B75" s="99" t="s">
        <v>16</v>
      </c>
      <c r="C75" s="99">
        <v>0</v>
      </c>
      <c r="D75" s="101"/>
      <c r="E75" s="102"/>
    </row>
    <row r="76" spans="1:5" ht="15.75" customHeight="1">
      <c r="A76" s="258" t="s">
        <v>77</v>
      </c>
      <c r="B76" s="258"/>
      <c r="C76" s="258"/>
      <c r="D76" s="258"/>
      <c r="E76" s="102"/>
    </row>
    <row r="77" spans="1:5" ht="18.75" customHeight="1">
      <c r="A77" s="99" t="s">
        <v>78</v>
      </c>
      <c r="B77" s="99" t="s">
        <v>54</v>
      </c>
      <c r="C77" s="99">
        <v>0</v>
      </c>
      <c r="D77" s="101"/>
      <c r="E77" s="102"/>
    </row>
    <row r="78" spans="1:5" ht="21.75" customHeight="1">
      <c r="A78" s="99" t="s">
        <v>79</v>
      </c>
      <c r="B78" s="56" t="s">
        <v>54</v>
      </c>
      <c r="C78" s="56">
        <v>0</v>
      </c>
      <c r="D78" s="101"/>
      <c r="E78" s="102"/>
    </row>
    <row r="79" spans="1:5" ht="36" customHeight="1">
      <c r="A79" s="103" t="s">
        <v>80</v>
      </c>
      <c r="B79" s="99" t="s">
        <v>16</v>
      </c>
      <c r="C79" s="99">
        <v>0</v>
      </c>
      <c r="D79" s="101"/>
      <c r="E79" s="102"/>
    </row>
    <row r="80" spans="1:4" ht="15">
      <c r="A80" s="69"/>
      <c r="B80" s="69"/>
      <c r="C80" s="69"/>
      <c r="D80" s="104"/>
    </row>
    <row r="81" spans="1:14" s="1" customFormat="1" ht="12.75">
      <c r="A81"/>
      <c r="B81"/>
      <c r="C81"/>
      <c r="D81"/>
      <c r="H81" s="1" t="s">
        <v>32</v>
      </c>
      <c r="K81"/>
      <c r="L81"/>
      <c r="M81"/>
      <c r="N81"/>
    </row>
    <row r="82" spans="1:14" s="1" customFormat="1" ht="12.75">
      <c r="A82" t="s">
        <v>81</v>
      </c>
      <c r="B82"/>
      <c r="C82"/>
      <c r="D82"/>
      <c r="K82"/>
      <c r="L82"/>
      <c r="M82"/>
      <c r="N82"/>
    </row>
    <row r="83" spans="1:14" s="1" customFormat="1" ht="12.75">
      <c r="A83"/>
      <c r="B83"/>
      <c r="C83"/>
      <c r="D83"/>
      <c r="H83" s="1" t="s">
        <v>32</v>
      </c>
      <c r="K83"/>
      <c r="L83"/>
      <c r="M83"/>
      <c r="N83"/>
    </row>
    <row r="84" spans="1:14" s="1" customFormat="1" ht="12.75">
      <c r="A84" t="s">
        <v>82</v>
      </c>
      <c r="B84"/>
      <c r="C84"/>
      <c r="D84"/>
      <c r="K84"/>
      <c r="L84"/>
      <c r="M84"/>
      <c r="N84"/>
    </row>
    <row r="88" spans="1:14" s="1" customFormat="1" ht="12.75">
      <c r="A88"/>
      <c r="B88"/>
      <c r="C88"/>
      <c r="D88"/>
      <c r="E88" s="1" t="s">
        <v>32</v>
      </c>
      <c r="K88"/>
      <c r="L88"/>
      <c r="M88"/>
      <c r="N88"/>
    </row>
  </sheetData>
  <sheetProtection selectLockedCells="1" selectUnlockedCells="1"/>
  <mergeCells count="13">
    <mergeCell ref="A1:D1"/>
    <mergeCell ref="A2:D2"/>
    <mergeCell ref="A3:D3"/>
    <mergeCell ref="A4:D4"/>
    <mergeCell ref="A5:D5"/>
    <mergeCell ref="A7:D7"/>
    <mergeCell ref="A76:D76"/>
    <mergeCell ref="A14:D14"/>
    <mergeCell ref="A29:D29"/>
    <mergeCell ref="A45:D45"/>
    <mergeCell ref="A50:D50"/>
    <mergeCell ref="A57:D57"/>
    <mergeCell ref="A71:D71"/>
  </mergeCells>
  <printOptions/>
  <pageMargins left="0.5597222222222222" right="0.7875" top="0.34097222222222223" bottom="0.7875" header="0.5118055555555555" footer="0.5118055555555555"/>
  <pageSetup fitToHeight="3" fitToWidth="2" horizontalDpi="300" verticalDpi="300" orientation="landscape" paperSize="12" r:id="rId1"/>
</worksheet>
</file>

<file path=xl/worksheets/sheet6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6"/>
  <sheetViews>
    <sheetView zoomScale="80" zoomScaleNormal="80" zoomScalePageLayoutView="0" workbookViewId="0" topLeftCell="A1">
      <selection activeCell="E16" sqref="E16:E73"/>
    </sheetView>
  </sheetViews>
  <sheetFormatPr defaultColWidth="11.57421875" defaultRowHeight="12.75"/>
  <cols>
    <col min="1" max="1" width="63.28125" style="0" customWidth="1"/>
    <col min="2" max="2" width="20.28125" style="0" customWidth="1"/>
    <col min="3" max="3" width="31.421875" style="0" customWidth="1"/>
    <col min="4" max="4" width="27.57421875" style="0" customWidth="1"/>
    <col min="5" max="5" width="16.8515625" style="1" customWidth="1"/>
    <col min="6" max="7" width="0" style="1" hidden="1" customWidth="1"/>
    <col min="8" max="8" width="11.57421875" style="1" customWidth="1"/>
    <col min="9" max="9" width="5.28125" style="1" customWidth="1"/>
    <col min="10" max="10" width="30.00390625" style="1" customWidth="1"/>
    <col min="11" max="12" width="23.28125" style="0" customWidth="1"/>
    <col min="13" max="13" width="6.57421875" style="0" customWidth="1"/>
    <col min="14" max="14" width="7.00390625" style="0" customWidth="1"/>
  </cols>
  <sheetData>
    <row r="1" spans="1:4" ht="18">
      <c r="A1" s="265" t="s">
        <v>0</v>
      </c>
      <c r="B1" s="265"/>
      <c r="C1" s="265"/>
      <c r="D1" s="265"/>
    </row>
    <row r="2" spans="1:4" ht="15.75">
      <c r="A2" s="266" t="s">
        <v>1</v>
      </c>
      <c r="B2" s="266"/>
      <c r="C2" s="266"/>
      <c r="D2" s="266"/>
    </row>
    <row r="3" spans="1:4" ht="15.75">
      <c r="A3" s="266" t="s">
        <v>2</v>
      </c>
      <c r="B3" s="266"/>
      <c r="C3" s="266"/>
      <c r="D3" s="266"/>
    </row>
    <row r="4" spans="1:4" ht="12.75">
      <c r="A4" s="267" t="s">
        <v>166</v>
      </c>
      <c r="B4" s="267"/>
      <c r="C4" s="267"/>
      <c r="D4" s="267"/>
    </row>
    <row r="5" spans="1:4" ht="12.75">
      <c r="A5" s="268" t="s">
        <v>171</v>
      </c>
      <c r="B5" s="267"/>
      <c r="C5" s="267"/>
      <c r="D5" s="267"/>
    </row>
    <row r="6" ht="18" customHeight="1">
      <c r="A6" s="2" t="s">
        <v>281</v>
      </c>
    </row>
    <row r="7" spans="1:4" ht="18" customHeight="1">
      <c r="A7" s="269" t="s">
        <v>4</v>
      </c>
      <c r="B7" s="269"/>
      <c r="C7" s="269"/>
      <c r="D7" s="269"/>
    </row>
    <row r="8" spans="1:3" ht="12.75">
      <c r="A8" s="2"/>
      <c r="C8" s="3"/>
    </row>
    <row r="9" spans="1:4" ht="12.75">
      <c r="A9" s="4" t="s">
        <v>5</v>
      </c>
      <c r="B9" s="4" t="s">
        <v>6</v>
      </c>
      <c r="C9" s="4" t="s">
        <v>7</v>
      </c>
      <c r="D9" s="5"/>
    </row>
    <row r="10" spans="1:4" ht="12.75">
      <c r="A10" s="6">
        <v>1</v>
      </c>
      <c r="B10" s="6">
        <v>2</v>
      </c>
      <c r="C10" s="6">
        <v>3</v>
      </c>
      <c r="D10" s="7">
        <v>4</v>
      </c>
    </row>
    <row r="11" spans="1:4" ht="12.75">
      <c r="A11" s="8" t="s">
        <v>8</v>
      </c>
      <c r="B11" s="9"/>
      <c r="C11" s="177" t="s">
        <v>172</v>
      </c>
      <c r="D11" s="10"/>
    </row>
    <row r="12" spans="1:4" ht="12.75">
      <c r="A12" s="8" t="s">
        <v>10</v>
      </c>
      <c r="B12" s="9"/>
      <c r="C12" s="177" t="s">
        <v>173</v>
      </c>
      <c r="D12" s="10"/>
    </row>
    <row r="13" spans="1:4" ht="12.75">
      <c r="A13" s="8" t="s">
        <v>12</v>
      </c>
      <c r="B13" s="9"/>
      <c r="C13" s="177" t="s">
        <v>174</v>
      </c>
      <c r="D13" s="10"/>
    </row>
    <row r="14" spans="1:8" ht="31.5" customHeight="1">
      <c r="A14" s="259" t="s">
        <v>14</v>
      </c>
      <c r="B14" s="259"/>
      <c r="C14" s="259"/>
      <c r="D14" s="259"/>
      <c r="E14" s="132"/>
      <c r="F14" s="132"/>
      <c r="G14" s="132"/>
      <c r="H14" s="132"/>
    </row>
    <row r="15" spans="1:8" ht="25.5">
      <c r="A15" s="11" t="s">
        <v>15</v>
      </c>
      <c r="B15" s="12" t="s">
        <v>16</v>
      </c>
      <c r="C15" s="13">
        <v>10165.05</v>
      </c>
      <c r="D15" s="14"/>
      <c r="E15" s="62"/>
      <c r="F15" s="132"/>
      <c r="G15" s="132"/>
      <c r="H15" s="132"/>
    </row>
    <row r="16" spans="1:8" ht="15">
      <c r="A16" s="8" t="s">
        <v>17</v>
      </c>
      <c r="B16" s="12" t="s">
        <v>16</v>
      </c>
      <c r="C16" s="13">
        <v>0</v>
      </c>
      <c r="D16" s="14"/>
      <c r="E16" s="132"/>
      <c r="F16" s="132"/>
      <c r="G16" s="132"/>
      <c r="H16" s="132"/>
    </row>
    <row r="17" spans="1:8" ht="15">
      <c r="A17" s="8" t="s">
        <v>18</v>
      </c>
      <c r="B17" s="12" t="s">
        <v>16</v>
      </c>
      <c r="C17" s="15">
        <v>33073.58</v>
      </c>
      <c r="D17" s="16"/>
      <c r="E17" s="132" t="e">
        <f>B17/12/1022.6</f>
        <v>#VALUE!</v>
      </c>
      <c r="F17" s="132"/>
      <c r="G17" s="132"/>
      <c r="H17" s="132"/>
    </row>
    <row r="18" spans="1:8" ht="31.5" customHeight="1">
      <c r="A18" s="17" t="s">
        <v>19</v>
      </c>
      <c r="B18" s="12" t="s">
        <v>16</v>
      </c>
      <c r="C18" s="15">
        <v>14038.2</v>
      </c>
      <c r="D18" s="16"/>
      <c r="E18" s="133">
        <f>C18-C20</f>
        <v>11778.648000000001</v>
      </c>
      <c r="F18" s="132"/>
      <c r="G18" s="132"/>
      <c r="H18" s="132"/>
    </row>
    <row r="19" spans="1:8" ht="15">
      <c r="A19" s="8" t="s">
        <v>20</v>
      </c>
      <c r="B19" s="12" t="s">
        <v>16</v>
      </c>
      <c r="C19" s="15">
        <f>C18-C20-C21</f>
        <v>6110.040000000002</v>
      </c>
      <c r="D19" s="16"/>
      <c r="E19" s="133">
        <f>E18-E39</f>
        <v>0.004000000002633897</v>
      </c>
      <c r="F19" s="132"/>
      <c r="G19" s="132"/>
      <c r="H19" s="132"/>
    </row>
    <row r="20" spans="1:8" ht="15">
      <c r="A20" s="8" t="s">
        <v>21</v>
      </c>
      <c r="B20" s="12" t="s">
        <v>16</v>
      </c>
      <c r="C20" s="15">
        <f>(0.71+0.38)*6*96.8+1626.48</f>
        <v>2259.5519999999997</v>
      </c>
      <c r="D20" s="16"/>
      <c r="E20" s="134"/>
      <c r="F20" s="132"/>
      <c r="G20" s="132"/>
      <c r="H20" s="132"/>
    </row>
    <row r="21" spans="1:8" ht="15">
      <c r="A21" s="8" t="s">
        <v>22</v>
      </c>
      <c r="B21" s="12" t="s">
        <v>16</v>
      </c>
      <c r="C21" s="20">
        <f>96.8*4.88*12</f>
        <v>5668.607999999999</v>
      </c>
      <c r="D21" s="16"/>
      <c r="E21" s="132"/>
      <c r="F21" s="132"/>
      <c r="G21" s="132"/>
      <c r="H21" s="132"/>
    </row>
    <row r="22" spans="1:8" ht="15">
      <c r="A22" s="21" t="s">
        <v>23</v>
      </c>
      <c r="B22" s="12" t="s">
        <v>16</v>
      </c>
      <c r="C22" s="15">
        <f>C23</f>
        <v>2726.21844</v>
      </c>
      <c r="D22" s="16" t="s">
        <v>24</v>
      </c>
      <c r="E22" s="133" t="e">
        <f>B24+B25+B26+B27+B28</f>
        <v>#VALUE!</v>
      </c>
      <c r="F22" s="132"/>
      <c r="G22" s="132"/>
      <c r="H22" s="132"/>
    </row>
    <row r="23" spans="1:8" ht="15">
      <c r="A23" s="8" t="s">
        <v>25</v>
      </c>
      <c r="B23" s="12" t="s">
        <v>16</v>
      </c>
      <c r="C23" s="15">
        <f>C18*0.1942</f>
        <v>2726.21844</v>
      </c>
      <c r="D23" s="16"/>
      <c r="E23" s="132"/>
      <c r="F23" s="132"/>
      <c r="G23" s="132"/>
      <c r="H23" s="132"/>
    </row>
    <row r="24" spans="1:8" ht="15">
      <c r="A24" s="8" t="s">
        <v>26</v>
      </c>
      <c r="B24" s="12" t="s">
        <v>16</v>
      </c>
      <c r="C24" s="15">
        <v>0</v>
      </c>
      <c r="D24" s="22">
        <v>65.21</v>
      </c>
      <c r="E24" s="134" t="e">
        <f>B24/#REF!*1</f>
        <v>#VALUE!</v>
      </c>
      <c r="F24" s="132"/>
      <c r="G24" s="132"/>
      <c r="H24" s="132" t="s">
        <v>27</v>
      </c>
    </row>
    <row r="25" spans="1:8" ht="15">
      <c r="A25" s="8" t="s">
        <v>28</v>
      </c>
      <c r="B25" s="12" t="s">
        <v>16</v>
      </c>
      <c r="C25" s="15">
        <v>0</v>
      </c>
      <c r="D25" s="22">
        <v>119.63</v>
      </c>
      <c r="E25" s="134" t="e">
        <f>B25/#REF!*1</f>
        <v>#VALUE!</v>
      </c>
      <c r="F25" s="132"/>
      <c r="G25" s="132"/>
      <c r="H25" s="132"/>
    </row>
    <row r="26" spans="1:8" ht="15">
      <c r="A26" s="9" t="s">
        <v>29</v>
      </c>
      <c r="B26" s="12" t="s">
        <v>16</v>
      </c>
      <c r="C26" s="15">
        <v>0</v>
      </c>
      <c r="D26" s="22"/>
      <c r="E26" s="134" t="e">
        <f>B26/#REF!*1</f>
        <v>#VALUE!</v>
      </c>
      <c r="F26" s="132"/>
      <c r="G26" s="132"/>
      <c r="H26" s="132"/>
    </row>
    <row r="27" spans="1:8" ht="16.5" customHeight="1">
      <c r="A27" s="116" t="s">
        <v>112</v>
      </c>
      <c r="B27" s="12" t="s">
        <v>16</v>
      </c>
      <c r="C27" s="15">
        <v>0</v>
      </c>
      <c r="D27" s="22">
        <v>139.18</v>
      </c>
      <c r="E27" s="134" t="e">
        <f>B27/#REF!*1</f>
        <v>#VALUE!</v>
      </c>
      <c r="F27" s="132"/>
      <c r="G27" s="132"/>
      <c r="H27" s="132"/>
    </row>
    <row r="28" spans="1:8" ht="15">
      <c r="A28" s="8" t="s">
        <v>31</v>
      </c>
      <c r="B28" s="12" t="s">
        <v>16</v>
      </c>
      <c r="C28" s="15">
        <f>C15+C22</f>
        <v>12891.26844</v>
      </c>
      <c r="D28" s="16" t="s">
        <v>32</v>
      </c>
      <c r="E28" s="134" t="e">
        <f>B28/#REF!*1</f>
        <v>#VALUE!</v>
      </c>
      <c r="F28" s="132"/>
      <c r="G28" s="132"/>
      <c r="H28" s="132"/>
    </row>
    <row r="29" spans="1:8" ht="35.25" customHeight="1">
      <c r="A29" s="260" t="s">
        <v>33</v>
      </c>
      <c r="B29" s="260"/>
      <c r="C29" s="260"/>
      <c r="D29" s="260"/>
      <c r="E29" s="132"/>
      <c r="F29" s="132"/>
      <c r="G29" s="132"/>
      <c r="H29" s="132"/>
    </row>
    <row r="30" spans="1:8" ht="60">
      <c r="A30" s="23" t="s">
        <v>34</v>
      </c>
      <c r="B30" s="24" t="s">
        <v>35</v>
      </c>
      <c r="C30" s="25" t="s">
        <v>36</v>
      </c>
      <c r="D30" s="26" t="s">
        <v>37</v>
      </c>
      <c r="E30" s="132"/>
      <c r="F30" s="132"/>
      <c r="G30" s="132"/>
      <c r="H30" s="132"/>
    </row>
    <row r="31" spans="1:8" ht="15">
      <c r="A31" s="27" t="s">
        <v>38</v>
      </c>
      <c r="B31" s="28" t="s">
        <v>39</v>
      </c>
      <c r="C31" s="29" t="s">
        <v>40</v>
      </c>
      <c r="D31" s="107">
        <f>(0.17+0.16)*6*96.8</f>
        <v>191.664</v>
      </c>
      <c r="E31" s="132"/>
      <c r="F31" s="132"/>
      <c r="G31" s="132"/>
      <c r="H31" s="132"/>
    </row>
    <row r="32" spans="1:8" ht="15">
      <c r="A32" s="31" t="s">
        <v>41</v>
      </c>
      <c r="B32" s="32" t="s">
        <v>42</v>
      </c>
      <c r="C32" s="33" t="s">
        <v>43</v>
      </c>
      <c r="D32" s="108">
        <f>(3.03+3)*6*96.8</f>
        <v>3502.2239999999993</v>
      </c>
      <c r="E32" s="132"/>
      <c r="F32" s="132"/>
      <c r="G32" s="132"/>
      <c r="H32" s="132"/>
    </row>
    <row r="33" spans="1:8" ht="15">
      <c r="A33" s="31" t="s">
        <v>44</v>
      </c>
      <c r="B33" s="32" t="s">
        <v>39</v>
      </c>
      <c r="C33" s="33" t="s">
        <v>45</v>
      </c>
      <c r="D33" s="108">
        <f>(0.21+0.2)*6*96.8</f>
        <v>238.128</v>
      </c>
      <c r="E33" s="132"/>
      <c r="F33" s="132"/>
      <c r="G33" s="132"/>
      <c r="H33" s="132"/>
    </row>
    <row r="34" spans="1:8" ht="15">
      <c r="A34" s="31" t="s">
        <v>123</v>
      </c>
      <c r="B34" s="32" t="s">
        <v>39</v>
      </c>
      <c r="C34" s="33" t="s">
        <v>40</v>
      </c>
      <c r="D34" s="108">
        <f>(0.23+0.22)*6*96.8</f>
        <v>261.36</v>
      </c>
      <c r="E34" s="132"/>
      <c r="F34" s="132"/>
      <c r="G34" s="132"/>
      <c r="H34" s="132"/>
    </row>
    <row r="35" spans="1:8" ht="15">
      <c r="A35" s="31" t="s">
        <v>90</v>
      </c>
      <c r="B35" s="106" t="s">
        <v>91</v>
      </c>
      <c r="C35" s="33" t="s">
        <v>40</v>
      </c>
      <c r="D35" s="108">
        <f>(1.33+1.27)*6*96.8</f>
        <v>1510.0800000000002</v>
      </c>
      <c r="E35" s="132"/>
      <c r="F35" s="132"/>
      <c r="G35" s="132"/>
      <c r="H35" s="132"/>
    </row>
    <row r="36" spans="1:8" ht="15">
      <c r="A36" s="31" t="s">
        <v>46</v>
      </c>
      <c r="B36" s="32" t="s">
        <v>42</v>
      </c>
      <c r="C36" s="35" t="s">
        <v>47</v>
      </c>
      <c r="D36" s="108">
        <f>4.88*96.8*12</f>
        <v>5668.607999999999</v>
      </c>
      <c r="E36" s="132"/>
      <c r="F36" s="132"/>
      <c r="G36" s="132"/>
      <c r="H36" s="132"/>
    </row>
    <row r="37" spans="1:14" s="1" customFormat="1" ht="45">
      <c r="A37" s="36" t="s">
        <v>48</v>
      </c>
      <c r="B37" s="37" t="s">
        <v>49</v>
      </c>
      <c r="C37" s="131" t="s">
        <v>163</v>
      </c>
      <c r="D37" s="39"/>
      <c r="E37" s="132"/>
      <c r="F37" s="132"/>
      <c r="G37" s="132"/>
      <c r="H37" s="132"/>
      <c r="K37"/>
      <c r="L37"/>
      <c r="M37"/>
      <c r="N37"/>
    </row>
    <row r="38" spans="1:14" s="1" customFormat="1" ht="45">
      <c r="A38" s="109" t="s">
        <v>95</v>
      </c>
      <c r="B38" s="110" t="s">
        <v>96</v>
      </c>
      <c r="C38" s="29" t="s">
        <v>97</v>
      </c>
      <c r="D38" s="112">
        <v>406.58</v>
      </c>
      <c r="E38" s="132"/>
      <c r="F38" s="132"/>
      <c r="G38" s="132"/>
      <c r="H38" s="132"/>
      <c r="K38"/>
      <c r="L38"/>
      <c r="M38"/>
      <c r="N38"/>
    </row>
    <row r="39" spans="1:14" s="1" customFormat="1" ht="15.75">
      <c r="A39" s="40" t="s">
        <v>50</v>
      </c>
      <c r="B39" s="41"/>
      <c r="C39" s="42"/>
      <c r="D39" s="113">
        <f>SUM(D31:D38)</f>
        <v>11778.643999999998</v>
      </c>
      <c r="E39" s="135">
        <f>D39-D37</f>
        <v>11778.643999999998</v>
      </c>
      <c r="F39" s="132"/>
      <c r="G39" s="132"/>
      <c r="H39" s="132"/>
      <c r="K39"/>
      <c r="L39"/>
      <c r="M39"/>
      <c r="N39"/>
    </row>
    <row r="40" spans="1:14" s="1" customFormat="1" ht="15">
      <c r="A40" s="43" t="s">
        <v>51</v>
      </c>
      <c r="B40" s="44" t="s">
        <v>16</v>
      </c>
      <c r="C40" s="45"/>
      <c r="D40" s="46">
        <f>C15+C20*0.1942-D37</f>
        <v>10603.8549984</v>
      </c>
      <c r="E40" s="135"/>
      <c r="F40" s="132"/>
      <c r="G40" s="132"/>
      <c r="H40" s="132"/>
      <c r="K40"/>
      <c r="L40"/>
      <c r="M40"/>
      <c r="N40"/>
    </row>
    <row r="41" spans="1:14" s="1" customFormat="1" ht="15">
      <c r="A41" s="48" t="s">
        <v>17</v>
      </c>
      <c r="B41" s="49" t="s">
        <v>16</v>
      </c>
      <c r="C41" s="33"/>
      <c r="D41" s="14"/>
      <c r="E41" s="132"/>
      <c r="F41" s="132"/>
      <c r="G41" s="132"/>
      <c r="H41" s="132"/>
      <c r="K41"/>
      <c r="L41"/>
      <c r="M41"/>
      <c r="N41"/>
    </row>
    <row r="42" spans="1:14" s="1" customFormat="1" ht="15">
      <c r="A42" s="48" t="s">
        <v>18</v>
      </c>
      <c r="B42" s="49" t="s">
        <v>16</v>
      </c>
      <c r="C42" s="33"/>
      <c r="D42" s="14">
        <v>44385.55</v>
      </c>
      <c r="E42" s="132"/>
      <c r="F42" s="132"/>
      <c r="G42" s="132"/>
      <c r="H42" s="132"/>
      <c r="K42"/>
      <c r="L42"/>
      <c r="M42"/>
      <c r="N42"/>
    </row>
    <row r="43" spans="1:14" s="1" customFormat="1" ht="24" customHeight="1">
      <c r="A43" s="261" t="s">
        <v>52</v>
      </c>
      <c r="B43" s="261"/>
      <c r="C43" s="261"/>
      <c r="D43" s="261"/>
      <c r="E43" s="132"/>
      <c r="F43" s="132"/>
      <c r="G43" s="132"/>
      <c r="H43" s="132"/>
      <c r="K43"/>
      <c r="L43"/>
      <c r="M43"/>
      <c r="N43"/>
    </row>
    <row r="44" spans="1:14" s="1" customFormat="1" ht="15">
      <c r="A44" s="48" t="s">
        <v>53</v>
      </c>
      <c r="B44" s="32" t="s">
        <v>54</v>
      </c>
      <c r="C44" s="33">
        <v>0</v>
      </c>
      <c r="D44" s="14">
        <v>0</v>
      </c>
      <c r="E44" s="132"/>
      <c r="K44"/>
      <c r="L44"/>
      <c r="M44"/>
      <c r="N44"/>
    </row>
    <row r="45" spans="1:14" s="1" customFormat="1" ht="15">
      <c r="A45" s="48" t="s">
        <v>55</v>
      </c>
      <c r="B45" s="32" t="s">
        <v>54</v>
      </c>
      <c r="C45" s="33">
        <v>0</v>
      </c>
      <c r="D45" s="14">
        <v>0</v>
      </c>
      <c r="E45" s="132"/>
      <c r="K45"/>
      <c r="L45"/>
      <c r="M45"/>
      <c r="N45"/>
    </row>
    <row r="46" spans="1:14" s="1" customFormat="1" ht="15">
      <c r="A46" s="50" t="s">
        <v>56</v>
      </c>
      <c r="B46" s="32" t="s">
        <v>54</v>
      </c>
      <c r="C46" s="33">
        <v>0</v>
      </c>
      <c r="D46" s="14">
        <v>0</v>
      </c>
      <c r="E46" s="132"/>
      <c r="K46"/>
      <c r="L46"/>
      <c r="M46"/>
      <c r="N46"/>
    </row>
    <row r="47" spans="1:14" s="1" customFormat="1" ht="15">
      <c r="A47" s="48" t="s">
        <v>57</v>
      </c>
      <c r="B47" s="32" t="s">
        <v>16</v>
      </c>
      <c r="C47" s="33">
        <v>0</v>
      </c>
      <c r="D47" s="14">
        <v>0</v>
      </c>
      <c r="E47" s="132"/>
      <c r="K47"/>
      <c r="L47"/>
      <c r="M47"/>
      <c r="N47"/>
    </row>
    <row r="48" spans="1:5" ht="20.25" customHeight="1">
      <c r="A48" s="262" t="s">
        <v>58</v>
      </c>
      <c r="B48" s="262"/>
      <c r="C48" s="262"/>
      <c r="D48" s="262"/>
      <c r="E48" s="132"/>
    </row>
    <row r="49" spans="1:5" ht="25.5">
      <c r="A49" s="50" t="s">
        <v>59</v>
      </c>
      <c r="B49" s="32" t="s">
        <v>16</v>
      </c>
      <c r="C49" s="33"/>
      <c r="D49" s="14">
        <v>0</v>
      </c>
      <c r="E49" s="132"/>
    </row>
    <row r="50" spans="1:5" ht="15">
      <c r="A50" s="48" t="s">
        <v>17</v>
      </c>
      <c r="B50" s="32" t="s">
        <v>16</v>
      </c>
      <c r="C50" s="33"/>
      <c r="D50" s="14">
        <v>0</v>
      </c>
      <c r="E50" s="132"/>
    </row>
    <row r="51" spans="1:8" ht="15">
      <c r="A51" s="48" t="s">
        <v>18</v>
      </c>
      <c r="B51" s="32" t="s">
        <v>16</v>
      </c>
      <c r="C51" s="33"/>
      <c r="D51" s="51">
        <f>D54-D57</f>
        <v>3704.8756879999996</v>
      </c>
      <c r="E51" s="132"/>
      <c r="H51" s="52"/>
    </row>
    <row r="52" spans="1:5" ht="25.5">
      <c r="A52" s="53" t="s">
        <v>60</v>
      </c>
      <c r="B52" s="32" t="s">
        <v>16</v>
      </c>
      <c r="C52" s="54"/>
      <c r="D52" s="55">
        <v>0</v>
      </c>
      <c r="E52" s="132"/>
    </row>
    <row r="53" spans="1:10" ht="17.25" customHeight="1">
      <c r="A53" s="56" t="s">
        <v>17</v>
      </c>
      <c r="B53" s="32" t="s">
        <v>16</v>
      </c>
      <c r="C53" s="33"/>
      <c r="D53" s="14">
        <v>0</v>
      </c>
      <c r="E53" s="132"/>
      <c r="I53" s="52"/>
      <c r="J53" s="52"/>
    </row>
    <row r="54" spans="1:14" ht="15">
      <c r="A54" s="59" t="s">
        <v>18</v>
      </c>
      <c r="B54" s="32" t="s">
        <v>16</v>
      </c>
      <c r="C54" s="60"/>
      <c r="D54" s="61">
        <v>4971.19</v>
      </c>
      <c r="E54" s="132"/>
      <c r="H54" s="1" t="s">
        <v>32</v>
      </c>
      <c r="I54" s="63"/>
      <c r="J54" s="63"/>
      <c r="K54" s="64"/>
      <c r="L54" s="64"/>
      <c r="M54" s="64"/>
      <c r="N54" s="64"/>
    </row>
    <row r="55" spans="1:14" ht="18" customHeight="1">
      <c r="A55" s="263" t="s">
        <v>61</v>
      </c>
      <c r="B55" s="263"/>
      <c r="C55" s="263"/>
      <c r="D55" s="263"/>
      <c r="E55" s="137"/>
      <c r="F55" s="66"/>
      <c r="G55" s="67"/>
      <c r="I55" s="68"/>
      <c r="J55" s="68"/>
      <c r="K55" s="69"/>
      <c r="L55" s="69"/>
      <c r="M55" s="69"/>
      <c r="N55" s="69"/>
    </row>
    <row r="56" spans="1:14" ht="47.25">
      <c r="A56" s="70" t="s">
        <v>62</v>
      </c>
      <c r="B56" s="71" t="s">
        <v>63</v>
      </c>
      <c r="C56" s="72" t="s">
        <v>64</v>
      </c>
      <c r="D56" s="73" t="s">
        <v>65</v>
      </c>
      <c r="E56" s="137"/>
      <c r="F56" s="66"/>
      <c r="G56" s="67"/>
      <c r="I56" s="68"/>
      <c r="J56" s="74"/>
      <c r="K56" s="69"/>
      <c r="L56" s="69"/>
      <c r="M56" s="69"/>
      <c r="N56" s="69"/>
    </row>
    <row r="57" spans="1:14" ht="15">
      <c r="A57" s="75" t="s">
        <v>66</v>
      </c>
      <c r="B57" s="117">
        <v>1572.28</v>
      </c>
      <c r="C57" s="118">
        <f>B57*0.1946</f>
        <v>305.965688</v>
      </c>
      <c r="D57" s="119">
        <f>B57-C57</f>
        <v>1266.314312</v>
      </c>
      <c r="E57" s="140"/>
      <c r="F57" s="66"/>
      <c r="G57" s="67"/>
      <c r="I57" s="68"/>
      <c r="J57" s="68"/>
      <c r="K57" s="69"/>
      <c r="L57" s="69"/>
      <c r="M57" s="69"/>
      <c r="N57" s="69"/>
    </row>
    <row r="58" spans="1:14" ht="15">
      <c r="A58" s="75" t="s">
        <v>67</v>
      </c>
      <c r="B58" s="117">
        <v>0</v>
      </c>
      <c r="C58" s="118">
        <f>B58*1.0372</f>
        <v>0</v>
      </c>
      <c r="D58" s="119">
        <f>B58-C58</f>
        <v>0</v>
      </c>
      <c r="E58" s="137"/>
      <c r="F58" s="66"/>
      <c r="G58" s="67"/>
      <c r="I58" s="68"/>
      <c r="J58" s="68"/>
      <c r="K58" s="69"/>
      <c r="L58" s="69"/>
      <c r="M58" s="69"/>
      <c r="N58" s="69"/>
    </row>
    <row r="59" spans="1:14" ht="15">
      <c r="A59" s="75" t="s">
        <v>68</v>
      </c>
      <c r="B59" s="120">
        <v>0</v>
      </c>
      <c r="C59" s="118">
        <f>B59*1.0372</f>
        <v>0</v>
      </c>
      <c r="D59" s="119">
        <f>B59-C59</f>
        <v>0</v>
      </c>
      <c r="E59" s="137">
        <f>(2.07+1.8)*6*2301.2-0.37*2301.2*6</f>
        <v>48325.2</v>
      </c>
      <c r="F59" s="81"/>
      <c r="G59" s="82"/>
      <c r="H59" s="65"/>
      <c r="I59" s="68"/>
      <c r="J59" s="68"/>
      <c r="K59" s="69"/>
      <c r="L59" s="69"/>
      <c r="M59" s="69"/>
      <c r="N59" s="69"/>
    </row>
    <row r="60" spans="1:14" ht="15.75" thickBot="1">
      <c r="A60" s="150" t="s">
        <v>69</v>
      </c>
      <c r="B60" s="151">
        <v>0</v>
      </c>
      <c r="C60" s="152">
        <f>B60*1.0372</f>
        <v>0</v>
      </c>
      <c r="D60" s="153">
        <f>B60-C60</f>
        <v>0</v>
      </c>
      <c r="E60" s="137"/>
      <c r="F60" s="81"/>
      <c r="G60" s="82"/>
      <c r="I60" s="68"/>
      <c r="J60" s="68"/>
      <c r="K60" s="69"/>
      <c r="L60" s="69"/>
      <c r="M60" s="69"/>
      <c r="N60" s="69"/>
    </row>
    <row r="61" spans="1:14" ht="63">
      <c r="A61" s="154" t="s">
        <v>70</v>
      </c>
      <c r="B61" s="155" t="s">
        <v>71</v>
      </c>
      <c r="C61" s="156" t="s">
        <v>72</v>
      </c>
      <c r="D61" s="157" t="s">
        <v>73</v>
      </c>
      <c r="E61" s="137"/>
      <c r="F61" s="81"/>
      <c r="H61" s="68"/>
      <c r="I61" s="68"/>
      <c r="J61" s="68"/>
      <c r="K61" s="69"/>
      <c r="L61" s="69"/>
      <c r="M61" s="69"/>
      <c r="N61" s="69"/>
    </row>
    <row r="62" spans="1:14" ht="15">
      <c r="A62" s="158" t="s">
        <v>66</v>
      </c>
      <c r="B62" s="124">
        <f>B57</f>
        <v>1572.28</v>
      </c>
      <c r="C62" s="125">
        <f>C57</f>
        <v>305.965688</v>
      </c>
      <c r="D62" s="159">
        <f>B62-C62</f>
        <v>1266.314312</v>
      </c>
      <c r="E62" s="137"/>
      <c r="F62" s="81"/>
      <c r="H62" s="68"/>
      <c r="I62" s="68"/>
      <c r="J62" s="68" t="s">
        <v>32</v>
      </c>
      <c r="K62" s="69"/>
      <c r="L62" s="69"/>
      <c r="M62" s="69"/>
      <c r="N62" s="69"/>
    </row>
    <row r="63" spans="1:14" ht="15">
      <c r="A63" s="158" t="s">
        <v>67</v>
      </c>
      <c r="B63" s="124">
        <v>0</v>
      </c>
      <c r="C63" s="125">
        <v>0</v>
      </c>
      <c r="D63" s="159">
        <f>B63-C63</f>
        <v>0</v>
      </c>
      <c r="E63" s="137"/>
      <c r="F63" s="81"/>
      <c r="H63" s="68"/>
      <c r="I63" s="68"/>
      <c r="J63" s="68"/>
      <c r="K63" s="69"/>
      <c r="L63" s="69"/>
      <c r="M63" s="69"/>
      <c r="N63" s="69"/>
    </row>
    <row r="64" spans="1:14" ht="15">
      <c r="A64" s="158" t="s">
        <v>68</v>
      </c>
      <c r="B64" s="124">
        <v>0</v>
      </c>
      <c r="C64" s="125">
        <v>0</v>
      </c>
      <c r="D64" s="159">
        <f>B64-C64</f>
        <v>0</v>
      </c>
      <c r="E64" s="137"/>
      <c r="F64" s="81"/>
      <c r="H64" s="68"/>
      <c r="I64" s="68"/>
      <c r="J64" s="68"/>
      <c r="K64" s="69"/>
      <c r="L64" s="69"/>
      <c r="M64" s="69"/>
      <c r="N64" s="69"/>
    </row>
    <row r="65" spans="1:14" ht="15">
      <c r="A65" s="158" t="s">
        <v>74</v>
      </c>
      <c r="B65" s="124">
        <v>0</v>
      </c>
      <c r="C65" s="125">
        <v>0</v>
      </c>
      <c r="D65" s="159">
        <f>B65-C65</f>
        <v>0</v>
      </c>
      <c r="E65" s="137"/>
      <c r="F65" s="81"/>
      <c r="H65" s="68"/>
      <c r="I65" s="68"/>
      <c r="J65" s="68"/>
      <c r="K65" s="69"/>
      <c r="L65" s="69"/>
      <c r="M65" s="69"/>
      <c r="N65" s="69"/>
    </row>
    <row r="66" spans="1:14" ht="15.75" thickBot="1">
      <c r="A66" s="160" t="s">
        <v>69</v>
      </c>
      <c r="B66" s="161">
        <v>0</v>
      </c>
      <c r="C66" s="162">
        <v>0</v>
      </c>
      <c r="D66" s="163">
        <f>B66-C66</f>
        <v>0</v>
      </c>
      <c r="E66" s="137"/>
      <c r="F66" s="81"/>
      <c r="H66" s="68" t="s">
        <v>32</v>
      </c>
      <c r="I66" s="68"/>
      <c r="J66" s="68"/>
      <c r="K66" s="69"/>
      <c r="L66" s="69"/>
      <c r="M66" s="69"/>
      <c r="N66" s="69"/>
    </row>
    <row r="67" spans="1:14" ht="15">
      <c r="A67" s="91"/>
      <c r="B67" s="87"/>
      <c r="C67" s="92"/>
      <c r="D67" s="93"/>
      <c r="E67" s="137"/>
      <c r="F67" s="81"/>
      <c r="H67" s="68"/>
      <c r="I67" s="68"/>
      <c r="J67" s="68"/>
      <c r="K67" s="69"/>
      <c r="L67" s="69"/>
      <c r="M67" s="69"/>
      <c r="N67" s="69"/>
    </row>
    <row r="68" spans="1:14" ht="25.5">
      <c r="A68" s="94" t="s">
        <v>75</v>
      </c>
      <c r="B68" s="87" t="s">
        <v>16</v>
      </c>
      <c r="C68" s="95"/>
      <c r="D68" s="96"/>
      <c r="E68" s="137"/>
      <c r="F68" s="81"/>
      <c r="H68" s="68"/>
      <c r="I68" s="68"/>
      <c r="J68" s="68" t="s">
        <v>32</v>
      </c>
      <c r="K68" s="69"/>
      <c r="L68" s="69"/>
      <c r="M68" s="69"/>
      <c r="N68" s="69"/>
    </row>
    <row r="69" spans="1:14" ht="17.25" customHeight="1">
      <c r="A69" s="264" t="s">
        <v>76</v>
      </c>
      <c r="B69" s="264"/>
      <c r="C69" s="264"/>
      <c r="D69" s="264"/>
      <c r="E69" s="144" t="e">
        <f>D69+B19</f>
        <v>#VALUE!</v>
      </c>
      <c r="F69" s="68"/>
      <c r="H69" s="98" t="e">
        <f>E69-B18</f>
        <v>#VALUE!</v>
      </c>
      <c r="I69" s="68"/>
      <c r="J69" s="68"/>
      <c r="K69" s="69"/>
      <c r="L69" s="69"/>
      <c r="M69" s="69"/>
      <c r="N69" s="69"/>
    </row>
    <row r="70" spans="1:5" ht="21" customHeight="1">
      <c r="A70" s="99" t="s">
        <v>53</v>
      </c>
      <c r="B70" s="99" t="s">
        <v>54</v>
      </c>
      <c r="C70" s="100">
        <v>0</v>
      </c>
      <c r="D70" s="101"/>
      <c r="E70" s="146"/>
    </row>
    <row r="71" spans="1:5" ht="21" customHeight="1">
      <c r="A71" s="99" t="s">
        <v>55</v>
      </c>
      <c r="B71" s="99" t="s">
        <v>54</v>
      </c>
      <c r="C71" s="99">
        <v>0</v>
      </c>
      <c r="D71" s="101"/>
      <c r="E71" s="146"/>
    </row>
    <row r="72" spans="1:5" ht="18" customHeight="1">
      <c r="A72" s="99" t="s">
        <v>56</v>
      </c>
      <c r="B72" s="99" t="s">
        <v>54</v>
      </c>
      <c r="C72" s="99">
        <v>0</v>
      </c>
      <c r="D72" s="101"/>
      <c r="E72" s="146"/>
    </row>
    <row r="73" spans="1:5" ht="16.5" customHeight="1">
      <c r="A73" s="99" t="s">
        <v>57</v>
      </c>
      <c r="B73" s="99" t="s">
        <v>16</v>
      </c>
      <c r="C73" s="99">
        <v>0</v>
      </c>
      <c r="D73" s="101"/>
      <c r="E73" s="146"/>
    </row>
    <row r="74" spans="1:5" ht="15.75" customHeight="1">
      <c r="A74" s="258" t="s">
        <v>77</v>
      </c>
      <c r="B74" s="258"/>
      <c r="C74" s="258"/>
      <c r="D74" s="258"/>
      <c r="E74" s="102"/>
    </row>
    <row r="75" spans="1:5" ht="18.75" customHeight="1">
      <c r="A75" s="99" t="s">
        <v>78</v>
      </c>
      <c r="B75" s="99" t="s">
        <v>54</v>
      </c>
      <c r="C75" s="99">
        <v>0</v>
      </c>
      <c r="D75" s="101"/>
      <c r="E75" s="102"/>
    </row>
    <row r="76" spans="1:5" ht="21.75" customHeight="1">
      <c r="A76" s="99" t="s">
        <v>79</v>
      </c>
      <c r="B76" s="56" t="s">
        <v>54</v>
      </c>
      <c r="C76" s="56">
        <v>1</v>
      </c>
      <c r="D76" s="101"/>
      <c r="E76" s="102"/>
    </row>
    <row r="77" spans="1:5" ht="36" customHeight="1">
      <c r="A77" s="103" t="s">
        <v>80</v>
      </c>
      <c r="B77" s="99" t="s">
        <v>16</v>
      </c>
      <c r="C77" s="99">
        <v>0</v>
      </c>
      <c r="D77" s="101"/>
      <c r="E77" s="102"/>
    </row>
    <row r="78" spans="1:4" ht="15">
      <c r="A78" s="69"/>
      <c r="B78" s="69"/>
      <c r="C78" s="69"/>
      <c r="D78" s="104"/>
    </row>
    <row r="79" spans="1:14" s="1" customFormat="1" ht="12.75">
      <c r="A79"/>
      <c r="B79"/>
      <c r="C79"/>
      <c r="D79"/>
      <c r="H79" s="1" t="s">
        <v>32</v>
      </c>
      <c r="K79"/>
      <c r="L79"/>
      <c r="M79"/>
      <c r="N79"/>
    </row>
    <row r="80" spans="1:14" s="1" customFormat="1" ht="12.75">
      <c r="A80" t="s">
        <v>81</v>
      </c>
      <c r="B80"/>
      <c r="C80"/>
      <c r="D80"/>
      <c r="K80"/>
      <c r="L80"/>
      <c r="M80"/>
      <c r="N80"/>
    </row>
    <row r="81" spans="1:14" s="1" customFormat="1" ht="12.75">
      <c r="A81"/>
      <c r="B81"/>
      <c r="C81"/>
      <c r="D81"/>
      <c r="H81" s="1" t="s">
        <v>32</v>
      </c>
      <c r="K81"/>
      <c r="L81"/>
      <c r="M81"/>
      <c r="N81"/>
    </row>
    <row r="82" spans="1:14" s="1" customFormat="1" ht="12.75">
      <c r="A82" t="s">
        <v>82</v>
      </c>
      <c r="B82"/>
      <c r="C82"/>
      <c r="D82"/>
      <c r="K82"/>
      <c r="L82"/>
      <c r="M82"/>
      <c r="N82"/>
    </row>
    <row r="86" spans="1:14" s="1" customFormat="1" ht="12.75">
      <c r="A86"/>
      <c r="B86"/>
      <c r="C86"/>
      <c r="D86"/>
      <c r="E86" s="1" t="s">
        <v>32</v>
      </c>
      <c r="K86"/>
      <c r="L86"/>
      <c r="M86"/>
      <c r="N86"/>
    </row>
  </sheetData>
  <sheetProtection selectLockedCells="1" selectUnlockedCells="1"/>
  <mergeCells count="13">
    <mergeCell ref="A1:D1"/>
    <mergeCell ref="A2:D2"/>
    <mergeCell ref="A3:D3"/>
    <mergeCell ref="A4:D4"/>
    <mergeCell ref="A5:D5"/>
    <mergeCell ref="A7:D7"/>
    <mergeCell ref="A74:D74"/>
    <mergeCell ref="A14:D14"/>
    <mergeCell ref="A29:D29"/>
    <mergeCell ref="A43:D43"/>
    <mergeCell ref="A48:D48"/>
    <mergeCell ref="A55:D55"/>
    <mergeCell ref="A69:D69"/>
  </mergeCells>
  <printOptions/>
  <pageMargins left="0.5597222222222222" right="0.7875" top="0.34097222222222223" bottom="0.7875" header="0.5118055555555555" footer="0.5118055555555555"/>
  <pageSetup fitToHeight="3" fitToWidth="2" horizontalDpi="300" verticalDpi="300" orientation="landscape" paperSize="12" r:id="rId1"/>
</worksheet>
</file>

<file path=xl/worksheets/sheet6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6"/>
  <sheetViews>
    <sheetView zoomScale="80" zoomScaleNormal="80" zoomScalePageLayoutView="0" workbookViewId="0" topLeftCell="A1">
      <selection activeCell="C17" sqref="C17"/>
    </sheetView>
  </sheetViews>
  <sheetFormatPr defaultColWidth="11.57421875" defaultRowHeight="12.75"/>
  <cols>
    <col min="1" max="1" width="63.28125" style="0" customWidth="1"/>
    <col min="2" max="2" width="20.28125" style="0" customWidth="1"/>
    <col min="3" max="3" width="31.421875" style="0" customWidth="1"/>
    <col min="4" max="4" width="27.57421875" style="0" customWidth="1"/>
    <col min="5" max="5" width="16.8515625" style="1" customWidth="1"/>
    <col min="6" max="7" width="0" style="1" hidden="1" customWidth="1"/>
    <col min="8" max="8" width="11.57421875" style="1" customWidth="1"/>
    <col min="9" max="9" width="5.28125" style="1" customWidth="1"/>
    <col min="10" max="10" width="30.00390625" style="1" customWidth="1"/>
    <col min="11" max="12" width="23.28125" style="0" customWidth="1"/>
    <col min="13" max="13" width="6.57421875" style="0" customWidth="1"/>
    <col min="14" max="14" width="7.00390625" style="0" customWidth="1"/>
  </cols>
  <sheetData>
    <row r="1" spans="1:4" ht="18">
      <c r="A1" s="265" t="s">
        <v>0</v>
      </c>
      <c r="B1" s="265"/>
      <c r="C1" s="265"/>
      <c r="D1" s="265"/>
    </row>
    <row r="2" spans="1:4" ht="15.75">
      <c r="A2" s="266" t="s">
        <v>1</v>
      </c>
      <c r="B2" s="266"/>
      <c r="C2" s="266"/>
      <c r="D2" s="266"/>
    </row>
    <row r="3" spans="1:4" ht="15.75">
      <c r="A3" s="266" t="s">
        <v>2</v>
      </c>
      <c r="B3" s="266"/>
      <c r="C3" s="266"/>
      <c r="D3" s="266"/>
    </row>
    <row r="4" spans="1:4" ht="12.75">
      <c r="A4" s="267" t="s">
        <v>167</v>
      </c>
      <c r="B4" s="267"/>
      <c r="C4" s="267"/>
      <c r="D4" s="267"/>
    </row>
    <row r="5" spans="1:4" ht="12.75">
      <c r="A5" s="268" t="s">
        <v>171</v>
      </c>
      <c r="B5" s="267"/>
      <c r="C5" s="267"/>
      <c r="D5" s="267"/>
    </row>
    <row r="6" ht="15.75" customHeight="1">
      <c r="A6" s="2" t="s">
        <v>282</v>
      </c>
    </row>
    <row r="7" spans="1:4" ht="18" customHeight="1">
      <c r="A7" s="269" t="s">
        <v>4</v>
      </c>
      <c r="B7" s="269"/>
      <c r="C7" s="269"/>
      <c r="D7" s="269"/>
    </row>
    <row r="8" spans="1:3" ht="12.75">
      <c r="A8" s="2"/>
      <c r="C8" s="3"/>
    </row>
    <row r="9" spans="1:4" ht="12.75">
      <c r="A9" s="4" t="s">
        <v>5</v>
      </c>
      <c r="B9" s="4" t="s">
        <v>6</v>
      </c>
      <c r="C9" s="4" t="s">
        <v>7</v>
      </c>
      <c r="D9" s="5"/>
    </row>
    <row r="10" spans="1:4" ht="12.75">
      <c r="A10" s="6">
        <v>1</v>
      </c>
      <c r="B10" s="6">
        <v>2</v>
      </c>
      <c r="C10" s="6">
        <v>3</v>
      </c>
      <c r="D10" s="7">
        <v>4</v>
      </c>
    </row>
    <row r="11" spans="1:4" ht="12.75">
      <c r="A11" s="8" t="s">
        <v>8</v>
      </c>
      <c r="B11" s="9"/>
      <c r="C11" s="177" t="s">
        <v>172</v>
      </c>
      <c r="D11" s="10"/>
    </row>
    <row r="12" spans="1:4" ht="12.75">
      <c r="A12" s="8" t="s">
        <v>10</v>
      </c>
      <c r="B12" s="9"/>
      <c r="C12" s="177" t="s">
        <v>173</v>
      </c>
      <c r="D12" s="10"/>
    </row>
    <row r="13" spans="1:4" ht="12.75">
      <c r="A13" s="8" t="s">
        <v>12</v>
      </c>
      <c r="B13" s="9"/>
      <c r="C13" s="177" t="s">
        <v>174</v>
      </c>
      <c r="D13" s="10"/>
    </row>
    <row r="14" spans="1:8" ht="31.5" customHeight="1">
      <c r="A14" s="259" t="s">
        <v>14</v>
      </c>
      <c r="B14" s="259"/>
      <c r="C14" s="259"/>
      <c r="D14" s="259"/>
      <c r="E14" s="132"/>
      <c r="F14" s="132"/>
      <c r="G14" s="132"/>
      <c r="H14" s="132"/>
    </row>
    <row r="15" spans="1:8" ht="25.5">
      <c r="A15" s="11" t="s">
        <v>15</v>
      </c>
      <c r="B15" s="12" t="s">
        <v>16</v>
      </c>
      <c r="C15" s="13">
        <v>29243.81</v>
      </c>
      <c r="D15" s="14"/>
      <c r="E15" s="132"/>
      <c r="F15" s="132"/>
      <c r="G15" s="132"/>
      <c r="H15" s="132"/>
    </row>
    <row r="16" spans="1:8" ht="15">
      <c r="A16" s="8" t="s">
        <v>17</v>
      </c>
      <c r="B16" s="12" t="s">
        <v>16</v>
      </c>
      <c r="C16" s="13">
        <v>0</v>
      </c>
      <c r="D16" s="14"/>
      <c r="E16" s="132"/>
      <c r="F16" s="132"/>
      <c r="G16" s="132"/>
      <c r="H16" s="132"/>
    </row>
    <row r="17" spans="1:8" ht="15">
      <c r="A17" s="8" t="s">
        <v>18</v>
      </c>
      <c r="B17" s="12" t="s">
        <v>16</v>
      </c>
      <c r="C17" s="15">
        <v>0</v>
      </c>
      <c r="D17" s="16"/>
      <c r="E17" s="132" t="e">
        <f>B17/12/1022.6</f>
        <v>#VALUE!</v>
      </c>
      <c r="F17" s="132"/>
      <c r="G17" s="132"/>
      <c r="H17" s="132"/>
    </row>
    <row r="18" spans="1:8" ht="31.5" customHeight="1">
      <c r="A18" s="17" t="s">
        <v>19</v>
      </c>
      <c r="B18" s="12" t="s">
        <v>16</v>
      </c>
      <c r="C18" s="15">
        <v>22210.98</v>
      </c>
      <c r="D18" s="16"/>
      <c r="E18" s="133">
        <f>C18-C20</f>
        <v>17012.01</v>
      </c>
      <c r="F18" s="132"/>
      <c r="G18" s="132"/>
      <c r="H18" s="132"/>
    </row>
    <row r="19" spans="1:8" ht="15">
      <c r="A19" s="8" t="s">
        <v>20</v>
      </c>
      <c r="B19" s="12" t="s">
        <v>16</v>
      </c>
      <c r="C19" s="15">
        <f>C18-C20-C21</f>
        <v>9381.641999999998</v>
      </c>
      <c r="D19" s="16"/>
      <c r="E19" s="133">
        <f>E18-E39</f>
        <v>-0.004000000000814907</v>
      </c>
      <c r="F19" s="132"/>
      <c r="G19" s="132"/>
      <c r="H19" s="132"/>
    </row>
    <row r="20" spans="1:8" ht="15">
      <c r="A20" s="8" t="s">
        <v>21</v>
      </c>
      <c r="B20" s="12" t="s">
        <v>16</v>
      </c>
      <c r="C20" s="15">
        <f>(1.02+0.23)*6*130.3+4221.72</f>
        <v>5198.97</v>
      </c>
      <c r="D20" s="16"/>
      <c r="E20" s="134"/>
      <c r="F20" s="132"/>
      <c r="G20" s="132"/>
      <c r="H20" s="132"/>
    </row>
    <row r="21" spans="1:8" ht="15">
      <c r="A21" s="8" t="s">
        <v>22</v>
      </c>
      <c r="B21" s="12" t="s">
        <v>16</v>
      </c>
      <c r="C21" s="20">
        <f>130.3*4.88*12</f>
        <v>7630.368</v>
      </c>
      <c r="D21" s="16"/>
      <c r="E21" s="132"/>
      <c r="F21" s="132"/>
      <c r="G21" s="132"/>
      <c r="H21" s="132"/>
    </row>
    <row r="22" spans="1:8" ht="15">
      <c r="A22" s="21" t="s">
        <v>23</v>
      </c>
      <c r="B22" s="12" t="s">
        <v>16</v>
      </c>
      <c r="C22" s="15">
        <f>C23</f>
        <v>22210.98</v>
      </c>
      <c r="D22" s="16" t="s">
        <v>24</v>
      </c>
      <c r="E22" s="133" t="e">
        <f>B24+B25+B26+B27+B28</f>
        <v>#VALUE!</v>
      </c>
      <c r="F22" s="132"/>
      <c r="G22" s="132"/>
      <c r="H22" s="132"/>
    </row>
    <row r="23" spans="1:8" ht="15">
      <c r="A23" s="8" t="s">
        <v>25</v>
      </c>
      <c r="B23" s="12" t="s">
        <v>16</v>
      </c>
      <c r="C23" s="15">
        <f>C18*1</f>
        <v>22210.98</v>
      </c>
      <c r="D23" s="16"/>
      <c r="E23" s="132"/>
      <c r="F23" s="132"/>
      <c r="G23" s="132"/>
      <c r="H23" s="132"/>
    </row>
    <row r="24" spans="1:8" ht="15">
      <c r="A24" s="8" t="s">
        <v>26</v>
      </c>
      <c r="B24" s="12" t="s">
        <v>16</v>
      </c>
      <c r="C24" s="15">
        <v>0</v>
      </c>
      <c r="D24" s="22">
        <v>65.21</v>
      </c>
      <c r="E24" s="134" t="e">
        <f>B24/#REF!*1</f>
        <v>#VALUE!</v>
      </c>
      <c r="F24" s="132"/>
      <c r="G24" s="132"/>
      <c r="H24" s="132" t="s">
        <v>27</v>
      </c>
    </row>
    <row r="25" spans="1:8" ht="15">
      <c r="A25" s="8" t="s">
        <v>28</v>
      </c>
      <c r="B25" s="12" t="s">
        <v>16</v>
      </c>
      <c r="C25" s="15">
        <v>0</v>
      </c>
      <c r="D25" s="22">
        <v>119.63</v>
      </c>
      <c r="E25" s="134" t="e">
        <f>B25/#REF!*1</f>
        <v>#VALUE!</v>
      </c>
      <c r="F25" s="132"/>
      <c r="G25" s="132"/>
      <c r="H25" s="132"/>
    </row>
    <row r="26" spans="1:8" ht="15">
      <c r="A26" s="9" t="s">
        <v>29</v>
      </c>
      <c r="B26" s="12" t="s">
        <v>16</v>
      </c>
      <c r="C26" s="15">
        <v>0</v>
      </c>
      <c r="D26" s="22"/>
      <c r="E26" s="134" t="e">
        <f>B26/#REF!*1</f>
        <v>#VALUE!</v>
      </c>
      <c r="F26" s="132"/>
      <c r="G26" s="132"/>
      <c r="H26" s="132"/>
    </row>
    <row r="27" spans="1:8" ht="16.5" customHeight="1">
      <c r="A27" s="116" t="s">
        <v>112</v>
      </c>
      <c r="B27" s="12" t="s">
        <v>16</v>
      </c>
      <c r="C27" s="15">
        <v>0</v>
      </c>
      <c r="D27" s="22">
        <v>139.18</v>
      </c>
      <c r="E27" s="134" t="e">
        <f>B27/#REF!*1</f>
        <v>#VALUE!</v>
      </c>
      <c r="F27" s="132"/>
      <c r="G27" s="132"/>
      <c r="H27" s="132"/>
    </row>
    <row r="28" spans="1:8" ht="15">
      <c r="A28" s="8" t="s">
        <v>31</v>
      </c>
      <c r="B28" s="12" t="s">
        <v>16</v>
      </c>
      <c r="C28" s="15">
        <f>C15+C22</f>
        <v>51454.79</v>
      </c>
      <c r="D28" s="16" t="s">
        <v>32</v>
      </c>
      <c r="E28" s="134" t="e">
        <f>B28/#REF!*1</f>
        <v>#VALUE!</v>
      </c>
      <c r="F28" s="132"/>
      <c r="G28" s="132"/>
      <c r="H28" s="132"/>
    </row>
    <row r="29" spans="1:8" ht="35.25" customHeight="1">
      <c r="A29" s="260" t="s">
        <v>33</v>
      </c>
      <c r="B29" s="260"/>
      <c r="C29" s="260"/>
      <c r="D29" s="260"/>
      <c r="E29" s="132"/>
      <c r="F29" s="132"/>
      <c r="G29" s="132"/>
      <c r="H29" s="132"/>
    </row>
    <row r="30" spans="1:8" ht="60">
      <c r="A30" s="23" t="s">
        <v>34</v>
      </c>
      <c r="B30" s="24" t="s">
        <v>35</v>
      </c>
      <c r="C30" s="25" t="s">
        <v>36</v>
      </c>
      <c r="D30" s="26" t="s">
        <v>37</v>
      </c>
      <c r="E30" s="132"/>
      <c r="F30" s="132"/>
      <c r="G30" s="132"/>
      <c r="H30" s="132"/>
    </row>
    <row r="31" spans="1:8" ht="15">
      <c r="A31" s="27" t="s">
        <v>38</v>
      </c>
      <c r="B31" s="28" t="s">
        <v>39</v>
      </c>
      <c r="C31" s="29" t="s">
        <v>40</v>
      </c>
      <c r="D31" s="107">
        <f>(0.17+0.16)*6*130.3</f>
        <v>257.994</v>
      </c>
      <c r="E31" s="132"/>
      <c r="F31" s="132"/>
      <c r="G31" s="132"/>
      <c r="H31" s="132"/>
    </row>
    <row r="32" spans="1:8" ht="15">
      <c r="A32" s="31" t="s">
        <v>41</v>
      </c>
      <c r="B32" s="32" t="s">
        <v>42</v>
      </c>
      <c r="C32" s="33" t="s">
        <v>43</v>
      </c>
      <c r="D32" s="34">
        <f>(3.03+3)*6*130.3</f>
        <v>4714.253999999999</v>
      </c>
      <c r="E32" s="132"/>
      <c r="F32" s="132"/>
      <c r="G32" s="132"/>
      <c r="H32" s="132"/>
    </row>
    <row r="33" spans="1:8" ht="15">
      <c r="A33" s="31" t="s">
        <v>44</v>
      </c>
      <c r="B33" s="32" t="s">
        <v>39</v>
      </c>
      <c r="C33" s="33" t="s">
        <v>45</v>
      </c>
      <c r="D33" s="108">
        <f>(0.21+0.2)*6*130.3</f>
        <v>320.538</v>
      </c>
      <c r="E33" s="132"/>
      <c r="F33" s="132"/>
      <c r="G33" s="132"/>
      <c r="H33" s="132"/>
    </row>
    <row r="34" spans="1:8" ht="15">
      <c r="A34" s="31" t="s">
        <v>123</v>
      </c>
      <c r="B34" s="32" t="s">
        <v>39</v>
      </c>
      <c r="C34" s="33" t="s">
        <v>40</v>
      </c>
      <c r="D34" s="108">
        <f>(0.74+0.71)*6*130.3</f>
        <v>1133.61</v>
      </c>
      <c r="E34" s="132"/>
      <c r="F34" s="132"/>
      <c r="G34" s="132"/>
      <c r="H34" s="132"/>
    </row>
    <row r="35" spans="1:8" ht="15">
      <c r="A35" s="31" t="s">
        <v>90</v>
      </c>
      <c r="B35" s="106" t="s">
        <v>91</v>
      </c>
      <c r="C35" s="33" t="s">
        <v>40</v>
      </c>
      <c r="D35" s="108">
        <f>(1.33+1.27)*6*130.3</f>
        <v>2032.6800000000003</v>
      </c>
      <c r="E35" s="132"/>
      <c r="F35" s="132"/>
      <c r="G35" s="132"/>
      <c r="H35" s="132"/>
    </row>
    <row r="36" spans="1:8" ht="15">
      <c r="A36" s="31" t="s">
        <v>46</v>
      </c>
      <c r="B36" s="32" t="s">
        <v>42</v>
      </c>
      <c r="C36" s="35" t="s">
        <v>47</v>
      </c>
      <c r="D36" s="108">
        <f>4.88*130.3*12</f>
        <v>7630.368</v>
      </c>
      <c r="E36" s="132"/>
      <c r="F36" s="132"/>
      <c r="G36" s="132"/>
      <c r="H36" s="132"/>
    </row>
    <row r="37" spans="1:14" s="1" customFormat="1" ht="45">
      <c r="A37" s="36" t="s">
        <v>48</v>
      </c>
      <c r="B37" s="37" t="s">
        <v>49</v>
      </c>
      <c r="C37" s="131" t="s">
        <v>163</v>
      </c>
      <c r="D37" s="39">
        <v>0</v>
      </c>
      <c r="E37" s="132"/>
      <c r="F37" s="132"/>
      <c r="G37" s="132"/>
      <c r="H37" s="132"/>
      <c r="K37"/>
      <c r="L37"/>
      <c r="M37"/>
      <c r="N37"/>
    </row>
    <row r="38" spans="1:14" s="1" customFormat="1" ht="45">
      <c r="A38" s="109" t="s">
        <v>95</v>
      </c>
      <c r="B38" s="110" t="s">
        <v>96</v>
      </c>
      <c r="C38" s="29" t="s">
        <v>97</v>
      </c>
      <c r="D38" s="112">
        <v>922.57</v>
      </c>
      <c r="E38" s="132"/>
      <c r="F38" s="132"/>
      <c r="G38" s="132"/>
      <c r="H38" s="132"/>
      <c r="K38"/>
      <c r="L38"/>
      <c r="M38"/>
      <c r="N38"/>
    </row>
    <row r="39" spans="1:14" s="1" customFormat="1" ht="15.75">
      <c r="A39" s="40" t="s">
        <v>50</v>
      </c>
      <c r="B39" s="41"/>
      <c r="C39" s="42"/>
      <c r="D39" s="113">
        <f>SUM(D31:D38)</f>
        <v>17012.014</v>
      </c>
      <c r="E39" s="135">
        <f>D39-D37</f>
        <v>17012.014</v>
      </c>
      <c r="F39" s="132"/>
      <c r="G39" s="132"/>
      <c r="H39" s="132"/>
      <c r="K39"/>
      <c r="L39"/>
      <c r="M39"/>
      <c r="N39"/>
    </row>
    <row r="40" spans="1:14" s="1" customFormat="1" ht="15">
      <c r="A40" s="43" t="s">
        <v>51</v>
      </c>
      <c r="B40" s="44" t="s">
        <v>16</v>
      </c>
      <c r="C40" s="45"/>
      <c r="D40" s="46">
        <f>C15+C20*1-D37</f>
        <v>34442.78</v>
      </c>
      <c r="E40" s="135"/>
      <c r="F40" s="132"/>
      <c r="G40" s="132"/>
      <c r="H40" s="132"/>
      <c r="K40"/>
      <c r="L40"/>
      <c r="M40"/>
      <c r="N40"/>
    </row>
    <row r="41" spans="1:14" s="1" customFormat="1" ht="15">
      <c r="A41" s="48" t="s">
        <v>17</v>
      </c>
      <c r="B41" s="49" t="s">
        <v>16</v>
      </c>
      <c r="C41" s="33"/>
      <c r="D41" s="14"/>
      <c r="E41" s="132"/>
      <c r="F41" s="132"/>
      <c r="G41" s="132"/>
      <c r="H41" s="132"/>
      <c r="K41"/>
      <c r="L41"/>
      <c r="M41"/>
      <c r="N41"/>
    </row>
    <row r="42" spans="1:14" s="1" customFormat="1" ht="15">
      <c r="A42" s="48" t="s">
        <v>18</v>
      </c>
      <c r="B42" s="49" t="s">
        <v>16</v>
      </c>
      <c r="C42" s="33"/>
      <c r="D42" s="14">
        <v>0</v>
      </c>
      <c r="E42" s="132"/>
      <c r="F42" s="132"/>
      <c r="G42" s="132"/>
      <c r="H42" s="132"/>
      <c r="K42"/>
      <c r="L42"/>
      <c r="M42"/>
      <c r="N42"/>
    </row>
    <row r="43" spans="1:14" s="1" customFormat="1" ht="24" customHeight="1">
      <c r="A43" s="261" t="s">
        <v>52</v>
      </c>
      <c r="B43" s="261"/>
      <c r="C43" s="261"/>
      <c r="D43" s="261"/>
      <c r="E43" s="132"/>
      <c r="F43" s="132"/>
      <c r="G43" s="132"/>
      <c r="H43" s="132"/>
      <c r="K43"/>
      <c r="L43"/>
      <c r="M43"/>
      <c r="N43"/>
    </row>
    <row r="44" spans="1:14" s="1" customFormat="1" ht="15">
      <c r="A44" s="48" t="s">
        <v>53</v>
      </c>
      <c r="B44" s="32" t="s">
        <v>54</v>
      </c>
      <c r="C44" s="33">
        <v>0</v>
      </c>
      <c r="D44" s="14">
        <v>0</v>
      </c>
      <c r="E44" s="132"/>
      <c r="F44" s="132"/>
      <c r="G44" s="132"/>
      <c r="H44" s="132"/>
      <c r="K44"/>
      <c r="L44"/>
      <c r="M44"/>
      <c r="N44"/>
    </row>
    <row r="45" spans="1:14" s="1" customFormat="1" ht="15">
      <c r="A45" s="48" t="s">
        <v>55</v>
      </c>
      <c r="B45" s="32" t="s">
        <v>54</v>
      </c>
      <c r="C45" s="33">
        <v>0</v>
      </c>
      <c r="D45" s="14">
        <v>0</v>
      </c>
      <c r="E45" s="132"/>
      <c r="F45" s="132"/>
      <c r="G45" s="132"/>
      <c r="H45" s="132"/>
      <c r="K45"/>
      <c r="L45"/>
      <c r="M45"/>
      <c r="N45"/>
    </row>
    <row r="46" spans="1:14" s="1" customFormat="1" ht="15">
      <c r="A46" s="50" t="s">
        <v>56</v>
      </c>
      <c r="B46" s="32" t="s">
        <v>54</v>
      </c>
      <c r="C46" s="33">
        <v>0</v>
      </c>
      <c r="D46" s="14">
        <v>0</v>
      </c>
      <c r="E46" s="132"/>
      <c r="F46" s="132"/>
      <c r="G46" s="132"/>
      <c r="H46" s="132"/>
      <c r="K46"/>
      <c r="L46"/>
      <c r="M46"/>
      <c r="N46"/>
    </row>
    <row r="47" spans="1:14" s="1" customFormat="1" ht="15">
      <c r="A47" s="48" t="s">
        <v>57</v>
      </c>
      <c r="B47" s="32" t="s">
        <v>16</v>
      </c>
      <c r="C47" s="33">
        <v>0</v>
      </c>
      <c r="D47" s="14">
        <v>0</v>
      </c>
      <c r="E47" s="132"/>
      <c r="F47" s="132"/>
      <c r="G47" s="132"/>
      <c r="H47" s="132"/>
      <c r="K47"/>
      <c r="L47"/>
      <c r="M47"/>
      <c r="N47"/>
    </row>
    <row r="48" spans="1:8" ht="20.25" customHeight="1">
      <c r="A48" s="262" t="s">
        <v>58</v>
      </c>
      <c r="B48" s="262"/>
      <c r="C48" s="262"/>
      <c r="D48" s="262"/>
      <c r="E48" s="132"/>
      <c r="F48" s="132"/>
      <c r="G48" s="132"/>
      <c r="H48" s="132"/>
    </row>
    <row r="49" spans="1:8" ht="25.5">
      <c r="A49" s="50" t="s">
        <v>59</v>
      </c>
      <c r="B49" s="32" t="s">
        <v>16</v>
      </c>
      <c r="C49" s="33"/>
      <c r="D49" s="14">
        <v>0</v>
      </c>
      <c r="E49" s="132"/>
      <c r="F49" s="132"/>
      <c r="G49" s="132"/>
      <c r="H49" s="132"/>
    </row>
    <row r="50" spans="1:8" ht="15">
      <c r="A50" s="48" t="s">
        <v>17</v>
      </c>
      <c r="B50" s="32" t="s">
        <v>16</v>
      </c>
      <c r="C50" s="33"/>
      <c r="D50" s="14">
        <v>0</v>
      </c>
      <c r="E50" s="132"/>
      <c r="F50" s="132"/>
      <c r="G50" s="132"/>
      <c r="H50" s="132"/>
    </row>
    <row r="51" spans="1:8" ht="15">
      <c r="A51" s="48" t="s">
        <v>18</v>
      </c>
      <c r="B51" s="32" t="s">
        <v>16</v>
      </c>
      <c r="C51" s="33"/>
      <c r="D51" s="51">
        <f>D54-D57</f>
        <v>0</v>
      </c>
      <c r="E51" s="132"/>
      <c r="F51" s="132"/>
      <c r="G51" s="132"/>
      <c r="H51" s="136"/>
    </row>
    <row r="52" spans="1:8" ht="25.5">
      <c r="A52" s="53" t="s">
        <v>60</v>
      </c>
      <c r="B52" s="32" t="s">
        <v>16</v>
      </c>
      <c r="C52" s="54"/>
      <c r="D52" s="55">
        <v>0</v>
      </c>
      <c r="E52" s="132"/>
      <c r="F52" s="132"/>
      <c r="G52" s="132"/>
      <c r="H52" s="132"/>
    </row>
    <row r="53" spans="1:10" ht="17.25" customHeight="1">
      <c r="A53" s="56" t="s">
        <v>17</v>
      </c>
      <c r="B53" s="32" t="s">
        <v>16</v>
      </c>
      <c r="C53" s="57"/>
      <c r="D53" s="58">
        <v>0</v>
      </c>
      <c r="E53" s="132"/>
      <c r="F53" s="132"/>
      <c r="G53" s="132"/>
      <c r="H53" s="132"/>
      <c r="I53" s="52"/>
      <c r="J53" s="52"/>
    </row>
    <row r="54" spans="1:14" ht="15">
      <c r="A54" s="59" t="s">
        <v>18</v>
      </c>
      <c r="B54" s="32" t="s">
        <v>16</v>
      </c>
      <c r="C54" s="60"/>
      <c r="D54" s="61">
        <v>0</v>
      </c>
      <c r="E54" s="132"/>
      <c r="F54" s="132"/>
      <c r="G54" s="132"/>
      <c r="H54" s="132" t="s">
        <v>32</v>
      </c>
      <c r="I54" s="63"/>
      <c r="J54" s="63"/>
      <c r="K54" s="64"/>
      <c r="L54" s="64"/>
      <c r="M54" s="64"/>
      <c r="N54" s="64"/>
    </row>
    <row r="55" spans="1:14" ht="18" customHeight="1">
      <c r="A55" s="263" t="s">
        <v>61</v>
      </c>
      <c r="B55" s="263"/>
      <c r="C55" s="263"/>
      <c r="D55" s="263"/>
      <c r="E55" s="137"/>
      <c r="F55" s="138"/>
      <c r="G55" s="139"/>
      <c r="H55" s="132"/>
      <c r="I55" s="68"/>
      <c r="J55" s="68"/>
      <c r="K55" s="69"/>
      <c r="L55" s="69"/>
      <c r="M55" s="69"/>
      <c r="N55" s="69"/>
    </row>
    <row r="56" spans="1:14" ht="47.25">
      <c r="A56" s="70" t="s">
        <v>62</v>
      </c>
      <c r="B56" s="71" t="s">
        <v>63</v>
      </c>
      <c r="C56" s="72" t="s">
        <v>64</v>
      </c>
      <c r="D56" s="73" t="s">
        <v>65</v>
      </c>
      <c r="E56" s="137"/>
      <c r="F56" s="138"/>
      <c r="G56" s="139"/>
      <c r="H56" s="132"/>
      <c r="I56" s="68"/>
      <c r="J56" s="74"/>
      <c r="K56" s="69"/>
      <c r="L56" s="69"/>
      <c r="M56" s="69"/>
      <c r="N56" s="69"/>
    </row>
    <row r="57" spans="1:14" ht="15">
      <c r="A57" s="75" t="s">
        <v>66</v>
      </c>
      <c r="B57" s="117">
        <v>9496.74</v>
      </c>
      <c r="C57" s="118">
        <f>B57*1</f>
        <v>9496.74</v>
      </c>
      <c r="D57" s="119">
        <f>B57-C57</f>
        <v>0</v>
      </c>
      <c r="E57" s="140"/>
      <c r="F57" s="138"/>
      <c r="G57" s="139"/>
      <c r="H57" s="132"/>
      <c r="I57" s="68"/>
      <c r="J57" s="68"/>
      <c r="K57" s="69"/>
      <c r="L57" s="69"/>
      <c r="M57" s="69"/>
      <c r="N57" s="69"/>
    </row>
    <row r="58" spans="1:14" ht="15">
      <c r="A58" s="75" t="s">
        <v>67</v>
      </c>
      <c r="B58" s="117">
        <v>0</v>
      </c>
      <c r="C58" s="118">
        <f>B58*0.9972</f>
        <v>0</v>
      </c>
      <c r="D58" s="119">
        <f>B58-C58</f>
        <v>0</v>
      </c>
      <c r="E58" s="137"/>
      <c r="F58" s="138"/>
      <c r="G58" s="139"/>
      <c r="H58" s="132"/>
      <c r="I58" s="68"/>
      <c r="J58" s="68"/>
      <c r="K58" s="69"/>
      <c r="L58" s="69"/>
      <c r="M58" s="69"/>
      <c r="N58" s="69"/>
    </row>
    <row r="59" spans="1:14" ht="15">
      <c r="A59" s="75" t="s">
        <v>68</v>
      </c>
      <c r="B59" s="120">
        <v>13660.74</v>
      </c>
      <c r="C59" s="118">
        <f>B59*1</f>
        <v>13660.74</v>
      </c>
      <c r="D59" s="119">
        <f>B59-C59</f>
        <v>0</v>
      </c>
      <c r="E59" s="137">
        <f>(2.07+1.8)*6*2301.2-0.37*2301.2*6</f>
        <v>48325.2</v>
      </c>
      <c r="F59" s="141"/>
      <c r="G59" s="142"/>
      <c r="H59" s="137"/>
      <c r="I59" s="68"/>
      <c r="J59" s="68"/>
      <c r="K59" s="69"/>
      <c r="L59" s="69"/>
      <c r="M59" s="69"/>
      <c r="N59" s="69"/>
    </row>
    <row r="60" spans="1:14" ht="15.75" thickBot="1">
      <c r="A60" s="150" t="s">
        <v>69</v>
      </c>
      <c r="B60" s="151">
        <v>0</v>
      </c>
      <c r="C60" s="152">
        <f>B60*1.0372</f>
        <v>0</v>
      </c>
      <c r="D60" s="153">
        <f>B60-C60</f>
        <v>0</v>
      </c>
      <c r="E60" s="137"/>
      <c r="F60" s="141"/>
      <c r="G60" s="142"/>
      <c r="H60" s="132"/>
      <c r="I60" s="68"/>
      <c r="J60" s="68"/>
      <c r="K60" s="69"/>
      <c r="L60" s="69"/>
      <c r="M60" s="69"/>
      <c r="N60" s="69"/>
    </row>
    <row r="61" spans="1:14" ht="63">
      <c r="A61" s="154" t="s">
        <v>70</v>
      </c>
      <c r="B61" s="155" t="s">
        <v>71</v>
      </c>
      <c r="C61" s="156" t="s">
        <v>72</v>
      </c>
      <c r="D61" s="157" t="s">
        <v>73</v>
      </c>
      <c r="E61" s="137"/>
      <c r="F61" s="141"/>
      <c r="G61" s="132"/>
      <c r="H61" s="143"/>
      <c r="I61" s="68"/>
      <c r="J61" s="68"/>
      <c r="K61" s="69"/>
      <c r="L61" s="69"/>
      <c r="M61" s="69"/>
      <c r="N61" s="69"/>
    </row>
    <row r="62" spans="1:14" ht="15">
      <c r="A62" s="158" t="s">
        <v>66</v>
      </c>
      <c r="B62" s="124">
        <f>B57</f>
        <v>9496.74</v>
      </c>
      <c r="C62" s="125">
        <f>C57</f>
        <v>9496.74</v>
      </c>
      <c r="D62" s="159">
        <f>B62-C62</f>
        <v>0</v>
      </c>
      <c r="E62" s="137"/>
      <c r="F62" s="141"/>
      <c r="G62" s="132"/>
      <c r="H62" s="143"/>
      <c r="I62" s="68"/>
      <c r="J62" s="68" t="s">
        <v>32</v>
      </c>
      <c r="K62" s="69"/>
      <c r="L62" s="69"/>
      <c r="M62" s="69"/>
      <c r="N62" s="69"/>
    </row>
    <row r="63" spans="1:14" ht="15">
      <c r="A63" s="158" t="s">
        <v>67</v>
      </c>
      <c r="B63" s="124">
        <f>B58</f>
        <v>0</v>
      </c>
      <c r="C63" s="125">
        <f>C58*1.0063</f>
        <v>0</v>
      </c>
      <c r="D63" s="159">
        <f>B63-C63</f>
        <v>0</v>
      </c>
      <c r="E63" s="137"/>
      <c r="F63" s="141"/>
      <c r="G63" s="132"/>
      <c r="H63" s="143"/>
      <c r="I63" s="68"/>
      <c r="J63" s="68"/>
      <c r="K63" s="69"/>
      <c r="L63" s="69"/>
      <c r="M63" s="69"/>
      <c r="N63" s="69"/>
    </row>
    <row r="64" spans="1:14" ht="15">
      <c r="A64" s="158" t="s">
        <v>68</v>
      </c>
      <c r="B64" s="124">
        <f>B59</f>
        <v>13660.74</v>
      </c>
      <c r="C64" s="125">
        <f>C59</f>
        <v>13660.74</v>
      </c>
      <c r="D64" s="159">
        <f>B64-C64</f>
        <v>0</v>
      </c>
      <c r="E64" s="137"/>
      <c r="F64" s="141"/>
      <c r="G64" s="132"/>
      <c r="H64" s="143"/>
      <c r="I64" s="68"/>
      <c r="J64" s="68"/>
      <c r="K64" s="69"/>
      <c r="L64" s="69"/>
      <c r="M64" s="69"/>
      <c r="N64" s="69"/>
    </row>
    <row r="65" spans="1:14" ht="15">
      <c r="A65" s="158" t="s">
        <v>74</v>
      </c>
      <c r="B65" s="124">
        <v>0</v>
      </c>
      <c r="C65" s="125">
        <v>0</v>
      </c>
      <c r="D65" s="159">
        <f>B65-C65</f>
        <v>0</v>
      </c>
      <c r="E65" s="137"/>
      <c r="F65" s="141"/>
      <c r="G65" s="132"/>
      <c r="H65" s="143"/>
      <c r="I65" s="68"/>
      <c r="J65" s="68"/>
      <c r="K65" s="69"/>
      <c r="L65" s="69"/>
      <c r="M65" s="69"/>
      <c r="N65" s="69"/>
    </row>
    <row r="66" spans="1:14" ht="15.75" thickBot="1">
      <c r="A66" s="160" t="s">
        <v>69</v>
      </c>
      <c r="B66" s="161">
        <v>0</v>
      </c>
      <c r="C66" s="162">
        <v>0</v>
      </c>
      <c r="D66" s="163">
        <f>B66-C66</f>
        <v>0</v>
      </c>
      <c r="E66" s="137"/>
      <c r="F66" s="141"/>
      <c r="G66" s="132"/>
      <c r="H66" s="143" t="s">
        <v>32</v>
      </c>
      <c r="I66" s="68"/>
      <c r="J66" s="68"/>
      <c r="K66" s="69"/>
      <c r="L66" s="69"/>
      <c r="M66" s="69"/>
      <c r="N66" s="69"/>
    </row>
    <row r="67" spans="1:14" ht="15">
      <c r="A67" s="91"/>
      <c r="B67" s="87"/>
      <c r="C67" s="92"/>
      <c r="D67" s="93"/>
      <c r="E67" s="65"/>
      <c r="F67" s="81"/>
      <c r="H67" s="68"/>
      <c r="I67" s="68"/>
      <c r="J67" s="68"/>
      <c r="K67" s="69"/>
      <c r="L67" s="69"/>
      <c r="M67" s="69"/>
      <c r="N67" s="69"/>
    </row>
    <row r="68" spans="1:14" ht="25.5">
      <c r="A68" s="94" t="s">
        <v>75</v>
      </c>
      <c r="B68" s="87" t="s">
        <v>16</v>
      </c>
      <c r="C68" s="95"/>
      <c r="D68" s="96"/>
      <c r="E68" s="65"/>
      <c r="F68" s="81"/>
      <c r="H68" s="68"/>
      <c r="I68" s="68"/>
      <c r="J68" s="68" t="s">
        <v>32</v>
      </c>
      <c r="K68" s="69"/>
      <c r="L68" s="69"/>
      <c r="M68" s="69"/>
      <c r="N68" s="69"/>
    </row>
    <row r="69" spans="1:14" ht="17.25" customHeight="1">
      <c r="A69" s="264" t="s">
        <v>76</v>
      </c>
      <c r="B69" s="264"/>
      <c r="C69" s="264"/>
      <c r="D69" s="264"/>
      <c r="E69" s="97" t="e">
        <f>D69+B19</f>
        <v>#VALUE!</v>
      </c>
      <c r="F69" s="68"/>
      <c r="H69" s="98" t="e">
        <f>E69-B18</f>
        <v>#VALUE!</v>
      </c>
      <c r="I69" s="68"/>
      <c r="J69" s="68"/>
      <c r="K69" s="69"/>
      <c r="L69" s="69"/>
      <c r="M69" s="69"/>
      <c r="N69" s="69"/>
    </row>
    <row r="70" spans="1:5" ht="21" customHeight="1">
      <c r="A70" s="99" t="s">
        <v>53</v>
      </c>
      <c r="B70" s="99" t="s">
        <v>54</v>
      </c>
      <c r="C70" s="100">
        <v>0</v>
      </c>
      <c r="D70" s="101"/>
      <c r="E70" s="102"/>
    </row>
    <row r="71" spans="1:5" ht="21" customHeight="1">
      <c r="A71" s="99" t="s">
        <v>55</v>
      </c>
      <c r="B71" s="99" t="s">
        <v>54</v>
      </c>
      <c r="C71" s="99">
        <v>0</v>
      </c>
      <c r="D71" s="101"/>
      <c r="E71" s="102"/>
    </row>
    <row r="72" spans="1:5" ht="18" customHeight="1">
      <c r="A72" s="99" t="s">
        <v>56</v>
      </c>
      <c r="B72" s="99" t="s">
        <v>54</v>
      </c>
      <c r="C72" s="99">
        <v>0</v>
      </c>
      <c r="D72" s="101"/>
      <c r="E72" s="102"/>
    </row>
    <row r="73" spans="1:5" ht="16.5" customHeight="1">
      <c r="A73" s="99" t="s">
        <v>57</v>
      </c>
      <c r="B73" s="99" t="s">
        <v>16</v>
      </c>
      <c r="C73" s="99">
        <v>0</v>
      </c>
      <c r="D73" s="101"/>
      <c r="E73" s="102"/>
    </row>
    <row r="74" spans="1:5" ht="15.75" customHeight="1">
      <c r="A74" s="258" t="s">
        <v>77</v>
      </c>
      <c r="B74" s="258"/>
      <c r="C74" s="258"/>
      <c r="D74" s="258"/>
      <c r="E74" s="102"/>
    </row>
    <row r="75" spans="1:5" ht="18.75" customHeight="1">
      <c r="A75" s="99" t="s">
        <v>78</v>
      </c>
      <c r="B75" s="99" t="s">
        <v>54</v>
      </c>
      <c r="C75" s="99">
        <v>0</v>
      </c>
      <c r="D75" s="101"/>
      <c r="E75" s="102"/>
    </row>
    <row r="76" spans="1:5" ht="21.75" customHeight="1">
      <c r="A76" s="99" t="s">
        <v>79</v>
      </c>
      <c r="B76" s="56" t="s">
        <v>54</v>
      </c>
      <c r="C76" s="56">
        <v>0</v>
      </c>
      <c r="D76" s="101"/>
      <c r="E76" s="102"/>
    </row>
    <row r="77" spans="1:5" ht="36" customHeight="1">
      <c r="A77" s="103" t="s">
        <v>80</v>
      </c>
      <c r="B77" s="99" t="s">
        <v>16</v>
      </c>
      <c r="C77" s="99">
        <v>0</v>
      </c>
      <c r="D77" s="101"/>
      <c r="E77" s="102"/>
    </row>
    <row r="78" spans="1:4" ht="15">
      <c r="A78" s="69"/>
      <c r="B78" s="69"/>
      <c r="C78" s="69"/>
      <c r="D78" s="104"/>
    </row>
    <row r="79" spans="1:14" s="1" customFormat="1" ht="12.75">
      <c r="A79"/>
      <c r="B79"/>
      <c r="C79"/>
      <c r="D79"/>
      <c r="H79" s="1" t="s">
        <v>32</v>
      </c>
      <c r="K79"/>
      <c r="L79"/>
      <c r="M79"/>
      <c r="N79"/>
    </row>
    <row r="80" spans="1:14" s="1" customFormat="1" ht="12.75">
      <c r="A80" t="s">
        <v>81</v>
      </c>
      <c r="B80"/>
      <c r="C80"/>
      <c r="D80"/>
      <c r="K80"/>
      <c r="L80"/>
      <c r="M80"/>
      <c r="N80"/>
    </row>
    <row r="81" spans="1:14" s="1" customFormat="1" ht="12.75">
      <c r="A81"/>
      <c r="B81"/>
      <c r="C81"/>
      <c r="D81"/>
      <c r="H81" s="1" t="s">
        <v>32</v>
      </c>
      <c r="K81"/>
      <c r="L81"/>
      <c r="M81"/>
      <c r="N81"/>
    </row>
    <row r="82" spans="1:14" s="1" customFormat="1" ht="12.75">
      <c r="A82" t="s">
        <v>82</v>
      </c>
      <c r="B82"/>
      <c r="C82"/>
      <c r="D82"/>
      <c r="K82"/>
      <c r="L82"/>
      <c r="M82"/>
      <c r="N82"/>
    </row>
    <row r="86" spans="1:14" s="1" customFormat="1" ht="12.75">
      <c r="A86"/>
      <c r="B86"/>
      <c r="C86"/>
      <c r="D86"/>
      <c r="E86" s="1" t="s">
        <v>32</v>
      </c>
      <c r="K86"/>
      <c r="L86"/>
      <c r="M86"/>
      <c r="N86"/>
    </row>
  </sheetData>
  <sheetProtection selectLockedCells="1" selectUnlockedCells="1"/>
  <mergeCells count="13">
    <mergeCell ref="A1:D1"/>
    <mergeCell ref="A2:D2"/>
    <mergeCell ref="A3:D3"/>
    <mergeCell ref="A4:D4"/>
    <mergeCell ref="A5:D5"/>
    <mergeCell ref="A7:D7"/>
    <mergeCell ref="A74:D74"/>
    <mergeCell ref="A14:D14"/>
    <mergeCell ref="A29:D29"/>
    <mergeCell ref="A43:D43"/>
    <mergeCell ref="A48:D48"/>
    <mergeCell ref="A55:D55"/>
    <mergeCell ref="A69:D69"/>
  </mergeCells>
  <printOptions/>
  <pageMargins left="0.5597222222222222" right="0.7875" top="0.34097222222222223" bottom="0.7875" header="0.5118055555555555" footer="0.5118055555555555"/>
  <pageSetup fitToHeight="3" fitToWidth="2" horizontalDpi="300" verticalDpi="300" orientation="landscape" paperSize="12" r:id="rId1"/>
</worksheet>
</file>

<file path=xl/worksheets/sheet6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6"/>
  <sheetViews>
    <sheetView zoomScale="80" zoomScaleNormal="80" zoomScalePageLayoutView="0" workbookViewId="0" topLeftCell="A4">
      <selection activeCell="D51" sqref="D51"/>
    </sheetView>
  </sheetViews>
  <sheetFormatPr defaultColWidth="11.57421875" defaultRowHeight="12.75"/>
  <cols>
    <col min="1" max="1" width="63.28125" style="0" customWidth="1"/>
    <col min="2" max="2" width="20.28125" style="0" customWidth="1"/>
    <col min="3" max="3" width="31.421875" style="0" customWidth="1"/>
    <col min="4" max="4" width="27.57421875" style="0" customWidth="1"/>
    <col min="5" max="5" width="16.8515625" style="1" customWidth="1"/>
    <col min="6" max="7" width="0" style="1" hidden="1" customWidth="1"/>
    <col min="8" max="8" width="11.57421875" style="1" customWidth="1"/>
    <col min="9" max="9" width="5.28125" style="1" customWidth="1"/>
    <col min="10" max="10" width="30.00390625" style="1" customWidth="1"/>
    <col min="11" max="12" width="23.28125" style="0" customWidth="1"/>
    <col min="13" max="13" width="6.57421875" style="0" customWidth="1"/>
    <col min="14" max="14" width="7.00390625" style="0" customWidth="1"/>
  </cols>
  <sheetData>
    <row r="1" spans="1:4" ht="18">
      <c r="A1" s="265" t="s">
        <v>0</v>
      </c>
      <c r="B1" s="265"/>
      <c r="C1" s="265"/>
      <c r="D1" s="265"/>
    </row>
    <row r="2" spans="1:4" ht="15.75">
      <c r="A2" s="266" t="s">
        <v>1</v>
      </c>
      <c r="B2" s="266"/>
      <c r="C2" s="266"/>
      <c r="D2" s="266"/>
    </row>
    <row r="3" spans="1:4" ht="15.75">
      <c r="A3" s="266" t="s">
        <v>2</v>
      </c>
      <c r="B3" s="266"/>
      <c r="C3" s="266"/>
      <c r="D3" s="266"/>
    </row>
    <row r="4" spans="1:4" ht="12.75">
      <c r="A4" s="267" t="s">
        <v>168</v>
      </c>
      <c r="B4" s="267"/>
      <c r="C4" s="267"/>
      <c r="D4" s="267"/>
    </row>
    <row r="5" spans="1:4" ht="12.75">
      <c r="A5" s="268" t="s">
        <v>171</v>
      </c>
      <c r="B5" s="267"/>
      <c r="C5" s="267"/>
      <c r="D5" s="267"/>
    </row>
    <row r="6" ht="9" customHeight="1">
      <c r="A6" s="2"/>
    </row>
    <row r="7" spans="1:4" ht="18" customHeight="1">
      <c r="A7" s="269" t="s">
        <v>4</v>
      </c>
      <c r="B7" s="269"/>
      <c r="C7" s="269"/>
      <c r="D7" s="269"/>
    </row>
    <row r="8" spans="1:3" ht="12.75">
      <c r="A8" s="2" t="s">
        <v>283</v>
      </c>
      <c r="C8" s="3"/>
    </row>
    <row r="9" spans="1:4" ht="12.75">
      <c r="A9" s="4" t="s">
        <v>5</v>
      </c>
      <c r="B9" s="4" t="s">
        <v>6</v>
      </c>
      <c r="C9" s="4" t="s">
        <v>7</v>
      </c>
      <c r="D9" s="5"/>
    </row>
    <row r="10" spans="1:8" ht="12.75">
      <c r="A10" s="6">
        <v>1</v>
      </c>
      <c r="B10" s="6">
        <v>2</v>
      </c>
      <c r="C10" s="6">
        <v>3</v>
      </c>
      <c r="D10" s="7">
        <v>4</v>
      </c>
      <c r="E10" s="132"/>
      <c r="F10" s="132"/>
      <c r="G10" s="132"/>
      <c r="H10" s="132"/>
    </row>
    <row r="11" spans="1:8" ht="12.75">
      <c r="A11" s="8" t="s">
        <v>8</v>
      </c>
      <c r="B11" s="9"/>
      <c r="C11" s="177" t="s">
        <v>172</v>
      </c>
      <c r="D11" s="10"/>
      <c r="E11" s="132"/>
      <c r="F11" s="132"/>
      <c r="G11" s="132"/>
      <c r="H11" s="132"/>
    </row>
    <row r="12" spans="1:8" ht="12.75">
      <c r="A12" s="8" t="s">
        <v>10</v>
      </c>
      <c r="B12" s="9"/>
      <c r="C12" s="177" t="s">
        <v>173</v>
      </c>
      <c r="D12" s="10"/>
      <c r="E12" s="132"/>
      <c r="F12" s="132"/>
      <c r="G12" s="132"/>
      <c r="H12" s="132"/>
    </row>
    <row r="13" spans="1:8" ht="12.75">
      <c r="A13" s="8" t="s">
        <v>12</v>
      </c>
      <c r="B13" s="9"/>
      <c r="C13" s="177" t="s">
        <v>174</v>
      </c>
      <c r="D13" s="10"/>
      <c r="E13" s="132"/>
      <c r="F13" s="132"/>
      <c r="G13" s="132"/>
      <c r="H13" s="132"/>
    </row>
    <row r="14" spans="1:8" ht="31.5" customHeight="1">
      <c r="A14" s="259" t="s">
        <v>14</v>
      </c>
      <c r="B14" s="259"/>
      <c r="C14" s="259"/>
      <c r="D14" s="259"/>
      <c r="E14" s="132"/>
      <c r="F14" s="132"/>
      <c r="G14" s="132"/>
      <c r="H14" s="132"/>
    </row>
    <row r="15" spans="1:8" ht="25.5">
      <c r="A15" s="11" t="s">
        <v>15</v>
      </c>
      <c r="B15" s="12" t="s">
        <v>16</v>
      </c>
      <c r="C15" s="13">
        <v>22356.63</v>
      </c>
      <c r="D15" s="14"/>
      <c r="E15" s="132"/>
      <c r="F15" s="132"/>
      <c r="G15" s="132"/>
      <c r="H15" s="132"/>
    </row>
    <row r="16" spans="1:8" ht="15">
      <c r="A16" s="8" t="s">
        <v>17</v>
      </c>
      <c r="B16" s="12" t="s">
        <v>16</v>
      </c>
      <c r="C16" s="13">
        <v>0</v>
      </c>
      <c r="D16" s="14"/>
      <c r="E16" s="132"/>
      <c r="F16" s="132"/>
      <c r="G16" s="132"/>
      <c r="H16" s="132"/>
    </row>
    <row r="17" spans="1:8" ht="15">
      <c r="A17" s="8" t="s">
        <v>18</v>
      </c>
      <c r="B17" s="12" t="s">
        <v>16</v>
      </c>
      <c r="C17" s="15">
        <v>2667.36</v>
      </c>
      <c r="D17" s="16"/>
      <c r="E17" s="132" t="e">
        <f>B17/12/1022.6</f>
        <v>#VALUE!</v>
      </c>
      <c r="F17" s="132"/>
      <c r="G17" s="132"/>
      <c r="H17" s="132"/>
    </row>
    <row r="18" spans="1:8" ht="31.5" customHeight="1">
      <c r="A18" s="17" t="s">
        <v>19</v>
      </c>
      <c r="B18" s="12" t="s">
        <v>16</v>
      </c>
      <c r="C18" s="15">
        <v>22915.44</v>
      </c>
      <c r="D18" s="16"/>
      <c r="E18" s="133">
        <f>C18-C20</f>
        <v>16706.826</v>
      </c>
      <c r="F18" s="132"/>
      <c r="G18" s="132"/>
      <c r="H18" s="132"/>
    </row>
    <row r="19" spans="1:8" ht="15">
      <c r="A19" s="8" t="s">
        <v>20</v>
      </c>
      <c r="B19" s="12" t="s">
        <v>16</v>
      </c>
      <c r="C19" s="15">
        <f>C18-C20-C21</f>
        <v>8783.658000000001</v>
      </c>
      <c r="D19" s="16"/>
      <c r="E19" s="133">
        <f>E18-E39</f>
        <v>-0.017999999996391125</v>
      </c>
      <c r="F19" s="132"/>
      <c r="G19" s="132"/>
      <c r="H19" s="132"/>
    </row>
    <row r="20" spans="1:8" ht="15">
      <c r="A20" s="8" t="s">
        <v>21</v>
      </c>
      <c r="B20" s="12" t="s">
        <v>16</v>
      </c>
      <c r="C20" s="15">
        <f>(2.24+2.69)*6*135.3+2206.44</f>
        <v>6208.614</v>
      </c>
      <c r="D20" s="16"/>
      <c r="E20" s="134"/>
      <c r="F20" s="132"/>
      <c r="G20" s="132"/>
      <c r="H20" s="132"/>
    </row>
    <row r="21" spans="1:8" ht="15">
      <c r="A21" s="8" t="s">
        <v>22</v>
      </c>
      <c r="B21" s="12" t="s">
        <v>16</v>
      </c>
      <c r="C21" s="20">
        <f>135.3*4.88*12</f>
        <v>7923.168</v>
      </c>
      <c r="D21" s="16"/>
      <c r="E21" s="132"/>
      <c r="F21" s="132"/>
      <c r="G21" s="132"/>
      <c r="H21" s="132"/>
    </row>
    <row r="22" spans="1:8" ht="15">
      <c r="A22" s="21" t="s">
        <v>23</v>
      </c>
      <c r="B22" s="12" t="s">
        <v>16</v>
      </c>
      <c r="C22" s="15">
        <f>C23</f>
        <v>25582.797216</v>
      </c>
      <c r="D22" s="16" t="s">
        <v>24</v>
      </c>
      <c r="E22" s="133" t="e">
        <f>B24+B25+B26+B27+B28</f>
        <v>#VALUE!</v>
      </c>
      <c r="F22" s="132"/>
      <c r="G22" s="132"/>
      <c r="H22" s="132"/>
    </row>
    <row r="23" spans="1:8" ht="15">
      <c r="A23" s="8" t="s">
        <v>25</v>
      </c>
      <c r="B23" s="12" t="s">
        <v>16</v>
      </c>
      <c r="C23" s="15">
        <f>C18*1.1164</f>
        <v>25582.797216</v>
      </c>
      <c r="D23" s="16"/>
      <c r="E23" s="132"/>
      <c r="F23" s="132"/>
      <c r="G23" s="132"/>
      <c r="H23" s="132"/>
    </row>
    <row r="24" spans="1:8" ht="15">
      <c r="A24" s="8" t="s">
        <v>26</v>
      </c>
      <c r="B24" s="12" t="s">
        <v>16</v>
      </c>
      <c r="C24" s="15">
        <v>0</v>
      </c>
      <c r="D24" s="22">
        <v>65.21</v>
      </c>
      <c r="E24" s="134" t="e">
        <f>B24/#REF!*1</f>
        <v>#VALUE!</v>
      </c>
      <c r="F24" s="132"/>
      <c r="G24" s="132"/>
      <c r="H24" s="132" t="s">
        <v>27</v>
      </c>
    </row>
    <row r="25" spans="1:8" ht="15">
      <c r="A25" s="8" t="s">
        <v>28</v>
      </c>
      <c r="B25" s="12" t="s">
        <v>16</v>
      </c>
      <c r="C25" s="15">
        <v>0</v>
      </c>
      <c r="D25" s="22">
        <v>119.63</v>
      </c>
      <c r="E25" s="134" t="e">
        <f>B25/#REF!*1</f>
        <v>#VALUE!</v>
      </c>
      <c r="F25" s="132"/>
      <c r="G25" s="132"/>
      <c r="H25" s="132"/>
    </row>
    <row r="26" spans="1:8" ht="15">
      <c r="A26" s="9" t="s">
        <v>29</v>
      </c>
      <c r="B26" s="12" t="s">
        <v>16</v>
      </c>
      <c r="C26" s="15">
        <v>0</v>
      </c>
      <c r="D26" s="22"/>
      <c r="E26" s="134" t="e">
        <f>B26/#REF!*1</f>
        <v>#VALUE!</v>
      </c>
      <c r="F26" s="132"/>
      <c r="G26" s="132"/>
      <c r="H26" s="132"/>
    </row>
    <row r="27" spans="1:8" ht="16.5" customHeight="1">
      <c r="A27" s="116" t="s">
        <v>112</v>
      </c>
      <c r="B27" s="12" t="s">
        <v>16</v>
      </c>
      <c r="C27" s="15">
        <v>0</v>
      </c>
      <c r="D27" s="22">
        <v>139.18</v>
      </c>
      <c r="E27" s="134" t="e">
        <f>B27/#REF!*1</f>
        <v>#VALUE!</v>
      </c>
      <c r="F27" s="132"/>
      <c r="G27" s="132"/>
      <c r="H27" s="132"/>
    </row>
    <row r="28" spans="1:8" ht="15">
      <c r="A28" s="8" t="s">
        <v>31</v>
      </c>
      <c r="B28" s="12" t="s">
        <v>16</v>
      </c>
      <c r="C28" s="15">
        <f>C15+C22</f>
        <v>47939.427216</v>
      </c>
      <c r="D28" s="16" t="s">
        <v>32</v>
      </c>
      <c r="E28" s="134" t="e">
        <f>B28/#REF!*1</f>
        <v>#VALUE!</v>
      </c>
      <c r="F28" s="132"/>
      <c r="G28" s="132"/>
      <c r="H28" s="132"/>
    </row>
    <row r="29" spans="1:8" ht="35.25" customHeight="1">
      <c r="A29" s="260" t="s">
        <v>33</v>
      </c>
      <c r="B29" s="260"/>
      <c r="C29" s="260"/>
      <c r="D29" s="260"/>
      <c r="E29" s="132"/>
      <c r="F29" s="132"/>
      <c r="G29" s="132"/>
      <c r="H29" s="132"/>
    </row>
    <row r="30" spans="1:8" ht="60">
      <c r="A30" s="23" t="s">
        <v>34</v>
      </c>
      <c r="B30" s="24" t="s">
        <v>35</v>
      </c>
      <c r="C30" s="25" t="s">
        <v>36</v>
      </c>
      <c r="D30" s="26" t="s">
        <v>37</v>
      </c>
      <c r="E30" s="132"/>
      <c r="F30" s="132"/>
      <c r="G30" s="132"/>
      <c r="H30" s="132"/>
    </row>
    <row r="31" spans="1:8" ht="15">
      <c r="A31" s="27" t="s">
        <v>38</v>
      </c>
      <c r="B31" s="28" t="s">
        <v>39</v>
      </c>
      <c r="C31" s="29" t="s">
        <v>40</v>
      </c>
      <c r="D31" s="107">
        <f>(0.17+0.16)*6*135.3</f>
        <v>267.894</v>
      </c>
      <c r="E31" s="132"/>
      <c r="F31" s="132"/>
      <c r="G31" s="132"/>
      <c r="H31" s="132"/>
    </row>
    <row r="32" spans="1:8" ht="15">
      <c r="A32" s="31" t="s">
        <v>41</v>
      </c>
      <c r="B32" s="32" t="s">
        <v>42</v>
      </c>
      <c r="C32" s="33" t="s">
        <v>43</v>
      </c>
      <c r="D32" s="34">
        <f>(3.03+3)*6*135.3</f>
        <v>4895.1539999999995</v>
      </c>
      <c r="E32" s="132"/>
      <c r="F32" s="132"/>
      <c r="G32" s="132"/>
      <c r="H32" s="132"/>
    </row>
    <row r="33" spans="1:8" ht="15">
      <c r="A33" s="31" t="s">
        <v>44</v>
      </c>
      <c r="B33" s="32" t="s">
        <v>39</v>
      </c>
      <c r="C33" s="33" t="s">
        <v>45</v>
      </c>
      <c r="D33" s="108">
        <f>(0.21+0.2)*6*135.3</f>
        <v>332.838</v>
      </c>
      <c r="E33" s="132"/>
      <c r="F33" s="132"/>
      <c r="G33" s="132"/>
      <c r="H33" s="132"/>
    </row>
    <row r="34" spans="1:8" ht="15">
      <c r="A34" s="31" t="s">
        <v>123</v>
      </c>
      <c r="B34" s="32" t="s">
        <v>39</v>
      </c>
      <c r="C34" s="33" t="s">
        <v>40</v>
      </c>
      <c r="D34" s="108">
        <f>(0.74+0.71)*6*135.3</f>
        <v>1177.11</v>
      </c>
      <c r="E34" s="132"/>
      <c r="F34" s="132"/>
      <c r="G34" s="132"/>
      <c r="H34" s="132"/>
    </row>
    <row r="35" spans="1:8" ht="15">
      <c r="A35" s="31" t="s">
        <v>90</v>
      </c>
      <c r="B35" s="106" t="s">
        <v>91</v>
      </c>
      <c r="C35" s="33" t="s">
        <v>40</v>
      </c>
      <c r="D35" s="108">
        <f>(1.33+1.27)*6*135.3</f>
        <v>2110.6800000000003</v>
      </c>
      <c r="E35" s="132"/>
      <c r="F35" s="132"/>
      <c r="G35" s="132"/>
      <c r="H35" s="132"/>
    </row>
    <row r="36" spans="1:8" ht="15">
      <c r="A36" s="31" t="s">
        <v>46</v>
      </c>
      <c r="B36" s="32" t="s">
        <v>42</v>
      </c>
      <c r="C36" s="35" t="s">
        <v>47</v>
      </c>
      <c r="D36" s="108">
        <f>4.88*135.3*12</f>
        <v>7923.168</v>
      </c>
      <c r="E36" s="132"/>
      <c r="F36" s="132"/>
      <c r="G36" s="132"/>
      <c r="H36" s="132"/>
    </row>
    <row r="37" spans="1:14" s="1" customFormat="1" ht="45">
      <c r="A37" s="36" t="s">
        <v>48</v>
      </c>
      <c r="B37" s="37" t="s">
        <v>49</v>
      </c>
      <c r="C37" s="131" t="s">
        <v>163</v>
      </c>
      <c r="D37" s="39">
        <v>0</v>
      </c>
      <c r="E37" s="132"/>
      <c r="F37" s="132"/>
      <c r="G37" s="132"/>
      <c r="H37" s="132"/>
      <c r="K37"/>
      <c r="L37"/>
      <c r="M37"/>
      <c r="N37"/>
    </row>
    <row r="38" spans="1:14" s="1" customFormat="1" ht="45">
      <c r="A38" s="109" t="s">
        <v>95</v>
      </c>
      <c r="B38" s="110" t="s">
        <v>96</v>
      </c>
      <c r="C38" s="29" t="s">
        <v>97</v>
      </c>
      <c r="D38" s="112">
        <v>0</v>
      </c>
      <c r="E38" s="132"/>
      <c r="F38" s="132"/>
      <c r="G38" s="132"/>
      <c r="H38" s="132"/>
      <c r="K38"/>
      <c r="L38"/>
      <c r="M38"/>
      <c r="N38"/>
    </row>
    <row r="39" spans="1:14" s="1" customFormat="1" ht="15.75">
      <c r="A39" s="40" t="s">
        <v>50</v>
      </c>
      <c r="B39" s="41"/>
      <c r="C39" s="42"/>
      <c r="D39" s="113">
        <f>SUM(D31:D38)</f>
        <v>16706.843999999997</v>
      </c>
      <c r="E39" s="135">
        <f>D39-D37</f>
        <v>16706.843999999997</v>
      </c>
      <c r="F39" s="132"/>
      <c r="G39" s="132"/>
      <c r="H39" s="132"/>
      <c r="K39"/>
      <c r="L39"/>
      <c r="M39"/>
      <c r="N39"/>
    </row>
    <row r="40" spans="1:14" s="1" customFormat="1" ht="15">
      <c r="A40" s="43" t="s">
        <v>51</v>
      </c>
      <c r="B40" s="44" t="s">
        <v>16</v>
      </c>
      <c r="C40" s="45"/>
      <c r="D40" s="46">
        <f>C15+C20*1.1164-D37</f>
        <v>29287.9266696</v>
      </c>
      <c r="E40" s="135"/>
      <c r="F40" s="132"/>
      <c r="G40" s="132"/>
      <c r="H40" s="132"/>
      <c r="K40"/>
      <c r="L40"/>
      <c r="M40"/>
      <c r="N40"/>
    </row>
    <row r="41" spans="1:14" s="1" customFormat="1" ht="15">
      <c r="A41" s="48" t="s">
        <v>17</v>
      </c>
      <c r="B41" s="49" t="s">
        <v>16</v>
      </c>
      <c r="C41" s="33"/>
      <c r="D41" s="14"/>
      <c r="E41" s="132"/>
      <c r="F41" s="132"/>
      <c r="G41" s="132"/>
      <c r="H41" s="132"/>
      <c r="K41"/>
      <c r="L41"/>
      <c r="M41"/>
      <c r="N41"/>
    </row>
    <row r="42" spans="1:14" s="1" customFormat="1" ht="15">
      <c r="A42" s="48" t="s">
        <v>18</v>
      </c>
      <c r="B42" s="49" t="s">
        <v>16</v>
      </c>
      <c r="C42" s="33"/>
      <c r="D42" s="14">
        <v>0</v>
      </c>
      <c r="E42" s="132"/>
      <c r="F42" s="132"/>
      <c r="G42" s="132"/>
      <c r="H42" s="132"/>
      <c r="K42"/>
      <c r="L42"/>
      <c r="M42"/>
      <c r="N42"/>
    </row>
    <row r="43" spans="1:14" s="1" customFormat="1" ht="24" customHeight="1">
      <c r="A43" s="261" t="s">
        <v>52</v>
      </c>
      <c r="B43" s="261"/>
      <c r="C43" s="261"/>
      <c r="D43" s="261"/>
      <c r="E43" s="132"/>
      <c r="F43" s="132"/>
      <c r="G43" s="132"/>
      <c r="H43" s="132"/>
      <c r="K43"/>
      <c r="L43"/>
      <c r="M43"/>
      <c r="N43"/>
    </row>
    <row r="44" spans="1:14" s="1" customFormat="1" ht="15">
      <c r="A44" s="48" t="s">
        <v>53</v>
      </c>
      <c r="B44" s="32" t="s">
        <v>54</v>
      </c>
      <c r="C44" s="33">
        <v>0</v>
      </c>
      <c r="D44" s="14">
        <v>0</v>
      </c>
      <c r="E44" s="132"/>
      <c r="F44" s="132"/>
      <c r="G44" s="132"/>
      <c r="H44" s="132"/>
      <c r="K44"/>
      <c r="L44"/>
      <c r="M44"/>
      <c r="N44"/>
    </row>
    <row r="45" spans="1:14" s="1" customFormat="1" ht="15">
      <c r="A45" s="48" t="s">
        <v>55</v>
      </c>
      <c r="B45" s="32" t="s">
        <v>54</v>
      </c>
      <c r="C45" s="33">
        <v>0</v>
      </c>
      <c r="D45" s="14">
        <v>0</v>
      </c>
      <c r="E45" s="132"/>
      <c r="F45" s="132"/>
      <c r="G45" s="132"/>
      <c r="H45" s="132"/>
      <c r="K45"/>
      <c r="L45"/>
      <c r="M45"/>
      <c r="N45"/>
    </row>
    <row r="46" spans="1:14" s="1" customFormat="1" ht="15">
      <c r="A46" s="50" t="s">
        <v>56</v>
      </c>
      <c r="B46" s="32" t="s">
        <v>54</v>
      </c>
      <c r="C46" s="33">
        <v>0</v>
      </c>
      <c r="D46" s="14">
        <v>0</v>
      </c>
      <c r="E46" s="132"/>
      <c r="F46" s="132"/>
      <c r="G46" s="132"/>
      <c r="H46" s="132"/>
      <c r="K46"/>
      <c r="L46"/>
      <c r="M46"/>
      <c r="N46"/>
    </row>
    <row r="47" spans="1:14" s="1" customFormat="1" ht="15">
      <c r="A47" s="48" t="s">
        <v>57</v>
      </c>
      <c r="B47" s="32" t="s">
        <v>16</v>
      </c>
      <c r="C47" s="33">
        <v>0</v>
      </c>
      <c r="D47" s="14">
        <v>0</v>
      </c>
      <c r="E47" s="132"/>
      <c r="F47" s="132"/>
      <c r="G47" s="132"/>
      <c r="H47" s="132"/>
      <c r="K47"/>
      <c r="L47"/>
      <c r="M47"/>
      <c r="N47"/>
    </row>
    <row r="48" spans="1:8" ht="20.25" customHeight="1">
      <c r="A48" s="262" t="s">
        <v>58</v>
      </c>
      <c r="B48" s="262"/>
      <c r="C48" s="262"/>
      <c r="D48" s="262"/>
      <c r="E48" s="132"/>
      <c r="F48" s="132"/>
      <c r="G48" s="132"/>
      <c r="H48" s="132"/>
    </row>
    <row r="49" spans="1:8" ht="25.5">
      <c r="A49" s="50" t="s">
        <v>59</v>
      </c>
      <c r="B49" s="32" t="s">
        <v>16</v>
      </c>
      <c r="C49" s="33"/>
      <c r="D49" s="14">
        <v>0</v>
      </c>
      <c r="E49" s="132"/>
      <c r="F49" s="132"/>
      <c r="G49" s="132"/>
      <c r="H49" s="132"/>
    </row>
    <row r="50" spans="1:8" ht="15">
      <c r="A50" s="48" t="s">
        <v>17</v>
      </c>
      <c r="B50" s="32" t="s">
        <v>16</v>
      </c>
      <c r="C50" s="33"/>
      <c r="D50" s="14">
        <v>0</v>
      </c>
      <c r="E50" s="132"/>
      <c r="F50" s="132"/>
      <c r="G50" s="132"/>
      <c r="H50" s="132"/>
    </row>
    <row r="51" spans="1:8" ht="15">
      <c r="A51" s="48" t="s">
        <v>18</v>
      </c>
      <c r="B51" s="32" t="s">
        <v>16</v>
      </c>
      <c r="C51" s="33"/>
      <c r="D51" s="51">
        <f>D54-D57-D59</f>
        <v>3871.0600920000015</v>
      </c>
      <c r="E51" s="132"/>
      <c r="F51" s="132"/>
      <c r="G51" s="132"/>
      <c r="H51" s="136"/>
    </row>
    <row r="52" spans="1:8" ht="25.5">
      <c r="A52" s="53" t="s">
        <v>60</v>
      </c>
      <c r="B52" s="32" t="s">
        <v>16</v>
      </c>
      <c r="C52" s="54"/>
      <c r="D52" s="55">
        <v>0</v>
      </c>
      <c r="E52" s="132"/>
      <c r="F52" s="132"/>
      <c r="G52" s="132"/>
      <c r="H52" s="132"/>
    </row>
    <row r="53" spans="1:10" ht="17.25" customHeight="1">
      <c r="A53" s="56" t="s">
        <v>17</v>
      </c>
      <c r="B53" s="32" t="s">
        <v>16</v>
      </c>
      <c r="C53" s="57"/>
      <c r="D53" s="58">
        <v>0</v>
      </c>
      <c r="E53" s="132"/>
      <c r="F53" s="132"/>
      <c r="G53" s="132"/>
      <c r="H53" s="132"/>
      <c r="I53" s="52"/>
      <c r="J53" s="52"/>
    </row>
    <row r="54" spans="1:14" ht="15">
      <c r="A54" s="59" t="s">
        <v>18</v>
      </c>
      <c r="B54" s="32" t="s">
        <v>16</v>
      </c>
      <c r="C54" s="60"/>
      <c r="D54" s="61">
        <v>0</v>
      </c>
      <c r="E54" s="132"/>
      <c r="F54" s="132"/>
      <c r="G54" s="132"/>
      <c r="H54" s="132" t="s">
        <v>32</v>
      </c>
      <c r="I54" s="63"/>
      <c r="J54" s="63"/>
      <c r="K54" s="64"/>
      <c r="L54" s="64"/>
      <c r="M54" s="64"/>
      <c r="N54" s="64"/>
    </row>
    <row r="55" spans="1:14" ht="18" customHeight="1">
      <c r="A55" s="263" t="s">
        <v>61</v>
      </c>
      <c r="B55" s="263"/>
      <c r="C55" s="263"/>
      <c r="D55" s="263"/>
      <c r="E55" s="137"/>
      <c r="F55" s="138"/>
      <c r="G55" s="139"/>
      <c r="H55" s="132"/>
      <c r="I55" s="68"/>
      <c r="J55" s="68"/>
      <c r="K55" s="69"/>
      <c r="L55" s="69"/>
      <c r="M55" s="69"/>
      <c r="N55" s="69"/>
    </row>
    <row r="56" spans="1:14" ht="47.25">
      <c r="A56" s="70" t="s">
        <v>62</v>
      </c>
      <c r="B56" s="71" t="s">
        <v>63</v>
      </c>
      <c r="C56" s="72" t="s">
        <v>64</v>
      </c>
      <c r="D56" s="73" t="s">
        <v>65</v>
      </c>
      <c r="E56" s="137"/>
      <c r="F56" s="138"/>
      <c r="G56" s="139"/>
      <c r="H56" s="132"/>
      <c r="I56" s="68"/>
      <c r="J56" s="74"/>
      <c r="K56" s="69"/>
      <c r="L56" s="69"/>
      <c r="M56" s="69"/>
      <c r="N56" s="69"/>
    </row>
    <row r="57" spans="1:14" ht="15">
      <c r="A57" s="75" t="s">
        <v>66</v>
      </c>
      <c r="B57" s="117">
        <v>5183.13</v>
      </c>
      <c r="C57" s="118">
        <f>B57*1.1164</f>
        <v>5786.446332</v>
      </c>
      <c r="D57" s="119">
        <f>B57-C57</f>
        <v>-603.3163320000003</v>
      </c>
      <c r="E57" s="140"/>
      <c r="F57" s="138"/>
      <c r="G57" s="139"/>
      <c r="H57" s="132"/>
      <c r="I57" s="68"/>
      <c r="J57" s="68"/>
      <c r="K57" s="69"/>
      <c r="L57" s="69"/>
      <c r="M57" s="69"/>
      <c r="N57" s="69"/>
    </row>
    <row r="58" spans="1:14" ht="15">
      <c r="A58" s="75" t="s">
        <v>67</v>
      </c>
      <c r="B58" s="117">
        <v>0</v>
      </c>
      <c r="C58" s="118">
        <f>B58*0.9299</f>
        <v>0</v>
      </c>
      <c r="D58" s="119">
        <f>B58-C58</f>
        <v>0</v>
      </c>
      <c r="E58" s="137"/>
      <c r="F58" s="138"/>
      <c r="G58" s="139"/>
      <c r="H58" s="132"/>
      <c r="I58" s="68"/>
      <c r="J58" s="68"/>
      <c r="K58" s="69"/>
      <c r="L58" s="69"/>
      <c r="M58" s="69"/>
      <c r="N58" s="69"/>
    </row>
    <row r="59" spans="1:14" ht="15">
      <c r="A59" s="75" t="s">
        <v>68</v>
      </c>
      <c r="B59" s="120">
        <v>28073.4</v>
      </c>
      <c r="C59" s="118">
        <f>B59*1.1164</f>
        <v>31341.143760000003</v>
      </c>
      <c r="D59" s="119">
        <f>B59-C59</f>
        <v>-3267.743760000001</v>
      </c>
      <c r="E59" s="137">
        <f>(2.07+1.8)*6*2301.2-0.37*2301.2*6</f>
        <v>48325.2</v>
      </c>
      <c r="F59" s="141"/>
      <c r="G59" s="142"/>
      <c r="H59" s="137"/>
      <c r="I59" s="68"/>
      <c r="J59" s="68"/>
      <c r="K59" s="69"/>
      <c r="L59" s="69"/>
      <c r="M59" s="69"/>
      <c r="N59" s="69"/>
    </row>
    <row r="60" spans="1:14" ht="15.75" thickBot="1">
      <c r="A60" s="150" t="s">
        <v>69</v>
      </c>
      <c r="B60" s="151">
        <v>0</v>
      </c>
      <c r="C60" s="152">
        <f>B60*0.9299</f>
        <v>0</v>
      </c>
      <c r="D60" s="153">
        <f>B60-C60</f>
        <v>0</v>
      </c>
      <c r="E60" s="137"/>
      <c r="F60" s="141"/>
      <c r="G60" s="142"/>
      <c r="H60" s="132"/>
      <c r="I60" s="68"/>
      <c r="J60" s="68"/>
      <c r="K60" s="69"/>
      <c r="L60" s="69"/>
      <c r="M60" s="69"/>
      <c r="N60" s="69"/>
    </row>
    <row r="61" spans="1:14" ht="63">
      <c r="A61" s="154" t="s">
        <v>70</v>
      </c>
      <c r="B61" s="155" t="s">
        <v>71</v>
      </c>
      <c r="C61" s="156" t="s">
        <v>72</v>
      </c>
      <c r="D61" s="157" t="s">
        <v>73</v>
      </c>
      <c r="E61" s="137"/>
      <c r="F61" s="141"/>
      <c r="G61" s="132"/>
      <c r="H61" s="143"/>
      <c r="I61" s="68"/>
      <c r="J61" s="68"/>
      <c r="K61" s="69"/>
      <c r="L61" s="69"/>
      <c r="M61" s="69"/>
      <c r="N61" s="69"/>
    </row>
    <row r="62" spans="1:14" ht="15">
      <c r="A62" s="158" t="s">
        <v>66</v>
      </c>
      <c r="B62" s="124">
        <f>B57</f>
        <v>5183.13</v>
      </c>
      <c r="C62" s="125">
        <f>C57</f>
        <v>5786.446332</v>
      </c>
      <c r="D62" s="159">
        <f>B62-C62</f>
        <v>-603.3163320000003</v>
      </c>
      <c r="E62" s="137"/>
      <c r="F62" s="141"/>
      <c r="G62" s="132"/>
      <c r="H62" s="143"/>
      <c r="I62" s="68"/>
      <c r="J62" s="68" t="s">
        <v>32</v>
      </c>
      <c r="K62" s="69"/>
      <c r="L62" s="69"/>
      <c r="M62" s="69"/>
      <c r="N62" s="69"/>
    </row>
    <row r="63" spans="1:14" ht="15">
      <c r="A63" s="158" t="s">
        <v>67</v>
      </c>
      <c r="B63" s="124">
        <f>B58</f>
        <v>0</v>
      </c>
      <c r="C63" s="125">
        <f>C58*1.0063</f>
        <v>0</v>
      </c>
      <c r="D63" s="159">
        <f>B63-C63</f>
        <v>0</v>
      </c>
      <c r="E63" s="65"/>
      <c r="F63" s="81"/>
      <c r="H63" s="68"/>
      <c r="I63" s="68"/>
      <c r="J63" s="68"/>
      <c r="K63" s="69"/>
      <c r="L63" s="69"/>
      <c r="M63" s="69"/>
      <c r="N63" s="69"/>
    </row>
    <row r="64" spans="1:14" ht="15">
      <c r="A64" s="158" t="s">
        <v>68</v>
      </c>
      <c r="B64" s="124">
        <f>B59</f>
        <v>28073.4</v>
      </c>
      <c r="C64" s="125">
        <f>C59</f>
        <v>31341.143760000003</v>
      </c>
      <c r="D64" s="159">
        <f>B64-C64</f>
        <v>-3267.743760000001</v>
      </c>
      <c r="E64" s="65"/>
      <c r="F64" s="81"/>
      <c r="H64" s="68"/>
      <c r="I64" s="68"/>
      <c r="J64" s="68"/>
      <c r="K64" s="69"/>
      <c r="L64" s="69"/>
      <c r="M64" s="69"/>
      <c r="N64" s="69"/>
    </row>
    <row r="65" spans="1:14" ht="15">
      <c r="A65" s="158" t="s">
        <v>74</v>
      </c>
      <c r="B65" s="124">
        <v>0</v>
      </c>
      <c r="C65" s="125">
        <v>0</v>
      </c>
      <c r="D65" s="159">
        <f>B65-C65</f>
        <v>0</v>
      </c>
      <c r="E65" s="65"/>
      <c r="F65" s="81"/>
      <c r="H65" s="68"/>
      <c r="I65" s="68"/>
      <c r="J65" s="68"/>
      <c r="K65" s="69"/>
      <c r="L65" s="69"/>
      <c r="M65" s="69"/>
      <c r="N65" s="69"/>
    </row>
    <row r="66" spans="1:14" ht="15.75" thickBot="1">
      <c r="A66" s="160" t="s">
        <v>69</v>
      </c>
      <c r="B66" s="161">
        <v>0</v>
      </c>
      <c r="C66" s="162">
        <v>0</v>
      </c>
      <c r="D66" s="163">
        <f>B66-C66</f>
        <v>0</v>
      </c>
      <c r="E66" s="65"/>
      <c r="F66" s="81"/>
      <c r="H66" s="68" t="s">
        <v>32</v>
      </c>
      <c r="I66" s="68"/>
      <c r="J66" s="68"/>
      <c r="K66" s="69"/>
      <c r="L66" s="69"/>
      <c r="M66" s="69"/>
      <c r="N66" s="69"/>
    </row>
    <row r="67" spans="1:14" ht="15">
      <c r="A67" s="91"/>
      <c r="B67" s="87"/>
      <c r="C67" s="92"/>
      <c r="D67" s="93"/>
      <c r="E67" s="65"/>
      <c r="F67" s="81"/>
      <c r="H67" s="68"/>
      <c r="I67" s="68"/>
      <c r="J67" s="68"/>
      <c r="K67" s="69"/>
      <c r="L67" s="69"/>
      <c r="M67" s="69"/>
      <c r="N67" s="69"/>
    </row>
    <row r="68" spans="1:14" ht="25.5">
      <c r="A68" s="94" t="s">
        <v>75</v>
      </c>
      <c r="B68" s="87" t="s">
        <v>16</v>
      </c>
      <c r="C68" s="95"/>
      <c r="D68" s="96"/>
      <c r="E68" s="65"/>
      <c r="F68" s="81"/>
      <c r="H68" s="68"/>
      <c r="I68" s="68"/>
      <c r="J68" s="68" t="s">
        <v>32</v>
      </c>
      <c r="K68" s="69"/>
      <c r="L68" s="69"/>
      <c r="M68" s="69"/>
      <c r="N68" s="69"/>
    </row>
    <row r="69" spans="1:14" ht="17.25" customHeight="1">
      <c r="A69" s="264" t="s">
        <v>76</v>
      </c>
      <c r="B69" s="264"/>
      <c r="C69" s="264"/>
      <c r="D69" s="264"/>
      <c r="E69" s="97" t="e">
        <f>D69+B19</f>
        <v>#VALUE!</v>
      </c>
      <c r="F69" s="68"/>
      <c r="H69" s="98" t="e">
        <f>E69-B18</f>
        <v>#VALUE!</v>
      </c>
      <c r="I69" s="68"/>
      <c r="J69" s="68"/>
      <c r="K69" s="69"/>
      <c r="L69" s="69"/>
      <c r="M69" s="69"/>
      <c r="N69" s="69"/>
    </row>
    <row r="70" spans="1:5" ht="21" customHeight="1">
      <c r="A70" s="99" t="s">
        <v>53</v>
      </c>
      <c r="B70" s="99" t="s">
        <v>54</v>
      </c>
      <c r="C70" s="100">
        <v>0</v>
      </c>
      <c r="D70" s="101"/>
      <c r="E70" s="102"/>
    </row>
    <row r="71" spans="1:5" ht="21" customHeight="1">
      <c r="A71" s="99" t="s">
        <v>55</v>
      </c>
      <c r="B71" s="99" t="s">
        <v>54</v>
      </c>
      <c r="C71" s="99">
        <v>0</v>
      </c>
      <c r="D71" s="101"/>
      <c r="E71" s="102"/>
    </row>
    <row r="72" spans="1:5" ht="18" customHeight="1">
      <c r="A72" s="99" t="s">
        <v>56</v>
      </c>
      <c r="B72" s="99" t="s">
        <v>54</v>
      </c>
      <c r="C72" s="99">
        <v>0</v>
      </c>
      <c r="D72" s="101"/>
      <c r="E72" s="102"/>
    </row>
    <row r="73" spans="1:5" ht="16.5" customHeight="1">
      <c r="A73" s="99" t="s">
        <v>57</v>
      </c>
      <c r="B73" s="99" t="s">
        <v>16</v>
      </c>
      <c r="C73" s="99">
        <v>0</v>
      </c>
      <c r="D73" s="101"/>
      <c r="E73" s="102"/>
    </row>
    <row r="74" spans="1:5" ht="15.75" customHeight="1">
      <c r="A74" s="258" t="s">
        <v>77</v>
      </c>
      <c r="B74" s="258"/>
      <c r="C74" s="258"/>
      <c r="D74" s="258"/>
      <c r="E74" s="102"/>
    </row>
    <row r="75" spans="1:5" ht="18.75" customHeight="1">
      <c r="A75" s="99" t="s">
        <v>78</v>
      </c>
      <c r="B75" s="99" t="s">
        <v>54</v>
      </c>
      <c r="C75" s="99">
        <v>0</v>
      </c>
      <c r="D75" s="101"/>
      <c r="E75" s="102"/>
    </row>
    <row r="76" spans="1:5" ht="21.75" customHeight="1">
      <c r="A76" s="99" t="s">
        <v>79</v>
      </c>
      <c r="B76" s="56" t="s">
        <v>54</v>
      </c>
      <c r="C76" s="56">
        <v>0</v>
      </c>
      <c r="D76" s="101"/>
      <c r="E76" s="102"/>
    </row>
    <row r="77" spans="1:5" ht="36" customHeight="1">
      <c r="A77" s="103" t="s">
        <v>80</v>
      </c>
      <c r="B77" s="99" t="s">
        <v>16</v>
      </c>
      <c r="C77" s="99">
        <v>0</v>
      </c>
      <c r="D77" s="101"/>
      <c r="E77" s="102"/>
    </row>
    <row r="78" spans="1:4" ht="15">
      <c r="A78" s="69"/>
      <c r="B78" s="69"/>
      <c r="C78" s="69"/>
      <c r="D78" s="104"/>
    </row>
    <row r="79" spans="1:14" s="1" customFormat="1" ht="12.75">
      <c r="A79"/>
      <c r="B79"/>
      <c r="C79"/>
      <c r="D79"/>
      <c r="H79" s="1" t="s">
        <v>32</v>
      </c>
      <c r="K79"/>
      <c r="L79"/>
      <c r="M79"/>
      <c r="N79"/>
    </row>
    <row r="80" spans="1:14" s="1" customFormat="1" ht="12.75">
      <c r="A80" t="s">
        <v>81</v>
      </c>
      <c r="B80"/>
      <c r="C80"/>
      <c r="D80"/>
      <c r="K80"/>
      <c r="L80"/>
      <c r="M80"/>
      <c r="N80"/>
    </row>
    <row r="81" spans="1:14" s="1" customFormat="1" ht="12.75">
      <c r="A81"/>
      <c r="B81"/>
      <c r="C81"/>
      <c r="D81"/>
      <c r="H81" s="1" t="s">
        <v>32</v>
      </c>
      <c r="K81"/>
      <c r="L81"/>
      <c r="M81"/>
      <c r="N81"/>
    </row>
    <row r="82" spans="1:14" s="1" customFormat="1" ht="12.75">
      <c r="A82" t="s">
        <v>82</v>
      </c>
      <c r="B82"/>
      <c r="C82"/>
      <c r="D82"/>
      <c r="K82"/>
      <c r="L82"/>
      <c r="M82"/>
      <c r="N82"/>
    </row>
    <row r="86" spans="1:14" s="1" customFormat="1" ht="12.75">
      <c r="A86"/>
      <c r="B86"/>
      <c r="C86"/>
      <c r="D86"/>
      <c r="E86" s="1" t="s">
        <v>32</v>
      </c>
      <c r="K86"/>
      <c r="L86"/>
      <c r="M86"/>
      <c r="N86"/>
    </row>
  </sheetData>
  <sheetProtection selectLockedCells="1" selectUnlockedCells="1"/>
  <mergeCells count="13">
    <mergeCell ref="A1:D1"/>
    <mergeCell ref="A2:D2"/>
    <mergeCell ref="A3:D3"/>
    <mergeCell ref="A4:D4"/>
    <mergeCell ref="A5:D5"/>
    <mergeCell ref="A7:D7"/>
    <mergeCell ref="A74:D74"/>
    <mergeCell ref="A14:D14"/>
    <mergeCell ref="A29:D29"/>
    <mergeCell ref="A43:D43"/>
    <mergeCell ref="A48:D48"/>
    <mergeCell ref="A55:D55"/>
    <mergeCell ref="A69:D69"/>
  </mergeCells>
  <printOptions/>
  <pageMargins left="0.5597222222222222" right="0.7875" top="0.34097222222222223" bottom="0.7875" header="0.5118055555555555" footer="0.5118055555555555"/>
  <pageSetup fitToHeight="3" fitToWidth="2" horizontalDpi="300" verticalDpi="300" orientation="landscape" paperSize="12" r:id="rId1"/>
</worksheet>
</file>

<file path=xl/worksheets/sheet6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6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6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9"/>
  <sheetViews>
    <sheetView zoomScale="80" zoomScaleNormal="80" zoomScalePageLayoutView="0" workbookViewId="0" topLeftCell="A1">
      <selection activeCell="E15" sqref="E15:E45"/>
    </sheetView>
  </sheetViews>
  <sheetFormatPr defaultColWidth="11.57421875" defaultRowHeight="12.75"/>
  <cols>
    <col min="1" max="1" width="53.28125" style="0" customWidth="1"/>
    <col min="2" max="2" width="15.8515625" style="0" customWidth="1"/>
    <col min="3" max="3" width="20.28125" style="0" customWidth="1"/>
    <col min="4" max="4" width="22.421875" style="0" customWidth="1"/>
    <col min="5" max="5" width="16.8515625" style="1" customWidth="1"/>
    <col min="6" max="7" width="0" style="1" hidden="1" customWidth="1"/>
    <col min="8" max="8" width="11.57421875" style="1" customWidth="1"/>
    <col min="9" max="9" width="5.28125" style="1" customWidth="1"/>
    <col min="10" max="10" width="30.00390625" style="1" customWidth="1"/>
    <col min="11" max="12" width="23.28125" style="0" customWidth="1"/>
    <col min="13" max="13" width="6.57421875" style="0" customWidth="1"/>
    <col min="14" max="14" width="7.00390625" style="0" customWidth="1"/>
  </cols>
  <sheetData>
    <row r="1" spans="1:4" ht="18">
      <c r="A1" s="265" t="s">
        <v>0</v>
      </c>
      <c r="B1" s="265"/>
      <c r="C1" s="265"/>
      <c r="D1" s="265"/>
    </row>
    <row r="2" spans="1:4" ht="15.75">
      <c r="A2" s="266" t="s">
        <v>1</v>
      </c>
      <c r="B2" s="266"/>
      <c r="C2" s="266"/>
      <c r="D2" s="266"/>
    </row>
    <row r="3" spans="1:4" ht="15.75">
      <c r="A3" s="266" t="s">
        <v>2</v>
      </c>
      <c r="B3" s="266"/>
      <c r="C3" s="266"/>
      <c r="D3" s="266"/>
    </row>
    <row r="4" spans="1:4" ht="12.75">
      <c r="A4" s="267" t="s">
        <v>99</v>
      </c>
      <c r="B4" s="267"/>
      <c r="C4" s="267"/>
      <c r="D4" s="267"/>
    </row>
    <row r="5" spans="1:4" ht="12.75">
      <c r="A5" s="268" t="s">
        <v>171</v>
      </c>
      <c r="B5" s="267"/>
      <c r="C5" s="267"/>
      <c r="D5" s="267"/>
    </row>
    <row r="6" ht="9" customHeight="1">
      <c r="A6" s="2"/>
    </row>
    <row r="7" spans="1:4" ht="29.25" customHeight="1">
      <c r="A7" s="269" t="s">
        <v>4</v>
      </c>
      <c r="B7" s="269"/>
      <c r="C7" s="269"/>
      <c r="D7" s="269"/>
    </row>
    <row r="8" spans="1:3" ht="12.75">
      <c r="A8" s="178" t="s">
        <v>207</v>
      </c>
      <c r="C8" s="3"/>
    </row>
    <row r="9" spans="1:4" ht="12.75">
      <c r="A9" s="4" t="s">
        <v>5</v>
      </c>
      <c r="B9" s="4" t="s">
        <v>6</v>
      </c>
      <c r="C9" s="4" t="s">
        <v>7</v>
      </c>
      <c r="D9" s="5"/>
    </row>
    <row r="10" spans="1:4" ht="12.75">
      <c r="A10" s="6">
        <v>1</v>
      </c>
      <c r="B10" s="6">
        <v>2</v>
      </c>
      <c r="C10" s="6">
        <v>3</v>
      </c>
      <c r="D10" s="7">
        <v>4</v>
      </c>
    </row>
    <row r="11" spans="1:8" ht="12.75">
      <c r="A11" s="8" t="s">
        <v>8</v>
      </c>
      <c r="B11" s="9"/>
      <c r="C11" s="177" t="s">
        <v>172</v>
      </c>
      <c r="D11" s="10"/>
      <c r="E11" s="132"/>
      <c r="F11" s="132"/>
      <c r="G11" s="132"/>
      <c r="H11" s="132"/>
    </row>
    <row r="12" spans="1:8" ht="12.75">
      <c r="A12" s="8" t="s">
        <v>10</v>
      </c>
      <c r="B12" s="9"/>
      <c r="C12" s="177" t="s">
        <v>173</v>
      </c>
      <c r="D12" s="10"/>
      <c r="E12" s="132"/>
      <c r="F12" s="132"/>
      <c r="G12" s="132"/>
      <c r="H12" s="132"/>
    </row>
    <row r="13" spans="1:8" ht="12.75">
      <c r="A13" s="8" t="s">
        <v>12</v>
      </c>
      <c r="B13" s="9"/>
      <c r="C13" s="177" t="s">
        <v>174</v>
      </c>
      <c r="D13" s="10"/>
      <c r="E13" s="132"/>
      <c r="F13" s="132"/>
      <c r="G13" s="132"/>
      <c r="H13" s="132"/>
    </row>
    <row r="14" spans="1:8" ht="31.5" customHeight="1">
      <c r="A14" s="259" t="s">
        <v>14</v>
      </c>
      <c r="B14" s="259"/>
      <c r="C14" s="259"/>
      <c r="D14" s="259"/>
      <c r="E14" s="62"/>
      <c r="F14" s="132"/>
      <c r="G14" s="132"/>
      <c r="H14" s="132"/>
    </row>
    <row r="15" spans="1:8" ht="25.5">
      <c r="A15" s="11" t="s">
        <v>15</v>
      </c>
      <c r="B15" s="12" t="s">
        <v>16</v>
      </c>
      <c r="C15" s="13">
        <v>-11795.53</v>
      </c>
      <c r="D15" s="14"/>
      <c r="E15" s="132"/>
      <c r="F15" s="132"/>
      <c r="G15" s="132"/>
      <c r="H15" s="132"/>
    </row>
    <row r="16" spans="1:8" ht="15">
      <c r="A16" s="8" t="s">
        <v>17</v>
      </c>
      <c r="B16" s="12" t="s">
        <v>16</v>
      </c>
      <c r="C16" s="13">
        <v>0</v>
      </c>
      <c r="D16" s="14"/>
      <c r="E16" s="132"/>
      <c r="F16" s="132"/>
      <c r="G16" s="132"/>
      <c r="H16" s="132"/>
    </row>
    <row r="17" spans="1:8" ht="15">
      <c r="A17" s="8" t="s">
        <v>18</v>
      </c>
      <c r="B17" s="12" t="s">
        <v>16</v>
      </c>
      <c r="C17" s="15">
        <v>2171.12</v>
      </c>
      <c r="D17" s="16"/>
      <c r="E17" s="132" t="e">
        <f>B17/12/1022.6</f>
        <v>#VALUE!</v>
      </c>
      <c r="F17" s="132"/>
      <c r="G17" s="132"/>
      <c r="H17" s="132"/>
    </row>
    <row r="18" spans="1:8" ht="31.5" customHeight="1">
      <c r="A18" s="17" t="s">
        <v>19</v>
      </c>
      <c r="B18" s="12" t="s">
        <v>16</v>
      </c>
      <c r="C18" s="15">
        <f>C19+C20+C21</f>
        <v>73131.006</v>
      </c>
      <c r="D18" s="16"/>
      <c r="E18" s="133">
        <f>C18-C20</f>
        <v>62811.77399999999</v>
      </c>
      <c r="F18" s="132"/>
      <c r="G18" s="132"/>
      <c r="H18" s="132"/>
    </row>
    <row r="19" spans="1:8" ht="15">
      <c r="A19" s="8" t="s">
        <v>20</v>
      </c>
      <c r="B19" s="12" t="s">
        <v>16</v>
      </c>
      <c r="C19" s="15">
        <v>40330.59</v>
      </c>
      <c r="D19" s="16"/>
      <c r="E19" s="133">
        <f>E18-E42</f>
        <v>0.0014000000010128133</v>
      </c>
      <c r="F19" s="132"/>
      <c r="G19" s="132"/>
      <c r="H19" s="132"/>
    </row>
    <row r="20" spans="1:8" ht="15">
      <c r="A20" s="8" t="s">
        <v>21</v>
      </c>
      <c r="B20" s="12" t="s">
        <v>16</v>
      </c>
      <c r="C20" s="15">
        <f>(2.27+2.21)*6*383.9</f>
        <v>10319.232</v>
      </c>
      <c r="D20" s="16"/>
      <c r="E20" s="134"/>
      <c r="F20" s="132"/>
      <c r="G20" s="132"/>
      <c r="H20" s="132"/>
    </row>
    <row r="21" spans="1:8" ht="15">
      <c r="A21" s="8" t="s">
        <v>22</v>
      </c>
      <c r="B21" s="12" t="s">
        <v>16</v>
      </c>
      <c r="C21" s="20">
        <f>383.9*4.88*12</f>
        <v>22481.183999999997</v>
      </c>
      <c r="D21" s="16"/>
      <c r="E21" s="132"/>
      <c r="F21" s="132"/>
      <c r="G21" s="132"/>
      <c r="H21" s="132"/>
    </row>
    <row r="22" spans="1:8" ht="15">
      <c r="A22" s="21" t="s">
        <v>23</v>
      </c>
      <c r="B22" s="12" t="s">
        <v>16</v>
      </c>
      <c r="C22" s="15">
        <f>C23+C24+C25+C26+C27</f>
        <v>73818.4374564</v>
      </c>
      <c r="D22" s="16" t="s">
        <v>24</v>
      </c>
      <c r="E22" s="133" t="e">
        <f>B24+B25+B26+B27+B28</f>
        <v>#VALUE!</v>
      </c>
      <c r="F22" s="132"/>
      <c r="G22" s="132"/>
      <c r="H22" s="132"/>
    </row>
    <row r="23" spans="1:8" ht="15">
      <c r="A23" s="8" t="s">
        <v>25</v>
      </c>
      <c r="B23" s="12" t="s">
        <v>16</v>
      </c>
      <c r="C23" s="15">
        <f>C18*1.0094</f>
        <v>73818.4374564</v>
      </c>
      <c r="D23" s="16"/>
      <c r="E23" s="132"/>
      <c r="F23" s="132"/>
      <c r="G23" s="132"/>
      <c r="H23" s="132"/>
    </row>
    <row r="24" spans="1:8" ht="15">
      <c r="A24" s="8" t="s">
        <v>26</v>
      </c>
      <c r="B24" s="12" t="s">
        <v>16</v>
      </c>
      <c r="C24" s="15">
        <v>0</v>
      </c>
      <c r="D24" s="22">
        <v>65.21</v>
      </c>
      <c r="E24" s="134" t="e">
        <f>B24/#REF!*1</f>
        <v>#VALUE!</v>
      </c>
      <c r="F24" s="132"/>
      <c r="G24" s="132"/>
      <c r="H24" s="132" t="s">
        <v>27</v>
      </c>
    </row>
    <row r="25" spans="1:8" ht="15">
      <c r="A25" s="8" t="s">
        <v>28</v>
      </c>
      <c r="B25" s="12" t="s">
        <v>16</v>
      </c>
      <c r="C25" s="15">
        <v>0</v>
      </c>
      <c r="D25" s="22">
        <v>119.63</v>
      </c>
      <c r="E25" s="134" t="e">
        <f>B25/#REF!*1</f>
        <v>#VALUE!</v>
      </c>
      <c r="F25" s="132"/>
      <c r="G25" s="132"/>
      <c r="H25" s="132"/>
    </row>
    <row r="26" spans="1:8" ht="15">
      <c r="A26" s="9" t="s">
        <v>29</v>
      </c>
      <c r="B26" s="12" t="s">
        <v>16</v>
      </c>
      <c r="C26" s="15">
        <v>0</v>
      </c>
      <c r="D26" s="22"/>
      <c r="E26" s="134" t="e">
        <f>B26/#REF!*1</f>
        <v>#VALUE!</v>
      </c>
      <c r="F26" s="132"/>
      <c r="G26" s="132"/>
      <c r="H26" s="132"/>
    </row>
    <row r="27" spans="1:8" ht="15">
      <c r="A27" s="9" t="s">
        <v>30</v>
      </c>
      <c r="B27" s="12" t="s">
        <v>16</v>
      </c>
      <c r="C27" s="15">
        <v>0</v>
      </c>
      <c r="D27" s="22">
        <v>139.18</v>
      </c>
      <c r="E27" s="134" t="e">
        <f>B27/#REF!*1</f>
        <v>#VALUE!</v>
      </c>
      <c r="F27" s="132"/>
      <c r="G27" s="132"/>
      <c r="H27" s="132"/>
    </row>
    <row r="28" spans="1:8" ht="15">
      <c r="A28" s="8" t="s">
        <v>31</v>
      </c>
      <c r="B28" s="12" t="s">
        <v>16</v>
      </c>
      <c r="C28" s="15">
        <f>C15+C22</f>
        <v>62022.907456400004</v>
      </c>
      <c r="D28" s="16" t="s">
        <v>32</v>
      </c>
      <c r="E28" s="134" t="e">
        <f>B28/#REF!*1</f>
        <v>#VALUE!</v>
      </c>
      <c r="F28" s="132"/>
      <c r="G28" s="132"/>
      <c r="H28" s="132"/>
    </row>
    <row r="29" spans="1:8" ht="35.25" customHeight="1">
      <c r="A29" s="260" t="s">
        <v>33</v>
      </c>
      <c r="B29" s="260"/>
      <c r="C29" s="260"/>
      <c r="D29" s="260"/>
      <c r="E29" s="132"/>
      <c r="F29" s="132"/>
      <c r="G29" s="132"/>
      <c r="H29" s="132"/>
    </row>
    <row r="30" spans="1:8" ht="51">
      <c r="A30" s="218" t="s">
        <v>34</v>
      </c>
      <c r="B30" s="221" t="s">
        <v>35</v>
      </c>
      <c r="C30" s="216" t="s">
        <v>36</v>
      </c>
      <c r="D30" s="222" t="s">
        <v>37</v>
      </c>
      <c r="E30" s="132"/>
      <c r="F30" s="132"/>
      <c r="G30" s="132"/>
      <c r="H30" s="132"/>
    </row>
    <row r="31" spans="1:8" ht="30">
      <c r="A31" s="27" t="s">
        <v>38</v>
      </c>
      <c r="B31" s="28" t="s">
        <v>39</v>
      </c>
      <c r="C31" s="29" t="s">
        <v>40</v>
      </c>
      <c r="D31" s="107">
        <f>(0.17+0.16)*6*383.89</f>
        <v>760.1021999999999</v>
      </c>
      <c r="E31" s="132"/>
      <c r="F31" s="132"/>
      <c r="G31" s="132"/>
      <c r="H31" s="132"/>
    </row>
    <row r="32" spans="1:8" ht="15">
      <c r="A32" s="31" t="s">
        <v>84</v>
      </c>
      <c r="B32" s="32" t="s">
        <v>85</v>
      </c>
      <c r="C32" s="33" t="s">
        <v>86</v>
      </c>
      <c r="D32" s="108">
        <f>(2.45+2.34)*6*383.89</f>
        <v>11032.9986</v>
      </c>
      <c r="E32" s="132"/>
      <c r="F32" s="132"/>
      <c r="G32" s="132"/>
      <c r="H32" s="132"/>
    </row>
    <row r="33" spans="1:8" ht="15">
      <c r="A33" s="31" t="s">
        <v>41</v>
      </c>
      <c r="B33" s="32" t="s">
        <v>42</v>
      </c>
      <c r="C33" s="33" t="s">
        <v>43</v>
      </c>
      <c r="D33" s="34">
        <f>(3.03+3)*6*383.89</f>
        <v>13889.140199999996</v>
      </c>
      <c r="E33" s="132"/>
      <c r="F33" s="132"/>
      <c r="G33" s="132"/>
      <c r="H33" s="132"/>
    </row>
    <row r="34" spans="1:8" ht="15">
      <c r="A34" s="31" t="s">
        <v>44</v>
      </c>
      <c r="B34" s="32" t="s">
        <v>39</v>
      </c>
      <c r="C34" s="33" t="s">
        <v>45</v>
      </c>
      <c r="D34" s="108">
        <f>(0.2+0.21)*6*383.89</f>
        <v>944.3693999999999</v>
      </c>
      <c r="E34" s="132"/>
      <c r="F34" s="132"/>
      <c r="G34" s="132"/>
      <c r="H34" s="132"/>
    </row>
    <row r="35" spans="1:8" ht="15">
      <c r="A35" s="31" t="s">
        <v>88</v>
      </c>
      <c r="B35" s="105" t="s">
        <v>87</v>
      </c>
      <c r="C35" s="33" t="s">
        <v>40</v>
      </c>
      <c r="D35" s="108">
        <f>(0.71+0.68)*6*383.89</f>
        <v>3201.6425999999997</v>
      </c>
      <c r="E35" s="132"/>
      <c r="F35" s="132"/>
      <c r="G35" s="132"/>
      <c r="H35" s="132"/>
    </row>
    <row r="36" spans="1:8" ht="15">
      <c r="A36" s="31" t="s">
        <v>89</v>
      </c>
      <c r="B36" s="32" t="s">
        <v>39</v>
      </c>
      <c r="C36" s="33" t="s">
        <v>40</v>
      </c>
      <c r="D36" s="34">
        <f>(0.81+0.77)*6*383.89</f>
        <v>3639.2772</v>
      </c>
      <c r="E36" s="132"/>
      <c r="F36" s="132"/>
      <c r="G36" s="132"/>
      <c r="H36" s="132"/>
    </row>
    <row r="37" spans="1:8" ht="30">
      <c r="A37" s="31" t="s">
        <v>90</v>
      </c>
      <c r="B37" s="106" t="s">
        <v>91</v>
      </c>
      <c r="C37" s="33" t="s">
        <v>40</v>
      </c>
      <c r="D37" s="108">
        <f>(1.33+1.27)*6*383.89</f>
        <v>5988.684</v>
      </c>
      <c r="E37" s="132"/>
      <c r="F37" s="132"/>
      <c r="G37" s="132"/>
      <c r="H37" s="132"/>
    </row>
    <row r="38" spans="1:8" ht="15">
      <c r="A38" s="31" t="s">
        <v>46</v>
      </c>
      <c r="B38" s="32" t="s">
        <v>42</v>
      </c>
      <c r="C38" s="35" t="s">
        <v>47</v>
      </c>
      <c r="D38" s="108">
        <f>4.88*383.89*12</f>
        <v>22480.5984</v>
      </c>
      <c r="E38" s="132"/>
      <c r="F38" s="132"/>
      <c r="G38" s="132"/>
      <c r="H38" s="132"/>
    </row>
    <row r="39" spans="1:8" ht="15">
      <c r="A39" s="31" t="s">
        <v>95</v>
      </c>
      <c r="B39" s="32" t="s">
        <v>96</v>
      </c>
      <c r="C39" s="35" t="s">
        <v>97</v>
      </c>
      <c r="D39" s="108">
        <v>874.96</v>
      </c>
      <c r="E39" s="132"/>
      <c r="F39" s="132"/>
      <c r="G39" s="132"/>
      <c r="H39" s="132"/>
    </row>
    <row r="40" spans="1:14" s="1" customFormat="1" ht="75">
      <c r="A40" s="248" t="s">
        <v>295</v>
      </c>
      <c r="B40" s="37" t="s">
        <v>49</v>
      </c>
      <c r="C40" s="115"/>
      <c r="D40" s="39">
        <v>911.81</v>
      </c>
      <c r="E40" s="132"/>
      <c r="F40" s="132"/>
      <c r="G40" s="132"/>
      <c r="H40" s="132"/>
      <c r="K40"/>
      <c r="L40"/>
      <c r="M40"/>
      <c r="N40"/>
    </row>
    <row r="41" spans="1:14" s="1" customFormat="1" ht="30">
      <c r="A41" s="109" t="s">
        <v>205</v>
      </c>
      <c r="B41" s="110" t="s">
        <v>206</v>
      </c>
      <c r="C41" s="115" t="s">
        <v>100</v>
      </c>
      <c r="D41" s="179">
        <v>911.81</v>
      </c>
      <c r="E41" s="132"/>
      <c r="F41" s="132"/>
      <c r="G41" s="132"/>
      <c r="H41" s="132"/>
      <c r="K41"/>
      <c r="L41"/>
      <c r="M41"/>
      <c r="N41"/>
    </row>
    <row r="42" spans="1:14" s="1" customFormat="1" ht="15.75">
      <c r="A42" s="40" t="s">
        <v>50</v>
      </c>
      <c r="B42" s="41"/>
      <c r="C42" s="42"/>
      <c r="D42" s="113">
        <f>D31+D32+D33+D34+D35+D36+D37+D38+D39+D40</f>
        <v>63723.58259999999</v>
      </c>
      <c r="E42" s="135">
        <f>D42-D40</f>
        <v>62811.77259999999</v>
      </c>
      <c r="F42" s="132"/>
      <c r="G42" s="132"/>
      <c r="H42" s="132"/>
      <c r="K42"/>
      <c r="L42"/>
      <c r="M42"/>
      <c r="N42"/>
    </row>
    <row r="43" spans="1:14" s="1" customFormat="1" ht="15">
      <c r="A43" s="43" t="s">
        <v>51</v>
      </c>
      <c r="B43" s="44" t="s">
        <v>16</v>
      </c>
      <c r="C43" s="45"/>
      <c r="D43" s="46">
        <f>C15+C20*0.9786-D40</f>
        <v>-2608.9395647999995</v>
      </c>
      <c r="E43" s="135"/>
      <c r="F43" s="132"/>
      <c r="G43" s="132"/>
      <c r="H43" s="132"/>
      <c r="K43"/>
      <c r="L43"/>
      <c r="M43"/>
      <c r="N43"/>
    </row>
    <row r="44" spans="1:14" s="1" customFormat="1" ht="15">
      <c r="A44" s="48" t="s">
        <v>17</v>
      </c>
      <c r="B44" s="49" t="s">
        <v>16</v>
      </c>
      <c r="C44" s="33"/>
      <c r="D44" s="14">
        <v>0</v>
      </c>
      <c r="E44" s="132"/>
      <c r="F44" s="132"/>
      <c r="G44" s="132"/>
      <c r="H44" s="132"/>
      <c r="K44"/>
      <c r="L44"/>
      <c r="M44"/>
      <c r="N44"/>
    </row>
    <row r="45" spans="1:14" s="1" customFormat="1" ht="15">
      <c r="A45" s="48" t="s">
        <v>18</v>
      </c>
      <c r="B45" s="49" t="s">
        <v>16</v>
      </c>
      <c r="C45" s="33"/>
      <c r="D45" s="14">
        <v>1483.69</v>
      </c>
      <c r="E45" s="132"/>
      <c r="F45" s="132"/>
      <c r="G45" s="132"/>
      <c r="H45" s="132"/>
      <c r="K45"/>
      <c r="L45"/>
      <c r="M45"/>
      <c r="N45"/>
    </row>
    <row r="46" spans="1:14" s="1" customFormat="1" ht="24" customHeight="1">
      <c r="A46" s="261" t="s">
        <v>52</v>
      </c>
      <c r="B46" s="261"/>
      <c r="C46" s="261"/>
      <c r="D46" s="261"/>
      <c r="E46" s="132"/>
      <c r="F46" s="132"/>
      <c r="G46" s="132"/>
      <c r="H46" s="132"/>
      <c r="K46"/>
      <c r="L46"/>
      <c r="M46"/>
      <c r="N46"/>
    </row>
    <row r="47" spans="1:14" s="1" customFormat="1" ht="15">
      <c r="A47" s="48" t="s">
        <v>53</v>
      </c>
      <c r="B47" s="32" t="s">
        <v>54</v>
      </c>
      <c r="C47" s="33"/>
      <c r="D47" s="14">
        <v>0</v>
      </c>
      <c r="E47" s="132"/>
      <c r="F47" s="132"/>
      <c r="G47" s="132"/>
      <c r="H47" s="132"/>
      <c r="K47"/>
      <c r="L47"/>
      <c r="M47"/>
      <c r="N47"/>
    </row>
    <row r="48" spans="1:14" s="1" customFormat="1" ht="15">
      <c r="A48" s="48" t="s">
        <v>55</v>
      </c>
      <c r="B48" s="32" t="s">
        <v>54</v>
      </c>
      <c r="C48" s="33"/>
      <c r="D48" s="14">
        <v>0</v>
      </c>
      <c r="E48" s="132"/>
      <c r="F48" s="132"/>
      <c r="G48" s="132"/>
      <c r="H48" s="132"/>
      <c r="K48"/>
      <c r="L48"/>
      <c r="M48"/>
      <c r="N48"/>
    </row>
    <row r="49" spans="1:14" s="1" customFormat="1" ht="25.5">
      <c r="A49" s="50" t="s">
        <v>56</v>
      </c>
      <c r="B49" s="32" t="s">
        <v>54</v>
      </c>
      <c r="C49" s="33"/>
      <c r="D49" s="14">
        <v>0</v>
      </c>
      <c r="E49" s="132"/>
      <c r="F49" s="132"/>
      <c r="G49" s="132"/>
      <c r="H49" s="132"/>
      <c r="K49"/>
      <c r="L49"/>
      <c r="M49"/>
      <c r="N49"/>
    </row>
    <row r="50" spans="1:14" s="1" customFormat="1" ht="15">
      <c r="A50" s="48" t="s">
        <v>57</v>
      </c>
      <c r="B50" s="32" t="s">
        <v>16</v>
      </c>
      <c r="C50" s="33"/>
      <c r="D50" s="14">
        <v>0</v>
      </c>
      <c r="E50" s="132"/>
      <c r="F50" s="132"/>
      <c r="G50" s="132"/>
      <c r="H50" s="132"/>
      <c r="K50"/>
      <c r="L50"/>
      <c r="M50"/>
      <c r="N50"/>
    </row>
    <row r="51" spans="1:8" ht="20.25" customHeight="1">
      <c r="A51" s="262" t="s">
        <v>58</v>
      </c>
      <c r="B51" s="262"/>
      <c r="C51" s="262"/>
      <c r="D51" s="262"/>
      <c r="E51" s="132"/>
      <c r="F51" s="132"/>
      <c r="G51" s="132"/>
      <c r="H51" s="132"/>
    </row>
    <row r="52" spans="1:8" ht="25.5">
      <c r="A52" s="50" t="s">
        <v>59</v>
      </c>
      <c r="B52" s="32" t="s">
        <v>16</v>
      </c>
      <c r="C52" s="33"/>
      <c r="D52" s="14">
        <v>0</v>
      </c>
      <c r="E52" s="132"/>
      <c r="F52" s="132"/>
      <c r="G52" s="132"/>
      <c r="H52" s="132"/>
    </row>
    <row r="53" spans="1:8" ht="15">
      <c r="A53" s="48" t="s">
        <v>17</v>
      </c>
      <c r="B53" s="32" t="s">
        <v>16</v>
      </c>
      <c r="C53" s="33"/>
      <c r="D53" s="14">
        <v>0</v>
      </c>
      <c r="E53" s="132"/>
      <c r="F53" s="132"/>
      <c r="G53" s="132"/>
      <c r="H53" s="132"/>
    </row>
    <row r="54" spans="1:8" ht="15">
      <c r="A54" s="48" t="s">
        <v>18</v>
      </c>
      <c r="B54" s="32" t="s">
        <v>16</v>
      </c>
      <c r="C54" s="33"/>
      <c r="D54" s="51">
        <f>D57-D60-D61-D62</f>
        <v>5736.302490000012</v>
      </c>
      <c r="E54" s="132"/>
      <c r="F54" s="132"/>
      <c r="G54" s="132"/>
      <c r="H54" s="136"/>
    </row>
    <row r="55" spans="1:8" ht="25.5">
      <c r="A55" s="53" t="s">
        <v>60</v>
      </c>
      <c r="B55" s="32" t="s">
        <v>16</v>
      </c>
      <c r="C55" s="54"/>
      <c r="D55" s="55">
        <v>0</v>
      </c>
      <c r="E55" s="132"/>
      <c r="F55" s="132"/>
      <c r="G55" s="132"/>
      <c r="H55" s="132"/>
    </row>
    <row r="56" spans="1:10" ht="17.25" customHeight="1">
      <c r="A56" s="56" t="s">
        <v>17</v>
      </c>
      <c r="B56" s="32" t="s">
        <v>16</v>
      </c>
      <c r="C56" s="57"/>
      <c r="D56" s="58">
        <v>0</v>
      </c>
      <c r="E56" s="132"/>
      <c r="F56" s="132"/>
      <c r="G56" s="132"/>
      <c r="H56" s="132"/>
      <c r="I56" s="52"/>
      <c r="J56" s="52"/>
    </row>
    <row r="57" spans="1:14" ht="15">
      <c r="A57" s="59" t="s">
        <v>18</v>
      </c>
      <c r="B57" s="32" t="s">
        <v>16</v>
      </c>
      <c r="C57" s="60"/>
      <c r="D57" s="61">
        <v>3920.05</v>
      </c>
      <c r="E57" s="132"/>
      <c r="F57" s="132"/>
      <c r="G57" s="132"/>
      <c r="H57" s="132" t="s">
        <v>32</v>
      </c>
      <c r="I57" s="63"/>
      <c r="J57" s="63"/>
      <c r="K57" s="64"/>
      <c r="L57" s="64"/>
      <c r="M57" s="64"/>
      <c r="N57" s="64"/>
    </row>
    <row r="58" spans="1:14" ht="18" customHeight="1">
      <c r="A58" s="263" t="s">
        <v>61</v>
      </c>
      <c r="B58" s="263"/>
      <c r="C58" s="263"/>
      <c r="D58" s="263"/>
      <c r="E58" s="137"/>
      <c r="F58" s="138"/>
      <c r="G58" s="139"/>
      <c r="H58" s="132"/>
      <c r="I58" s="68"/>
      <c r="J58" s="68"/>
      <c r="K58" s="69"/>
      <c r="L58" s="69"/>
      <c r="M58" s="69"/>
      <c r="N58" s="69"/>
    </row>
    <row r="59" spans="1:14" ht="38.25">
      <c r="A59" s="70" t="s">
        <v>62</v>
      </c>
      <c r="B59" s="71" t="s">
        <v>63</v>
      </c>
      <c r="C59" s="212" t="s">
        <v>64</v>
      </c>
      <c r="D59" s="213" t="s">
        <v>65</v>
      </c>
      <c r="E59" s="137"/>
      <c r="F59" s="138"/>
      <c r="G59" s="139"/>
      <c r="H59" s="132"/>
      <c r="I59" s="68"/>
      <c r="J59" s="74"/>
      <c r="K59" s="69"/>
      <c r="L59" s="69"/>
      <c r="M59" s="69"/>
      <c r="N59" s="69"/>
    </row>
    <row r="60" spans="1:14" ht="15">
      <c r="A60" s="75" t="s">
        <v>66</v>
      </c>
      <c r="B60" s="76">
        <v>15502.34</v>
      </c>
      <c r="C60" s="77">
        <f>B60*1.0094</f>
        <v>15648.061996000002</v>
      </c>
      <c r="D60" s="78">
        <f>B60-C60</f>
        <v>-145.72199600000204</v>
      </c>
      <c r="E60" s="140"/>
      <c r="F60" s="138"/>
      <c r="G60" s="139"/>
      <c r="H60" s="132"/>
      <c r="I60" s="68"/>
      <c r="J60" s="68"/>
      <c r="K60" s="69"/>
      <c r="L60" s="69"/>
      <c r="M60" s="69"/>
      <c r="N60" s="69"/>
    </row>
    <row r="61" spans="1:14" ht="15">
      <c r="A61" s="75" t="s">
        <v>67</v>
      </c>
      <c r="B61" s="76">
        <v>17342.13</v>
      </c>
      <c r="C61" s="77">
        <f>B61*1.0094</f>
        <v>17505.146022</v>
      </c>
      <c r="D61" s="78">
        <f>B61-C61</f>
        <v>-163.0160219999998</v>
      </c>
      <c r="E61" s="137"/>
      <c r="F61" s="138"/>
      <c r="G61" s="139"/>
      <c r="H61" s="132"/>
      <c r="I61" s="68"/>
      <c r="J61" s="68"/>
      <c r="K61" s="69"/>
      <c r="L61" s="69"/>
      <c r="M61" s="69"/>
      <c r="N61" s="69"/>
    </row>
    <row r="62" spans="1:14" ht="15">
      <c r="A62" s="75" t="s">
        <v>68</v>
      </c>
      <c r="B62" s="80">
        <v>160373.88</v>
      </c>
      <c r="C62" s="77">
        <f>B62*1.0094</f>
        <v>161881.394472</v>
      </c>
      <c r="D62" s="78">
        <f>B62-C62</f>
        <v>-1507.5144720000098</v>
      </c>
      <c r="E62" s="137">
        <f>(2.07+1.8)*6*2301.2-0.37*2301.2*6</f>
        <v>48325.2</v>
      </c>
      <c r="F62" s="141"/>
      <c r="G62" s="142"/>
      <c r="H62" s="137"/>
      <c r="I62" s="68"/>
      <c r="J62" s="68"/>
      <c r="K62" s="69"/>
      <c r="L62" s="69"/>
      <c r="M62" s="69"/>
      <c r="N62" s="69"/>
    </row>
    <row r="63" spans="1:14" ht="15">
      <c r="A63" s="83" t="s">
        <v>69</v>
      </c>
      <c r="B63" s="84">
        <v>0</v>
      </c>
      <c r="C63" s="77">
        <f>B63*0.9786</f>
        <v>0</v>
      </c>
      <c r="D63" s="85">
        <f>B63-C63</f>
        <v>0</v>
      </c>
      <c r="E63" s="137"/>
      <c r="F63" s="141"/>
      <c r="G63" s="142"/>
      <c r="H63" s="132"/>
      <c r="I63" s="68"/>
      <c r="J63" s="68"/>
      <c r="K63" s="69"/>
      <c r="L63" s="69"/>
      <c r="M63" s="69"/>
      <c r="N63" s="69"/>
    </row>
    <row r="64" spans="1:14" ht="51">
      <c r="A64" s="86" t="s">
        <v>70</v>
      </c>
      <c r="B64" s="71" t="s">
        <v>71</v>
      </c>
      <c r="C64" s="212" t="s">
        <v>72</v>
      </c>
      <c r="D64" s="213" t="s">
        <v>73</v>
      </c>
      <c r="E64" s="137"/>
      <c r="F64" s="141"/>
      <c r="G64" s="132"/>
      <c r="H64" s="143"/>
      <c r="I64" s="68"/>
      <c r="J64" s="68"/>
      <c r="K64" s="69"/>
      <c r="L64" s="69"/>
      <c r="M64" s="69"/>
      <c r="N64" s="69"/>
    </row>
    <row r="65" spans="1:14" ht="15">
      <c r="A65" s="75" t="s">
        <v>66</v>
      </c>
      <c r="B65" s="87">
        <f>B60</f>
        <v>15502.34</v>
      </c>
      <c r="C65" s="88">
        <v>15648.06</v>
      </c>
      <c r="D65" s="78">
        <f>B65-C65</f>
        <v>-145.71999999999935</v>
      </c>
      <c r="E65" s="137"/>
      <c r="F65" s="141"/>
      <c r="G65" s="132"/>
      <c r="H65" s="143"/>
      <c r="I65" s="68"/>
      <c r="J65" s="68" t="s">
        <v>32</v>
      </c>
      <c r="K65" s="69"/>
      <c r="L65" s="69"/>
      <c r="M65" s="69"/>
      <c r="N65" s="69"/>
    </row>
    <row r="66" spans="1:14" ht="15">
      <c r="A66" s="75" t="s">
        <v>67</v>
      </c>
      <c r="B66" s="87">
        <f>B61</f>
        <v>17342.13</v>
      </c>
      <c r="C66" s="88">
        <v>17505.15</v>
      </c>
      <c r="D66" s="78">
        <f>B66-C66</f>
        <v>-163.02000000000044</v>
      </c>
      <c r="E66" s="137"/>
      <c r="F66" s="141"/>
      <c r="G66" s="132"/>
      <c r="H66" s="143"/>
      <c r="I66" s="68"/>
      <c r="J66" s="68"/>
      <c r="K66" s="69"/>
      <c r="L66" s="69"/>
      <c r="M66" s="69"/>
      <c r="N66" s="69"/>
    </row>
    <row r="67" spans="1:14" ht="15">
      <c r="A67" s="75" t="s">
        <v>68</v>
      </c>
      <c r="B67" s="87">
        <f>B62</f>
        <v>160373.88</v>
      </c>
      <c r="C67" s="88">
        <v>161881.39</v>
      </c>
      <c r="D67" s="78">
        <f>B67-C67</f>
        <v>-1507.5100000000093</v>
      </c>
      <c r="E67" s="137"/>
      <c r="F67" s="141"/>
      <c r="G67" s="132"/>
      <c r="H67" s="143"/>
      <c r="I67" s="68"/>
      <c r="J67" s="68"/>
      <c r="K67" s="69"/>
      <c r="L67" s="69"/>
      <c r="M67" s="69"/>
      <c r="N67" s="69"/>
    </row>
    <row r="68" spans="1:14" ht="15">
      <c r="A68" s="75" t="s">
        <v>74</v>
      </c>
      <c r="B68" s="87">
        <v>0</v>
      </c>
      <c r="C68" s="95">
        <f>C63*1.0063</f>
        <v>0</v>
      </c>
      <c r="D68" s="78">
        <f>B68-C68</f>
        <v>0</v>
      </c>
      <c r="E68" s="137"/>
      <c r="F68" s="141"/>
      <c r="G68" s="132"/>
      <c r="H68" s="143"/>
      <c r="I68" s="68"/>
      <c r="J68" s="68"/>
      <c r="K68" s="69"/>
      <c r="L68" s="69"/>
      <c r="M68" s="69"/>
      <c r="N68" s="69"/>
    </row>
    <row r="69" spans="1:14" ht="15">
      <c r="A69" s="89" t="s">
        <v>69</v>
      </c>
      <c r="B69" s="90">
        <v>0</v>
      </c>
      <c r="C69" s="114">
        <v>0</v>
      </c>
      <c r="D69" s="78">
        <f>B69-C69</f>
        <v>0</v>
      </c>
      <c r="E69" s="137"/>
      <c r="F69" s="141"/>
      <c r="G69" s="132"/>
      <c r="H69" s="143" t="s">
        <v>32</v>
      </c>
      <c r="I69" s="68"/>
      <c r="J69" s="68"/>
      <c r="K69" s="69"/>
      <c r="L69" s="69"/>
      <c r="M69" s="69"/>
      <c r="N69" s="69"/>
    </row>
    <row r="70" spans="1:14" ht="15">
      <c r="A70" s="91"/>
      <c r="B70" s="87"/>
      <c r="C70" s="92"/>
      <c r="D70" s="93"/>
      <c r="E70" s="65"/>
      <c r="F70" s="81"/>
      <c r="H70" s="68"/>
      <c r="I70" s="68"/>
      <c r="J70" s="68"/>
      <c r="K70" s="69"/>
      <c r="L70" s="69"/>
      <c r="M70" s="69"/>
      <c r="N70" s="69"/>
    </row>
    <row r="71" spans="1:14" ht="25.5">
      <c r="A71" s="94" t="s">
        <v>75</v>
      </c>
      <c r="B71" s="87" t="s">
        <v>16</v>
      </c>
      <c r="C71" s="95"/>
      <c r="D71" s="96">
        <v>0</v>
      </c>
      <c r="E71" s="65"/>
      <c r="F71" s="81"/>
      <c r="H71" s="68"/>
      <c r="I71" s="68"/>
      <c r="J71" s="68" t="s">
        <v>32</v>
      </c>
      <c r="K71" s="69"/>
      <c r="L71" s="69"/>
      <c r="M71" s="69"/>
      <c r="N71" s="69"/>
    </row>
    <row r="72" spans="1:14" ht="17.25" customHeight="1">
      <c r="A72" s="264" t="s">
        <v>76</v>
      </c>
      <c r="B72" s="264"/>
      <c r="C72" s="264"/>
      <c r="D72" s="264"/>
      <c r="E72" s="97" t="e">
        <f>D72+B19</f>
        <v>#VALUE!</v>
      </c>
      <c r="F72" s="68"/>
      <c r="H72" s="98" t="e">
        <f>E72-B18</f>
        <v>#VALUE!</v>
      </c>
      <c r="I72" s="68"/>
      <c r="J72" s="68"/>
      <c r="K72" s="69"/>
      <c r="L72" s="69"/>
      <c r="M72" s="69"/>
      <c r="N72" s="69"/>
    </row>
    <row r="73" spans="1:5" ht="21" customHeight="1">
      <c r="A73" s="99" t="s">
        <v>53</v>
      </c>
      <c r="B73" s="99" t="s">
        <v>54</v>
      </c>
      <c r="C73" s="100">
        <v>0</v>
      </c>
      <c r="D73" s="101"/>
      <c r="E73" s="102"/>
    </row>
    <row r="74" spans="1:5" ht="21" customHeight="1">
      <c r="A74" s="99" t="s">
        <v>55</v>
      </c>
      <c r="B74" s="99" t="s">
        <v>54</v>
      </c>
      <c r="C74" s="99">
        <v>0</v>
      </c>
      <c r="D74" s="101"/>
      <c r="E74" s="102"/>
    </row>
    <row r="75" spans="1:5" ht="18" customHeight="1">
      <c r="A75" s="99" t="s">
        <v>56</v>
      </c>
      <c r="B75" s="99" t="s">
        <v>54</v>
      </c>
      <c r="C75" s="99">
        <v>0</v>
      </c>
      <c r="D75" s="101"/>
      <c r="E75" s="102"/>
    </row>
    <row r="76" spans="1:5" ht="16.5" customHeight="1">
      <c r="A76" s="99" t="s">
        <v>57</v>
      </c>
      <c r="B76" s="99" t="s">
        <v>16</v>
      </c>
      <c r="C76" s="99">
        <v>0</v>
      </c>
      <c r="D76" s="101"/>
      <c r="E76" s="102"/>
    </row>
    <row r="77" spans="1:5" ht="15.75" customHeight="1">
      <c r="A77" s="258" t="s">
        <v>77</v>
      </c>
      <c r="B77" s="258"/>
      <c r="C77" s="258"/>
      <c r="D77" s="258"/>
      <c r="E77" s="102"/>
    </row>
    <row r="78" spans="1:5" ht="18.75" customHeight="1">
      <c r="A78" s="99" t="s">
        <v>78</v>
      </c>
      <c r="B78" s="99" t="s">
        <v>54</v>
      </c>
      <c r="C78" s="99">
        <v>0</v>
      </c>
      <c r="D78" s="101"/>
      <c r="E78" s="102"/>
    </row>
    <row r="79" spans="1:5" ht="21.75" customHeight="1">
      <c r="A79" s="99" t="s">
        <v>79</v>
      </c>
      <c r="B79" s="56" t="s">
        <v>54</v>
      </c>
      <c r="C79" s="56">
        <v>0</v>
      </c>
      <c r="D79" s="101"/>
      <c r="E79" s="102"/>
    </row>
    <row r="80" spans="1:5" ht="36" customHeight="1">
      <c r="A80" s="103" t="s">
        <v>80</v>
      </c>
      <c r="B80" s="99" t="s">
        <v>16</v>
      </c>
      <c r="C80" s="99">
        <v>0</v>
      </c>
      <c r="D80" s="101"/>
      <c r="E80" s="102"/>
    </row>
    <row r="81" spans="1:4" ht="15">
      <c r="A81" s="69"/>
      <c r="B81" s="69"/>
      <c r="C81" s="69"/>
      <c r="D81" s="104"/>
    </row>
    <row r="82" spans="1:14" s="1" customFormat="1" ht="12.75">
      <c r="A82"/>
      <c r="B82"/>
      <c r="C82"/>
      <c r="D82"/>
      <c r="H82" s="1" t="s">
        <v>32</v>
      </c>
      <c r="K82"/>
      <c r="L82"/>
      <c r="M82"/>
      <c r="N82"/>
    </row>
    <row r="83" spans="1:14" s="1" customFormat="1" ht="12.75">
      <c r="A83" t="s">
        <v>81</v>
      </c>
      <c r="B83"/>
      <c r="C83" t="s">
        <v>170</v>
      </c>
      <c r="D83"/>
      <c r="K83"/>
      <c r="L83"/>
      <c r="M83"/>
      <c r="N83"/>
    </row>
    <row r="84" spans="1:14" s="1" customFormat="1" ht="12.75">
      <c r="A84"/>
      <c r="B84"/>
      <c r="C84"/>
      <c r="D84"/>
      <c r="H84" s="1" t="s">
        <v>32</v>
      </c>
      <c r="K84"/>
      <c r="L84"/>
      <c r="M84"/>
      <c r="N84"/>
    </row>
    <row r="85" spans="1:14" s="1" customFormat="1" ht="12.75">
      <c r="A85" t="s">
        <v>82</v>
      </c>
      <c r="B85"/>
      <c r="C85"/>
      <c r="D85"/>
      <c r="K85"/>
      <c r="L85"/>
      <c r="M85"/>
      <c r="N85"/>
    </row>
    <row r="89" spans="1:14" s="1" customFormat="1" ht="12.75">
      <c r="A89"/>
      <c r="B89"/>
      <c r="C89"/>
      <c r="D89"/>
      <c r="E89" s="1" t="s">
        <v>32</v>
      </c>
      <c r="K89"/>
      <c r="L89"/>
      <c r="M89"/>
      <c r="N89"/>
    </row>
  </sheetData>
  <sheetProtection selectLockedCells="1" selectUnlockedCells="1"/>
  <mergeCells count="13">
    <mergeCell ref="A1:D1"/>
    <mergeCell ref="A2:D2"/>
    <mergeCell ref="A3:D3"/>
    <mergeCell ref="A4:D4"/>
    <mergeCell ref="A5:D5"/>
    <mergeCell ref="A7:D7"/>
    <mergeCell ref="A77:D77"/>
    <mergeCell ref="A14:D14"/>
    <mergeCell ref="A29:D29"/>
    <mergeCell ref="A46:D46"/>
    <mergeCell ref="A51:D51"/>
    <mergeCell ref="A58:D58"/>
    <mergeCell ref="A72:D72"/>
  </mergeCells>
  <printOptions/>
  <pageMargins left="0.5597222222222222" right="0.7875" top="0.34097222222222223" bottom="0.7875" header="0.5118055555555555" footer="0.5118055555555555"/>
  <pageSetup fitToHeight="3" fitToWidth="2" horizontalDpi="600" verticalDpi="600" orientation="portrait" paperSize="1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7"/>
  <sheetViews>
    <sheetView zoomScale="80" zoomScaleNormal="80" zoomScalePageLayoutView="0" workbookViewId="0" topLeftCell="A1">
      <selection activeCell="E15" sqref="E15:E59"/>
    </sheetView>
  </sheetViews>
  <sheetFormatPr defaultColWidth="11.57421875" defaultRowHeight="12.75"/>
  <cols>
    <col min="1" max="1" width="53.140625" style="0" customWidth="1"/>
    <col min="2" max="2" width="14.421875" style="0" customWidth="1"/>
    <col min="3" max="3" width="27.57421875" style="0" customWidth="1"/>
    <col min="4" max="4" width="18.28125" style="0" customWidth="1"/>
    <col min="5" max="5" width="16.8515625" style="1" customWidth="1"/>
    <col min="6" max="7" width="0" style="1" hidden="1" customWidth="1"/>
    <col min="8" max="8" width="11.57421875" style="1" customWidth="1"/>
    <col min="9" max="9" width="5.28125" style="1" customWidth="1"/>
    <col min="10" max="10" width="30.00390625" style="1" customWidth="1"/>
    <col min="11" max="12" width="23.28125" style="0" customWidth="1"/>
    <col min="13" max="13" width="6.57421875" style="0" customWidth="1"/>
    <col min="14" max="14" width="7.00390625" style="0" customWidth="1"/>
  </cols>
  <sheetData>
    <row r="1" spans="1:4" ht="18">
      <c r="A1" s="265" t="s">
        <v>0</v>
      </c>
      <c r="B1" s="265"/>
      <c r="C1" s="265"/>
      <c r="D1" s="265"/>
    </row>
    <row r="2" spans="1:4" ht="15.75">
      <c r="A2" s="266" t="s">
        <v>1</v>
      </c>
      <c r="B2" s="266"/>
      <c r="C2" s="266"/>
      <c r="D2" s="266"/>
    </row>
    <row r="3" spans="1:4" ht="15.75">
      <c r="A3" s="266" t="s">
        <v>2</v>
      </c>
      <c r="B3" s="266"/>
      <c r="C3" s="266"/>
      <c r="D3" s="266"/>
    </row>
    <row r="4" spans="1:4" ht="12.75">
      <c r="A4" s="267" t="s">
        <v>101</v>
      </c>
      <c r="B4" s="267"/>
      <c r="C4" s="267"/>
      <c r="D4" s="267"/>
    </row>
    <row r="5" spans="1:4" ht="12.75">
      <c r="A5" s="268" t="s">
        <v>171</v>
      </c>
      <c r="B5" s="267"/>
      <c r="C5" s="267"/>
      <c r="D5" s="267"/>
    </row>
    <row r="6" ht="17.25" customHeight="1">
      <c r="A6" s="2" t="s">
        <v>208</v>
      </c>
    </row>
    <row r="7" spans="1:4" ht="31.5" customHeight="1">
      <c r="A7" s="269" t="s">
        <v>4</v>
      </c>
      <c r="B7" s="269"/>
      <c r="C7" s="269"/>
      <c r="D7" s="269"/>
    </row>
    <row r="8" spans="1:3" ht="12.75">
      <c r="A8" s="2"/>
      <c r="C8" s="3"/>
    </row>
    <row r="9" spans="1:4" ht="12.75">
      <c r="A9" s="4" t="s">
        <v>5</v>
      </c>
      <c r="B9" s="4" t="s">
        <v>6</v>
      </c>
      <c r="C9" s="4" t="s">
        <v>7</v>
      </c>
      <c r="D9" s="5"/>
    </row>
    <row r="10" spans="1:4" ht="12.75">
      <c r="A10" s="6">
        <v>1</v>
      </c>
      <c r="B10" s="6">
        <v>2</v>
      </c>
      <c r="C10" s="6">
        <v>3</v>
      </c>
      <c r="D10" s="7">
        <v>4</v>
      </c>
    </row>
    <row r="11" spans="1:4" ht="12.75">
      <c r="A11" s="8" t="s">
        <v>8</v>
      </c>
      <c r="B11" s="9"/>
      <c r="C11" s="177" t="s">
        <v>172</v>
      </c>
      <c r="D11" s="10"/>
    </row>
    <row r="12" spans="1:4" ht="12.75">
      <c r="A12" s="8" t="s">
        <v>10</v>
      </c>
      <c r="B12" s="9"/>
      <c r="C12" s="177" t="s">
        <v>173</v>
      </c>
      <c r="D12" s="10"/>
    </row>
    <row r="13" spans="1:4" ht="12.75">
      <c r="A13" s="8" t="s">
        <v>12</v>
      </c>
      <c r="B13" s="9"/>
      <c r="C13" s="177" t="s">
        <v>174</v>
      </c>
      <c r="D13" s="10"/>
    </row>
    <row r="14" spans="1:8" ht="31.5" customHeight="1">
      <c r="A14" s="259" t="s">
        <v>14</v>
      </c>
      <c r="B14" s="259"/>
      <c r="C14" s="259"/>
      <c r="D14" s="259"/>
      <c r="E14" s="132"/>
      <c r="F14" s="132"/>
      <c r="G14" s="132"/>
      <c r="H14" s="132"/>
    </row>
    <row r="15" spans="1:8" ht="25.5">
      <c r="A15" s="11" t="s">
        <v>15</v>
      </c>
      <c r="B15" s="12" t="s">
        <v>16</v>
      </c>
      <c r="C15" s="13">
        <v>56111.42</v>
      </c>
      <c r="D15" s="14"/>
      <c r="E15" s="132"/>
      <c r="F15" s="132"/>
      <c r="G15" s="132"/>
      <c r="H15" s="132"/>
    </row>
    <row r="16" spans="1:8" ht="15">
      <c r="A16" s="8" t="s">
        <v>17</v>
      </c>
      <c r="B16" s="12" t="s">
        <v>16</v>
      </c>
      <c r="C16" s="13">
        <v>0</v>
      </c>
      <c r="D16" s="14"/>
      <c r="E16" s="132"/>
      <c r="F16" s="132"/>
      <c r="G16" s="132"/>
      <c r="H16" s="132"/>
    </row>
    <row r="17" spans="1:8" ht="15">
      <c r="A17" s="8" t="s">
        <v>18</v>
      </c>
      <c r="B17" s="12" t="s">
        <v>16</v>
      </c>
      <c r="C17" s="15">
        <v>19863.5</v>
      </c>
      <c r="D17" s="16"/>
      <c r="E17" s="132" t="e">
        <f>B17/12/1022.6</f>
        <v>#VALUE!</v>
      </c>
      <c r="F17" s="132"/>
      <c r="G17" s="132"/>
      <c r="H17" s="132"/>
    </row>
    <row r="18" spans="1:8" ht="31.5" customHeight="1">
      <c r="A18" s="17" t="s">
        <v>19</v>
      </c>
      <c r="B18" s="12" t="s">
        <v>16</v>
      </c>
      <c r="C18" s="15">
        <f>C19+C20+C21</f>
        <v>270731.458</v>
      </c>
      <c r="D18" s="16"/>
      <c r="E18" s="133">
        <f>C18-C20</f>
        <v>233476.588</v>
      </c>
      <c r="F18" s="132"/>
      <c r="G18" s="132"/>
      <c r="H18" s="132"/>
    </row>
    <row r="19" spans="1:8" ht="15">
      <c r="A19" s="8" t="s">
        <v>20</v>
      </c>
      <c r="B19" s="12" t="s">
        <v>16</v>
      </c>
      <c r="C19" s="15">
        <v>155281.42</v>
      </c>
      <c r="D19" s="16"/>
      <c r="E19" s="133">
        <f>E18-E40</f>
        <v>0.001999999978579581</v>
      </c>
      <c r="F19" s="132"/>
      <c r="G19" s="132"/>
      <c r="H19" s="132"/>
    </row>
    <row r="20" spans="1:8" ht="15">
      <c r="A20" s="8" t="s">
        <v>21</v>
      </c>
      <c r="B20" s="12" t="s">
        <v>16</v>
      </c>
      <c r="C20" s="15">
        <f>(2.54+2.11)*6*1335.3</f>
        <v>37254.87</v>
      </c>
      <c r="D20" s="16"/>
      <c r="E20" s="134"/>
      <c r="F20" s="132"/>
      <c r="G20" s="132"/>
      <c r="H20" s="132"/>
    </row>
    <row r="21" spans="1:8" ht="15">
      <c r="A21" s="8" t="s">
        <v>22</v>
      </c>
      <c r="B21" s="12" t="s">
        <v>16</v>
      </c>
      <c r="C21" s="20">
        <f>1335.3*4.88*12</f>
        <v>78195.16799999999</v>
      </c>
      <c r="D21" s="16"/>
      <c r="E21" s="132"/>
      <c r="F21" s="132"/>
      <c r="G21" s="132"/>
      <c r="H21" s="132"/>
    </row>
    <row r="22" spans="1:8" ht="15">
      <c r="A22" s="21" t="s">
        <v>23</v>
      </c>
      <c r="B22" s="12" t="s">
        <v>16</v>
      </c>
      <c r="C22" s="15">
        <f>C23+C24+C25+C26+C27</f>
        <v>279720.0607338</v>
      </c>
      <c r="D22" s="16" t="s">
        <v>24</v>
      </c>
      <c r="E22" s="133" t="e">
        <f>B24+B25+B26+B27+B28</f>
        <v>#VALUE!</v>
      </c>
      <c r="F22" s="132"/>
      <c r="G22" s="132"/>
      <c r="H22" s="132"/>
    </row>
    <row r="23" spans="1:8" ht="15">
      <c r="A23" s="8" t="s">
        <v>25</v>
      </c>
      <c r="B23" s="12" t="s">
        <v>16</v>
      </c>
      <c r="C23" s="15">
        <f>C18*0.9861</f>
        <v>266968.2907338</v>
      </c>
      <c r="D23" s="16"/>
      <c r="E23" s="132"/>
      <c r="F23" s="132"/>
      <c r="G23" s="132"/>
      <c r="H23" s="132"/>
    </row>
    <row r="24" spans="1:8" ht="15">
      <c r="A24" s="8" t="s">
        <v>26</v>
      </c>
      <c r="B24" s="12" t="s">
        <v>16</v>
      </c>
      <c r="C24" s="15">
        <v>0</v>
      </c>
      <c r="D24" s="22">
        <v>65.21</v>
      </c>
      <c r="E24" s="134" t="e">
        <f>B24/#REF!*1</f>
        <v>#VALUE!</v>
      </c>
      <c r="F24" s="132"/>
      <c r="G24" s="132"/>
      <c r="H24" s="132" t="s">
        <v>27</v>
      </c>
    </row>
    <row r="25" spans="1:8" ht="15">
      <c r="A25" s="8" t="s">
        <v>28</v>
      </c>
      <c r="B25" s="12" t="s">
        <v>16</v>
      </c>
      <c r="C25" s="15">
        <v>0</v>
      </c>
      <c r="D25" s="22">
        <v>119.63</v>
      </c>
      <c r="E25" s="134" t="e">
        <f>B25/#REF!*1</f>
        <v>#VALUE!</v>
      </c>
      <c r="F25" s="132"/>
      <c r="G25" s="132"/>
      <c r="H25" s="132"/>
    </row>
    <row r="26" spans="1:8" ht="15">
      <c r="A26" s="9" t="s">
        <v>29</v>
      </c>
      <c r="B26" s="12" t="s">
        <v>16</v>
      </c>
      <c r="C26" s="15">
        <v>0</v>
      </c>
      <c r="D26" s="22"/>
      <c r="E26" s="134" t="e">
        <f>B26/#REF!*1</f>
        <v>#VALUE!</v>
      </c>
      <c r="F26" s="132"/>
      <c r="G26" s="132"/>
      <c r="H26" s="132"/>
    </row>
    <row r="27" spans="1:8" ht="15">
      <c r="A27" s="186" t="s">
        <v>112</v>
      </c>
      <c r="B27" s="12" t="s">
        <v>16</v>
      </c>
      <c r="C27" s="15">
        <v>12751.77</v>
      </c>
      <c r="D27" s="22">
        <v>139.18</v>
      </c>
      <c r="E27" s="134" t="e">
        <f>B27/#REF!*1</f>
        <v>#VALUE!</v>
      </c>
      <c r="F27" s="132"/>
      <c r="G27" s="132"/>
      <c r="H27" s="132"/>
    </row>
    <row r="28" spans="1:8" ht="15">
      <c r="A28" s="8" t="s">
        <v>31</v>
      </c>
      <c r="B28" s="12" t="s">
        <v>16</v>
      </c>
      <c r="C28" s="15">
        <f>C15+C22</f>
        <v>335831.4807338</v>
      </c>
      <c r="D28" s="16" t="s">
        <v>32</v>
      </c>
      <c r="E28" s="134" t="e">
        <f>B28/#REF!*1</f>
        <v>#VALUE!</v>
      </c>
      <c r="F28" s="132"/>
      <c r="G28" s="132"/>
      <c r="H28" s="132"/>
    </row>
    <row r="29" spans="1:8" ht="35.25" customHeight="1">
      <c r="A29" s="260" t="s">
        <v>33</v>
      </c>
      <c r="B29" s="260"/>
      <c r="C29" s="260"/>
      <c r="D29" s="260"/>
      <c r="E29" s="132"/>
      <c r="F29" s="132"/>
      <c r="G29" s="132"/>
      <c r="H29" s="132"/>
    </row>
    <row r="30" spans="1:8" ht="51">
      <c r="A30" s="23" t="s">
        <v>34</v>
      </c>
      <c r="B30" s="215" t="s">
        <v>35</v>
      </c>
      <c r="C30" s="216" t="s">
        <v>36</v>
      </c>
      <c r="D30" s="217" t="s">
        <v>37</v>
      </c>
      <c r="E30" s="132"/>
      <c r="F30" s="132"/>
      <c r="G30" s="132"/>
      <c r="H30" s="132"/>
    </row>
    <row r="31" spans="1:8" ht="30">
      <c r="A31" s="27" t="s">
        <v>38</v>
      </c>
      <c r="B31" s="28" t="s">
        <v>39</v>
      </c>
      <c r="C31" s="29" t="s">
        <v>102</v>
      </c>
      <c r="D31" s="107">
        <f>(0.43+0.41)*6*1335.3</f>
        <v>6729.912</v>
      </c>
      <c r="E31" s="132"/>
      <c r="F31" s="132"/>
      <c r="G31" s="132"/>
      <c r="H31" s="132"/>
    </row>
    <row r="32" spans="1:8" ht="15">
      <c r="A32" s="31" t="s">
        <v>84</v>
      </c>
      <c r="B32" s="32" t="s">
        <v>85</v>
      </c>
      <c r="C32" s="33" t="s">
        <v>86</v>
      </c>
      <c r="D32" s="108">
        <f>(2.45+2.34)*6*1335.3</f>
        <v>38376.522000000004</v>
      </c>
      <c r="E32" s="132"/>
      <c r="F32" s="132"/>
      <c r="G32" s="132"/>
      <c r="H32" s="132"/>
    </row>
    <row r="33" spans="1:8" ht="15">
      <c r="A33" s="31" t="s">
        <v>41</v>
      </c>
      <c r="B33" s="32" t="s">
        <v>42</v>
      </c>
      <c r="C33" s="33" t="s">
        <v>43</v>
      </c>
      <c r="D33" s="34">
        <f>(3.03+3)*6*1335.3</f>
        <v>48311.15399999999</v>
      </c>
      <c r="E33" s="132"/>
      <c r="F33" s="132"/>
      <c r="G33" s="132"/>
      <c r="H33" s="132"/>
    </row>
    <row r="34" spans="1:8" ht="15">
      <c r="A34" s="31" t="s">
        <v>44</v>
      </c>
      <c r="B34" s="32" t="s">
        <v>39</v>
      </c>
      <c r="C34" s="33" t="s">
        <v>45</v>
      </c>
      <c r="D34" s="108">
        <f>(0.2+0.21)*6*1335.3</f>
        <v>3284.8379999999997</v>
      </c>
      <c r="E34" s="132"/>
      <c r="F34" s="132"/>
      <c r="G34" s="132"/>
      <c r="H34" s="132"/>
    </row>
    <row r="35" spans="1:8" ht="15">
      <c r="A35" s="31" t="s">
        <v>88</v>
      </c>
      <c r="B35" s="105" t="s">
        <v>87</v>
      </c>
      <c r="C35" s="33" t="s">
        <v>40</v>
      </c>
      <c r="D35" s="108">
        <f>(0.59+0.56)*6*1335.3</f>
        <v>9213.57</v>
      </c>
      <c r="E35" s="132"/>
      <c r="F35" s="132"/>
      <c r="G35" s="132"/>
      <c r="H35" s="132"/>
    </row>
    <row r="36" spans="1:8" ht="15">
      <c r="A36" s="31" t="s">
        <v>89</v>
      </c>
      <c r="B36" s="32" t="s">
        <v>39</v>
      </c>
      <c r="C36" s="33" t="s">
        <v>40</v>
      </c>
      <c r="D36" s="34">
        <v>29015.45</v>
      </c>
      <c r="E36" s="132"/>
      <c r="F36" s="132"/>
      <c r="G36" s="132"/>
      <c r="H36" s="132"/>
    </row>
    <row r="37" spans="1:8" ht="30">
      <c r="A37" s="31" t="s">
        <v>90</v>
      </c>
      <c r="B37" s="106" t="s">
        <v>91</v>
      </c>
      <c r="C37" s="33" t="s">
        <v>40</v>
      </c>
      <c r="D37" s="108">
        <f>(1.21+1.33)*6*1335.3</f>
        <v>20349.971999999998</v>
      </c>
      <c r="E37" s="132"/>
      <c r="F37" s="132"/>
      <c r="G37" s="132"/>
      <c r="H37" s="132"/>
    </row>
    <row r="38" spans="1:8" ht="15">
      <c r="A38" s="31" t="s">
        <v>46</v>
      </c>
      <c r="B38" s="32" t="s">
        <v>42</v>
      </c>
      <c r="C38" s="35" t="s">
        <v>47</v>
      </c>
      <c r="D38" s="108">
        <f>4.88*1335.3*12</f>
        <v>78195.16799999999</v>
      </c>
      <c r="E38" s="132"/>
      <c r="F38" s="132"/>
      <c r="G38" s="132"/>
      <c r="H38" s="132"/>
    </row>
    <row r="39" spans="1:14" s="1" customFormat="1" ht="75">
      <c r="A39" s="180" t="s">
        <v>296</v>
      </c>
      <c r="B39" s="37" t="s">
        <v>49</v>
      </c>
      <c r="C39" s="33"/>
      <c r="D39" s="39">
        <v>0</v>
      </c>
      <c r="E39" s="132"/>
      <c r="F39" s="132"/>
      <c r="G39" s="132"/>
      <c r="H39" s="132"/>
      <c r="K39"/>
      <c r="L39"/>
      <c r="M39"/>
      <c r="N39"/>
    </row>
    <row r="40" spans="1:14" s="1" customFormat="1" ht="15.75">
      <c r="A40" s="40" t="s">
        <v>50</v>
      </c>
      <c r="B40" s="41"/>
      <c r="C40" s="42"/>
      <c r="D40" s="113">
        <f>SUM(D31:D39)</f>
        <v>233476.586</v>
      </c>
      <c r="E40" s="135">
        <f>D40-D39</f>
        <v>233476.586</v>
      </c>
      <c r="F40" s="132"/>
      <c r="G40" s="132"/>
      <c r="H40" s="132"/>
      <c r="K40"/>
      <c r="L40"/>
      <c r="M40"/>
      <c r="N40"/>
    </row>
    <row r="41" spans="1:14" s="1" customFormat="1" ht="25.5">
      <c r="A41" s="211" t="s">
        <v>51</v>
      </c>
      <c r="B41" s="44" t="s">
        <v>16</v>
      </c>
      <c r="C41" s="45"/>
      <c r="D41" s="46">
        <f>C15+C20*0.9861+C27-D39</f>
        <v>105600.217307</v>
      </c>
      <c r="E41" s="135"/>
      <c r="F41" s="132"/>
      <c r="G41" s="132"/>
      <c r="H41" s="132"/>
      <c r="K41"/>
      <c r="L41"/>
      <c r="M41"/>
      <c r="N41"/>
    </row>
    <row r="42" spans="1:14" s="1" customFormat="1" ht="15">
      <c r="A42" s="48" t="s">
        <v>17</v>
      </c>
      <c r="B42" s="49" t="s">
        <v>16</v>
      </c>
      <c r="C42" s="33"/>
      <c r="D42" s="14">
        <v>0</v>
      </c>
      <c r="E42" s="132"/>
      <c r="F42" s="132"/>
      <c r="G42" s="132"/>
      <c r="H42" s="132"/>
      <c r="K42"/>
      <c r="L42"/>
      <c r="M42"/>
      <c r="N42"/>
    </row>
    <row r="43" spans="1:14" s="1" customFormat="1" ht="15">
      <c r="A43" s="48" t="s">
        <v>18</v>
      </c>
      <c r="B43" s="49" t="s">
        <v>16</v>
      </c>
      <c r="C43" s="33"/>
      <c r="D43" s="14">
        <v>23626.67</v>
      </c>
      <c r="E43" s="132"/>
      <c r="F43" s="132"/>
      <c r="G43" s="132"/>
      <c r="H43" s="132"/>
      <c r="K43"/>
      <c r="L43"/>
      <c r="M43"/>
      <c r="N43"/>
    </row>
    <row r="44" spans="1:14" s="1" customFormat="1" ht="24" customHeight="1">
      <c r="A44" s="261" t="s">
        <v>52</v>
      </c>
      <c r="B44" s="261"/>
      <c r="C44" s="261"/>
      <c r="D44" s="261"/>
      <c r="E44" s="132"/>
      <c r="F44" s="132"/>
      <c r="G44" s="132"/>
      <c r="H44" s="132"/>
      <c r="K44"/>
      <c r="L44"/>
      <c r="M44"/>
      <c r="N44"/>
    </row>
    <row r="45" spans="1:14" s="1" customFormat="1" ht="15">
      <c r="A45" s="48" t="s">
        <v>53</v>
      </c>
      <c r="B45" s="32" t="s">
        <v>54</v>
      </c>
      <c r="C45" s="33"/>
      <c r="D45" s="14">
        <v>0</v>
      </c>
      <c r="E45" s="132"/>
      <c r="F45" s="132"/>
      <c r="G45" s="132"/>
      <c r="H45" s="132"/>
      <c r="K45"/>
      <c r="L45"/>
      <c r="M45"/>
      <c r="N45"/>
    </row>
    <row r="46" spans="1:14" s="1" customFormat="1" ht="15">
      <c r="A46" s="48" t="s">
        <v>55</v>
      </c>
      <c r="B46" s="32" t="s">
        <v>54</v>
      </c>
      <c r="C46" s="33"/>
      <c r="D46" s="14">
        <v>0</v>
      </c>
      <c r="E46" s="132"/>
      <c r="F46" s="132"/>
      <c r="G46" s="132"/>
      <c r="H46" s="132"/>
      <c r="K46"/>
      <c r="L46"/>
      <c r="M46"/>
      <c r="N46"/>
    </row>
    <row r="47" spans="1:14" s="1" customFormat="1" ht="25.5">
      <c r="A47" s="50" t="s">
        <v>56</v>
      </c>
      <c r="B47" s="32" t="s">
        <v>54</v>
      </c>
      <c r="C47" s="33"/>
      <c r="D47" s="14">
        <v>0</v>
      </c>
      <c r="E47" s="132"/>
      <c r="F47" s="132"/>
      <c r="G47" s="132"/>
      <c r="H47" s="132"/>
      <c r="K47"/>
      <c r="L47"/>
      <c r="M47"/>
      <c r="N47"/>
    </row>
    <row r="48" spans="1:14" s="1" customFormat="1" ht="15">
      <c r="A48" s="48" t="s">
        <v>57</v>
      </c>
      <c r="B48" s="32" t="s">
        <v>16</v>
      </c>
      <c r="C48" s="33"/>
      <c r="D48" s="14">
        <v>0</v>
      </c>
      <c r="E48" s="132"/>
      <c r="F48" s="132"/>
      <c r="G48" s="132"/>
      <c r="H48" s="132"/>
      <c r="K48"/>
      <c r="L48"/>
      <c r="M48"/>
      <c r="N48"/>
    </row>
    <row r="49" spans="1:8" ht="20.25" customHeight="1">
      <c r="A49" s="262" t="s">
        <v>58</v>
      </c>
      <c r="B49" s="262"/>
      <c r="C49" s="262"/>
      <c r="D49" s="262"/>
      <c r="E49" s="132"/>
      <c r="F49" s="132"/>
      <c r="G49" s="132"/>
      <c r="H49" s="132"/>
    </row>
    <row r="50" spans="1:8" ht="25.5">
      <c r="A50" s="50" t="s">
        <v>59</v>
      </c>
      <c r="B50" s="32" t="s">
        <v>16</v>
      </c>
      <c r="C50" s="33"/>
      <c r="D50" s="14">
        <v>0</v>
      </c>
      <c r="E50" s="132"/>
      <c r="F50" s="132"/>
      <c r="G50" s="132"/>
      <c r="H50" s="132"/>
    </row>
    <row r="51" spans="1:8" ht="15">
      <c r="A51" s="48" t="s">
        <v>17</v>
      </c>
      <c r="B51" s="32" t="s">
        <v>16</v>
      </c>
      <c r="C51" s="33"/>
      <c r="D51" s="14">
        <v>0</v>
      </c>
      <c r="E51" s="132"/>
      <c r="F51" s="132"/>
      <c r="G51" s="132"/>
      <c r="H51" s="132"/>
    </row>
    <row r="52" spans="1:8" ht="15">
      <c r="A52" s="48" t="s">
        <v>18</v>
      </c>
      <c r="B52" s="32" t="s">
        <v>16</v>
      </c>
      <c r="C52" s="33"/>
      <c r="D52" s="51">
        <f>D55-D58-D59-D60</f>
        <v>31802.461616000008</v>
      </c>
      <c r="E52" s="132"/>
      <c r="F52" s="132"/>
      <c r="G52" s="132"/>
      <c r="H52" s="136"/>
    </row>
    <row r="53" spans="1:8" ht="25.5">
      <c r="A53" s="53" t="s">
        <v>60</v>
      </c>
      <c r="B53" s="32" t="s">
        <v>16</v>
      </c>
      <c r="C53" s="54"/>
      <c r="D53" s="55">
        <v>0</v>
      </c>
      <c r="E53" s="132"/>
      <c r="F53" s="132"/>
      <c r="G53" s="132"/>
      <c r="H53" s="132"/>
    </row>
    <row r="54" spans="1:10" ht="17.25" customHeight="1">
      <c r="A54" s="56" t="s">
        <v>17</v>
      </c>
      <c r="B54" s="32" t="s">
        <v>16</v>
      </c>
      <c r="C54" s="33"/>
      <c r="D54" s="14">
        <v>0</v>
      </c>
      <c r="E54" s="132"/>
      <c r="F54" s="132"/>
      <c r="G54" s="132"/>
      <c r="H54" s="132"/>
      <c r="I54" s="52"/>
      <c r="J54" s="52"/>
    </row>
    <row r="55" spans="1:14" ht="15">
      <c r="A55" s="59" t="s">
        <v>18</v>
      </c>
      <c r="B55" s="32" t="s">
        <v>16</v>
      </c>
      <c r="C55" s="60"/>
      <c r="D55" s="61">
        <v>37827.48</v>
      </c>
      <c r="E55" s="132"/>
      <c r="F55" s="132"/>
      <c r="G55" s="132"/>
      <c r="H55" s="132" t="s">
        <v>32</v>
      </c>
      <c r="I55" s="63"/>
      <c r="J55" s="63"/>
      <c r="K55" s="64"/>
      <c r="L55" s="64"/>
      <c r="M55" s="64"/>
      <c r="N55" s="64"/>
    </row>
    <row r="56" spans="1:14" ht="18" customHeight="1">
      <c r="A56" s="263" t="s">
        <v>61</v>
      </c>
      <c r="B56" s="263"/>
      <c r="C56" s="263"/>
      <c r="D56" s="263"/>
      <c r="E56" s="137"/>
      <c r="F56" s="138"/>
      <c r="G56" s="139"/>
      <c r="H56" s="132"/>
      <c r="I56" s="68"/>
      <c r="J56" s="68"/>
      <c r="K56" s="69"/>
      <c r="L56" s="69"/>
      <c r="M56" s="69"/>
      <c r="N56" s="69"/>
    </row>
    <row r="57" spans="1:14" ht="38.25">
      <c r="A57" s="70" t="s">
        <v>62</v>
      </c>
      <c r="B57" s="71" t="s">
        <v>63</v>
      </c>
      <c r="C57" s="212" t="s">
        <v>64</v>
      </c>
      <c r="D57" s="213" t="s">
        <v>65</v>
      </c>
      <c r="E57" s="137"/>
      <c r="F57" s="138"/>
      <c r="G57" s="139"/>
      <c r="H57" s="132"/>
      <c r="I57" s="68"/>
      <c r="J57" s="74"/>
      <c r="K57" s="69"/>
      <c r="L57" s="69"/>
      <c r="M57" s="69"/>
      <c r="N57" s="69"/>
    </row>
    <row r="58" spans="1:14" ht="15">
      <c r="A58" s="75" t="s">
        <v>66</v>
      </c>
      <c r="B58" s="117">
        <v>91513.88</v>
      </c>
      <c r="C58" s="118">
        <f>B58*0.9861</f>
        <v>90241.83706800001</v>
      </c>
      <c r="D58" s="119">
        <f>B58-C58</f>
        <v>1272.0429319999967</v>
      </c>
      <c r="E58" s="140"/>
      <c r="F58" s="138"/>
      <c r="G58" s="139"/>
      <c r="H58" s="132"/>
      <c r="I58" s="68"/>
      <c r="J58" s="68"/>
      <c r="K58" s="69"/>
      <c r="L58" s="69"/>
      <c r="M58" s="69"/>
      <c r="N58" s="69"/>
    </row>
    <row r="59" spans="1:14" ht="15">
      <c r="A59" s="75" t="s">
        <v>67</v>
      </c>
      <c r="B59" s="117">
        <v>96919.17</v>
      </c>
      <c r="C59" s="118">
        <f>B59*0.9861</f>
        <v>95571.993537</v>
      </c>
      <c r="D59" s="119">
        <f>B59-C59</f>
        <v>1347.1764629999961</v>
      </c>
      <c r="E59" s="137"/>
      <c r="F59" s="138"/>
      <c r="G59" s="139"/>
      <c r="H59" s="132"/>
      <c r="I59" s="68"/>
      <c r="J59" s="68"/>
      <c r="K59" s="69"/>
      <c r="L59" s="69"/>
      <c r="M59" s="69"/>
      <c r="N59" s="69"/>
    </row>
    <row r="60" spans="1:14" ht="15">
      <c r="A60" s="75" t="s">
        <v>68</v>
      </c>
      <c r="B60" s="120">
        <v>245021.51</v>
      </c>
      <c r="C60" s="118">
        <f>B60*0.9861</f>
        <v>241615.711011</v>
      </c>
      <c r="D60" s="119">
        <f>B60-C60</f>
        <v>3405.7989890000026</v>
      </c>
      <c r="E60" s="137">
        <f>(2.07+1.8)*6*2301.2-0.37*2301.2*6</f>
        <v>48325.2</v>
      </c>
      <c r="F60" s="141"/>
      <c r="G60" s="142"/>
      <c r="H60" s="137"/>
      <c r="I60" s="68"/>
      <c r="J60" s="68"/>
      <c r="K60" s="69"/>
      <c r="L60" s="69"/>
      <c r="M60" s="69"/>
      <c r="N60" s="69"/>
    </row>
    <row r="61" spans="1:14" ht="15.75" thickBot="1">
      <c r="A61" s="150" t="s">
        <v>69</v>
      </c>
      <c r="B61" s="151">
        <v>0</v>
      </c>
      <c r="C61" s="152">
        <f>B61*1.0089</f>
        <v>0</v>
      </c>
      <c r="D61" s="153">
        <f>B61-C61</f>
        <v>0</v>
      </c>
      <c r="E61" s="137"/>
      <c r="F61" s="141"/>
      <c r="G61" s="142"/>
      <c r="H61" s="132"/>
      <c r="I61" s="68"/>
      <c r="J61" s="68"/>
      <c r="K61" s="69"/>
      <c r="L61" s="69"/>
      <c r="M61" s="69"/>
      <c r="N61" s="69"/>
    </row>
    <row r="62" spans="1:14" ht="71.25" customHeight="1">
      <c r="A62" s="190" t="s">
        <v>70</v>
      </c>
      <c r="B62" s="191" t="s">
        <v>71</v>
      </c>
      <c r="C62" s="191" t="s">
        <v>72</v>
      </c>
      <c r="D62" s="214" t="s">
        <v>73</v>
      </c>
      <c r="E62" s="137"/>
      <c r="F62" s="141"/>
      <c r="G62" s="132"/>
      <c r="H62" s="143"/>
      <c r="I62" s="68"/>
      <c r="J62" s="68"/>
      <c r="K62" s="69"/>
      <c r="L62" s="69"/>
      <c r="M62" s="69"/>
      <c r="N62" s="69"/>
    </row>
    <row r="63" spans="1:14" ht="15">
      <c r="A63" s="192" t="s">
        <v>66</v>
      </c>
      <c r="B63" s="193">
        <v>144154.77</v>
      </c>
      <c r="C63" s="194">
        <v>90241.84</v>
      </c>
      <c r="D63" s="195">
        <f>B63-C63</f>
        <v>53912.92999999999</v>
      </c>
      <c r="E63" s="137"/>
      <c r="F63" s="141"/>
      <c r="G63" s="132"/>
      <c r="H63" s="143"/>
      <c r="I63" s="68"/>
      <c r="J63" s="68" t="s">
        <v>32</v>
      </c>
      <c r="K63" s="69"/>
      <c r="L63" s="69"/>
      <c r="M63" s="69"/>
      <c r="N63" s="69"/>
    </row>
    <row r="64" spans="1:14" ht="15">
      <c r="A64" s="192" t="s">
        <v>67</v>
      </c>
      <c r="B64" s="193">
        <v>165253.27</v>
      </c>
      <c r="C64" s="194">
        <v>95571.99</v>
      </c>
      <c r="D64" s="195">
        <f>B64-C64</f>
        <v>69681.27999999998</v>
      </c>
      <c r="E64" s="137"/>
      <c r="F64" s="141"/>
      <c r="G64" s="132"/>
      <c r="H64" s="143"/>
      <c r="I64" s="68"/>
      <c r="J64" s="68"/>
      <c r="K64" s="69"/>
      <c r="L64" s="69"/>
      <c r="M64" s="69"/>
      <c r="N64" s="69"/>
    </row>
    <row r="65" spans="1:14" ht="15">
      <c r="A65" s="192" t="s">
        <v>68</v>
      </c>
      <c r="B65" s="193">
        <v>261799.64</v>
      </c>
      <c r="C65" s="194">
        <v>241615.71</v>
      </c>
      <c r="D65" s="195">
        <f>B65-C65</f>
        <v>20183.930000000022</v>
      </c>
      <c r="E65" s="137"/>
      <c r="F65" s="141"/>
      <c r="G65" s="132"/>
      <c r="H65" s="143"/>
      <c r="I65" s="68"/>
      <c r="J65" s="68"/>
      <c r="K65" s="69"/>
      <c r="L65" s="69"/>
      <c r="M65" s="69"/>
      <c r="N65" s="69"/>
    </row>
    <row r="66" spans="1:14" ht="15">
      <c r="A66" s="192" t="s">
        <v>74</v>
      </c>
      <c r="B66" s="193">
        <v>0</v>
      </c>
      <c r="C66" s="194">
        <f>C61*1.0063</f>
        <v>0</v>
      </c>
      <c r="D66" s="195">
        <f>B66-C66</f>
        <v>0</v>
      </c>
      <c r="E66" s="137"/>
      <c r="F66" s="141"/>
      <c r="G66" s="132"/>
      <c r="H66" s="143"/>
      <c r="I66" s="68"/>
      <c r="J66" s="68"/>
      <c r="K66" s="69"/>
      <c r="L66" s="69"/>
      <c r="M66" s="69"/>
      <c r="N66" s="69"/>
    </row>
    <row r="67" spans="1:14" ht="15.75" thickBot="1">
      <c r="A67" s="196" t="s">
        <v>69</v>
      </c>
      <c r="B67" s="197">
        <v>0</v>
      </c>
      <c r="C67" s="198">
        <v>0</v>
      </c>
      <c r="D67" s="199">
        <f>B67-C67</f>
        <v>0</v>
      </c>
      <c r="E67" s="137"/>
      <c r="F67" s="141"/>
      <c r="G67" s="132"/>
      <c r="H67" s="143" t="s">
        <v>32</v>
      </c>
      <c r="I67" s="68"/>
      <c r="J67" s="68"/>
      <c r="K67" s="69"/>
      <c r="L67" s="69"/>
      <c r="M67" s="69"/>
      <c r="N67" s="69"/>
    </row>
    <row r="68" spans="1:14" ht="15">
      <c r="A68" s="91"/>
      <c r="B68" s="87"/>
      <c r="C68" s="92"/>
      <c r="D68" s="93"/>
      <c r="E68" s="65"/>
      <c r="F68" s="81"/>
      <c r="H68" s="68"/>
      <c r="I68" s="68"/>
      <c r="J68" s="68"/>
      <c r="K68" s="69"/>
      <c r="L68" s="69"/>
      <c r="M68" s="69"/>
      <c r="N68" s="69"/>
    </row>
    <row r="69" spans="1:14" ht="25.5">
      <c r="A69" s="94" t="s">
        <v>75</v>
      </c>
      <c r="B69" s="87" t="s">
        <v>16</v>
      </c>
      <c r="C69" s="95"/>
      <c r="D69" s="96"/>
      <c r="E69" s="65"/>
      <c r="F69" s="81"/>
      <c r="H69" s="68"/>
      <c r="I69" s="68"/>
      <c r="J69" s="68" t="s">
        <v>32</v>
      </c>
      <c r="K69" s="69"/>
      <c r="L69" s="69"/>
      <c r="M69" s="69"/>
      <c r="N69" s="69"/>
    </row>
    <row r="70" spans="1:14" ht="17.25" customHeight="1">
      <c r="A70" s="264" t="s">
        <v>76</v>
      </c>
      <c r="B70" s="264"/>
      <c r="C70" s="264"/>
      <c r="D70" s="264"/>
      <c r="E70" s="97" t="e">
        <f>D70+B19</f>
        <v>#VALUE!</v>
      </c>
      <c r="F70" s="68"/>
      <c r="H70" s="98" t="e">
        <f>E70-B18</f>
        <v>#VALUE!</v>
      </c>
      <c r="I70" s="68"/>
      <c r="J70" s="68"/>
      <c r="K70" s="69"/>
      <c r="L70" s="69"/>
      <c r="M70" s="69"/>
      <c r="N70" s="69"/>
    </row>
    <row r="71" spans="1:5" ht="21" customHeight="1">
      <c r="A71" s="99" t="s">
        <v>53</v>
      </c>
      <c r="B71" s="99" t="s">
        <v>54</v>
      </c>
      <c r="C71" s="100">
        <v>1</v>
      </c>
      <c r="D71" s="101"/>
      <c r="E71" s="102"/>
    </row>
    <row r="72" spans="1:5" ht="21" customHeight="1">
      <c r="A72" s="99" t="s">
        <v>55</v>
      </c>
      <c r="B72" s="99" t="s">
        <v>54</v>
      </c>
      <c r="C72" s="99">
        <v>1</v>
      </c>
      <c r="D72" s="101"/>
      <c r="E72" s="102"/>
    </row>
    <row r="73" spans="1:5" ht="18" customHeight="1">
      <c r="A73" s="99" t="s">
        <v>56</v>
      </c>
      <c r="B73" s="99" t="s">
        <v>54</v>
      </c>
      <c r="C73" s="99">
        <v>0</v>
      </c>
      <c r="D73" s="101"/>
      <c r="E73" s="102"/>
    </row>
    <row r="74" spans="1:5" ht="16.5" customHeight="1">
      <c r="A74" s="99" t="s">
        <v>57</v>
      </c>
      <c r="B74" s="99" t="s">
        <v>16</v>
      </c>
      <c r="C74" s="99">
        <v>5849.02</v>
      </c>
      <c r="D74" s="101"/>
      <c r="E74" s="102"/>
    </row>
    <row r="75" spans="1:5" ht="15.75" customHeight="1">
      <c r="A75" s="258" t="s">
        <v>77</v>
      </c>
      <c r="B75" s="258"/>
      <c r="C75" s="258"/>
      <c r="D75" s="258"/>
      <c r="E75" s="102"/>
    </row>
    <row r="76" spans="1:5" ht="18.75" customHeight="1">
      <c r="A76" s="99" t="s">
        <v>78</v>
      </c>
      <c r="B76" s="99" t="s">
        <v>54</v>
      </c>
      <c r="C76" s="99">
        <v>0</v>
      </c>
      <c r="D76" s="101"/>
      <c r="E76" s="102"/>
    </row>
    <row r="77" spans="1:5" ht="21.75" customHeight="1">
      <c r="A77" s="99" t="s">
        <v>79</v>
      </c>
      <c r="B77" s="56" t="s">
        <v>54</v>
      </c>
      <c r="C77" s="189">
        <v>1</v>
      </c>
      <c r="D77" s="101"/>
      <c r="E77" s="102"/>
    </row>
    <row r="78" spans="1:5" ht="36" customHeight="1">
      <c r="A78" s="103" t="s">
        <v>80</v>
      </c>
      <c r="B78" s="99" t="s">
        <v>16</v>
      </c>
      <c r="C78" s="99">
        <v>0</v>
      </c>
      <c r="D78" s="101"/>
      <c r="E78" s="102"/>
    </row>
    <row r="79" spans="1:4" ht="15">
      <c r="A79" s="69"/>
      <c r="B79" s="69"/>
      <c r="C79" s="69"/>
      <c r="D79" s="104"/>
    </row>
    <row r="80" spans="1:14" s="1" customFormat="1" ht="12.75">
      <c r="A80"/>
      <c r="B80"/>
      <c r="C80"/>
      <c r="D80"/>
      <c r="H80" s="1" t="s">
        <v>32</v>
      </c>
      <c r="K80"/>
      <c r="L80"/>
      <c r="M80"/>
      <c r="N80"/>
    </row>
    <row r="81" spans="1:14" s="1" customFormat="1" ht="12.75">
      <c r="A81" t="s">
        <v>81</v>
      </c>
      <c r="B81"/>
      <c r="C81" t="s">
        <v>284</v>
      </c>
      <c r="D81"/>
      <c r="K81"/>
      <c r="L81"/>
      <c r="M81"/>
      <c r="N81"/>
    </row>
    <row r="82" spans="1:14" s="1" customFormat="1" ht="12.75">
      <c r="A82"/>
      <c r="B82"/>
      <c r="C82"/>
      <c r="D82"/>
      <c r="H82" s="1" t="s">
        <v>32</v>
      </c>
      <c r="K82"/>
      <c r="L82"/>
      <c r="M82"/>
      <c r="N82"/>
    </row>
    <row r="83" spans="1:14" s="1" customFormat="1" ht="12.75">
      <c r="A83" t="s">
        <v>82</v>
      </c>
      <c r="B83"/>
      <c r="C83"/>
      <c r="D83"/>
      <c r="K83"/>
      <c r="L83"/>
      <c r="M83"/>
      <c r="N83"/>
    </row>
    <row r="87" spans="1:14" s="1" customFormat="1" ht="12.75">
      <c r="A87"/>
      <c r="B87"/>
      <c r="C87"/>
      <c r="D87"/>
      <c r="E87" s="1" t="s">
        <v>32</v>
      </c>
      <c r="K87"/>
      <c r="L87"/>
      <c r="M87"/>
      <c r="N87"/>
    </row>
  </sheetData>
  <sheetProtection selectLockedCells="1" selectUnlockedCells="1"/>
  <mergeCells count="13">
    <mergeCell ref="A1:D1"/>
    <mergeCell ref="A2:D2"/>
    <mergeCell ref="A3:D3"/>
    <mergeCell ref="A4:D4"/>
    <mergeCell ref="A5:D5"/>
    <mergeCell ref="A7:D7"/>
    <mergeCell ref="A75:D75"/>
    <mergeCell ref="A14:D14"/>
    <mergeCell ref="A29:D29"/>
    <mergeCell ref="A44:D44"/>
    <mergeCell ref="A49:D49"/>
    <mergeCell ref="A56:D56"/>
    <mergeCell ref="A70:D70"/>
  </mergeCells>
  <printOptions/>
  <pageMargins left="0.5597222222222222" right="0.7875" top="0.34097222222222223" bottom="0.7875" header="0.5118055555555555" footer="0.5118055555555555"/>
  <pageSetup fitToHeight="3" fitToWidth="2" horizontalDpi="600" verticalDpi="600" orientation="portrait" paperSize="1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9"/>
  <sheetViews>
    <sheetView zoomScale="80" zoomScaleNormal="80" zoomScalePageLayoutView="0" workbookViewId="0" topLeftCell="A31">
      <selection activeCell="C17" sqref="C17"/>
    </sheetView>
  </sheetViews>
  <sheetFormatPr defaultColWidth="11.57421875" defaultRowHeight="12.75"/>
  <cols>
    <col min="1" max="1" width="51.57421875" style="0" customWidth="1"/>
    <col min="2" max="2" width="13.7109375" style="0" customWidth="1"/>
    <col min="3" max="3" width="24.421875" style="0" customWidth="1"/>
    <col min="4" max="4" width="20.28125" style="0" customWidth="1"/>
    <col min="5" max="5" width="16.8515625" style="1" customWidth="1"/>
    <col min="6" max="7" width="0" style="1" hidden="1" customWidth="1"/>
    <col min="8" max="8" width="11.57421875" style="1" customWidth="1"/>
    <col min="9" max="9" width="5.28125" style="1" customWidth="1"/>
    <col min="10" max="10" width="30.00390625" style="1" customWidth="1"/>
    <col min="11" max="12" width="23.28125" style="0" customWidth="1"/>
    <col min="13" max="13" width="6.57421875" style="0" customWidth="1"/>
    <col min="14" max="14" width="7.00390625" style="0" customWidth="1"/>
  </cols>
  <sheetData>
    <row r="1" spans="1:4" ht="18">
      <c r="A1" s="265" t="s">
        <v>0</v>
      </c>
      <c r="B1" s="265"/>
      <c r="C1" s="265"/>
      <c r="D1" s="265"/>
    </row>
    <row r="2" spans="1:4" ht="15.75">
      <c r="A2" s="266" t="s">
        <v>1</v>
      </c>
      <c r="B2" s="266"/>
      <c r="C2" s="266"/>
      <c r="D2" s="266"/>
    </row>
    <row r="3" spans="1:4" ht="15.75">
      <c r="A3" s="266" t="s">
        <v>2</v>
      </c>
      <c r="B3" s="266"/>
      <c r="C3" s="266"/>
      <c r="D3" s="266"/>
    </row>
    <row r="4" spans="1:4" ht="12.75">
      <c r="A4" s="267" t="s">
        <v>103</v>
      </c>
      <c r="B4" s="267"/>
      <c r="C4" s="267"/>
      <c r="D4" s="267"/>
    </row>
    <row r="5" spans="1:4" ht="12.75">
      <c r="A5" s="268" t="s">
        <v>171</v>
      </c>
      <c r="B5" s="267"/>
      <c r="C5" s="267"/>
      <c r="D5" s="267"/>
    </row>
    <row r="6" ht="9" customHeight="1">
      <c r="A6" s="2"/>
    </row>
    <row r="7" spans="1:4" ht="30" customHeight="1">
      <c r="A7" s="269" t="s">
        <v>4</v>
      </c>
      <c r="B7" s="269"/>
      <c r="C7" s="269"/>
      <c r="D7" s="269"/>
    </row>
    <row r="8" spans="1:3" ht="19.5" customHeight="1">
      <c r="A8" s="2" t="s">
        <v>210</v>
      </c>
      <c r="C8" s="3"/>
    </row>
    <row r="9" spans="1:4" ht="12.75">
      <c r="A9" s="4" t="s">
        <v>5</v>
      </c>
      <c r="B9" s="4" t="s">
        <v>6</v>
      </c>
      <c r="C9" s="4" t="s">
        <v>7</v>
      </c>
      <c r="D9" s="5"/>
    </row>
    <row r="10" spans="1:5" ht="12.75">
      <c r="A10" s="6">
        <v>1</v>
      </c>
      <c r="B10" s="6">
        <v>2</v>
      </c>
      <c r="C10" s="6">
        <v>3</v>
      </c>
      <c r="D10" s="7">
        <v>4</v>
      </c>
      <c r="E10" s="132"/>
    </row>
    <row r="11" spans="1:5" ht="12.75">
      <c r="A11" s="8" t="s">
        <v>8</v>
      </c>
      <c r="B11" s="9"/>
      <c r="C11" s="177" t="s">
        <v>172</v>
      </c>
      <c r="D11" s="10"/>
      <c r="E11" s="132"/>
    </row>
    <row r="12" spans="1:5" ht="12.75">
      <c r="A12" s="8" t="s">
        <v>10</v>
      </c>
      <c r="B12" s="9"/>
      <c r="C12" s="177" t="s">
        <v>173</v>
      </c>
      <c r="D12" s="10"/>
      <c r="E12" s="132"/>
    </row>
    <row r="13" spans="1:5" ht="12.75">
      <c r="A13" s="8" t="s">
        <v>12</v>
      </c>
      <c r="B13" s="9"/>
      <c r="C13" s="177" t="s">
        <v>174</v>
      </c>
      <c r="D13" s="10"/>
      <c r="E13" s="132"/>
    </row>
    <row r="14" spans="1:5" ht="31.5" customHeight="1">
      <c r="A14" s="259" t="s">
        <v>14</v>
      </c>
      <c r="B14" s="259"/>
      <c r="C14" s="259"/>
      <c r="D14" s="259"/>
      <c r="E14" s="132"/>
    </row>
    <row r="15" spans="1:5" ht="25.5">
      <c r="A15" s="11" t="s">
        <v>15</v>
      </c>
      <c r="B15" s="12" t="s">
        <v>16</v>
      </c>
      <c r="C15" s="13">
        <v>19628.65</v>
      </c>
      <c r="D15" s="14"/>
      <c r="E15" s="132"/>
    </row>
    <row r="16" spans="1:5" ht="15">
      <c r="A16" s="8" t="s">
        <v>17</v>
      </c>
      <c r="B16" s="12" t="s">
        <v>16</v>
      </c>
      <c r="C16" s="13">
        <v>0</v>
      </c>
      <c r="D16" s="14"/>
      <c r="E16" s="132"/>
    </row>
    <row r="17" spans="1:5" ht="15">
      <c r="A17" s="8" t="s">
        <v>18</v>
      </c>
      <c r="B17" s="12" t="s">
        <v>16</v>
      </c>
      <c r="C17" s="15">
        <v>60134.69</v>
      </c>
      <c r="D17" s="16"/>
      <c r="E17" s="132" t="e">
        <f>B17/12/1022.6</f>
        <v>#VALUE!</v>
      </c>
    </row>
    <row r="18" spans="1:5" ht="31.5" customHeight="1">
      <c r="A18" s="17" t="s">
        <v>19</v>
      </c>
      <c r="B18" s="12" t="s">
        <v>16</v>
      </c>
      <c r="C18" s="15">
        <f>C19+C20+C21</f>
        <v>276706.86199999996</v>
      </c>
      <c r="D18" s="16"/>
      <c r="E18" s="133">
        <f>C18-C20</f>
        <v>276706.86199999996</v>
      </c>
    </row>
    <row r="19" spans="1:5" ht="15">
      <c r="A19" s="8" t="s">
        <v>20</v>
      </c>
      <c r="B19" s="12" t="s">
        <v>16</v>
      </c>
      <c r="C19" s="15">
        <v>179280.59</v>
      </c>
      <c r="D19" s="16"/>
      <c r="E19" s="133">
        <f>E18-E42</f>
        <v>0</v>
      </c>
    </row>
    <row r="20" spans="1:5" ht="15">
      <c r="A20" s="8" t="s">
        <v>21</v>
      </c>
      <c r="B20" s="12" t="s">
        <v>16</v>
      </c>
      <c r="C20" s="15">
        <v>0</v>
      </c>
      <c r="D20" s="16"/>
      <c r="E20" s="134"/>
    </row>
    <row r="21" spans="1:5" ht="15">
      <c r="A21" s="8" t="s">
        <v>22</v>
      </c>
      <c r="B21" s="12" t="s">
        <v>16</v>
      </c>
      <c r="C21" s="20">
        <f>1663.7*4.88*12</f>
        <v>97426.272</v>
      </c>
      <c r="D21" s="16"/>
      <c r="E21" s="132"/>
    </row>
    <row r="22" spans="1:5" ht="15">
      <c r="A22" s="21" t="s">
        <v>23</v>
      </c>
      <c r="B22" s="12" t="s">
        <v>16</v>
      </c>
      <c r="C22" s="15">
        <f>C23+C24+C25+C26+C27</f>
        <v>277523.96309459995</v>
      </c>
      <c r="D22" s="16" t="s">
        <v>24</v>
      </c>
      <c r="E22" s="133" t="e">
        <f>B24+B25+B26+B27+B28</f>
        <v>#VALUE!</v>
      </c>
    </row>
    <row r="23" spans="1:5" ht="15">
      <c r="A23" s="8" t="s">
        <v>25</v>
      </c>
      <c r="B23" s="12" t="s">
        <v>16</v>
      </c>
      <c r="C23" s="15">
        <f>C18*0.9783</f>
        <v>270702.32309459994</v>
      </c>
      <c r="D23" s="16"/>
      <c r="E23" s="132"/>
    </row>
    <row r="24" spans="1:8" ht="15">
      <c r="A24" s="8" t="s">
        <v>26</v>
      </c>
      <c r="B24" s="12" t="s">
        <v>16</v>
      </c>
      <c r="C24" s="15">
        <v>0</v>
      </c>
      <c r="D24" s="22">
        <v>65.21</v>
      </c>
      <c r="E24" s="134" t="e">
        <f>B24/#REF!*1</f>
        <v>#VALUE!</v>
      </c>
      <c r="H24" s="1" t="s">
        <v>27</v>
      </c>
    </row>
    <row r="25" spans="1:5" ht="15">
      <c r="A25" s="8" t="s">
        <v>28</v>
      </c>
      <c r="B25" s="12" t="s">
        <v>16</v>
      </c>
      <c r="C25" s="15">
        <v>0</v>
      </c>
      <c r="D25" s="22">
        <v>119.63</v>
      </c>
      <c r="E25" s="134" t="e">
        <f>B25/#REF!*1</f>
        <v>#VALUE!</v>
      </c>
    </row>
    <row r="26" spans="1:5" ht="15">
      <c r="A26" s="9" t="s">
        <v>29</v>
      </c>
      <c r="B26" s="12" t="s">
        <v>16</v>
      </c>
      <c r="C26" s="15">
        <v>0</v>
      </c>
      <c r="D26" s="22"/>
      <c r="E26" s="134" t="e">
        <f>B26/#REF!*1</f>
        <v>#VALUE!</v>
      </c>
    </row>
    <row r="27" spans="1:5" ht="15">
      <c r="A27" s="116" t="s">
        <v>112</v>
      </c>
      <c r="B27" s="12" t="s">
        <v>16</v>
      </c>
      <c r="C27" s="15">
        <v>6821.64</v>
      </c>
      <c r="D27" s="22">
        <v>139.18</v>
      </c>
      <c r="E27" s="134" t="e">
        <f>B27/#REF!*1</f>
        <v>#VALUE!</v>
      </c>
    </row>
    <row r="28" spans="1:5" ht="15">
      <c r="A28" s="8" t="s">
        <v>31</v>
      </c>
      <c r="B28" s="12" t="s">
        <v>16</v>
      </c>
      <c r="C28" s="15">
        <f>C15+C22</f>
        <v>297152.6130946</v>
      </c>
      <c r="D28" s="16" t="s">
        <v>32</v>
      </c>
      <c r="E28" s="134" t="e">
        <f>B28/#REF!*1</f>
        <v>#VALUE!</v>
      </c>
    </row>
    <row r="29" spans="1:5" ht="35.25" customHeight="1">
      <c r="A29" s="260" t="s">
        <v>33</v>
      </c>
      <c r="B29" s="260"/>
      <c r="C29" s="260"/>
      <c r="D29" s="260"/>
      <c r="E29" s="132"/>
    </row>
    <row r="30" spans="1:5" ht="51">
      <c r="A30" s="23" t="s">
        <v>34</v>
      </c>
      <c r="B30" s="215" t="s">
        <v>35</v>
      </c>
      <c r="C30" s="216" t="s">
        <v>36</v>
      </c>
      <c r="D30" s="217" t="s">
        <v>37</v>
      </c>
      <c r="E30" s="132"/>
    </row>
    <row r="31" spans="1:5" ht="30">
      <c r="A31" s="27" t="s">
        <v>38</v>
      </c>
      <c r="B31" s="28" t="s">
        <v>39</v>
      </c>
      <c r="C31" s="29" t="s">
        <v>102</v>
      </c>
      <c r="D31" s="107">
        <f>(0.2+0.19)*6*1663.7</f>
        <v>3893.058</v>
      </c>
      <c r="E31" s="132"/>
    </row>
    <row r="32" spans="1:5" ht="15">
      <c r="A32" s="31" t="s">
        <v>84</v>
      </c>
      <c r="B32" s="32" t="s">
        <v>85</v>
      </c>
      <c r="C32" s="33" t="s">
        <v>86</v>
      </c>
      <c r="D32" s="108">
        <f>(2.45+2.34)*6*1663.7</f>
        <v>47814.738000000005</v>
      </c>
      <c r="E32" s="132"/>
    </row>
    <row r="33" spans="1:5" ht="15">
      <c r="A33" s="31" t="s">
        <v>41</v>
      </c>
      <c r="B33" s="32" t="s">
        <v>42</v>
      </c>
      <c r="C33" s="33" t="s">
        <v>43</v>
      </c>
      <c r="D33" s="34">
        <f>(3.03+3)*6*1663.7</f>
        <v>60192.66599999999</v>
      </c>
      <c r="E33" s="132"/>
    </row>
    <row r="34" spans="1:5" ht="15">
      <c r="A34" s="31" t="s">
        <v>44</v>
      </c>
      <c r="B34" s="32" t="s">
        <v>87</v>
      </c>
      <c r="C34" s="33" t="s">
        <v>45</v>
      </c>
      <c r="D34" s="108">
        <f>(0.42+0.4)*6*1663.7</f>
        <v>8185.404</v>
      </c>
      <c r="E34" s="132"/>
    </row>
    <row r="35" spans="1:5" ht="15">
      <c r="A35" s="31" t="s">
        <v>88</v>
      </c>
      <c r="B35" s="105" t="s">
        <v>87</v>
      </c>
      <c r="C35" s="33" t="s">
        <v>40</v>
      </c>
      <c r="D35" s="108">
        <f>(0.9+1.18)*6*1663.7</f>
        <v>20762.976000000002</v>
      </c>
      <c r="E35" s="132"/>
    </row>
    <row r="36" spans="1:5" ht="15">
      <c r="A36" s="31" t="s">
        <v>104</v>
      </c>
      <c r="B36" s="32" t="s">
        <v>39</v>
      </c>
      <c r="C36" s="33" t="s">
        <v>40</v>
      </c>
      <c r="D36" s="34">
        <f>(0.29+0.28)*6*1663.7</f>
        <v>5689.854000000001</v>
      </c>
      <c r="E36" s="132"/>
    </row>
    <row r="37" spans="1:5" ht="30">
      <c r="A37" s="31" t="s">
        <v>90</v>
      </c>
      <c r="B37" s="106" t="s">
        <v>91</v>
      </c>
      <c r="C37" s="33" t="s">
        <v>40</v>
      </c>
      <c r="D37" s="108">
        <f>(0+1.27)*6*1663.7</f>
        <v>12677.394</v>
      </c>
      <c r="E37" s="132"/>
    </row>
    <row r="38" spans="1:5" ht="15">
      <c r="A38" s="31" t="s">
        <v>46</v>
      </c>
      <c r="B38" s="32" t="s">
        <v>42</v>
      </c>
      <c r="C38" s="35" t="s">
        <v>47</v>
      </c>
      <c r="D38" s="108">
        <f>4.88*1663.7*12</f>
        <v>97426.272</v>
      </c>
      <c r="E38" s="132"/>
    </row>
    <row r="39" spans="1:5" ht="15">
      <c r="A39" s="31" t="s">
        <v>95</v>
      </c>
      <c r="B39" s="32" t="s">
        <v>96</v>
      </c>
      <c r="C39" s="35" t="s">
        <v>97</v>
      </c>
      <c r="D39" s="108">
        <v>20064.5</v>
      </c>
      <c r="E39" s="132"/>
    </row>
    <row r="40" spans="1:14" s="1" customFormat="1" ht="75">
      <c r="A40" s="248" t="s">
        <v>297</v>
      </c>
      <c r="B40" s="37" t="s">
        <v>49</v>
      </c>
      <c r="C40" s="38"/>
      <c r="D40" s="39">
        <v>4129</v>
      </c>
      <c r="E40" s="132"/>
      <c r="K40"/>
      <c r="L40"/>
      <c r="M40"/>
      <c r="N40"/>
    </row>
    <row r="41" spans="1:14" s="1" customFormat="1" ht="15">
      <c r="A41" s="182" t="s">
        <v>298</v>
      </c>
      <c r="B41" s="110" t="s">
        <v>219</v>
      </c>
      <c r="C41" s="38" t="s">
        <v>105</v>
      </c>
      <c r="D41" s="179">
        <v>4129</v>
      </c>
      <c r="E41" s="132"/>
      <c r="K41"/>
      <c r="L41"/>
      <c r="M41"/>
      <c r="N41"/>
    </row>
    <row r="42" spans="1:14" s="1" customFormat="1" ht="15.75">
      <c r="A42" s="40" t="s">
        <v>50</v>
      </c>
      <c r="B42" s="41"/>
      <c r="C42" s="42"/>
      <c r="D42" s="113">
        <f>D31+D32+D33+D34+D35+D36+D37+D38+D39+D40</f>
        <v>280835.86199999996</v>
      </c>
      <c r="E42" s="135">
        <f>D42-D40</f>
        <v>276706.86199999996</v>
      </c>
      <c r="K42"/>
      <c r="L42"/>
      <c r="M42"/>
      <c r="N42"/>
    </row>
    <row r="43" spans="1:14" s="1" customFormat="1" ht="15">
      <c r="A43" s="43" t="s">
        <v>51</v>
      </c>
      <c r="B43" s="44" t="s">
        <v>16</v>
      </c>
      <c r="C43" s="45"/>
      <c r="D43" s="46">
        <f>C15+C20*0.9783+C27-D40</f>
        <v>22321.29</v>
      </c>
      <c r="E43" s="135"/>
      <c r="K43"/>
      <c r="L43"/>
      <c r="M43"/>
      <c r="N43"/>
    </row>
    <row r="44" spans="1:14" s="1" customFormat="1" ht="15">
      <c r="A44" s="48" t="s">
        <v>17</v>
      </c>
      <c r="B44" s="49" t="s">
        <v>16</v>
      </c>
      <c r="C44" s="33"/>
      <c r="D44" s="14">
        <v>0</v>
      </c>
      <c r="E44" s="132"/>
      <c r="K44"/>
      <c r="L44"/>
      <c r="M44"/>
      <c r="N44"/>
    </row>
    <row r="45" spans="1:14" s="1" customFormat="1" ht="15">
      <c r="A45" s="48" t="s">
        <v>18</v>
      </c>
      <c r="B45" s="49" t="s">
        <v>16</v>
      </c>
      <c r="C45" s="33"/>
      <c r="D45" s="14">
        <v>66139.23</v>
      </c>
      <c r="E45" s="132"/>
      <c r="K45"/>
      <c r="L45"/>
      <c r="M45"/>
      <c r="N45"/>
    </row>
    <row r="46" spans="1:14" s="1" customFormat="1" ht="24" customHeight="1">
      <c r="A46" s="261" t="s">
        <v>52</v>
      </c>
      <c r="B46" s="261"/>
      <c r="C46" s="261"/>
      <c r="D46" s="261"/>
      <c r="E46" s="132"/>
      <c r="K46"/>
      <c r="L46"/>
      <c r="M46"/>
      <c r="N46"/>
    </row>
    <row r="47" spans="1:14" s="1" customFormat="1" ht="15">
      <c r="A47" s="48" t="s">
        <v>53</v>
      </c>
      <c r="B47" s="32" t="s">
        <v>54</v>
      </c>
      <c r="C47" s="33"/>
      <c r="D47" s="14">
        <v>0</v>
      </c>
      <c r="E47" s="132"/>
      <c r="K47"/>
      <c r="L47"/>
      <c r="M47"/>
      <c r="N47"/>
    </row>
    <row r="48" spans="1:14" s="1" customFormat="1" ht="15">
      <c r="A48" s="48" t="s">
        <v>55</v>
      </c>
      <c r="B48" s="32" t="s">
        <v>54</v>
      </c>
      <c r="C48" s="33"/>
      <c r="D48" s="14">
        <v>0</v>
      </c>
      <c r="E48" s="132"/>
      <c r="K48"/>
      <c r="L48"/>
      <c r="M48"/>
      <c r="N48"/>
    </row>
    <row r="49" spans="1:14" s="1" customFormat="1" ht="25.5">
      <c r="A49" s="50" t="s">
        <v>56</v>
      </c>
      <c r="B49" s="32" t="s">
        <v>54</v>
      </c>
      <c r="C49" s="33"/>
      <c r="D49" s="14">
        <v>0</v>
      </c>
      <c r="E49" s="132"/>
      <c r="K49"/>
      <c r="L49"/>
      <c r="M49"/>
      <c r="N49"/>
    </row>
    <row r="50" spans="1:14" s="1" customFormat="1" ht="15">
      <c r="A50" s="48" t="s">
        <v>57</v>
      </c>
      <c r="B50" s="32" t="s">
        <v>16</v>
      </c>
      <c r="C50" s="33"/>
      <c r="D50" s="14">
        <v>0</v>
      </c>
      <c r="E50" s="132"/>
      <c r="K50"/>
      <c r="L50"/>
      <c r="M50"/>
      <c r="N50"/>
    </row>
    <row r="51" spans="1:5" ht="20.25" customHeight="1">
      <c r="A51" s="262" t="s">
        <v>58</v>
      </c>
      <c r="B51" s="262"/>
      <c r="C51" s="262"/>
      <c r="D51" s="262"/>
      <c r="E51" s="132"/>
    </row>
    <row r="52" spans="1:5" ht="25.5">
      <c r="A52" s="50" t="s">
        <v>59</v>
      </c>
      <c r="B52" s="32" t="s">
        <v>16</v>
      </c>
      <c r="C52" s="33"/>
      <c r="D52" s="14">
        <v>0</v>
      </c>
      <c r="E52" s="132"/>
    </row>
    <row r="53" spans="1:5" ht="15">
      <c r="A53" s="48" t="s">
        <v>17</v>
      </c>
      <c r="B53" s="32" t="s">
        <v>16</v>
      </c>
      <c r="C53" s="33"/>
      <c r="D53" s="14">
        <v>0</v>
      </c>
      <c r="E53" s="132"/>
    </row>
    <row r="54" spans="1:8" ht="15">
      <c r="A54" s="48" t="s">
        <v>18</v>
      </c>
      <c r="B54" s="32" t="s">
        <v>16</v>
      </c>
      <c r="C54" s="33"/>
      <c r="D54" s="51">
        <f>D57-D60-D61-D62</f>
        <v>109799.837293</v>
      </c>
      <c r="E54" s="132"/>
      <c r="H54" s="52"/>
    </row>
    <row r="55" spans="1:5" ht="25.5">
      <c r="A55" s="53" t="s">
        <v>60</v>
      </c>
      <c r="B55" s="32" t="s">
        <v>16</v>
      </c>
      <c r="C55" s="54"/>
      <c r="D55" s="55">
        <v>0</v>
      </c>
      <c r="E55" s="132"/>
    </row>
    <row r="56" spans="1:10" ht="17.25" customHeight="1">
      <c r="A56" s="56" t="s">
        <v>17</v>
      </c>
      <c r="B56" s="32" t="s">
        <v>16</v>
      </c>
      <c r="C56" s="33"/>
      <c r="D56" s="14">
        <v>0</v>
      </c>
      <c r="E56" s="132"/>
      <c r="I56" s="52"/>
      <c r="J56" s="52"/>
    </row>
    <row r="57" spans="1:14" ht="15">
      <c r="A57" s="59" t="s">
        <v>18</v>
      </c>
      <c r="B57" s="32" t="s">
        <v>16</v>
      </c>
      <c r="C57" s="60"/>
      <c r="D57" s="61">
        <v>115279.45</v>
      </c>
      <c r="E57" s="132"/>
      <c r="H57" s="1" t="s">
        <v>32</v>
      </c>
      <c r="I57" s="63"/>
      <c r="J57" s="63"/>
      <c r="K57" s="64"/>
      <c r="L57" s="64"/>
      <c r="M57" s="64"/>
      <c r="N57" s="64"/>
    </row>
    <row r="58" spans="1:14" ht="18" customHeight="1">
      <c r="A58" s="263" t="s">
        <v>61</v>
      </c>
      <c r="B58" s="263"/>
      <c r="C58" s="263"/>
      <c r="D58" s="263"/>
      <c r="E58" s="137"/>
      <c r="F58" s="66"/>
      <c r="G58" s="67"/>
      <c r="I58" s="68"/>
      <c r="J58" s="68"/>
      <c r="K58" s="69"/>
      <c r="L58" s="69"/>
      <c r="M58" s="69"/>
      <c r="N58" s="69"/>
    </row>
    <row r="59" spans="1:14" ht="38.25">
      <c r="A59" s="70" t="s">
        <v>62</v>
      </c>
      <c r="B59" s="71" t="s">
        <v>63</v>
      </c>
      <c r="C59" s="212" t="s">
        <v>64</v>
      </c>
      <c r="D59" s="213" t="s">
        <v>65</v>
      </c>
      <c r="E59" s="137"/>
      <c r="F59" s="66"/>
      <c r="G59" s="67"/>
      <c r="I59" s="68"/>
      <c r="J59" s="74"/>
      <c r="K59" s="69"/>
      <c r="L59" s="69"/>
      <c r="M59" s="69"/>
      <c r="N59" s="69"/>
    </row>
    <row r="60" spans="1:14" ht="15">
      <c r="A60" s="75" t="s">
        <v>66</v>
      </c>
      <c r="B60" s="117">
        <v>106139.28</v>
      </c>
      <c r="C60" s="118">
        <f>B60*0.9783</f>
        <v>103836.057624</v>
      </c>
      <c r="D60" s="119">
        <f>B60-C60</f>
        <v>2303.222376000005</v>
      </c>
      <c r="E60" s="140"/>
      <c r="F60" s="66"/>
      <c r="G60" s="67"/>
      <c r="I60" s="68"/>
      <c r="J60" s="68"/>
      <c r="K60" s="69"/>
      <c r="L60" s="69"/>
      <c r="M60" s="69"/>
      <c r="N60" s="69"/>
    </row>
    <row r="61" spans="1:14" ht="15">
      <c r="A61" s="75" t="s">
        <v>67</v>
      </c>
      <c r="B61" s="117">
        <v>118965.93</v>
      </c>
      <c r="C61" s="118">
        <f>B61*0.9733</f>
        <v>115789.539669</v>
      </c>
      <c r="D61" s="119">
        <f>B61-C61</f>
        <v>3176.390330999988</v>
      </c>
      <c r="E61" s="137"/>
      <c r="F61" s="66"/>
      <c r="G61" s="67"/>
      <c r="I61" s="68"/>
      <c r="J61" s="68"/>
      <c r="K61" s="69"/>
      <c r="L61" s="69"/>
      <c r="M61" s="69"/>
      <c r="N61" s="69"/>
    </row>
    <row r="62" spans="1:14" ht="15">
      <c r="A62" s="75" t="s">
        <v>68</v>
      </c>
      <c r="B62" s="120">
        <v>0</v>
      </c>
      <c r="C62" s="118">
        <f>B62*0.9733</f>
        <v>0</v>
      </c>
      <c r="D62" s="119">
        <f>B62-C62</f>
        <v>0</v>
      </c>
      <c r="E62" s="137">
        <f>(2.07+1.8)*6*2301.2-0.37*2301.2*6</f>
        <v>48325.2</v>
      </c>
      <c r="F62" s="81"/>
      <c r="G62" s="82"/>
      <c r="H62" s="65"/>
      <c r="I62" s="68"/>
      <c r="J62" s="68"/>
      <c r="K62" s="69"/>
      <c r="L62" s="69"/>
      <c r="M62" s="69"/>
      <c r="N62" s="69"/>
    </row>
    <row r="63" spans="1:14" ht="15.75" thickBot="1">
      <c r="A63" s="150" t="s">
        <v>69</v>
      </c>
      <c r="B63" s="151">
        <v>237743.95</v>
      </c>
      <c r="C63" s="152">
        <f>B63*0.9733</f>
        <v>231396.18653500002</v>
      </c>
      <c r="D63" s="153">
        <f>B63-C63</f>
        <v>6347.763464999996</v>
      </c>
      <c r="E63" s="137"/>
      <c r="F63" s="81"/>
      <c r="G63" s="82"/>
      <c r="I63" s="68"/>
      <c r="J63" s="68"/>
      <c r="K63" s="69"/>
      <c r="L63" s="69"/>
      <c r="M63" s="69"/>
      <c r="N63" s="69"/>
    </row>
    <row r="64" spans="1:14" ht="63.75">
      <c r="A64" s="154" t="s">
        <v>70</v>
      </c>
      <c r="B64" s="155" t="s">
        <v>71</v>
      </c>
      <c r="C64" s="155" t="s">
        <v>72</v>
      </c>
      <c r="D64" s="214" t="s">
        <v>73</v>
      </c>
      <c r="E64" s="137"/>
      <c r="F64" s="81"/>
      <c r="H64" s="68"/>
      <c r="I64" s="68"/>
      <c r="J64" s="68"/>
      <c r="K64" s="69"/>
      <c r="L64" s="69"/>
      <c r="M64" s="69"/>
      <c r="N64" s="69"/>
    </row>
    <row r="65" spans="1:14" ht="15">
      <c r="A65" s="158" t="s">
        <v>66</v>
      </c>
      <c r="B65" s="124">
        <v>114141.13</v>
      </c>
      <c r="C65" s="125">
        <v>103836.06</v>
      </c>
      <c r="D65" s="159">
        <f>B65-C65</f>
        <v>10305.070000000007</v>
      </c>
      <c r="E65" s="137"/>
      <c r="F65" s="81"/>
      <c r="H65" s="68"/>
      <c r="I65" s="68"/>
      <c r="J65" s="68" t="s">
        <v>32</v>
      </c>
      <c r="K65" s="69"/>
      <c r="L65" s="69"/>
      <c r="M65" s="69"/>
      <c r="N65" s="69"/>
    </row>
    <row r="66" spans="1:14" ht="15">
      <c r="A66" s="158" t="s">
        <v>67</v>
      </c>
      <c r="B66" s="124">
        <v>130846.91</v>
      </c>
      <c r="C66" s="125">
        <v>115789.54</v>
      </c>
      <c r="D66" s="159">
        <f>B66-C66</f>
        <v>15057.37000000001</v>
      </c>
      <c r="E66" s="65"/>
      <c r="F66" s="81"/>
      <c r="H66" s="68"/>
      <c r="I66" s="68"/>
      <c r="J66" s="68"/>
      <c r="K66" s="69"/>
      <c r="L66" s="69"/>
      <c r="M66" s="69"/>
      <c r="N66" s="69"/>
    </row>
    <row r="67" spans="1:14" ht="15">
      <c r="A67" s="158" t="s">
        <v>68</v>
      </c>
      <c r="B67" s="124">
        <v>0</v>
      </c>
      <c r="C67" s="125">
        <f>C62*1.0063</f>
        <v>0</v>
      </c>
      <c r="D67" s="159">
        <f>B67-C67</f>
        <v>0</v>
      </c>
      <c r="E67" s="65"/>
      <c r="F67" s="81"/>
      <c r="H67" s="68"/>
      <c r="I67" s="68"/>
      <c r="J67" s="68"/>
      <c r="K67" s="69"/>
      <c r="L67" s="69"/>
      <c r="M67" s="69"/>
      <c r="N67" s="69"/>
    </row>
    <row r="68" spans="1:14" ht="15">
      <c r="A68" s="158" t="s">
        <v>74</v>
      </c>
      <c r="B68" s="124">
        <v>0</v>
      </c>
      <c r="C68" s="125">
        <v>0</v>
      </c>
      <c r="D68" s="159">
        <f>B68-C68</f>
        <v>0</v>
      </c>
      <c r="E68" s="65"/>
      <c r="F68" s="81"/>
      <c r="H68" s="68"/>
      <c r="I68" s="68"/>
      <c r="J68" s="68"/>
      <c r="K68" s="69"/>
      <c r="L68" s="69"/>
      <c r="M68" s="69"/>
      <c r="N68" s="69"/>
    </row>
    <row r="69" spans="1:14" ht="15.75" thickBot="1">
      <c r="A69" s="160" t="s">
        <v>69</v>
      </c>
      <c r="B69" s="161">
        <v>237743.95</v>
      </c>
      <c r="C69" s="167">
        <v>237743.95</v>
      </c>
      <c r="D69" s="163">
        <f>B69-C69</f>
        <v>0</v>
      </c>
      <c r="E69" s="65"/>
      <c r="F69" s="81"/>
      <c r="H69" s="68" t="s">
        <v>32</v>
      </c>
      <c r="I69" s="68"/>
      <c r="J69" s="68"/>
      <c r="K69" s="69"/>
      <c r="L69" s="69"/>
      <c r="M69" s="69"/>
      <c r="N69" s="69"/>
    </row>
    <row r="70" spans="1:14" ht="15">
      <c r="A70" s="91"/>
      <c r="B70" s="124"/>
      <c r="C70" s="127"/>
      <c r="D70" s="128"/>
      <c r="E70" s="65"/>
      <c r="F70" s="81"/>
      <c r="H70" s="68"/>
      <c r="I70" s="68"/>
      <c r="J70" s="68"/>
      <c r="K70" s="69"/>
      <c r="L70" s="69"/>
      <c r="M70" s="69"/>
      <c r="N70" s="69"/>
    </row>
    <row r="71" spans="1:14" ht="25.5">
      <c r="A71" s="94" t="s">
        <v>75</v>
      </c>
      <c r="B71" s="87" t="s">
        <v>16</v>
      </c>
      <c r="C71" s="95"/>
      <c r="D71" s="96">
        <v>0</v>
      </c>
      <c r="E71" s="65"/>
      <c r="F71" s="81"/>
      <c r="H71" s="68"/>
      <c r="I71" s="68"/>
      <c r="J71" s="68" t="s">
        <v>32</v>
      </c>
      <c r="K71" s="69"/>
      <c r="L71" s="69"/>
      <c r="M71" s="69"/>
      <c r="N71" s="69"/>
    </row>
    <row r="72" spans="1:14" ht="17.25" customHeight="1">
      <c r="A72" s="264" t="s">
        <v>76</v>
      </c>
      <c r="B72" s="264"/>
      <c r="C72" s="264"/>
      <c r="D72" s="264"/>
      <c r="E72" s="97" t="e">
        <f>D72+B19</f>
        <v>#VALUE!</v>
      </c>
      <c r="F72" s="68"/>
      <c r="H72" s="98" t="e">
        <f>E72-B18</f>
        <v>#VALUE!</v>
      </c>
      <c r="I72" s="68"/>
      <c r="J72" s="68"/>
      <c r="K72" s="69"/>
      <c r="L72" s="69"/>
      <c r="M72" s="69"/>
      <c r="N72" s="69"/>
    </row>
    <row r="73" spans="1:5" ht="21" customHeight="1">
      <c r="A73" s="99" t="s">
        <v>53</v>
      </c>
      <c r="B73" s="99" t="s">
        <v>54</v>
      </c>
      <c r="C73" s="100">
        <v>0</v>
      </c>
      <c r="D73" s="101"/>
      <c r="E73" s="102"/>
    </row>
    <row r="74" spans="1:5" ht="21" customHeight="1">
      <c r="A74" s="99" t="s">
        <v>55</v>
      </c>
      <c r="B74" s="99" t="s">
        <v>54</v>
      </c>
      <c r="C74" s="99">
        <v>0</v>
      </c>
      <c r="D74" s="101"/>
      <c r="E74" s="102"/>
    </row>
    <row r="75" spans="1:5" ht="18" customHeight="1">
      <c r="A75" s="99" t="s">
        <v>56</v>
      </c>
      <c r="B75" s="99" t="s">
        <v>54</v>
      </c>
      <c r="C75" s="99">
        <v>0</v>
      </c>
      <c r="D75" s="101"/>
      <c r="E75" s="102"/>
    </row>
    <row r="76" spans="1:5" ht="16.5" customHeight="1">
      <c r="A76" s="99" t="s">
        <v>57</v>
      </c>
      <c r="B76" s="99" t="s">
        <v>16</v>
      </c>
      <c r="C76" s="99">
        <v>0</v>
      </c>
      <c r="D76" s="101"/>
      <c r="E76" s="102"/>
    </row>
    <row r="77" spans="1:5" ht="15.75" customHeight="1">
      <c r="A77" s="258" t="s">
        <v>77</v>
      </c>
      <c r="B77" s="258"/>
      <c r="C77" s="258"/>
      <c r="D77" s="258"/>
      <c r="E77" s="102"/>
    </row>
    <row r="78" spans="1:5" ht="18.75" customHeight="1">
      <c r="A78" s="99" t="s">
        <v>78</v>
      </c>
      <c r="B78" s="99" t="s">
        <v>54</v>
      </c>
      <c r="C78" s="99">
        <v>0</v>
      </c>
      <c r="D78" s="101"/>
      <c r="E78" s="102"/>
    </row>
    <row r="79" spans="1:5" ht="21.75" customHeight="1">
      <c r="A79" s="99" t="s">
        <v>79</v>
      </c>
      <c r="B79" s="56" t="s">
        <v>54</v>
      </c>
      <c r="C79" s="56">
        <v>1</v>
      </c>
      <c r="D79" s="101"/>
      <c r="E79" s="102"/>
    </row>
    <row r="80" spans="1:5" ht="36" customHeight="1">
      <c r="A80" s="103" t="s">
        <v>80</v>
      </c>
      <c r="B80" s="99" t="s">
        <v>16</v>
      </c>
      <c r="C80" s="99">
        <v>0</v>
      </c>
      <c r="D80" s="101"/>
      <c r="E80" s="102"/>
    </row>
    <row r="81" spans="1:4" ht="15">
      <c r="A81" s="69"/>
      <c r="B81" s="69"/>
      <c r="C81" s="69"/>
      <c r="D81" s="104"/>
    </row>
    <row r="82" spans="1:14" s="1" customFormat="1" ht="12.75">
      <c r="A82"/>
      <c r="B82"/>
      <c r="C82"/>
      <c r="D82"/>
      <c r="H82" s="1" t="s">
        <v>32</v>
      </c>
      <c r="K82"/>
      <c r="L82"/>
      <c r="M82"/>
      <c r="N82"/>
    </row>
    <row r="83" spans="1:14" s="1" customFormat="1" ht="12.75">
      <c r="A83" s="224" t="s">
        <v>285</v>
      </c>
      <c r="B83"/>
      <c r="C83"/>
      <c r="D83"/>
      <c r="K83"/>
      <c r="L83"/>
      <c r="M83"/>
      <c r="N83"/>
    </row>
    <row r="84" spans="1:14" s="1" customFormat="1" ht="12.75">
      <c r="A84"/>
      <c r="B84"/>
      <c r="C84"/>
      <c r="D84"/>
      <c r="H84" s="1" t="s">
        <v>32</v>
      </c>
      <c r="K84"/>
      <c r="L84"/>
      <c r="M84"/>
      <c r="N84"/>
    </row>
    <row r="85" spans="1:14" s="1" customFormat="1" ht="12.75">
      <c r="A85" t="s">
        <v>82</v>
      </c>
      <c r="B85"/>
      <c r="C85"/>
      <c r="D85"/>
      <c r="K85"/>
      <c r="L85"/>
      <c r="M85"/>
      <c r="N85"/>
    </row>
    <row r="89" spans="1:14" s="1" customFormat="1" ht="12.75">
      <c r="A89"/>
      <c r="B89"/>
      <c r="C89"/>
      <c r="D89"/>
      <c r="E89" s="1" t="s">
        <v>32</v>
      </c>
      <c r="K89"/>
      <c r="L89"/>
      <c r="M89"/>
      <c r="N89"/>
    </row>
  </sheetData>
  <sheetProtection selectLockedCells="1" selectUnlockedCells="1"/>
  <mergeCells count="13">
    <mergeCell ref="A1:D1"/>
    <mergeCell ref="A2:D2"/>
    <mergeCell ref="A3:D3"/>
    <mergeCell ref="A4:D4"/>
    <mergeCell ref="A5:D5"/>
    <mergeCell ref="A7:D7"/>
    <mergeCell ref="A77:D77"/>
    <mergeCell ref="A14:D14"/>
    <mergeCell ref="A29:D29"/>
    <mergeCell ref="A46:D46"/>
    <mergeCell ref="A51:D51"/>
    <mergeCell ref="A58:D58"/>
    <mergeCell ref="A72:D72"/>
  </mergeCells>
  <printOptions/>
  <pageMargins left="0.5597222222222222" right="0.7875" top="0.34097222222222223" bottom="0.7875" header="0.5118055555555555" footer="0.5118055555555555"/>
  <pageSetup fitToHeight="3" fitToWidth="2" horizontalDpi="600" verticalDpi="600" orientation="portrait" paperSize="1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Сметчик</cp:lastModifiedBy>
  <cp:lastPrinted>2017-03-28T11:48:29Z</cp:lastPrinted>
  <dcterms:created xsi:type="dcterms:W3CDTF">2016-10-21T05:17:14Z</dcterms:created>
  <dcterms:modified xsi:type="dcterms:W3CDTF">2017-03-28T11:50:21Z</dcterms:modified>
  <cp:category/>
  <cp:version/>
  <cp:contentType/>
  <cp:contentStatus/>
</cp:coreProperties>
</file>