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9" firstSheet="1" activeTab="11"/>
  </bookViews>
  <sheets>
    <sheet name="Рожд 1" sheetId="1" r:id="rId1"/>
    <sheet name="Рожд 2" sheetId="2" r:id="rId2"/>
    <sheet name="Рожд 3" sheetId="3" r:id="rId3"/>
    <sheet name="Рожд 4" sheetId="4" r:id="rId4"/>
    <sheet name="Рожд 5" sheetId="5" r:id="rId5"/>
    <sheet name="Рожд 6" sheetId="6" r:id="rId6"/>
    <sheet name="Рожд7" sheetId="7" r:id="rId7"/>
    <sheet name="Рожд 8 " sheetId="8" r:id="rId8"/>
    <sheet name="Рожд 10 " sheetId="9" r:id="rId9"/>
    <sheet name="Весенняя 1" sheetId="10" r:id="rId10"/>
    <sheet name="Весенняя 2" sheetId="11" r:id="rId11"/>
    <sheet name="Весенняя 3" sheetId="12" r:id="rId12"/>
    <sheet name="Лист1" sheetId="13" r:id="rId13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<sst xmlns="http://schemas.openxmlformats.org/spreadsheetml/2006/main" count="2268" uniqueCount="345">
  <si>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</si>
  <si>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</si>
  <si>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</si>
  <si>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Рождественская д.1</t>
  </si>
  <si>
    <t>ЗА 2015 ГОД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</si>
  <si>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</si>
  <si>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</si>
  <si>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</si>
  <si>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</si>
  <si>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</si>
  <si>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 xml:space="preserve"> Начало отчетного периода</t>
  </si>
  <si>
    <t>Дата конца отчетного периода.</t>
  </si>
  <si>
    <t>1.'Общая информация о выполняемых работах (оказываемых услугах) по содержанию и текущему ремонту общего имущества</t>
  </si>
  <si>
    <t xml:space="preserve">Переходящие остатки денежных средств (на начало периода) по содержанию и  текущему ремонту </t>
  </si>
  <si>
    <t>руб.</t>
  </si>
  <si>
    <t>переплата потребителями</t>
  </si>
  <si>
    <t>задолженность потребителей</t>
  </si>
  <si>
    <t xml:space="preserve">.'Начислено за работы (услуги) по содержанию и текущему ремонту,в том числе:      </t>
  </si>
  <si>
    <t>за содержание дома</t>
  </si>
  <si>
    <t>за текущий ремонт</t>
  </si>
  <si>
    <t>за услуги управления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</si>
  <si>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</si>
  <si>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</si>
  <si>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</si>
  <si>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</si>
  <si>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.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</si>
  <si>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</si>
  <si>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</si>
  <si>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</si>
  <si>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</si>
  <si>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</si>
  <si>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</si>
  <si>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</si>
  <si>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</si>
  <si>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</si>
  <si>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</si>
  <si>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</si>
  <si>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</si>
  <si>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>ООО "ВДС-Сервис"; ООО "ЦентрСервис"</t>
  </si>
  <si>
    <t xml:space="preserve">Содержание придомовой территории </t>
  </si>
  <si>
    <t>5 раз в неделю</t>
  </si>
  <si>
    <t>ООО "Жилищные услуги"</t>
  </si>
  <si>
    <t>Вывоз и утилизация ТБО и КГО</t>
  </si>
  <si>
    <t>ежедневно</t>
  </si>
  <si>
    <t>ООО "ЧистоГрад плюс"</t>
  </si>
  <si>
    <t xml:space="preserve">Проверка дымоходов и вентканалов </t>
  </si>
  <si>
    <t>ООО "Патриот"</t>
  </si>
  <si>
    <t>Обслуживание систем электроснабжения</t>
  </si>
  <si>
    <t>4 раза в год</t>
  </si>
  <si>
    <t>ООО "ВДС-Сервис"</t>
  </si>
  <si>
    <t>Обслуживание внутридомовых систем  (ХВС,ГВС, ВО, отопления)</t>
  </si>
  <si>
    <t xml:space="preserve">Аварийно-диспетчерское обслуживание  </t>
  </si>
  <si>
    <t>круглосуточно</t>
  </si>
  <si>
    <t xml:space="preserve">Управление многоквартирным домом </t>
  </si>
  <si>
    <t>ООО "ДУК"</t>
  </si>
  <si>
    <t xml:space="preserve">Уборка лестничных клеток  </t>
  </si>
  <si>
    <t>ООО "Проспект"</t>
  </si>
  <si>
    <t xml:space="preserve">Обслуживание лифтов  </t>
  </si>
  <si>
    <t>ООО "Лифтсервис"</t>
  </si>
  <si>
    <t xml:space="preserve">Обслуживание мусоропроводов </t>
  </si>
  <si>
    <t>Согласно плана и по мере необходимости</t>
  </si>
  <si>
    <t>ИТОГО: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</si>
  <si>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</si>
  <si>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</si>
  <si>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</si>
  <si>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</si>
  <si>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</si>
  <si>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</si>
  <si>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</si>
  <si>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</si>
  <si>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</si>
  <si>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Переходящие остатки денежных средств (на конец,периода)в 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</si>
  <si>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</si>
  <si>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</si>
  <si>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</si>
  <si>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</si>
  <si>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</si>
  <si>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</si>
  <si>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</si>
  <si>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</si>
  <si>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горячее водоснабжение          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</si>
  <si>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</si>
  <si>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</si>
  <si>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</si>
  <si>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</si>
  <si>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</si>
  <si>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</si>
  <si>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</si>
  <si>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</si>
  <si>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</si>
  <si>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</si>
  <si>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</si>
  <si>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Руководитель управляющей организации /____________________________________/_____________________________________________</t>
  </si>
  <si>
    <t>М.П.</t>
  </si>
  <si>
    <t>ПО АДРЕСУ г. Заволжье, ул. Рождественская д.2</t>
  </si>
  <si>
    <t xml:space="preserve">Переходящие остатки денежных средств (на начало периода) </t>
  </si>
  <si>
    <t>Содержание придомовой территории</t>
  </si>
  <si>
    <t>Вывоз и утилизация ТБО  и КГО</t>
  </si>
  <si>
    <t>Обслуживание внутридомовых систем  (ХВС,ГВС,ВО,отопления)</t>
  </si>
  <si>
    <t xml:space="preserve">Уборка лестничных клеток </t>
  </si>
  <si>
    <t xml:space="preserve">Обслуживание лифтов </t>
  </si>
  <si>
    <t>Обслуживание газового оборудования ( ОАО "Газпром газораспределение НН"</t>
  </si>
  <si>
    <t>1 раз в 3 года</t>
  </si>
  <si>
    <t>ПАО "Газпромгазораспределение НН"</t>
  </si>
  <si>
    <t>ИТОГО :</t>
  </si>
  <si>
    <t>Переходящие остатки денежных средств (на коне,в том числе:</t>
  </si>
  <si>
    <t>ПО АДРЕСУ г. Заволжье, ул. Рождественская д.3</t>
  </si>
  <si>
    <t>Переходящие остатки денежных средств (на начало периода) :</t>
  </si>
  <si>
    <t>Обслуживание общестроит.конструкций</t>
  </si>
  <si>
    <t>Проверка дымоходов и вентканалов</t>
  </si>
  <si>
    <t>Обслуживание внутридомовых систем  (ХВС,ГВС,ВО ,отопления)</t>
  </si>
  <si>
    <t>Управление многоквартирным домом</t>
  </si>
  <si>
    <t>Уборка лестничных клеток</t>
  </si>
  <si>
    <t>Обслуживание мусоропроводов</t>
  </si>
  <si>
    <t>Обслуживание газового оборудования</t>
  </si>
  <si>
    <t>Переходящие остатки денежных средств (на конец  периода)</t>
  </si>
  <si>
    <t>Задолженност потребителей            (руб.)</t>
  </si>
  <si>
    <t>ПО АДРЕСУ г. Заволжье, ул. Рождественская д.4</t>
  </si>
  <si>
    <t>Обслуживание систем  электроснабжения</t>
  </si>
  <si>
    <t xml:space="preserve">Обслуживание газового оборудования </t>
  </si>
  <si>
    <t>ПО АДРЕСУ г. Заволжье, ул. Рождественская д.5</t>
  </si>
  <si>
    <t>ПО АДРЕСУ г. Заволжье, ул. Рождественская д.6</t>
  </si>
  <si>
    <t>ПО АДРЕСУ г. Заволжье, ул. Рождественская д.7</t>
  </si>
  <si>
    <t xml:space="preserve"> ООО "ВДС-Сервис"; ООО"Стройстандарт"; ООО "Промальп" </t>
  </si>
  <si>
    <t>ПО АДРЕСУ г. Заволжье, ул. Рождественская д.8</t>
  </si>
  <si>
    <t>ПО АДРЕСУ г. Заволжье, ул. Рождественская д.10</t>
  </si>
  <si>
    <t>ПО АДРЕСУ г. Заволжье, ул. Весенняя д.1</t>
  </si>
  <si>
    <t xml:space="preserve">прочие поступления </t>
  </si>
  <si>
    <t>Переходящие остатки денежных средств (на конец периода,в том числе:</t>
  </si>
  <si>
    <t>ПО АДРЕСУ г. Заволжье, ул. Весенняя д.2</t>
  </si>
  <si>
    <t>ПО АДРЕСУ г. Заволжье, ул. Весенняя д.3</t>
  </si>
  <si>
    <t>Руководитель управляющей организации /____________________________________/_Кузьмичев Е.М./</t>
  </si>
  <si>
    <t>ЗА 2016 ГОД</t>
  </si>
  <si>
    <t>1 квартал 2017г.</t>
  </si>
  <si>
    <t>01.01.2016г.</t>
  </si>
  <si>
    <t>31.12.2016г.</t>
  </si>
  <si>
    <t>Sдома=2302,50 м2</t>
  </si>
  <si>
    <t>Ремонт лифта</t>
  </si>
  <si>
    <t>Смена участков ГВС,ХВС,отопления,канализации, кранов шаровых  в к.32,15,19,624,72,4,12,24</t>
  </si>
  <si>
    <t>Смена оптоакустических светильников на 1,2,6,7,9 этажах</t>
  </si>
  <si>
    <t>Ремонт пола в к.15</t>
  </si>
  <si>
    <t xml:space="preserve">Ремонт участка кровли </t>
  </si>
  <si>
    <t>Ремонт остекления на 9м. Этаже</t>
  </si>
  <si>
    <t>Sдома=6085,1м2</t>
  </si>
  <si>
    <t>Ремонт лифтов</t>
  </si>
  <si>
    <t>Ремонтэлектрики</t>
  </si>
  <si>
    <t>Установка оптоакустических светильников</t>
  </si>
  <si>
    <t>Установка поручня</t>
  </si>
  <si>
    <t>Установка запорной арматуры ХВС,ГВС,на техэтаже</t>
  </si>
  <si>
    <t>Смена замков на техэтаже и в подвале</t>
  </si>
  <si>
    <t>Смена кранов шаровых ГВС,ХВС в кв.59,92</t>
  </si>
  <si>
    <t>Герметизация межпанельных швов по кв.61</t>
  </si>
  <si>
    <t>ООО "Промальп"</t>
  </si>
  <si>
    <t>Смена запорной арматуры отопления в подвале</t>
  </si>
  <si>
    <t>Смена запорной арматуры и участка розлива ГВС в подвале</t>
  </si>
  <si>
    <t>Модернизация антенны</t>
  </si>
  <si>
    <t>ООО "Электроник"</t>
  </si>
  <si>
    <t>Смена участков отопления по кв.37,38,1,23, подъезда № 2,3</t>
  </si>
  <si>
    <t>Смена трансформаторов в электрощите</t>
  </si>
  <si>
    <t>Ремонт покрытия лоджии кв.33</t>
  </si>
  <si>
    <t>Частичный ремонт подъездов № 1,2,3</t>
  </si>
  <si>
    <t>ООО "Иваныч"</t>
  </si>
  <si>
    <t>Утепление фасада 1го подъезда</t>
  </si>
  <si>
    <t>Устройство ограждений вентшахты,зашивка проема  над э/щитом,ремонт стен 1,2,3 подъездов</t>
  </si>
  <si>
    <t>Стоимость почтовых ящиков</t>
  </si>
  <si>
    <t>Sдома = 6132,2 м2</t>
  </si>
  <si>
    <t>Sдома=4109,6м2</t>
  </si>
  <si>
    <t>Смена участка отопления по кв.17</t>
  </si>
  <si>
    <t>Подсыпка ям щебнем подъездной дороги</t>
  </si>
  <si>
    <t>Смена участка розлива ХВС в подвале , по кв.20</t>
  </si>
  <si>
    <t>Герметизация межпанельных швов</t>
  </si>
  <si>
    <t xml:space="preserve">Установка узла учета тепловой энергии </t>
  </si>
  <si>
    <t>Смена светильников на 7м эт. 2подъезда, в теплоузле</t>
  </si>
  <si>
    <t>Утепление фасада  по кв.9</t>
  </si>
  <si>
    <t>Ремонт крыльца 2го подъезда</t>
  </si>
  <si>
    <t>Установка пружин (4шт) на двери</t>
  </si>
  <si>
    <t>Смена кранов в кв.71</t>
  </si>
  <si>
    <t>Смена запорной арматуры ; смена участка ХВС в кв.55; смена участка ГВС, ХВС с выходом в подвал по кв.3; смена крана  кв.54</t>
  </si>
  <si>
    <t>Sдома=4933,7м2</t>
  </si>
  <si>
    <t>Смена светильников в 1,2,3,4м подъездах</t>
  </si>
  <si>
    <t>Смена участков ГВС в кв.75, подвале 3го под-да, кв.66</t>
  </si>
  <si>
    <t>Установка замков в подвал</t>
  </si>
  <si>
    <t>Смена кранов ХВС,ГВС в кв.43, в подвале 3-го подъезда</t>
  </si>
  <si>
    <t>(юрид)</t>
  </si>
  <si>
    <t>Утепление фасада и герметизация швов</t>
  </si>
  <si>
    <t>Ремонт парапетных плит</t>
  </si>
  <si>
    <t>ООО "Гидроэнергострой"</t>
  </si>
  <si>
    <t>Ремонт остекления 3,4 подъезды</t>
  </si>
  <si>
    <t>Установка стягивающих пластин на панель стены</t>
  </si>
  <si>
    <t>Изготовление и установка отливов</t>
  </si>
  <si>
    <t>Ремонт скамеек на детской площадке</t>
  </si>
  <si>
    <t>Модернизация телевизионной антенны</t>
  </si>
  <si>
    <t>Ремонт крылец 2,3,4 подъездов, ремонт отмостки</t>
  </si>
  <si>
    <t>Sдома = 5845,2м2</t>
  </si>
  <si>
    <t>остатки по текущему ремонту:</t>
  </si>
  <si>
    <t>остатки по капитальному ремонту:</t>
  </si>
  <si>
    <t>Смена кранов ХВС, ГВС в кв.67,40,89,8,56,72,20,94</t>
  </si>
  <si>
    <t>Ремонт стены в 1м подъезде</t>
  </si>
  <si>
    <t>Смена светильников в фойе 4го подъезда</t>
  </si>
  <si>
    <t>Ремонт покрытия лоджии кв.86</t>
  </si>
  <si>
    <t>Смена участка отопления в кв.61, смена кранов в кв.99</t>
  </si>
  <si>
    <t>Пректные работы на узел учета ГВС</t>
  </si>
  <si>
    <t>ООО "Промэнергостройсервис"</t>
  </si>
  <si>
    <t>Ремонт отмостки у 6го подъезда</t>
  </si>
  <si>
    <t>Справочно ,тарифы :</t>
  </si>
  <si>
    <t>0,39/0,40</t>
  </si>
  <si>
    <t>2,34/2,40</t>
  </si>
  <si>
    <t>3,0/3,03</t>
  </si>
  <si>
    <t>0,2/0,21</t>
  </si>
  <si>
    <t>0,53/0,55</t>
  </si>
  <si>
    <t>1,09/1,14</t>
  </si>
  <si>
    <t>2,27/2,33</t>
  </si>
  <si>
    <t>0,27/0</t>
  </si>
  <si>
    <t>Sдома=2169,80м2</t>
  </si>
  <si>
    <t>смена задвижек ГВС в подвале</t>
  </si>
  <si>
    <t>январь</t>
  </si>
  <si>
    <t>проектные работы на установку теплосчетчика</t>
  </si>
  <si>
    <t>апрель</t>
  </si>
  <si>
    <t>герметизация межпанельных швов</t>
  </si>
  <si>
    <t>апрель,октябрь</t>
  </si>
  <si>
    <t>ремонт цементной стяжки в 1м подъезде</t>
  </si>
  <si>
    <t>июль</t>
  </si>
  <si>
    <t>установка узла учета тепловой энергии</t>
  </si>
  <si>
    <t>смена кранов  ХВС,  ГВС  в кв.18</t>
  </si>
  <si>
    <t>август</t>
  </si>
  <si>
    <t>пусконаладочные работы узла учета</t>
  </si>
  <si>
    <t>октябрь</t>
  </si>
  <si>
    <t>Sдома=4263,30м2</t>
  </si>
  <si>
    <t>вырезка деревьев у 2го под-да</t>
  </si>
  <si>
    <t>март</t>
  </si>
  <si>
    <t>смена кранов шаровых ХВС и ГВС в кв. 4,51,1,42</t>
  </si>
  <si>
    <t>апрель-ноябрь</t>
  </si>
  <si>
    <t>смена запорной арматуры в подвале 1го подъезда</t>
  </si>
  <si>
    <t>смена светильников у кв.44; во 2м подъезде (3эт)</t>
  </si>
  <si>
    <t>август,октябрь</t>
  </si>
  <si>
    <t>ремонт уч-ка отопления 1 подъезд,9 эт.</t>
  </si>
  <si>
    <t>установка поручней</t>
  </si>
  <si>
    <t>сентябрь</t>
  </si>
  <si>
    <t>ремонт покрытия лоджии кв.40</t>
  </si>
  <si>
    <t>ноябрь</t>
  </si>
  <si>
    <t>уст-ка пружин на дверь</t>
  </si>
  <si>
    <t>Sдома=4188,20м2</t>
  </si>
  <si>
    <t>март-ноябрь</t>
  </si>
  <si>
    <t>утепление фасада по кв.79</t>
  </si>
  <si>
    <t>май</t>
  </si>
  <si>
    <t>ремонт остекления в 3 подъезде (1,2эт); 4подъезд(1,2эт)</t>
  </si>
  <si>
    <t>декабрь</t>
  </si>
  <si>
    <t>смена крана ГВС в кв.15</t>
  </si>
  <si>
    <t>Sдома = 4849,50м2</t>
  </si>
  <si>
    <t>в том числе остатки по капитальному ремонту :</t>
  </si>
  <si>
    <t>январь,февраль, декабрь</t>
  </si>
  <si>
    <t>смена замков в подвао и выход на крышу</t>
  </si>
  <si>
    <t>февраль,апрель</t>
  </si>
  <si>
    <t>смена автоматического  выключателя у кв.61, вводного автомата</t>
  </si>
  <si>
    <t>март,май</t>
  </si>
  <si>
    <t>проектные работы на узел учета тепловой энергии</t>
  </si>
  <si>
    <t>ООО "УАЗ-Проект"</t>
  </si>
  <si>
    <t>смена шаровых кранов ГВС,ХВС кв.35,15</t>
  </si>
  <si>
    <t>утепление фасада по кв.39</t>
  </si>
  <si>
    <t>июнь</t>
  </si>
  <si>
    <t>установка оптоакустических светильников</t>
  </si>
  <si>
    <t>ремонт детской площадки</t>
  </si>
  <si>
    <t>смена светильников в 1м подъезде(1эт); у кв.86; 2подъезд у почтовых ящиков</t>
  </si>
  <si>
    <t>август,ноябрь,декабрь</t>
  </si>
  <si>
    <t>пусконалодочные работы узла учета тепловой энергии</t>
  </si>
  <si>
    <t>ООО "Проэнергостройсервис"</t>
  </si>
  <si>
    <t>ремонт покрытия лоджии кв. №39</t>
  </si>
  <si>
    <t>гермнтизация межпанельных швов кв.36,40,74,79,87</t>
  </si>
  <si>
    <t>Sдома=7517,80 м2</t>
  </si>
  <si>
    <t>смена участка ГВС по кв. 19</t>
  </si>
  <si>
    <t>смена светильников в 4подъезде (9,1эт)</t>
  </si>
  <si>
    <t>февраль,октябрь</t>
  </si>
  <si>
    <t>смена замков в подвал и выхода на крышу</t>
  </si>
  <si>
    <t>смена участка отопления кв.62</t>
  </si>
  <si>
    <t>ремонт лифтов, смена тягового каната</t>
  </si>
  <si>
    <t>апрель, декабрь</t>
  </si>
  <si>
    <t>снятие за 2014г. (ремонт лифта)</t>
  </si>
  <si>
    <t>Смена крана ГВС(кв.108); ХВС (кв.8), кранов на отопление в подвале</t>
  </si>
  <si>
    <t>июнь,октябрь</t>
  </si>
  <si>
    <t>Sдома=8163,2м2</t>
  </si>
  <si>
    <t>смена запорной  арматуры  отопления в подвале 4го под-да</t>
  </si>
  <si>
    <t>смена пакетного выключателя 1эт.,4п-д; монтаж силового кабеля во 2м,4м подъездах.</t>
  </si>
  <si>
    <t>февраль</t>
  </si>
  <si>
    <t>смена радиаторов отопления  в кв.15(б/у); смена запорной арматуры ГВС в подвале по кв.81</t>
  </si>
  <si>
    <t>смена участка отопленияв кв.126</t>
  </si>
  <si>
    <t>замена тягового каната в 4м подъезде</t>
  </si>
  <si>
    <t>смена кнопки вызова лифта в 3подъезде ,эт.6</t>
  </si>
  <si>
    <t>смена участка ГВс на 6эт 3го подъезда,смена кранов в кв.109</t>
  </si>
  <si>
    <t>смена участка обратки в 3м подъезде, смена . конвекторв в кв.126</t>
  </si>
  <si>
    <t>утепление фасада кв.30,90,97,113</t>
  </si>
  <si>
    <t>ремонт межпанельных швов кв73,77,100,87</t>
  </si>
  <si>
    <t>смена участка стояка ХВС в кв.127</t>
  </si>
  <si>
    <t>ремонт участков стояков ХВС , ГВС в кв.111</t>
  </si>
  <si>
    <t>перерасчет за 2015г.</t>
  </si>
  <si>
    <t>уст-ка пружин на двери 12шт</t>
  </si>
  <si>
    <t>Установка пружин на двери</t>
  </si>
  <si>
    <t>Текущий ремонт и подготовка к сезонной эксплуатации , в том числе:</t>
  </si>
  <si>
    <t>Текущий ремонт и подготовка к сезонной эксплуатации, в том числе:</t>
  </si>
  <si>
    <t>Текущий ремонт и подготовка к сезонной эксплуатации , в том числе :</t>
  </si>
  <si>
    <t>Смена счетчика и трансформаторов в пункте учета</t>
  </si>
  <si>
    <t>Текущий ремонт и подготовка к сезонной эксплуатации (в том числе) :</t>
  </si>
  <si>
    <t>Обслуживание мусоропроводов (1 ,4 подъезды)</t>
  </si>
  <si>
    <t>смена участка стояка ХВС  кв.137, смена запорной арматуры  в подвале по кв.125</t>
  </si>
  <si>
    <t>перерасчет за октябрь 2015г. (по лифтам)</t>
  </si>
  <si>
    <t>ремонт дверей в 3м подъезде; смена замков в подвале и на техэтаже; установка пружин на двери</t>
  </si>
  <si>
    <t>февраль,апрель,ноябрь</t>
  </si>
  <si>
    <t>смена светильников на техэтаже, на 1м эт. 1го подъезда; смена выключателей в тамбуре на 1м этаже 3го подъезда</t>
  </si>
  <si>
    <t>март,май,июнь</t>
  </si>
  <si>
    <t>смена вентилей в кв.64;смена радиатора отопления в кв.34;смена участка отопления в кв.2</t>
  </si>
  <si>
    <t xml:space="preserve">смена розлива ХВС в подвале </t>
  </si>
  <si>
    <t>смена участка канализации в подвале 1го этажа</t>
  </si>
  <si>
    <t>смена участков отопления по кв.3,68</t>
  </si>
  <si>
    <t>август,сентябрь</t>
  </si>
  <si>
    <t>установка почтовых ящиков в 1,3 подъездах</t>
  </si>
  <si>
    <t>частичный ремонт подъездов 1,2,3</t>
  </si>
  <si>
    <t>смена светильников  на 2м этаже 3го подъезда ; смена трансформаторов в электрощитовой</t>
  </si>
  <si>
    <t>ремонт остекления на 9эт. 1го подъезда</t>
  </si>
  <si>
    <t>утепление фасада по кв.34</t>
  </si>
  <si>
    <t>ремонт межпанельных швов по кв.63</t>
  </si>
  <si>
    <t>ремонт лифтов</t>
  </si>
  <si>
    <t>ноябрь,декабрь</t>
  </si>
  <si>
    <t>смена участка ХВС в кв.15</t>
  </si>
  <si>
    <t>Руководитель управляющей организации /______________________/________________________</t>
  </si>
  <si>
    <t>Руководитель управляющей организации /____________________________________/________________________________</t>
  </si>
  <si>
    <t>Текущий ремонт и подготовка  к сезонной эксплуатации (в том числе),</t>
  </si>
  <si>
    <t>Руководитель управляющей организации /____________         ___________/_____________________________________</t>
  </si>
  <si>
    <t xml:space="preserve">Переходящие остатки денежных средств (на начало периода) : </t>
  </si>
  <si>
    <t>Руководитель управляющей организации /______________________________/_____________________________________</t>
  </si>
  <si>
    <t>Руководитель управляющей организации /____________________________________/__________________________________</t>
  </si>
  <si>
    <t>ремонт кровли вентшахты</t>
  </si>
  <si>
    <t>Смена светильников в тамбурах кв.55,57,63,71,10 ,; в 1м подъезде (2эт);  3подъезде(1,2 эт.)</t>
  </si>
  <si>
    <t>Текущий ремонт и подготовка к сезонной эксплуатации         (в том числе);</t>
  </si>
  <si>
    <t>Текущий ремонт и подготовка к сезонной эксплуатации,          в том числе:</t>
  </si>
  <si>
    <t>Текущий ремонт и подготовка к сезонной эксплуатации     ( в том числе):</t>
  </si>
  <si>
    <t>Текущий ремонт и подготовка к сезонной эксплуатации       (в том числе) ;</t>
  </si>
  <si>
    <t>Руководитель управляющей организации /____________________________________/__________________________</t>
  </si>
  <si>
    <t>Руководитель управляющей организации /__________________________/_____________________________________________</t>
  </si>
  <si>
    <t>февраль,сентябрь,декабрь</t>
  </si>
  <si>
    <t>пректные работы по узлу учета тепловой энергии</t>
  </si>
  <si>
    <t>пуско-наладочные работы по узлу учета тепловой энергии</t>
  </si>
  <si>
    <t>Руководитель управляющей организации /______________________________/_______________________________________</t>
  </si>
  <si>
    <t>Текущий ремонт и подготовка к сезонной эксплуатации  (в том числе),</t>
  </si>
  <si>
    <t>Текущий ремонт и подготовка к сезонной эксплуатации (в том числе);</t>
  </si>
  <si>
    <t>февраль-декабрь</t>
  </si>
  <si>
    <t>март-декабрь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</si>
</sst>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;\-#,##0.00"/>
    <numFmt numFmtId="166" formatCode="#,###.00"/>
    <numFmt numFmtId="167" formatCode="0.0"/>
    <numFmt numFmtId="168" formatCode="0.0000"/>
    <numFmt numFmtId="169" formatCode="0.000"/>
    <numFmt numFmtId="170" formatCode="#,##0.0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6"/>
      <name val="Arial"/>
      <family val="2"/>
    </font>
    <font>
      <sz val="12"/>
      <color indexed="60"/>
      <name val="Arial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4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22" xfId="0" applyFont="1" applyFill="1" applyBorder="1" applyAlignment="1">
      <alignment wrapText="1"/>
    </xf>
    <xf numFmtId="0" fontId="4" fillId="33" borderId="23" xfId="0" applyFont="1" applyFill="1" applyBorder="1" applyAlignment="1">
      <alignment horizontal="center" vertical="center" wrapText="1"/>
    </xf>
    <xf numFmtId="165" fontId="3" fillId="33" borderId="23" xfId="0" applyNumberFormat="1" applyFont="1" applyFill="1" applyBorder="1" applyAlignment="1">
      <alignment horizontal="center" vertical="center" wrapText="1"/>
    </xf>
    <xf numFmtId="165" fontId="3" fillId="33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0" fontId="0" fillId="33" borderId="25" xfId="0" applyFont="1" applyFill="1" applyBorder="1" applyAlignment="1">
      <alignment/>
    </xf>
    <xf numFmtId="165" fontId="8" fillId="33" borderId="10" xfId="0" applyNumberFormat="1" applyFont="1" applyFill="1" applyBorder="1" applyAlignment="1">
      <alignment horizontal="center"/>
    </xf>
    <xf numFmtId="165" fontId="8" fillId="33" borderId="26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2" fontId="8" fillId="33" borderId="18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0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166" fontId="3" fillId="33" borderId="27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0" fontId="0" fillId="33" borderId="21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2" fontId="8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/>
    </xf>
    <xf numFmtId="4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top" wrapText="1"/>
    </xf>
    <xf numFmtId="4" fontId="6" fillId="0" borderId="30" xfId="0" applyNumberFormat="1" applyFont="1" applyFill="1" applyBorder="1" applyAlignment="1">
      <alignment vertical="top"/>
    </xf>
    <xf numFmtId="0" fontId="6" fillId="0" borderId="30" xfId="0" applyFont="1" applyFill="1" applyBorder="1" applyAlignment="1">
      <alignment wrapText="1"/>
    </xf>
    <xf numFmtId="0" fontId="6" fillId="0" borderId="31" xfId="0" applyFont="1" applyBorder="1" applyAlignment="1">
      <alignment vertical="top"/>
    </xf>
    <xf numFmtId="0" fontId="0" fillId="0" borderId="32" xfId="0" applyFont="1" applyFill="1" applyBorder="1" applyAlignment="1">
      <alignment horizontal="left" vertical="top" wrapText="1"/>
    </xf>
    <xf numFmtId="4" fontId="6" fillId="0" borderId="33" xfId="0" applyNumberFormat="1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0" fontId="6" fillId="0" borderId="34" xfId="0" applyFont="1" applyBorder="1" applyAlignment="1">
      <alignment vertical="top"/>
    </xf>
    <xf numFmtId="0" fontId="4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165" fontId="6" fillId="0" borderId="18" xfId="0" applyNumberFormat="1" applyFont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wrapText="1"/>
    </xf>
    <xf numFmtId="165" fontId="8" fillId="33" borderId="16" xfId="0" applyNumberFormat="1" applyFont="1" applyFill="1" applyBorder="1" applyAlignment="1">
      <alignment horizontal="right"/>
    </xf>
    <xf numFmtId="166" fontId="3" fillId="33" borderId="37" xfId="0" applyNumberFormat="1" applyFont="1" applyFill="1" applyBorder="1" applyAlignment="1">
      <alignment horizontal="right"/>
    </xf>
    <xf numFmtId="166" fontId="3" fillId="33" borderId="38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10" xfId="0" applyFont="1" applyFill="1" applyBorder="1" applyAlignment="1">
      <alignment horizontal="left"/>
    </xf>
    <xf numFmtId="166" fontId="0" fillId="33" borderId="17" xfId="0" applyNumberFormat="1" applyFont="1" applyFill="1" applyBorder="1" applyAlignment="1">
      <alignment/>
    </xf>
    <xf numFmtId="166" fontId="9" fillId="33" borderId="1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wrapText="1"/>
    </xf>
    <xf numFmtId="0" fontId="4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/>
    </xf>
    <xf numFmtId="165" fontId="8" fillId="33" borderId="44" xfId="0" applyNumberFormat="1" applyFont="1" applyFill="1" applyBorder="1" applyAlignment="1">
      <alignment horizontal="right"/>
    </xf>
    <xf numFmtId="0" fontId="0" fillId="33" borderId="45" xfId="0" applyFont="1" applyFill="1" applyBorder="1" applyAlignment="1">
      <alignment/>
    </xf>
    <xf numFmtId="0" fontId="6" fillId="33" borderId="46" xfId="0" applyFont="1" applyFill="1" applyBorder="1" applyAlignment="1">
      <alignment horizontal="center"/>
    </xf>
    <xf numFmtId="165" fontId="8" fillId="33" borderId="47" xfId="0" applyNumberFormat="1" applyFont="1" applyFill="1" applyBorder="1" applyAlignment="1">
      <alignment horizontal="center"/>
    </xf>
    <xf numFmtId="165" fontId="8" fillId="33" borderId="48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66" fontId="3" fillId="33" borderId="49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1" fillId="0" borderId="50" xfId="0" applyFont="1" applyBorder="1" applyAlignment="1">
      <alignment/>
    </xf>
    <xf numFmtId="0" fontId="0" fillId="33" borderId="35" xfId="0" applyFont="1" applyFill="1" applyBorder="1" applyAlignment="1">
      <alignment/>
    </xf>
    <xf numFmtId="0" fontId="6" fillId="33" borderId="51" xfId="0" applyFont="1" applyFill="1" applyBorder="1" applyAlignment="1">
      <alignment horizontal="center"/>
    </xf>
    <xf numFmtId="165" fontId="8" fillId="33" borderId="19" xfId="0" applyNumberFormat="1" applyFont="1" applyFill="1" applyBorder="1" applyAlignment="1">
      <alignment horizontal="center"/>
    </xf>
    <xf numFmtId="165" fontId="8" fillId="33" borderId="52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165" fontId="3" fillId="33" borderId="54" xfId="0" applyNumberFormat="1" applyFont="1" applyFill="1" applyBorder="1" applyAlignment="1">
      <alignment horizontal="center" vertical="center" wrapText="1"/>
    </xf>
    <xf numFmtId="165" fontId="3" fillId="33" borderId="55" xfId="0" applyNumberFormat="1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/>
    </xf>
    <xf numFmtId="165" fontId="8" fillId="33" borderId="57" xfId="0" applyNumberFormat="1" applyFont="1" applyFill="1" applyBorder="1" applyAlignment="1">
      <alignment horizontal="right"/>
    </xf>
    <xf numFmtId="0" fontId="0" fillId="33" borderId="58" xfId="0" applyFont="1" applyFill="1" applyBorder="1" applyAlignment="1">
      <alignment horizontal="left"/>
    </xf>
    <xf numFmtId="0" fontId="0" fillId="33" borderId="59" xfId="0" applyFont="1" applyFill="1" applyBorder="1" applyAlignment="1">
      <alignment/>
    </xf>
    <xf numFmtId="2" fontId="8" fillId="33" borderId="60" xfId="0" applyNumberFormat="1" applyFont="1" applyFill="1" applyBorder="1" applyAlignment="1">
      <alignment horizontal="center"/>
    </xf>
    <xf numFmtId="165" fontId="8" fillId="33" borderId="61" xfId="0" applyNumberFormat="1" applyFont="1" applyFill="1" applyBorder="1" applyAlignment="1">
      <alignment horizontal="right"/>
    </xf>
    <xf numFmtId="0" fontId="0" fillId="33" borderId="62" xfId="0" applyFont="1" applyFill="1" applyBorder="1" applyAlignment="1">
      <alignment horizontal="left"/>
    </xf>
    <xf numFmtId="0" fontId="0" fillId="33" borderId="63" xfId="0" applyFont="1" applyFill="1" applyBorder="1" applyAlignment="1">
      <alignment horizontal="left"/>
    </xf>
    <xf numFmtId="0" fontId="4" fillId="33" borderId="64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left"/>
    </xf>
    <xf numFmtId="0" fontId="0" fillId="33" borderId="66" xfId="0" applyFont="1" applyFill="1" applyBorder="1" applyAlignment="1">
      <alignment horizontal="left"/>
    </xf>
    <xf numFmtId="0" fontId="0" fillId="33" borderId="67" xfId="0" applyFont="1" applyFill="1" applyBorder="1" applyAlignment="1">
      <alignment horizontal="left"/>
    </xf>
    <xf numFmtId="0" fontId="0" fillId="33" borderId="68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6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wrapText="1"/>
    </xf>
    <xf numFmtId="0" fontId="0" fillId="33" borderId="58" xfId="0" applyFont="1" applyFill="1" applyBorder="1" applyAlignment="1">
      <alignment/>
    </xf>
    <xf numFmtId="0" fontId="0" fillId="33" borderId="69" xfId="0" applyFont="1" applyFill="1" applyBorder="1" applyAlignment="1">
      <alignment horizontal="left"/>
    </xf>
    <xf numFmtId="165" fontId="8" fillId="33" borderId="39" xfId="0" applyNumberFormat="1" applyFont="1" applyFill="1" applyBorder="1" applyAlignment="1">
      <alignment horizontal="right"/>
    </xf>
    <xf numFmtId="4" fontId="0" fillId="33" borderId="59" xfId="0" applyNumberFormat="1" applyFont="1" applyFill="1" applyBorder="1" applyAlignment="1">
      <alignment/>
    </xf>
    <xf numFmtId="4" fontId="8" fillId="33" borderId="6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Fill="1" applyAlignment="1">
      <alignment/>
    </xf>
    <xf numFmtId="2" fontId="48" fillId="0" borderId="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165" fontId="48" fillId="0" borderId="0" xfId="0" applyNumberFormat="1" applyFont="1" applyFill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164" fontId="48" fillId="0" borderId="0" xfId="0" applyNumberFormat="1" applyFont="1" applyFill="1" applyAlignment="1">
      <alignment/>
    </xf>
    <xf numFmtId="166" fontId="48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32" xfId="0" applyFont="1" applyFill="1" applyBorder="1" applyAlignment="1" quotePrefix="1">
      <alignment horizontal="left" vertical="top" wrapText="1"/>
    </xf>
    <xf numFmtId="0" fontId="4" fillId="0" borderId="0" xfId="0" applyFont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 vertical="top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0" xfId="0" applyFont="1" applyAlignment="1" quotePrefix="1">
      <alignment horizontal="left"/>
    </xf>
    <xf numFmtId="2" fontId="6" fillId="0" borderId="11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left" wrapText="1"/>
    </xf>
    <xf numFmtId="0" fontId="6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 quotePrefix="1">
      <alignment horizontal="left"/>
    </xf>
    <xf numFmtId="0" fontId="49" fillId="33" borderId="10" xfId="0" applyFont="1" applyFill="1" applyBorder="1" applyAlignment="1">
      <alignment horizontal="center"/>
    </xf>
    <xf numFmtId="0" fontId="3" fillId="0" borderId="34" xfId="0" applyFont="1" applyBorder="1" applyAlignment="1">
      <alignment vertical="top"/>
    </xf>
    <xf numFmtId="2" fontId="50" fillId="0" borderId="0" xfId="0" applyNumberFormat="1" applyFont="1" applyAlignment="1">
      <alignment/>
    </xf>
    <xf numFmtId="0" fontId="6" fillId="0" borderId="7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167" fontId="0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 vertical="top"/>
    </xf>
    <xf numFmtId="4" fontId="0" fillId="0" borderId="10" xfId="0" applyNumberFormat="1" applyFont="1" applyFill="1" applyBorder="1" applyAlignment="1">
      <alignment vertical="top" wrapText="1"/>
    </xf>
    <xf numFmtId="164" fontId="0" fillId="0" borderId="11" xfId="0" applyNumberFormat="1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164" fontId="0" fillId="0" borderId="18" xfId="0" applyNumberFormat="1" applyFont="1" applyBorder="1" applyAlignment="1">
      <alignment horizontal="right" vertical="center" wrapText="1"/>
    </xf>
    <xf numFmtId="165" fontId="4" fillId="33" borderId="23" xfId="0" applyNumberFormat="1" applyFont="1" applyFill="1" applyBorder="1" applyAlignment="1">
      <alignment horizontal="center" vertical="center" wrapText="1"/>
    </xf>
    <xf numFmtId="165" fontId="4" fillId="33" borderId="24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/>
    </xf>
    <xf numFmtId="165" fontId="10" fillId="33" borderId="26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165" fontId="10" fillId="33" borderId="19" xfId="0" applyNumberFormat="1" applyFont="1" applyFill="1" applyBorder="1" applyAlignment="1">
      <alignment horizontal="center"/>
    </xf>
    <xf numFmtId="165" fontId="10" fillId="33" borderId="52" xfId="0" applyNumberFormat="1" applyFont="1" applyFill="1" applyBorder="1" applyAlignment="1">
      <alignment horizontal="right"/>
    </xf>
    <xf numFmtId="165" fontId="4" fillId="33" borderId="54" xfId="0" applyNumberFormat="1" applyFont="1" applyFill="1" applyBorder="1" applyAlignment="1">
      <alignment horizontal="center" vertical="center" wrapText="1"/>
    </xf>
    <xf numFmtId="165" fontId="4" fillId="33" borderId="55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/>
    </xf>
    <xf numFmtId="165" fontId="10" fillId="33" borderId="57" xfId="0" applyNumberFormat="1" applyFont="1" applyFill="1" applyBorder="1" applyAlignment="1">
      <alignment horizontal="right"/>
    </xf>
    <xf numFmtId="2" fontId="10" fillId="33" borderId="60" xfId="0" applyNumberFormat="1" applyFont="1" applyFill="1" applyBorder="1" applyAlignment="1">
      <alignment horizontal="center"/>
    </xf>
    <xf numFmtId="165" fontId="10" fillId="33" borderId="61" xfId="0" applyNumberFormat="1" applyFont="1" applyFill="1" applyBorder="1" applyAlignment="1">
      <alignment horizontal="right"/>
    </xf>
    <xf numFmtId="2" fontId="10" fillId="33" borderId="18" xfId="0" applyNumberFormat="1" applyFont="1" applyFill="1" applyBorder="1" applyAlignment="1">
      <alignment horizontal="center"/>
    </xf>
    <xf numFmtId="165" fontId="10" fillId="33" borderId="18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165" fontId="10" fillId="33" borderId="11" xfId="0" applyNumberFormat="1" applyFont="1" applyFill="1" applyBorder="1" applyAlignment="1">
      <alignment horizontal="right"/>
    </xf>
    <xf numFmtId="166" fontId="4" fillId="33" borderId="71" xfId="0" applyNumberFormat="1" applyFont="1" applyFill="1" applyBorder="1" applyAlignment="1">
      <alignment horizontal="right"/>
    </xf>
    <xf numFmtId="166" fontId="4" fillId="33" borderId="72" xfId="0" applyNumberFormat="1" applyFont="1" applyFill="1" applyBorder="1" applyAlignment="1">
      <alignment horizontal="right"/>
    </xf>
    <xf numFmtId="166" fontId="4" fillId="33" borderId="73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33" borderId="74" xfId="0" applyFont="1" applyFill="1" applyBorder="1" applyAlignment="1">
      <alignment/>
    </xf>
    <xf numFmtId="165" fontId="4" fillId="33" borderId="42" xfId="0" applyNumberFormat="1" applyFont="1" applyFill="1" applyBorder="1" applyAlignment="1">
      <alignment horizontal="center" vertical="center" wrapText="1"/>
    </xf>
    <xf numFmtId="165" fontId="4" fillId="33" borderId="75" xfId="0" applyNumberFormat="1" applyFont="1" applyFill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165" fontId="4" fillId="33" borderId="76" xfId="0" applyNumberFormat="1" applyFont="1" applyFill="1" applyBorder="1" applyAlignment="1">
      <alignment horizontal="center" vertical="center" wrapText="1"/>
    </xf>
    <xf numFmtId="0" fontId="6" fillId="0" borderId="77" xfId="0" applyFont="1" applyBorder="1" applyAlignment="1">
      <alignment vertical="top"/>
    </xf>
    <xf numFmtId="0" fontId="6" fillId="0" borderId="51" xfId="0" applyFont="1" applyFill="1" applyBorder="1" applyAlignment="1">
      <alignment wrapText="1"/>
    </xf>
    <xf numFmtId="0" fontId="6" fillId="0" borderId="33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49" xfId="0" applyFont="1" applyFill="1" applyBorder="1" applyAlignment="1">
      <alignment horizontal="left"/>
    </xf>
    <xf numFmtId="0" fontId="6" fillId="0" borderId="49" xfId="0" applyFont="1" applyFill="1" applyBorder="1" applyAlignment="1">
      <alignment wrapText="1"/>
    </xf>
    <xf numFmtId="0" fontId="9" fillId="33" borderId="18" xfId="0" applyFont="1" applyFill="1" applyBorder="1" applyAlignment="1">
      <alignment horizontal="center"/>
    </xf>
    <xf numFmtId="2" fontId="8" fillId="33" borderId="74" xfId="0" applyNumberFormat="1" applyFont="1" applyFill="1" applyBorder="1" applyAlignment="1">
      <alignment horizontal="center"/>
    </xf>
    <xf numFmtId="165" fontId="8" fillId="33" borderId="78" xfId="0" applyNumberFormat="1" applyFont="1" applyFill="1" applyBorder="1" applyAlignment="1">
      <alignment horizontal="right"/>
    </xf>
    <xf numFmtId="170" fontId="48" fillId="0" borderId="0" xfId="0" applyNumberFormat="1" applyFont="1" applyAlignment="1">
      <alignment/>
    </xf>
    <xf numFmtId="0" fontId="48" fillId="0" borderId="0" xfId="0" applyFont="1" applyAlignment="1" quotePrefix="1">
      <alignment horizontal="left"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0" fontId="0" fillId="33" borderId="59" xfId="0" applyFont="1" applyFill="1" applyBorder="1" applyAlignment="1">
      <alignment horizontal="center"/>
    </xf>
    <xf numFmtId="165" fontId="10" fillId="33" borderId="79" xfId="0" applyNumberFormat="1" applyFont="1" applyFill="1" applyBorder="1" applyAlignment="1">
      <alignment horizontal="center"/>
    </xf>
    <xf numFmtId="166" fontId="4" fillId="33" borderId="49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2" fontId="0" fillId="0" borderId="39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33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wrapText="1"/>
    </xf>
    <xf numFmtId="0" fontId="0" fillId="0" borderId="34" xfId="0" applyFont="1" applyBorder="1" applyAlignment="1">
      <alignment vertical="top"/>
    </xf>
    <xf numFmtId="4" fontId="0" fillId="0" borderId="33" xfId="0" applyNumberFormat="1" applyFont="1" applyFill="1" applyBorder="1" applyAlignment="1" quotePrefix="1">
      <alignment horizontal="left" vertical="top" wrapText="1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65" fontId="0" fillId="0" borderId="18" xfId="0" applyNumberFormat="1" applyFont="1" applyBorder="1" applyAlignment="1">
      <alignment horizontal="right" vertical="center" wrapText="1"/>
    </xf>
    <xf numFmtId="165" fontId="10" fillId="33" borderId="76" xfId="0" applyNumberFormat="1" applyFont="1" applyFill="1" applyBorder="1" applyAlignment="1">
      <alignment horizontal="right"/>
    </xf>
    <xf numFmtId="165" fontId="10" fillId="33" borderId="16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left"/>
    </xf>
    <xf numFmtId="4" fontId="0" fillId="0" borderId="81" xfId="0" applyNumberFormat="1" applyFont="1" applyFill="1" applyBorder="1" applyAlignment="1">
      <alignment/>
    </xf>
    <xf numFmtId="0" fontId="0" fillId="0" borderId="81" xfId="0" applyFont="1" applyFill="1" applyBorder="1" applyAlignment="1">
      <alignment wrapText="1"/>
    </xf>
    <xf numFmtId="2" fontId="0" fillId="0" borderId="82" xfId="0" applyNumberFormat="1" applyFont="1" applyBorder="1" applyAlignment="1">
      <alignment/>
    </xf>
    <xf numFmtId="0" fontId="0" fillId="0" borderId="15" xfId="0" applyFont="1" applyFill="1" applyBorder="1" applyAlignment="1" quotePrefix="1">
      <alignment horizontal="left" vertical="top" wrapText="1"/>
    </xf>
    <xf numFmtId="0" fontId="0" fillId="0" borderId="83" xfId="0" applyFont="1" applyFill="1" applyBorder="1" applyAlignment="1" quotePrefix="1">
      <alignment horizontal="left" vertical="top"/>
    </xf>
    <xf numFmtId="4" fontId="0" fillId="0" borderId="19" xfId="0" applyNumberFormat="1" applyFont="1" applyFill="1" applyBorder="1" applyAlignment="1">
      <alignment vertical="top" wrapText="1"/>
    </xf>
    <xf numFmtId="0" fontId="0" fillId="0" borderId="84" xfId="0" applyFont="1" applyBorder="1" applyAlignment="1">
      <alignment vertical="top"/>
    </xf>
    <xf numFmtId="0" fontId="0" fillId="0" borderId="83" xfId="0" applyFont="1" applyFill="1" applyBorder="1" applyAlignment="1" quotePrefix="1">
      <alignment horizontal="left" vertical="top" wrapText="1"/>
    </xf>
    <xf numFmtId="0" fontId="0" fillId="0" borderId="19" xfId="0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51" xfId="0" applyFont="1" applyFill="1" applyBorder="1" applyAlignment="1">
      <alignment/>
    </xf>
    <xf numFmtId="165" fontId="10" fillId="33" borderId="5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66" fontId="4" fillId="33" borderId="27" xfId="0" applyNumberFormat="1" applyFont="1" applyFill="1" applyBorder="1" applyAlignment="1">
      <alignment horizontal="right"/>
    </xf>
    <xf numFmtId="167" fontId="48" fillId="0" borderId="0" xfId="0" applyNumberFormat="1" applyFont="1" applyAlignment="1">
      <alignment/>
    </xf>
    <xf numFmtId="0" fontId="0" fillId="0" borderId="0" xfId="0" applyAlignment="1">
      <alignment/>
    </xf>
    <xf numFmtId="0" fontId="51" fillId="0" borderId="0" xfId="0" applyFont="1" applyBorder="1" applyAlignment="1">
      <alignment horizontal="left" wrapText="1"/>
    </xf>
    <xf numFmtId="2" fontId="51" fillId="0" borderId="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 quotePrefix="1">
      <alignment horizontal="left" vertical="top" wrapText="1"/>
    </xf>
    <xf numFmtId="2" fontId="0" fillId="0" borderId="0" xfId="0" applyNumberFormat="1" applyAlignment="1">
      <alignment/>
    </xf>
    <xf numFmtId="0" fontId="4" fillId="33" borderId="85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  <xf numFmtId="0" fontId="4" fillId="33" borderId="86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8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33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33" borderId="87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vertical="top"/>
    </xf>
    <xf numFmtId="2" fontId="3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="72" zoomScaleNormal="72" zoomScalePageLayoutView="0" workbookViewId="0" topLeftCell="A1">
      <selection activeCell="C27" sqref="C27"/>
    </sheetView>
  </sheetViews>
  <sheetFormatPr defaultColWidth="11.57421875" defaultRowHeight="12.75"/>
  <cols>
    <col min="1" max="1" width="51.7109375" style="0" customWidth="1"/>
    <col min="2" max="2" width="19.00390625" style="0" customWidth="1"/>
    <col min="3" max="3" width="21.57421875" style="0" customWidth="1"/>
    <col min="4" max="4" width="19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331" t="s">
        <v>0</v>
      </c>
      <c r="B1" s="331"/>
      <c r="C1" s="331"/>
      <c r="D1" s="331"/>
    </row>
    <row r="2" spans="1:4" ht="12.75">
      <c r="A2" s="331" t="s">
        <v>1</v>
      </c>
      <c r="B2" s="331"/>
      <c r="C2" s="331"/>
      <c r="D2" s="331"/>
    </row>
    <row r="3" spans="1:4" ht="12.75">
      <c r="A3" s="331" t="s">
        <v>2</v>
      </c>
      <c r="B3" s="331"/>
      <c r="C3" s="331"/>
      <c r="D3" s="331"/>
    </row>
    <row r="4" spans="1:4" ht="12.75">
      <c r="A4" s="331" t="s">
        <v>3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spans="1:4" ht="6" customHeight="1">
      <c r="A6" s="2"/>
      <c r="B6" s="183"/>
      <c r="C6" s="183"/>
      <c r="D6" s="183"/>
    </row>
    <row r="7" spans="1:4" ht="23.25" customHeight="1">
      <c r="A7" s="333" t="s">
        <v>5</v>
      </c>
      <c r="B7" s="333"/>
      <c r="C7" s="333"/>
      <c r="D7" s="333"/>
    </row>
    <row r="8" spans="1:4" ht="17.25" customHeight="1">
      <c r="A8" s="190" t="s">
        <v>136</v>
      </c>
      <c r="B8" s="183"/>
      <c r="C8" s="3"/>
      <c r="D8" s="183"/>
    </row>
    <row r="9" spans="1:4" ht="12.75">
      <c r="A9" s="4" t="s">
        <v>6</v>
      </c>
      <c r="B9" s="4" t="s">
        <v>7</v>
      </c>
      <c r="C9" s="4" t="s">
        <v>8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9</v>
      </c>
      <c r="B11" s="9"/>
      <c r="C11" s="185" t="s">
        <v>133</v>
      </c>
      <c r="D11" s="10"/>
      <c r="E11" s="166"/>
      <c r="F11" s="166"/>
      <c r="G11" s="166"/>
      <c r="H11" s="166"/>
    </row>
    <row r="12" spans="1:8" ht="12.75">
      <c r="A12" s="8" t="s">
        <v>10</v>
      </c>
      <c r="B12" s="9"/>
      <c r="C12" s="185" t="s">
        <v>134</v>
      </c>
      <c r="D12" s="10"/>
      <c r="E12" s="166"/>
      <c r="F12" s="166"/>
      <c r="G12" s="166"/>
      <c r="H12" s="166"/>
    </row>
    <row r="13" spans="1:8" ht="12.75">
      <c r="A13" s="8" t="s">
        <v>11</v>
      </c>
      <c r="B13" s="9"/>
      <c r="C13" s="185" t="s">
        <v>135</v>
      </c>
      <c r="D13" s="10"/>
      <c r="E13" s="166"/>
      <c r="F13" s="166"/>
      <c r="G13" s="166"/>
      <c r="H13" s="166"/>
    </row>
    <row r="14" spans="1:8" ht="31.5" customHeight="1">
      <c r="A14" s="325" t="s">
        <v>12</v>
      </c>
      <c r="B14" s="325"/>
      <c r="C14" s="325"/>
      <c r="D14" s="325"/>
      <c r="E14" s="166"/>
      <c r="F14" s="166"/>
      <c r="G14" s="166"/>
      <c r="H14" s="166"/>
    </row>
    <row r="15" spans="1:8" ht="25.5">
      <c r="A15" s="11" t="s">
        <v>13</v>
      </c>
      <c r="B15" s="12" t="s">
        <v>14</v>
      </c>
      <c r="C15" s="200">
        <v>-86371.97</v>
      </c>
      <c r="D15" s="10"/>
      <c r="E15" s="166"/>
      <c r="F15" s="166"/>
      <c r="G15" s="166"/>
      <c r="H15" s="166"/>
    </row>
    <row r="16" spans="1:8" ht="12.75">
      <c r="A16" s="8" t="s">
        <v>15</v>
      </c>
      <c r="B16" s="12" t="s">
        <v>14</v>
      </c>
      <c r="C16" s="200">
        <v>0</v>
      </c>
      <c r="D16" s="10"/>
      <c r="E16" s="166"/>
      <c r="F16" s="166"/>
      <c r="G16" s="166"/>
      <c r="H16" s="166"/>
    </row>
    <row r="17" spans="1:8" ht="12.75">
      <c r="A17" s="8" t="s">
        <v>16</v>
      </c>
      <c r="B17" s="12" t="s">
        <v>14</v>
      </c>
      <c r="C17" s="203">
        <v>267040.07</v>
      </c>
      <c r="D17" s="202"/>
      <c r="E17" s="166"/>
      <c r="F17" s="166"/>
      <c r="G17" s="166"/>
      <c r="H17" s="166"/>
    </row>
    <row r="18" spans="1:8" ht="31.5" customHeight="1">
      <c r="A18" s="288" t="s">
        <v>17</v>
      </c>
      <c r="B18" s="12" t="s">
        <v>14</v>
      </c>
      <c r="C18" s="203">
        <f>C19+C20+C21</f>
        <v>870981.024</v>
      </c>
      <c r="D18" s="202"/>
      <c r="E18" s="173">
        <f>C18-C20</f>
        <v>719864.6159999999</v>
      </c>
      <c r="F18" s="166"/>
      <c r="G18" s="166"/>
      <c r="H18" s="166"/>
    </row>
    <row r="19" spans="1:8" ht="12.75">
      <c r="A19" s="8" t="s">
        <v>18</v>
      </c>
      <c r="B19" s="12" t="s">
        <v>14</v>
      </c>
      <c r="C19" s="203">
        <v>652456.2</v>
      </c>
      <c r="D19" s="202"/>
      <c r="E19" s="198">
        <f>E18-E50</f>
        <v>-0.004000000073574483</v>
      </c>
      <c r="F19" s="166"/>
      <c r="G19" s="166"/>
      <c r="H19" s="166"/>
    </row>
    <row r="20" spans="1:8" ht="12.75">
      <c r="A20" s="8" t="s">
        <v>19</v>
      </c>
      <c r="B20" s="12" t="s">
        <v>14</v>
      </c>
      <c r="C20" s="349">
        <f>(5.79+5.15)*6*2302.2</f>
        <v>151116.40800000002</v>
      </c>
      <c r="D20" s="202"/>
      <c r="E20" s="174"/>
      <c r="F20" s="166"/>
      <c r="G20" s="166"/>
      <c r="H20" s="166"/>
    </row>
    <row r="21" spans="1:8" ht="12.75">
      <c r="A21" s="8" t="s">
        <v>20</v>
      </c>
      <c r="B21" s="12" t="s">
        <v>14</v>
      </c>
      <c r="C21" s="289">
        <f>4.88*6*2302.2</f>
        <v>67408.416</v>
      </c>
      <c r="D21" s="202"/>
      <c r="E21" s="166"/>
      <c r="F21" s="166"/>
      <c r="G21" s="166"/>
      <c r="H21" s="166"/>
    </row>
    <row r="22" spans="1:8" ht="12.75">
      <c r="A22" s="290" t="s">
        <v>21</v>
      </c>
      <c r="B22" s="12" t="s">
        <v>14</v>
      </c>
      <c r="C22" s="203">
        <f>C23+C24+C25+C26+C27</f>
        <v>816293.1280735999</v>
      </c>
      <c r="D22" s="202" t="s">
        <v>22</v>
      </c>
      <c r="E22" s="173" t="e">
        <f>B24+B25+B26+B27+B28</f>
        <v>#VALUE!</v>
      </c>
      <c r="F22" s="166"/>
      <c r="G22" s="166"/>
      <c r="H22" s="166"/>
    </row>
    <row r="23" spans="1:8" ht="12.75">
      <c r="A23" s="8" t="s">
        <v>23</v>
      </c>
      <c r="B23" s="12" t="s">
        <v>14</v>
      </c>
      <c r="C23" s="203">
        <f>C18*0.9239</f>
        <v>804699.3680736</v>
      </c>
      <c r="D23" s="202"/>
      <c r="E23" s="166"/>
      <c r="F23" s="166"/>
      <c r="G23" s="166"/>
      <c r="H23" s="166"/>
    </row>
    <row r="24" spans="1:8" ht="12.75">
      <c r="A24" s="8" t="s">
        <v>24</v>
      </c>
      <c r="B24" s="12" t="s">
        <v>14</v>
      </c>
      <c r="C24" s="203">
        <v>0</v>
      </c>
      <c r="D24" s="205">
        <v>65.21</v>
      </c>
      <c r="E24" s="174" t="e">
        <f>B24/#REF!*1</f>
        <v>#VALUE!</v>
      </c>
      <c r="F24" s="166"/>
      <c r="G24" s="166"/>
      <c r="H24" s="166" t="s">
        <v>25</v>
      </c>
    </row>
    <row r="25" spans="1:8" ht="12.75">
      <c r="A25" s="8" t="s">
        <v>26</v>
      </c>
      <c r="B25" s="12" t="s">
        <v>14</v>
      </c>
      <c r="C25" s="203">
        <v>0</v>
      </c>
      <c r="D25" s="205">
        <v>119.63</v>
      </c>
      <c r="E25" s="174" t="e">
        <f>B25/#REF!*1</f>
        <v>#VALUE!</v>
      </c>
      <c r="F25" s="166"/>
      <c r="G25" s="166"/>
      <c r="H25" s="166"/>
    </row>
    <row r="26" spans="1:8" ht="12.75">
      <c r="A26" s="9" t="s">
        <v>27</v>
      </c>
      <c r="B26" s="12" t="s">
        <v>14</v>
      </c>
      <c r="C26" s="203">
        <v>4540.32</v>
      </c>
      <c r="D26" s="205"/>
      <c r="E26" s="174" t="e">
        <f>B26/#REF!*1</f>
        <v>#VALUE!</v>
      </c>
      <c r="F26" s="166"/>
      <c r="G26" s="166"/>
      <c r="H26" s="166"/>
    </row>
    <row r="27" spans="1:8" ht="12.75">
      <c r="A27" s="9" t="s">
        <v>28</v>
      </c>
      <c r="B27" s="12" t="s">
        <v>14</v>
      </c>
      <c r="C27" s="203">
        <v>7053.44</v>
      </c>
      <c r="D27" s="205">
        <v>139.18</v>
      </c>
      <c r="E27" s="174" t="e">
        <f>B27/#REF!*1</f>
        <v>#VALUE!</v>
      </c>
      <c r="F27" s="166"/>
      <c r="G27" s="166"/>
      <c r="H27" s="166"/>
    </row>
    <row r="28" spans="1:8" ht="12.75">
      <c r="A28" s="8" t="s">
        <v>29</v>
      </c>
      <c r="B28" s="12" t="s">
        <v>14</v>
      </c>
      <c r="C28" s="203">
        <f>C15+C22</f>
        <v>729921.1580735999</v>
      </c>
      <c r="D28" s="202" t="s">
        <v>30</v>
      </c>
      <c r="E28" s="174" t="e">
        <f>B28/#REF!*1</f>
        <v>#VALUE!</v>
      </c>
      <c r="F28" s="166"/>
      <c r="G28" s="166"/>
      <c r="H28" s="166"/>
    </row>
    <row r="29" spans="1:8" ht="25.5" customHeight="1">
      <c r="A29" s="326" t="s">
        <v>31</v>
      </c>
      <c r="B29" s="326"/>
      <c r="C29" s="326"/>
      <c r="D29" s="326"/>
      <c r="E29" s="166"/>
      <c r="F29" s="166"/>
      <c r="G29" s="166"/>
      <c r="H29" s="166"/>
    </row>
    <row r="30" spans="1:8" ht="51">
      <c r="A30" s="18" t="s">
        <v>32</v>
      </c>
      <c r="B30" s="268" t="s">
        <v>33</v>
      </c>
      <c r="C30" s="291" t="s">
        <v>34</v>
      </c>
      <c r="D30" s="270" t="s">
        <v>35</v>
      </c>
      <c r="E30" s="166"/>
      <c r="F30" s="166"/>
      <c r="G30" s="166"/>
      <c r="H30" s="166"/>
    </row>
    <row r="31" spans="1:8" ht="25.5">
      <c r="A31" s="292" t="s">
        <v>36</v>
      </c>
      <c r="B31" s="293" t="s">
        <v>37</v>
      </c>
      <c r="C31" s="294" t="s">
        <v>38</v>
      </c>
      <c r="D31" s="295">
        <f>(0.37+0.38)*6*2302.5</f>
        <v>10361.25</v>
      </c>
      <c r="E31" s="166"/>
      <c r="F31" s="166"/>
      <c r="G31" s="166"/>
      <c r="H31" s="166"/>
    </row>
    <row r="32" spans="1:8" ht="12.75">
      <c r="A32" s="21" t="s">
        <v>39</v>
      </c>
      <c r="B32" s="34" t="s">
        <v>40</v>
      </c>
      <c r="C32" s="33" t="s">
        <v>41</v>
      </c>
      <c r="D32" s="273">
        <f>(2.34+2.45)*6*2302.5</f>
        <v>66173.85</v>
      </c>
      <c r="E32" s="166"/>
      <c r="F32" s="166"/>
      <c r="G32" s="166"/>
      <c r="H32" s="166"/>
    </row>
    <row r="33" spans="1:8" ht="12.75">
      <c r="A33" s="21" t="s">
        <v>42</v>
      </c>
      <c r="B33" s="34" t="s">
        <v>43</v>
      </c>
      <c r="C33" s="33" t="s">
        <v>44</v>
      </c>
      <c r="D33" s="273">
        <f>(3+3.03)*6*2302.5</f>
        <v>83304.44999999998</v>
      </c>
      <c r="E33" s="166"/>
      <c r="F33" s="166"/>
      <c r="G33" s="166"/>
      <c r="H33" s="166"/>
    </row>
    <row r="34" spans="1:8" ht="12.75">
      <c r="A34" s="21" t="s">
        <v>45</v>
      </c>
      <c r="B34" s="34" t="s">
        <v>37</v>
      </c>
      <c r="C34" s="33" t="s">
        <v>46</v>
      </c>
      <c r="D34" s="273">
        <f>(0.11+0.1)*6*2302.5</f>
        <v>2901.1500000000005</v>
      </c>
      <c r="E34" s="166"/>
      <c r="F34" s="166"/>
      <c r="G34" s="166"/>
      <c r="H34" s="166"/>
    </row>
    <row r="35" spans="1:8" ht="12.75">
      <c r="A35" s="21" t="s">
        <v>47</v>
      </c>
      <c r="B35" s="210" t="s">
        <v>48</v>
      </c>
      <c r="C35" s="33" t="s">
        <v>49</v>
      </c>
      <c r="D35" s="274">
        <f>(1.89+1.97)*6*2302.5</f>
        <v>53325.9</v>
      </c>
      <c r="E35" s="166"/>
      <c r="F35" s="166"/>
      <c r="G35" s="166"/>
      <c r="H35" s="166"/>
    </row>
    <row r="36" spans="1:8" ht="12.75">
      <c r="A36" s="21" t="s">
        <v>50</v>
      </c>
      <c r="B36" s="34" t="s">
        <v>37</v>
      </c>
      <c r="C36" s="33" t="s">
        <v>49</v>
      </c>
      <c r="D36" s="273">
        <f>(0.99+1.04)*6*2302.5</f>
        <v>28044.450000000004</v>
      </c>
      <c r="E36" s="166"/>
      <c r="F36" s="166"/>
      <c r="G36" s="166"/>
      <c r="H36" s="166"/>
    </row>
    <row r="37" spans="1:8" ht="12.75">
      <c r="A37" s="21" t="s">
        <v>51</v>
      </c>
      <c r="B37" s="206" t="s">
        <v>52</v>
      </c>
      <c r="C37" s="33" t="s">
        <v>49</v>
      </c>
      <c r="D37" s="273">
        <f>(1.27+1.33)*6*2302.5</f>
        <v>35919</v>
      </c>
      <c r="E37" s="166"/>
      <c r="F37" s="166"/>
      <c r="G37" s="166"/>
      <c r="H37" s="166"/>
    </row>
    <row r="38" spans="1:8" ht="12.75">
      <c r="A38" s="21" t="s">
        <v>53</v>
      </c>
      <c r="B38" s="34" t="s">
        <v>43</v>
      </c>
      <c r="C38" s="194" t="s">
        <v>54</v>
      </c>
      <c r="D38" s="273">
        <f>4.88*12*2302.5</f>
        <v>134834.4</v>
      </c>
      <c r="E38" s="166"/>
      <c r="F38" s="166"/>
      <c r="G38" s="166"/>
      <c r="H38" s="166"/>
    </row>
    <row r="39" spans="1:8" ht="12.75">
      <c r="A39" s="21" t="s">
        <v>55</v>
      </c>
      <c r="B39" s="34" t="s">
        <v>40</v>
      </c>
      <c r="C39" s="33" t="s">
        <v>56</v>
      </c>
      <c r="D39" s="273">
        <f>(3.42+3.58)*6*2302.5</f>
        <v>96705</v>
      </c>
      <c r="E39" s="166"/>
      <c r="F39" s="166"/>
      <c r="G39" s="166"/>
      <c r="H39" s="166"/>
    </row>
    <row r="40" spans="1:8" ht="12.75">
      <c r="A40" s="195" t="s">
        <v>57</v>
      </c>
      <c r="B40" s="34" t="s">
        <v>43</v>
      </c>
      <c r="C40" s="33" t="s">
        <v>58</v>
      </c>
      <c r="D40" s="274">
        <v>145298.77</v>
      </c>
      <c r="E40" s="166"/>
      <c r="F40" s="166"/>
      <c r="G40" s="166"/>
      <c r="H40" s="166"/>
    </row>
    <row r="41" spans="1:8" ht="12.75">
      <c r="A41" s="21" t="s">
        <v>59</v>
      </c>
      <c r="B41" s="34" t="s">
        <v>40</v>
      </c>
      <c r="C41" s="33" t="s">
        <v>41</v>
      </c>
      <c r="D41" s="274">
        <f>(2.23+2.33)*6*2302.5</f>
        <v>62996.40000000001</v>
      </c>
      <c r="E41" s="166"/>
      <c r="F41" s="166"/>
      <c r="G41" s="166"/>
      <c r="H41" s="166"/>
    </row>
    <row r="42" spans="1:8" ht="39" customHeight="1">
      <c r="A42" s="296" t="s">
        <v>300</v>
      </c>
      <c r="B42" s="214" t="s">
        <v>60</v>
      </c>
      <c r="C42" s="35"/>
      <c r="D42" s="350">
        <v>72925.89</v>
      </c>
      <c r="E42" s="183"/>
      <c r="F42" s="166"/>
      <c r="G42" s="166"/>
      <c r="H42" s="166"/>
    </row>
    <row r="43" spans="1:8" ht="12.75">
      <c r="A43" s="297" t="s">
        <v>137</v>
      </c>
      <c r="B43" s="322" t="s">
        <v>343</v>
      </c>
      <c r="C43" s="33" t="s">
        <v>58</v>
      </c>
      <c r="D43" s="299">
        <v>19375</v>
      </c>
      <c r="E43" s="183"/>
      <c r="F43" s="166"/>
      <c r="G43" s="166"/>
      <c r="H43" s="166"/>
    </row>
    <row r="44" spans="1:8" ht="42.75" customHeight="1">
      <c r="A44" s="300" t="s">
        <v>138</v>
      </c>
      <c r="B44" s="298" t="s">
        <v>215</v>
      </c>
      <c r="C44" s="301" t="s">
        <v>49</v>
      </c>
      <c r="D44" s="299">
        <v>32667</v>
      </c>
      <c r="E44" s="183"/>
      <c r="F44" s="166"/>
      <c r="G44" s="166"/>
      <c r="H44" s="166"/>
    </row>
    <row r="45" spans="1:8" ht="25.5">
      <c r="A45" s="300" t="s">
        <v>139</v>
      </c>
      <c r="B45" s="298" t="s">
        <v>344</v>
      </c>
      <c r="C45" s="301" t="s">
        <v>49</v>
      </c>
      <c r="D45" s="299">
        <v>3235</v>
      </c>
      <c r="E45" s="183"/>
      <c r="F45" s="166"/>
      <c r="G45" s="166"/>
      <c r="H45" s="166"/>
    </row>
    <row r="46" spans="1:8" ht="12.75">
      <c r="A46" s="297" t="s">
        <v>140</v>
      </c>
      <c r="B46" s="298" t="s">
        <v>221</v>
      </c>
      <c r="C46" s="33" t="s">
        <v>41</v>
      </c>
      <c r="D46" s="299">
        <v>5501.08</v>
      </c>
      <c r="E46" s="183"/>
      <c r="F46" s="166"/>
      <c r="G46" s="166"/>
      <c r="H46" s="166"/>
    </row>
    <row r="47" spans="1:8" ht="12.75">
      <c r="A47" s="297" t="s">
        <v>299</v>
      </c>
      <c r="B47" s="298" t="s">
        <v>244</v>
      </c>
      <c r="C47" s="301" t="s">
        <v>49</v>
      </c>
      <c r="D47" s="299">
        <v>10345</v>
      </c>
      <c r="E47" s="183"/>
      <c r="F47" s="166"/>
      <c r="G47" s="166"/>
      <c r="H47" s="166"/>
    </row>
    <row r="48" spans="1:8" ht="12.75">
      <c r="A48" s="297" t="s">
        <v>141</v>
      </c>
      <c r="B48" s="298" t="s">
        <v>239</v>
      </c>
      <c r="C48" s="33" t="s">
        <v>41</v>
      </c>
      <c r="D48" s="299">
        <v>118.91</v>
      </c>
      <c r="E48" s="166"/>
      <c r="F48" s="166"/>
      <c r="G48" s="166"/>
      <c r="H48" s="166"/>
    </row>
    <row r="49" spans="1:8" ht="12.75">
      <c r="A49" s="297" t="s">
        <v>142</v>
      </c>
      <c r="B49" s="298" t="s">
        <v>282</v>
      </c>
      <c r="C49" s="33" t="s">
        <v>41</v>
      </c>
      <c r="D49" s="299">
        <v>1683.9</v>
      </c>
      <c r="E49" s="166"/>
      <c r="F49" s="166"/>
      <c r="G49" s="166"/>
      <c r="H49" s="166"/>
    </row>
    <row r="50" spans="1:8" ht="12.75">
      <c r="A50" s="302" t="s">
        <v>61</v>
      </c>
      <c r="B50" s="303"/>
      <c r="C50" s="304"/>
      <c r="D50" s="305">
        <f>SUM(D31:D42)</f>
        <v>792790.51</v>
      </c>
      <c r="E50" s="167">
        <f>D50-D42</f>
        <v>719864.62</v>
      </c>
      <c r="F50" s="166"/>
      <c r="G50" s="166"/>
      <c r="H50" s="166"/>
    </row>
    <row r="51" spans="1:8" ht="25.5">
      <c r="A51" s="306" t="s">
        <v>62</v>
      </c>
      <c r="B51" s="31" t="s">
        <v>14</v>
      </c>
      <c r="C51" s="307"/>
      <c r="D51" s="283">
        <f>C15+C20*0.9239+C26+C27-D42</f>
        <v>-8087.6506487999795</v>
      </c>
      <c r="E51" s="167"/>
      <c r="F51" s="166"/>
      <c r="G51" s="166"/>
      <c r="H51" s="166"/>
    </row>
    <row r="52" spans="1:8" ht="12.75">
      <c r="A52" s="33" t="s">
        <v>15</v>
      </c>
      <c r="B52" s="34" t="s">
        <v>14</v>
      </c>
      <c r="C52" s="33"/>
      <c r="D52" s="10">
        <v>0</v>
      </c>
      <c r="E52" s="166"/>
      <c r="F52" s="166"/>
      <c r="G52" s="166"/>
      <c r="H52" s="166"/>
    </row>
    <row r="53" spans="1:8" ht="12.75">
      <c r="A53" s="33" t="s">
        <v>16</v>
      </c>
      <c r="B53" s="34" t="s">
        <v>14</v>
      </c>
      <c r="C53" s="33"/>
      <c r="D53" s="10">
        <v>333321.72</v>
      </c>
      <c r="E53" s="166"/>
      <c r="F53" s="166"/>
      <c r="G53" s="166"/>
      <c r="H53" s="166"/>
    </row>
    <row r="54" spans="1:8" ht="18.75" customHeight="1">
      <c r="A54" s="327" t="s">
        <v>63</v>
      </c>
      <c r="B54" s="327"/>
      <c r="C54" s="327"/>
      <c r="D54" s="327"/>
      <c r="E54" s="166"/>
      <c r="F54" s="166"/>
      <c r="G54" s="166"/>
      <c r="H54" s="166"/>
    </row>
    <row r="55" spans="1:8" ht="12.75">
      <c r="A55" s="33" t="s">
        <v>64</v>
      </c>
      <c r="B55" s="34" t="s">
        <v>65</v>
      </c>
      <c r="C55" s="33"/>
      <c r="D55" s="10">
        <v>0</v>
      </c>
      <c r="E55" s="166"/>
      <c r="F55" s="166"/>
      <c r="G55" s="166"/>
      <c r="H55" s="166"/>
    </row>
    <row r="56" spans="1:8" ht="12.75">
      <c r="A56" s="33" t="s">
        <v>66</v>
      </c>
      <c r="B56" s="34" t="s">
        <v>65</v>
      </c>
      <c r="C56" s="33"/>
      <c r="D56" s="10">
        <v>0</v>
      </c>
      <c r="E56" s="166"/>
      <c r="F56" s="166"/>
      <c r="G56" s="166"/>
      <c r="H56" s="166"/>
    </row>
    <row r="57" spans="1:8" ht="25.5">
      <c r="A57" s="35" t="s">
        <v>67</v>
      </c>
      <c r="B57" s="34" t="s">
        <v>65</v>
      </c>
      <c r="C57" s="33"/>
      <c r="D57" s="10">
        <v>0</v>
      </c>
      <c r="E57" s="166"/>
      <c r="F57" s="166"/>
      <c r="G57" s="166"/>
      <c r="H57" s="166"/>
    </row>
    <row r="58" spans="1:8" ht="12.75">
      <c r="A58" s="33" t="s">
        <v>68</v>
      </c>
      <c r="B58" s="34" t="s">
        <v>14</v>
      </c>
      <c r="C58" s="33"/>
      <c r="D58" s="10">
        <v>0</v>
      </c>
      <c r="E58" s="166"/>
      <c r="F58" s="166"/>
      <c r="G58" s="166"/>
      <c r="H58" s="166"/>
    </row>
    <row r="59" spans="1:8" ht="20.25" customHeight="1">
      <c r="A59" s="328" t="s">
        <v>69</v>
      </c>
      <c r="B59" s="328"/>
      <c r="C59" s="328"/>
      <c r="D59" s="328"/>
      <c r="E59" s="166"/>
      <c r="F59" s="166"/>
      <c r="G59" s="166"/>
      <c r="H59" s="166"/>
    </row>
    <row r="60" spans="1:8" ht="25.5">
      <c r="A60" s="35" t="s">
        <v>70</v>
      </c>
      <c r="B60" s="34" t="s">
        <v>14</v>
      </c>
      <c r="C60" s="33"/>
      <c r="D60" s="10">
        <v>0</v>
      </c>
      <c r="E60" s="166"/>
      <c r="F60" s="166"/>
      <c r="G60" s="166"/>
      <c r="H60" s="166"/>
    </row>
    <row r="61" spans="1:8" ht="12.75">
      <c r="A61" s="33" t="s">
        <v>15</v>
      </c>
      <c r="B61" s="34" t="s">
        <v>14</v>
      </c>
      <c r="C61" s="33"/>
      <c r="D61" s="10">
        <v>0</v>
      </c>
      <c r="E61" s="166"/>
      <c r="F61" s="166"/>
      <c r="G61" s="166"/>
      <c r="H61" s="166"/>
    </row>
    <row r="62" spans="1:8" ht="12.75">
      <c r="A62" s="33" t="s">
        <v>16</v>
      </c>
      <c r="B62" s="34" t="s">
        <v>14</v>
      </c>
      <c r="C62" s="33"/>
      <c r="D62" s="215">
        <f>D65-D68-D69-D70-D71-D72</f>
        <v>839058.992455</v>
      </c>
      <c r="E62" s="166"/>
      <c r="F62" s="166"/>
      <c r="G62" s="166"/>
      <c r="H62" s="168"/>
    </row>
    <row r="63" spans="1:8" ht="25.5">
      <c r="A63" s="37" t="s">
        <v>71</v>
      </c>
      <c r="B63" s="34" t="s">
        <v>14</v>
      </c>
      <c r="C63" s="284"/>
      <c r="D63" s="217">
        <v>0</v>
      </c>
      <c r="E63" s="166"/>
      <c r="F63" s="166"/>
      <c r="G63" s="166"/>
      <c r="H63" s="166"/>
    </row>
    <row r="64" spans="1:10" ht="17.25" customHeight="1">
      <c r="A64" s="40" t="s">
        <v>15</v>
      </c>
      <c r="B64" s="34" t="s">
        <v>14</v>
      </c>
      <c r="C64" s="33"/>
      <c r="D64" s="10">
        <v>0</v>
      </c>
      <c r="E64" s="166"/>
      <c r="F64" s="166"/>
      <c r="G64" s="166"/>
      <c r="H64" s="166"/>
      <c r="I64" s="36"/>
      <c r="J64" s="36"/>
    </row>
    <row r="65" spans="1:14" ht="12.75">
      <c r="A65" s="41" t="s">
        <v>16</v>
      </c>
      <c r="B65" s="34" t="s">
        <v>14</v>
      </c>
      <c r="C65" s="308"/>
      <c r="D65" s="218">
        <v>1045408.21</v>
      </c>
      <c r="E65" s="166"/>
      <c r="F65" s="166"/>
      <c r="G65" s="166"/>
      <c r="H65" s="166" t="s">
        <v>30</v>
      </c>
      <c r="I65" s="43"/>
      <c r="J65" s="43"/>
      <c r="K65" s="44"/>
      <c r="L65" s="44"/>
      <c r="M65" s="44"/>
      <c r="N65" s="44"/>
    </row>
    <row r="66" spans="1:14" ht="18" customHeight="1">
      <c r="A66" s="329" t="s">
        <v>72</v>
      </c>
      <c r="B66" s="329"/>
      <c r="C66" s="329"/>
      <c r="D66" s="329"/>
      <c r="E66" s="171"/>
      <c r="F66" s="175"/>
      <c r="G66" s="176"/>
      <c r="H66" s="166"/>
      <c r="I66" s="48"/>
      <c r="J66" s="48"/>
      <c r="K66" s="49"/>
      <c r="L66" s="49"/>
      <c r="M66" s="49"/>
      <c r="N66" s="49"/>
    </row>
    <row r="67" spans="1:14" ht="38.25">
      <c r="A67" s="50" t="s">
        <v>73</v>
      </c>
      <c r="B67" s="51" t="s">
        <v>74</v>
      </c>
      <c r="C67" s="219" t="s">
        <v>75</v>
      </c>
      <c r="D67" s="220" t="s">
        <v>76</v>
      </c>
      <c r="E67" s="171"/>
      <c r="F67" s="175"/>
      <c r="G67" s="176"/>
      <c r="H67" s="166"/>
      <c r="I67" s="48"/>
      <c r="J67" s="54"/>
      <c r="K67" s="49"/>
      <c r="L67" s="49"/>
      <c r="M67" s="49"/>
      <c r="N67" s="49"/>
    </row>
    <row r="68" spans="1:14" ht="12.75">
      <c r="A68" s="55" t="s">
        <v>77</v>
      </c>
      <c r="B68" s="309">
        <v>245399.77</v>
      </c>
      <c r="C68" s="221">
        <f>B68*0.9239</f>
        <v>226724.847503</v>
      </c>
      <c r="D68" s="222">
        <f>B68-C68</f>
        <v>18674.922496999992</v>
      </c>
      <c r="E68" s="177"/>
      <c r="F68" s="175"/>
      <c r="G68" s="176"/>
      <c r="H68" s="166"/>
      <c r="I68" s="48"/>
      <c r="J68" s="48"/>
      <c r="K68" s="49"/>
      <c r="L68" s="49"/>
      <c r="M68" s="49"/>
      <c r="N68" s="49"/>
    </row>
    <row r="69" spans="1:14" ht="12.75">
      <c r="A69" s="55" t="s">
        <v>78</v>
      </c>
      <c r="B69" s="309">
        <v>447767.55</v>
      </c>
      <c r="C69" s="221">
        <f>B69*0.9239</f>
        <v>413692.439445</v>
      </c>
      <c r="D69" s="222">
        <f>B69-C69</f>
        <v>34075.11055499996</v>
      </c>
      <c r="E69" s="171"/>
      <c r="F69" s="175"/>
      <c r="G69" s="176"/>
      <c r="H69" s="166"/>
      <c r="I69" s="48"/>
      <c r="J69" s="48"/>
      <c r="K69" s="49"/>
      <c r="L69" s="49"/>
      <c r="M69" s="49"/>
      <c r="N69" s="49"/>
    </row>
    <row r="70" spans="1:14" ht="12.75">
      <c r="A70" s="55" t="s">
        <v>79</v>
      </c>
      <c r="B70" s="310">
        <v>961909.97</v>
      </c>
      <c r="C70" s="221">
        <f>B70*0.9239</f>
        <v>888708.621283</v>
      </c>
      <c r="D70" s="222">
        <f>B70-C70</f>
        <v>73201.34871699999</v>
      </c>
      <c r="E70" s="171">
        <f>(2.07+1.8)*6*2301.2-0.37*2301.2*6</f>
        <v>48325.2</v>
      </c>
      <c r="F70" s="178"/>
      <c r="G70" s="179"/>
      <c r="H70" s="171"/>
      <c r="I70" s="48"/>
      <c r="J70" s="48"/>
      <c r="K70" s="49"/>
      <c r="L70" s="49"/>
      <c r="M70" s="49"/>
      <c r="N70" s="49"/>
    </row>
    <row r="71" spans="1:14" ht="12.75">
      <c r="A71" s="55" t="s">
        <v>80</v>
      </c>
      <c r="B71" s="310">
        <v>538772.88</v>
      </c>
      <c r="C71" s="221">
        <f>B71*0.9239</f>
        <v>497772.263832</v>
      </c>
      <c r="D71" s="222">
        <f>B71-C71</f>
        <v>41000.61616799998</v>
      </c>
      <c r="E71" s="171"/>
      <c r="F71" s="178"/>
      <c r="G71" s="179"/>
      <c r="H71" s="166"/>
      <c r="I71" s="48"/>
      <c r="J71" s="48"/>
      <c r="K71" s="49"/>
      <c r="L71" s="49"/>
      <c r="M71" s="49"/>
      <c r="N71" s="49"/>
    </row>
    <row r="72" spans="1:14" ht="13.5" thickBot="1">
      <c r="A72" s="137" t="s">
        <v>81</v>
      </c>
      <c r="B72" s="311">
        <v>517703.28</v>
      </c>
      <c r="C72" s="312">
        <f>B72*0.9239</f>
        <v>478306.0603920001</v>
      </c>
      <c r="D72" s="226">
        <f>B72-C72</f>
        <v>39397.219607999956</v>
      </c>
      <c r="E72" s="171"/>
      <c r="F72" s="178"/>
      <c r="G72" s="179"/>
      <c r="H72" s="166"/>
      <c r="I72" s="48"/>
      <c r="J72" s="48"/>
      <c r="K72" s="49"/>
      <c r="L72" s="49"/>
      <c r="M72" s="49"/>
      <c r="N72" s="49"/>
    </row>
    <row r="73" spans="1:14" ht="57" customHeight="1">
      <c r="A73" s="141" t="s">
        <v>82</v>
      </c>
      <c r="B73" s="142" t="s">
        <v>83</v>
      </c>
      <c r="C73" s="227" t="s">
        <v>84</v>
      </c>
      <c r="D73" s="228" t="s">
        <v>85</v>
      </c>
      <c r="E73" s="171"/>
      <c r="F73" s="178"/>
      <c r="G73" s="166"/>
      <c r="H73" s="170"/>
      <c r="I73" s="48"/>
      <c r="J73" s="48"/>
      <c r="K73" s="49"/>
      <c r="L73" s="49"/>
      <c r="M73" s="49"/>
      <c r="N73" s="49"/>
    </row>
    <row r="74" spans="1:14" ht="12.75">
      <c r="A74" s="145" t="s">
        <v>77</v>
      </c>
      <c r="B74" s="60">
        <f aca="true" t="shared" si="0" ref="B74:C78">B68</f>
        <v>245399.77</v>
      </c>
      <c r="C74" s="313">
        <f t="shared" si="0"/>
        <v>226724.847503</v>
      </c>
      <c r="D74" s="230">
        <f>B74-C74</f>
        <v>18674.922496999992</v>
      </c>
      <c r="E74" s="171"/>
      <c r="F74" s="178"/>
      <c r="G74" s="166"/>
      <c r="H74" s="170"/>
      <c r="I74" s="48"/>
      <c r="J74" s="48" t="s">
        <v>30</v>
      </c>
      <c r="K74" s="49"/>
      <c r="L74" s="49"/>
      <c r="M74" s="49"/>
      <c r="N74" s="49"/>
    </row>
    <row r="75" spans="1:14" ht="12.75">
      <c r="A75" s="145" t="s">
        <v>78</v>
      </c>
      <c r="B75" s="60">
        <f t="shared" si="0"/>
        <v>447767.55</v>
      </c>
      <c r="C75" s="313">
        <f t="shared" si="0"/>
        <v>413692.439445</v>
      </c>
      <c r="D75" s="230">
        <f>B75-C75</f>
        <v>34075.11055499996</v>
      </c>
      <c r="E75" s="171"/>
      <c r="F75" s="178"/>
      <c r="G75" s="166"/>
      <c r="H75" s="170"/>
      <c r="I75" s="48"/>
      <c r="J75" s="48"/>
      <c r="K75" s="49"/>
      <c r="L75" s="49"/>
      <c r="M75" s="49"/>
      <c r="N75" s="49"/>
    </row>
    <row r="76" spans="1:14" ht="12.75">
      <c r="A76" s="145" t="s">
        <v>79</v>
      </c>
      <c r="B76" s="60">
        <f t="shared" si="0"/>
        <v>961909.97</v>
      </c>
      <c r="C76" s="313">
        <f t="shared" si="0"/>
        <v>888708.621283</v>
      </c>
      <c r="D76" s="230">
        <f>B76-C76</f>
        <v>73201.34871699999</v>
      </c>
      <c r="E76" s="171"/>
      <c r="F76" s="178"/>
      <c r="G76" s="166"/>
      <c r="H76" s="170"/>
      <c r="I76" s="48"/>
      <c r="J76" s="48"/>
      <c r="K76" s="49"/>
      <c r="L76" s="49"/>
      <c r="M76" s="49"/>
      <c r="N76" s="49"/>
    </row>
    <row r="77" spans="1:14" ht="12.75">
      <c r="A77" s="145" t="s">
        <v>80</v>
      </c>
      <c r="B77" s="60">
        <f t="shared" si="0"/>
        <v>538772.88</v>
      </c>
      <c r="C77" s="313">
        <f t="shared" si="0"/>
        <v>497772.263832</v>
      </c>
      <c r="D77" s="230">
        <f>B77-C77</f>
        <v>41000.61616799998</v>
      </c>
      <c r="E77" s="171"/>
      <c r="F77" s="178"/>
      <c r="G77" s="166"/>
      <c r="H77" s="170"/>
      <c r="I77" s="48"/>
      <c r="J77" s="48"/>
      <c r="K77" s="49"/>
      <c r="L77" s="49"/>
      <c r="M77" s="49"/>
      <c r="N77" s="49"/>
    </row>
    <row r="78" spans="1:14" ht="13.5" thickBot="1">
      <c r="A78" s="147" t="s">
        <v>81</v>
      </c>
      <c r="B78" s="148">
        <f t="shared" si="0"/>
        <v>517703.28</v>
      </c>
      <c r="C78" s="231">
        <v>517703.28</v>
      </c>
      <c r="D78" s="232">
        <f>B78-C78</f>
        <v>0</v>
      </c>
      <c r="E78" s="171"/>
      <c r="F78" s="178"/>
      <c r="G78" s="166"/>
      <c r="H78" s="170" t="s">
        <v>30</v>
      </c>
      <c r="I78" s="48"/>
      <c r="J78" s="48"/>
      <c r="K78" s="49"/>
      <c r="L78" s="49"/>
      <c r="M78" s="49"/>
      <c r="N78" s="49"/>
    </row>
    <row r="79" spans="1:14" ht="12.75">
      <c r="A79" s="61"/>
      <c r="B79" s="60"/>
      <c r="C79" s="233"/>
      <c r="D79" s="234"/>
      <c r="E79" s="45"/>
      <c r="F79" s="58"/>
      <c r="H79" s="48"/>
      <c r="I79" s="48"/>
      <c r="J79" s="48"/>
      <c r="K79" s="49"/>
      <c r="L79" s="49"/>
      <c r="M79" s="49"/>
      <c r="N79" s="49"/>
    </row>
    <row r="80" spans="1:14" ht="25.5">
      <c r="A80" s="64" t="s">
        <v>86</v>
      </c>
      <c r="B80" s="60" t="s">
        <v>14</v>
      </c>
      <c r="C80" s="235">
        <v>0</v>
      </c>
      <c r="D80" s="236">
        <v>0</v>
      </c>
      <c r="E80" s="45"/>
      <c r="F80" s="58"/>
      <c r="H80" s="48"/>
      <c r="I80" s="48"/>
      <c r="J80" s="48" t="s">
        <v>30</v>
      </c>
      <c r="K80" s="49"/>
      <c r="L80" s="49"/>
      <c r="M80" s="49"/>
      <c r="N80" s="49"/>
    </row>
    <row r="81" spans="1:14" ht="17.25" customHeight="1">
      <c r="A81" s="330" t="s">
        <v>87</v>
      </c>
      <c r="B81" s="330"/>
      <c r="C81" s="330"/>
      <c r="D81" s="330"/>
      <c r="E81" s="67" t="e">
        <f>D81+B19</f>
        <v>#VALUE!</v>
      </c>
      <c r="F81" s="48"/>
      <c r="H81" s="68" t="e">
        <f>E81-B18</f>
        <v>#VALUE!</v>
      </c>
      <c r="I81" s="48"/>
      <c r="J81" s="48"/>
      <c r="K81" s="49"/>
      <c r="L81" s="49"/>
      <c r="M81" s="49"/>
      <c r="N81" s="49"/>
    </row>
    <row r="82" spans="1:5" ht="21" customHeight="1">
      <c r="A82" s="69" t="s">
        <v>64</v>
      </c>
      <c r="B82" s="69" t="s">
        <v>65</v>
      </c>
      <c r="C82" s="70">
        <v>3</v>
      </c>
      <c r="D82" s="314"/>
      <c r="E82" s="72"/>
    </row>
    <row r="83" spans="1:5" ht="21" customHeight="1">
      <c r="A83" s="69" t="s">
        <v>66</v>
      </c>
      <c r="B83" s="69" t="s">
        <v>65</v>
      </c>
      <c r="C83" s="69">
        <v>3</v>
      </c>
      <c r="D83" s="314"/>
      <c r="E83" s="72"/>
    </row>
    <row r="84" spans="1:5" ht="18" customHeight="1">
      <c r="A84" s="69" t="s">
        <v>67</v>
      </c>
      <c r="B84" s="69" t="s">
        <v>65</v>
      </c>
      <c r="C84" s="69">
        <v>0</v>
      </c>
      <c r="D84" s="314"/>
      <c r="E84" s="72"/>
    </row>
    <row r="85" spans="1:5" ht="16.5" customHeight="1">
      <c r="A85" s="69" t="s">
        <v>68</v>
      </c>
      <c r="B85" s="69" t="s">
        <v>14</v>
      </c>
      <c r="C85" s="69">
        <v>30214.33</v>
      </c>
      <c r="D85" s="314"/>
      <c r="E85" s="72"/>
    </row>
    <row r="86" spans="1:5" ht="15.75" customHeight="1">
      <c r="A86" s="324" t="s">
        <v>88</v>
      </c>
      <c r="B86" s="324"/>
      <c r="C86" s="324"/>
      <c r="D86" s="324"/>
      <c r="E86" s="72"/>
    </row>
    <row r="87" spans="1:5" ht="18.75" customHeight="1">
      <c r="A87" s="69" t="s">
        <v>89</v>
      </c>
      <c r="B87" s="69" t="s">
        <v>65</v>
      </c>
      <c r="C87" s="69">
        <v>2</v>
      </c>
      <c r="D87" s="314"/>
      <c r="E87" s="72"/>
    </row>
    <row r="88" spans="1:5" ht="21.75" customHeight="1">
      <c r="A88" s="69" t="s">
        <v>90</v>
      </c>
      <c r="B88" s="40" t="s">
        <v>65</v>
      </c>
      <c r="C88" s="40">
        <v>12</v>
      </c>
      <c r="D88" s="314"/>
      <c r="E88" s="72"/>
    </row>
    <row r="89" spans="1:5" ht="36" customHeight="1">
      <c r="A89" s="73" t="s">
        <v>91</v>
      </c>
      <c r="B89" s="69" t="s">
        <v>14</v>
      </c>
      <c r="C89" s="69">
        <v>248976</v>
      </c>
      <c r="D89" s="314"/>
      <c r="E89" s="72"/>
    </row>
    <row r="90" spans="1:4" ht="12.75">
      <c r="A90" s="49"/>
      <c r="B90" s="49"/>
      <c r="C90" s="49"/>
      <c r="D90" s="240"/>
    </row>
    <row r="91" spans="1:8" ht="12.75">
      <c r="A91" s="183"/>
      <c r="B91" s="183"/>
      <c r="C91" s="183"/>
      <c r="D91" s="183"/>
      <c r="H91" s="1" t="s">
        <v>30</v>
      </c>
    </row>
    <row r="92" spans="1:4" ht="12.75">
      <c r="A92" s="183" t="s">
        <v>131</v>
      </c>
      <c r="B92" s="183"/>
      <c r="C92" s="183"/>
      <c r="D92" s="183"/>
    </row>
    <row r="93" spans="1:8" ht="12.75">
      <c r="A93" s="183"/>
      <c r="B93" s="183"/>
      <c r="C93" s="183"/>
      <c r="D93" s="183"/>
      <c r="H93" s="1" t="s">
        <v>30</v>
      </c>
    </row>
    <row r="94" spans="1:4" ht="12.75">
      <c r="A94" s="183" t="s">
        <v>93</v>
      </c>
      <c r="B94" s="183"/>
      <c r="C94" s="183"/>
      <c r="D94" s="183"/>
    </row>
    <row r="95" spans="1:4" ht="12.75">
      <c r="A95" s="183"/>
      <c r="B95" s="183"/>
      <c r="C95" s="183"/>
      <c r="D95" s="183"/>
    </row>
    <row r="96" spans="1:4" ht="12.75">
      <c r="A96" s="183"/>
      <c r="B96" s="183"/>
      <c r="C96" s="183"/>
      <c r="D96" s="183"/>
    </row>
    <row r="97" spans="1:4" ht="12.75">
      <c r="A97" s="183"/>
      <c r="B97" s="183"/>
      <c r="C97" s="183"/>
      <c r="D97" s="183"/>
    </row>
    <row r="98" spans="1:5" ht="12.75">
      <c r="A98" s="183"/>
      <c r="B98" s="183"/>
      <c r="C98" s="183"/>
      <c r="D98" s="183"/>
      <c r="E98" s="1" t="s">
        <v>30</v>
      </c>
    </row>
    <row r="99" spans="1:4" ht="12.75">
      <c r="A99" s="183"/>
      <c r="B99" s="183"/>
      <c r="C99" s="183"/>
      <c r="D99" s="183"/>
    </row>
    <row r="100" spans="1:4" ht="12.75">
      <c r="A100" s="183"/>
      <c r="B100" s="183"/>
      <c r="C100" s="183"/>
      <c r="D100" s="183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86:D86"/>
    <mergeCell ref="A14:D14"/>
    <mergeCell ref="A29:D29"/>
    <mergeCell ref="A54:D54"/>
    <mergeCell ref="A59:D59"/>
    <mergeCell ref="A66:D66"/>
    <mergeCell ref="A81:D81"/>
  </mergeCells>
  <printOptions/>
  <pageMargins left="0.5597222222222222" right="0.7875" top="0.5208333333333334" bottom="0.41944444444444445" header="0.5118055555555555" footer="0.5118055555555555"/>
  <pageSetup fitToHeight="2" fitToWidth="2"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="80" zoomScaleNormal="80" zoomScalePageLayoutView="0" workbookViewId="0" topLeftCell="A33">
      <selection activeCell="A58" sqref="A58:D58"/>
    </sheetView>
  </sheetViews>
  <sheetFormatPr defaultColWidth="11.57421875" defaultRowHeight="12.75"/>
  <cols>
    <col min="1" max="1" width="56.421875" style="0" customWidth="1"/>
    <col min="2" max="2" width="16.57421875" style="0" customWidth="1"/>
    <col min="3" max="3" width="24.421875" style="0" customWidth="1"/>
    <col min="4" max="4" width="15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126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spans="1:4" ht="28.5" customHeight="1">
      <c r="A6" s="333" t="s">
        <v>5</v>
      </c>
      <c r="B6" s="333"/>
      <c r="C6" s="333"/>
      <c r="D6" s="333"/>
    </row>
    <row r="7" spans="1:3" ht="12.75">
      <c r="A7" s="2" t="s">
        <v>279</v>
      </c>
      <c r="C7" s="3"/>
    </row>
    <row r="8" spans="1:4" ht="12.75">
      <c r="A8" s="4" t="s">
        <v>6</v>
      </c>
      <c r="B8" s="4" t="s">
        <v>7</v>
      </c>
      <c r="C8" s="4" t="s">
        <v>8</v>
      </c>
      <c r="D8" s="5"/>
    </row>
    <row r="9" spans="1:4" ht="12.75">
      <c r="A9" s="6">
        <v>1</v>
      </c>
      <c r="B9" s="6">
        <v>2</v>
      </c>
      <c r="C9" s="6">
        <v>3</v>
      </c>
      <c r="D9" s="7">
        <v>4</v>
      </c>
    </row>
    <row r="10" spans="1:4" ht="12.75">
      <c r="A10" s="8" t="s">
        <v>9</v>
      </c>
      <c r="B10" s="9"/>
      <c r="C10" s="185" t="s">
        <v>133</v>
      </c>
      <c r="D10" s="10"/>
    </row>
    <row r="11" spans="1:4" ht="12.75">
      <c r="A11" s="8" t="s">
        <v>10</v>
      </c>
      <c r="B11" s="9"/>
      <c r="C11" s="185" t="s">
        <v>134</v>
      </c>
      <c r="D11" s="10"/>
    </row>
    <row r="12" spans="1:4" ht="12.75">
      <c r="A12" s="8" t="s">
        <v>11</v>
      </c>
      <c r="B12" s="9"/>
      <c r="C12" s="185" t="s">
        <v>135</v>
      </c>
      <c r="D12" s="10"/>
    </row>
    <row r="13" spans="1:4" ht="31.5" customHeight="1">
      <c r="A13" s="335" t="s">
        <v>12</v>
      </c>
      <c r="B13" s="335"/>
      <c r="C13" s="335"/>
      <c r="D13" s="335"/>
    </row>
    <row r="14" spans="1:8" ht="30" customHeight="1">
      <c r="A14" s="11" t="s">
        <v>95</v>
      </c>
      <c r="B14" s="12" t="s">
        <v>14</v>
      </c>
      <c r="C14" s="13">
        <v>-137856.72</v>
      </c>
      <c r="D14" s="14"/>
      <c r="E14" s="166"/>
      <c r="F14" s="166"/>
      <c r="G14" s="166"/>
      <c r="H14" s="166"/>
    </row>
    <row r="15" spans="1:8" ht="15">
      <c r="A15" s="8" t="s">
        <v>15</v>
      </c>
      <c r="B15" s="12" t="s">
        <v>14</v>
      </c>
      <c r="C15" s="13">
        <v>0</v>
      </c>
      <c r="D15" s="14"/>
      <c r="E15" s="166"/>
      <c r="F15" s="166"/>
      <c r="G15" s="166"/>
      <c r="H15" s="166"/>
    </row>
    <row r="16" spans="1:8" ht="15">
      <c r="A16" s="8" t="s">
        <v>16</v>
      </c>
      <c r="B16" s="12" t="s">
        <v>14</v>
      </c>
      <c r="C16" s="75">
        <v>322456.75</v>
      </c>
      <c r="D16" s="16"/>
      <c r="E16" s="167">
        <f>C16+C17-C22</f>
        <v>317505.0079168</v>
      </c>
      <c r="F16" s="166"/>
      <c r="G16" s="166"/>
      <c r="H16" s="166"/>
    </row>
    <row r="17" spans="1:8" ht="31.5" customHeight="1">
      <c r="A17" s="11" t="s">
        <v>17</v>
      </c>
      <c r="B17" s="12" t="s">
        <v>14</v>
      </c>
      <c r="C17" s="15">
        <f>C18+C19+C20</f>
        <v>2063225.8679999998</v>
      </c>
      <c r="D17" s="16"/>
      <c r="E17" s="173">
        <f>C17-C19</f>
        <v>1624159.3079999997</v>
      </c>
      <c r="F17" s="166"/>
      <c r="G17" s="166"/>
      <c r="H17" s="166"/>
    </row>
    <row r="18" spans="1:8" ht="15">
      <c r="A18" s="8" t="s">
        <v>18</v>
      </c>
      <c r="B18" s="12" t="s">
        <v>14</v>
      </c>
      <c r="C18" s="15">
        <f>1223722.38+16440</f>
        <v>1240162.38</v>
      </c>
      <c r="D18" s="16"/>
      <c r="E18" s="173">
        <f>E17-E58</f>
        <v>-268268.0680000002</v>
      </c>
      <c r="F18" s="166"/>
      <c r="G18" s="166"/>
      <c r="H18" s="166"/>
    </row>
    <row r="19" spans="1:8" ht="15">
      <c r="A19" s="8" t="s">
        <v>19</v>
      </c>
      <c r="B19" s="12" t="s">
        <v>14</v>
      </c>
      <c r="C19" s="15">
        <f>8163.2*4.5*12+14693.76-16440</f>
        <v>439066.56000000006</v>
      </c>
      <c r="D19" s="16"/>
      <c r="E19" s="173"/>
      <c r="F19" s="166"/>
      <c r="G19" s="166"/>
      <c r="H19" s="166"/>
    </row>
    <row r="20" spans="1:8" ht="15">
      <c r="A20" s="8" t="s">
        <v>20</v>
      </c>
      <c r="B20" s="12" t="s">
        <v>14</v>
      </c>
      <c r="C20" s="15">
        <f>8163.2*3.92*12</f>
        <v>383996.92799999996</v>
      </c>
      <c r="D20" s="16"/>
      <c r="E20" s="166"/>
      <c r="F20" s="166"/>
      <c r="G20" s="166"/>
      <c r="H20" s="166"/>
    </row>
    <row r="21" spans="1:8" ht="15">
      <c r="A21" s="8" t="s">
        <v>21</v>
      </c>
      <c r="B21" s="12" t="s">
        <v>14</v>
      </c>
      <c r="C21" s="15">
        <f>C22+C23+C24+C25+C26</f>
        <v>2127829.4400831996</v>
      </c>
      <c r="D21" s="16" t="s">
        <v>22</v>
      </c>
      <c r="E21" s="173"/>
      <c r="F21" s="166"/>
      <c r="G21" s="166"/>
      <c r="H21" s="166"/>
    </row>
    <row r="22" spans="1:10" ht="15">
      <c r="A22" s="8" t="s">
        <v>23</v>
      </c>
      <c r="B22" s="12" t="s">
        <v>14</v>
      </c>
      <c r="C22" s="76">
        <f>C17*1.0024</f>
        <v>2068177.6100831998</v>
      </c>
      <c r="D22" s="16"/>
      <c r="E22" s="166"/>
      <c r="F22" s="166"/>
      <c r="G22" s="166"/>
      <c r="H22" s="166"/>
      <c r="J22" s="323"/>
    </row>
    <row r="23" spans="1:8" ht="15">
      <c r="A23" s="8" t="s">
        <v>24</v>
      </c>
      <c r="B23" s="12" t="s">
        <v>14</v>
      </c>
      <c r="C23" s="77">
        <v>0</v>
      </c>
      <c r="D23" s="17">
        <v>65.21</v>
      </c>
      <c r="E23" s="174"/>
      <c r="F23" s="166"/>
      <c r="G23" s="166"/>
      <c r="H23" s="166"/>
    </row>
    <row r="24" spans="1:8" ht="15">
      <c r="A24" s="8" t="s">
        <v>26</v>
      </c>
      <c r="B24" s="12" t="s">
        <v>14</v>
      </c>
      <c r="C24" s="78">
        <v>0</v>
      </c>
      <c r="D24" s="17">
        <v>119.63</v>
      </c>
      <c r="E24" s="174"/>
      <c r="F24" s="166"/>
      <c r="G24" s="166"/>
      <c r="H24" s="166"/>
    </row>
    <row r="25" spans="1:8" ht="15">
      <c r="A25" s="9" t="s">
        <v>27</v>
      </c>
      <c r="B25" s="12" t="s">
        <v>14</v>
      </c>
      <c r="C25" s="15">
        <v>20417.95</v>
      </c>
      <c r="D25" s="17"/>
      <c r="E25" s="174"/>
      <c r="F25" s="166"/>
      <c r="G25" s="166"/>
      <c r="H25" s="166"/>
    </row>
    <row r="26" spans="1:8" ht="15">
      <c r="A26" s="79" t="s">
        <v>127</v>
      </c>
      <c r="B26" s="12" t="s">
        <v>14</v>
      </c>
      <c r="C26" s="78">
        <v>39233.88</v>
      </c>
      <c r="D26" s="17">
        <v>139.18</v>
      </c>
      <c r="E26" s="174"/>
      <c r="F26" s="166"/>
      <c r="G26" s="166"/>
      <c r="H26" s="166"/>
    </row>
    <row r="27" spans="1:8" ht="15">
      <c r="A27" s="8" t="s">
        <v>29</v>
      </c>
      <c r="B27" s="12" t="s">
        <v>14</v>
      </c>
      <c r="C27" s="15">
        <f>C14+C21</f>
        <v>1989972.7200831997</v>
      </c>
      <c r="D27" s="16" t="s">
        <v>30</v>
      </c>
      <c r="E27" s="174"/>
      <c r="F27" s="166"/>
      <c r="G27" s="166"/>
      <c r="H27" s="166"/>
    </row>
    <row r="28" spans="1:8" ht="35.25" customHeight="1">
      <c r="A28" s="336" t="s">
        <v>31</v>
      </c>
      <c r="B28" s="336"/>
      <c r="C28" s="336"/>
      <c r="D28" s="336"/>
      <c r="E28" s="166"/>
      <c r="F28" s="166"/>
      <c r="G28" s="166"/>
      <c r="H28" s="166"/>
    </row>
    <row r="29" spans="1:8" ht="60">
      <c r="A29" s="18" t="s">
        <v>32</v>
      </c>
      <c r="B29" s="19" t="s">
        <v>33</v>
      </c>
      <c r="C29" s="80" t="s">
        <v>34</v>
      </c>
      <c r="D29" s="20" t="s">
        <v>35</v>
      </c>
      <c r="E29" s="166"/>
      <c r="F29" s="166"/>
      <c r="G29" s="166"/>
      <c r="H29" s="166"/>
    </row>
    <row r="30" spans="1:8" ht="30">
      <c r="A30" s="81" t="s">
        <v>36</v>
      </c>
      <c r="B30" s="82" t="s">
        <v>37</v>
      </c>
      <c r="C30" s="83" t="s">
        <v>38</v>
      </c>
      <c r="D30" s="118">
        <f>8163.2*12*0.25</f>
        <v>24489.6</v>
      </c>
      <c r="E30" s="166"/>
      <c r="F30" s="166"/>
      <c r="G30" s="166"/>
      <c r="H30" s="166"/>
    </row>
    <row r="31" spans="1:8" ht="15">
      <c r="A31" s="21" t="s">
        <v>96</v>
      </c>
      <c r="B31" s="22" t="s">
        <v>40</v>
      </c>
      <c r="C31" s="23" t="s">
        <v>41</v>
      </c>
      <c r="D31" s="119">
        <f>8163.2*6*(2.34+1.89)</f>
        <v>207182.01599999997</v>
      </c>
      <c r="E31" s="166"/>
      <c r="F31" s="166"/>
      <c r="G31" s="166"/>
      <c r="H31" s="166"/>
    </row>
    <row r="32" spans="1:13" s="1" customFormat="1" ht="15">
      <c r="A32" s="21" t="s">
        <v>97</v>
      </c>
      <c r="B32" s="22" t="s">
        <v>43</v>
      </c>
      <c r="C32" s="23" t="s">
        <v>44</v>
      </c>
      <c r="D32" s="119">
        <f>8163.2*6*(3+2.65)</f>
        <v>276732.48</v>
      </c>
      <c r="E32" s="166"/>
      <c r="F32" s="166"/>
      <c r="G32" s="166"/>
      <c r="H32" s="166"/>
      <c r="J32"/>
      <c r="K32"/>
      <c r="L32"/>
      <c r="M32"/>
    </row>
    <row r="33" spans="1:13" s="1" customFormat="1" ht="15">
      <c r="A33" s="21" t="s">
        <v>45</v>
      </c>
      <c r="B33" s="22" t="s">
        <v>37</v>
      </c>
      <c r="C33" s="23" t="s">
        <v>46</v>
      </c>
      <c r="D33" s="119">
        <f>8163.2*0.21*12</f>
        <v>20571.264</v>
      </c>
      <c r="E33" s="166"/>
      <c r="F33" s="166"/>
      <c r="G33" s="166"/>
      <c r="H33" s="166"/>
      <c r="J33"/>
      <c r="K33"/>
      <c r="L33"/>
      <c r="M33"/>
    </row>
    <row r="34" spans="1:13" s="1" customFormat="1" ht="15">
      <c r="A34" s="21" t="s">
        <v>47</v>
      </c>
      <c r="B34" s="22" t="s">
        <v>48</v>
      </c>
      <c r="C34" s="23" t="s">
        <v>49</v>
      </c>
      <c r="D34" s="119">
        <f>8163.2*12*0.5</f>
        <v>48979.2</v>
      </c>
      <c r="E34" s="166"/>
      <c r="F34" s="166"/>
      <c r="G34" s="166"/>
      <c r="H34" s="166"/>
      <c r="J34"/>
      <c r="K34"/>
      <c r="L34"/>
      <c r="M34"/>
    </row>
    <row r="35" spans="1:13" s="1" customFormat="1" ht="15">
      <c r="A35" s="21" t="s">
        <v>98</v>
      </c>
      <c r="B35" s="22" t="s">
        <v>37</v>
      </c>
      <c r="C35" s="23" t="s">
        <v>49</v>
      </c>
      <c r="D35" s="119">
        <f>8163.2*0.94*12</f>
        <v>92080.896</v>
      </c>
      <c r="E35" s="166"/>
      <c r="F35" s="166"/>
      <c r="G35" s="166"/>
      <c r="H35" s="166"/>
      <c r="J35"/>
      <c r="K35"/>
      <c r="L35"/>
      <c r="M35"/>
    </row>
    <row r="36" spans="1:13" s="1" customFormat="1" ht="15">
      <c r="A36" s="21" t="s">
        <v>51</v>
      </c>
      <c r="B36" s="22" t="s">
        <v>52</v>
      </c>
      <c r="C36" s="23" t="s">
        <v>49</v>
      </c>
      <c r="D36" s="119">
        <f>8163.2*1.21*12</f>
        <v>118529.66399999999</v>
      </c>
      <c r="E36" s="166"/>
      <c r="F36" s="166"/>
      <c r="G36" s="166"/>
      <c r="H36" s="166"/>
      <c r="J36"/>
      <c r="K36"/>
      <c r="L36"/>
      <c r="M36"/>
    </row>
    <row r="37" spans="1:13" s="1" customFormat="1" ht="15">
      <c r="A37" s="21" t="s">
        <v>53</v>
      </c>
      <c r="B37" s="22" t="s">
        <v>43</v>
      </c>
      <c r="C37" s="27" t="s">
        <v>54</v>
      </c>
      <c r="D37" s="119">
        <f>8163.2*3.92*12</f>
        <v>383996.92799999996</v>
      </c>
      <c r="E37" s="166"/>
      <c r="F37" s="166"/>
      <c r="G37" s="166"/>
      <c r="H37" s="166"/>
      <c r="J37"/>
      <c r="K37"/>
      <c r="L37"/>
      <c r="M37"/>
    </row>
    <row r="38" spans="1:13" s="1" customFormat="1" ht="15">
      <c r="A38" s="21" t="s">
        <v>99</v>
      </c>
      <c r="B38" s="25" t="s">
        <v>40</v>
      </c>
      <c r="C38" s="23" t="s">
        <v>56</v>
      </c>
      <c r="D38" s="119">
        <f>(8163.2*2.39*6)+(8163.2*4*1.8)+(8163.2*2*1.48)</f>
        <v>199998.40000000002</v>
      </c>
      <c r="E38" s="166"/>
      <c r="F38" s="166"/>
      <c r="G38" s="166"/>
      <c r="H38" s="166"/>
      <c r="J38"/>
      <c r="K38"/>
      <c r="L38"/>
      <c r="M38"/>
    </row>
    <row r="39" spans="1:13" s="1" customFormat="1" ht="15">
      <c r="A39" s="21" t="s">
        <v>100</v>
      </c>
      <c r="B39" s="22" t="s">
        <v>43</v>
      </c>
      <c r="C39" s="23" t="s">
        <v>58</v>
      </c>
      <c r="D39" s="24">
        <f>1783*(0.87+0.98)*6+6380.2*(5.85+4.49)*6</f>
        <v>415618.908</v>
      </c>
      <c r="E39" s="166"/>
      <c r="F39" s="166"/>
      <c r="G39" s="166"/>
      <c r="H39" s="166"/>
      <c r="J39"/>
      <c r="K39"/>
      <c r="L39"/>
      <c r="M39"/>
    </row>
    <row r="40" spans="1:13" s="1" customFormat="1" ht="15">
      <c r="A40" s="195" t="s">
        <v>301</v>
      </c>
      <c r="B40" s="22" t="s">
        <v>43</v>
      </c>
      <c r="C40" s="27" t="s">
        <v>41</v>
      </c>
      <c r="D40" s="119">
        <f>4127*(2.23+1.98)*6</f>
        <v>104248.01999999999</v>
      </c>
      <c r="E40" s="166"/>
      <c r="F40" s="166"/>
      <c r="G40" s="166"/>
      <c r="H40" s="166"/>
      <c r="J40"/>
      <c r="K40"/>
      <c r="L40"/>
      <c r="M40"/>
    </row>
    <row r="41" spans="1:13" s="1" customFormat="1" ht="51.75" customHeight="1">
      <c r="A41" s="186" t="s">
        <v>296</v>
      </c>
      <c r="B41" s="89" t="s">
        <v>60</v>
      </c>
      <c r="C41" s="90"/>
      <c r="D41" s="197">
        <v>153487.42</v>
      </c>
      <c r="E41" s="182"/>
      <c r="F41" s="166"/>
      <c r="G41" s="166"/>
      <c r="H41" s="166"/>
      <c r="J41"/>
      <c r="K41"/>
      <c r="L41"/>
      <c r="M41"/>
    </row>
    <row r="42" spans="1:13" s="1" customFormat="1" ht="30.75" customHeight="1">
      <c r="A42" s="186" t="s">
        <v>280</v>
      </c>
      <c r="B42" s="89" t="s">
        <v>215</v>
      </c>
      <c r="C42" s="23" t="s">
        <v>49</v>
      </c>
      <c r="D42" s="91">
        <v>3180</v>
      </c>
      <c r="E42" s="182"/>
      <c r="F42" s="166"/>
      <c r="G42" s="166"/>
      <c r="H42" s="166"/>
      <c r="J42"/>
      <c r="K42"/>
      <c r="L42"/>
      <c r="M42"/>
    </row>
    <row r="43" spans="1:13" s="1" customFormat="1" ht="30" customHeight="1">
      <c r="A43" s="88" t="s">
        <v>281</v>
      </c>
      <c r="B43" s="89" t="s">
        <v>282</v>
      </c>
      <c r="C43" s="23" t="s">
        <v>49</v>
      </c>
      <c r="D43" s="91">
        <v>10237</v>
      </c>
      <c r="E43" s="182"/>
      <c r="F43" s="166"/>
      <c r="G43" s="166"/>
      <c r="H43" s="166"/>
      <c r="J43"/>
      <c r="K43"/>
      <c r="L43"/>
      <c r="M43"/>
    </row>
    <row r="44" spans="1:13" s="1" customFormat="1" ht="31.5" customHeight="1">
      <c r="A44" s="186" t="s">
        <v>283</v>
      </c>
      <c r="B44" s="89" t="s">
        <v>217</v>
      </c>
      <c r="C44" s="90" t="s">
        <v>49</v>
      </c>
      <c r="D44" s="91">
        <v>6115</v>
      </c>
      <c r="E44" s="182"/>
      <c r="F44" s="166"/>
      <c r="G44" s="166"/>
      <c r="H44" s="166"/>
      <c r="J44"/>
      <c r="K44"/>
      <c r="L44"/>
      <c r="M44"/>
    </row>
    <row r="45" spans="1:13" s="1" customFormat="1" ht="19.5" customHeight="1">
      <c r="A45" s="186" t="s">
        <v>284</v>
      </c>
      <c r="B45" s="89" t="s">
        <v>217</v>
      </c>
      <c r="C45" s="90" t="s">
        <v>49</v>
      </c>
      <c r="D45" s="91">
        <v>1556</v>
      </c>
      <c r="E45" s="182"/>
      <c r="F45" s="166"/>
      <c r="G45" s="166"/>
      <c r="H45" s="166"/>
      <c r="J45"/>
      <c r="K45"/>
      <c r="L45"/>
      <c r="M45"/>
    </row>
    <row r="46" spans="1:13" s="1" customFormat="1" ht="19.5" customHeight="1">
      <c r="A46" s="186" t="s">
        <v>285</v>
      </c>
      <c r="B46" s="89" t="s">
        <v>244</v>
      </c>
      <c r="C46" s="90" t="s">
        <v>49</v>
      </c>
      <c r="D46" s="91">
        <v>15815</v>
      </c>
      <c r="E46" s="182"/>
      <c r="F46" s="166"/>
      <c r="G46" s="166"/>
      <c r="H46" s="166"/>
      <c r="J46"/>
      <c r="K46"/>
      <c r="L46"/>
      <c r="M46"/>
    </row>
    <row r="47" spans="1:13" s="1" customFormat="1" ht="19.5" customHeight="1">
      <c r="A47" s="186" t="s">
        <v>286</v>
      </c>
      <c r="B47" s="89" t="s">
        <v>244</v>
      </c>
      <c r="C47" s="23" t="s">
        <v>58</v>
      </c>
      <c r="D47" s="91">
        <v>898</v>
      </c>
      <c r="E47" s="182"/>
      <c r="F47" s="166"/>
      <c r="G47" s="166"/>
      <c r="H47" s="166"/>
      <c r="J47"/>
      <c r="K47"/>
      <c r="L47"/>
      <c r="M47"/>
    </row>
    <row r="48" spans="1:13" s="1" customFormat="1" ht="19.5" customHeight="1">
      <c r="A48" s="186" t="s">
        <v>303</v>
      </c>
      <c r="B48" s="89" t="s">
        <v>244</v>
      </c>
      <c r="C48" s="23" t="s">
        <v>58</v>
      </c>
      <c r="D48" s="91">
        <v>-2310.1</v>
      </c>
      <c r="E48" s="182"/>
      <c r="F48" s="166"/>
      <c r="G48" s="166"/>
      <c r="H48" s="166"/>
      <c r="J48"/>
      <c r="K48"/>
      <c r="L48"/>
      <c r="M48"/>
    </row>
    <row r="49" spans="1:13" s="1" customFormat="1" ht="19.5" customHeight="1">
      <c r="A49" s="186" t="s">
        <v>287</v>
      </c>
      <c r="B49" s="89" t="s">
        <v>259</v>
      </c>
      <c r="C49" s="90" t="s">
        <v>49</v>
      </c>
      <c r="D49" s="91">
        <v>2779</v>
      </c>
      <c r="E49" s="182"/>
      <c r="F49" s="166"/>
      <c r="G49" s="166"/>
      <c r="H49" s="166"/>
      <c r="J49"/>
      <c r="K49"/>
      <c r="L49"/>
      <c r="M49"/>
    </row>
    <row r="50" spans="1:13" s="1" customFormat="1" ht="19.5" customHeight="1">
      <c r="A50" s="186" t="s">
        <v>292</v>
      </c>
      <c r="B50" s="89" t="s">
        <v>259</v>
      </c>
      <c r="C50" s="90" t="s">
        <v>49</v>
      </c>
      <c r="D50" s="91">
        <v>5996</v>
      </c>
      <c r="E50" s="182"/>
      <c r="F50" s="166"/>
      <c r="G50" s="166"/>
      <c r="H50" s="166"/>
      <c r="J50"/>
      <c r="K50"/>
      <c r="L50"/>
      <c r="M50"/>
    </row>
    <row r="51" spans="1:13" s="1" customFormat="1" ht="29.25" customHeight="1">
      <c r="A51" s="186" t="s">
        <v>288</v>
      </c>
      <c r="B51" s="89" t="s">
        <v>237</v>
      </c>
      <c r="C51" s="90" t="s">
        <v>49</v>
      </c>
      <c r="D51" s="91">
        <v>9543</v>
      </c>
      <c r="E51" s="182"/>
      <c r="F51" s="166"/>
      <c r="G51" s="166"/>
      <c r="H51" s="166"/>
      <c r="J51"/>
      <c r="K51"/>
      <c r="L51"/>
      <c r="M51"/>
    </row>
    <row r="52" spans="1:13" s="1" customFormat="1" ht="30" customHeight="1">
      <c r="A52" s="186" t="s">
        <v>302</v>
      </c>
      <c r="B52" s="89" t="s">
        <v>226</v>
      </c>
      <c r="C52" s="90" t="s">
        <v>49</v>
      </c>
      <c r="D52" s="91">
        <v>1742</v>
      </c>
      <c r="E52" s="182"/>
      <c r="F52" s="166"/>
      <c r="G52" s="166"/>
      <c r="H52" s="166"/>
      <c r="J52"/>
      <c r="K52"/>
      <c r="L52"/>
      <c r="M52"/>
    </row>
    <row r="53" spans="1:13" s="1" customFormat="1" ht="19.5" customHeight="1">
      <c r="A53" s="88" t="s">
        <v>289</v>
      </c>
      <c r="B53" s="89" t="s">
        <v>239</v>
      </c>
      <c r="C53" s="90" t="s">
        <v>152</v>
      </c>
      <c r="D53" s="91">
        <v>75480</v>
      </c>
      <c r="E53" s="182"/>
      <c r="F53" s="166"/>
      <c r="G53" s="166"/>
      <c r="H53" s="166"/>
      <c r="J53"/>
      <c r="K53"/>
      <c r="L53"/>
      <c r="M53"/>
    </row>
    <row r="54" spans="1:13" s="1" customFormat="1" ht="19.5" customHeight="1">
      <c r="A54" s="186" t="s">
        <v>290</v>
      </c>
      <c r="B54" s="89" t="s">
        <v>246</v>
      </c>
      <c r="C54" s="90" t="s">
        <v>152</v>
      </c>
      <c r="D54" s="91">
        <v>20008</v>
      </c>
      <c r="E54" s="182"/>
      <c r="F54" s="166"/>
      <c r="G54" s="166"/>
      <c r="H54" s="166"/>
      <c r="J54"/>
      <c r="K54"/>
      <c r="L54"/>
      <c r="M54"/>
    </row>
    <row r="55" spans="1:13" s="1" customFormat="1" ht="19.5" customHeight="1">
      <c r="A55" s="186" t="s">
        <v>293</v>
      </c>
      <c r="B55" s="89"/>
      <c r="C55" s="90"/>
      <c r="D55" s="91">
        <v>-1149</v>
      </c>
      <c r="E55" s="182"/>
      <c r="F55" s="166"/>
      <c r="G55" s="166"/>
      <c r="H55" s="166"/>
      <c r="J55"/>
      <c r="K55"/>
      <c r="L55"/>
      <c r="M55"/>
    </row>
    <row r="56" spans="1:13" s="1" customFormat="1" ht="19.5" customHeight="1">
      <c r="A56" s="186" t="s">
        <v>291</v>
      </c>
      <c r="B56" s="89" t="s">
        <v>246</v>
      </c>
      <c r="C56" s="90" t="s">
        <v>49</v>
      </c>
      <c r="D56" s="91">
        <v>930</v>
      </c>
      <c r="E56" s="182"/>
      <c r="F56" s="166"/>
      <c r="G56" s="166"/>
      <c r="H56" s="166"/>
      <c r="J56"/>
      <c r="K56"/>
      <c r="L56"/>
      <c r="M56"/>
    </row>
    <row r="57" spans="1:13" s="1" customFormat="1" ht="19.5" customHeight="1">
      <c r="A57" s="186" t="s">
        <v>294</v>
      </c>
      <c r="B57" s="89" t="s">
        <v>239</v>
      </c>
      <c r="C57" s="90" t="s">
        <v>49</v>
      </c>
      <c r="D57" s="91">
        <v>2667.52</v>
      </c>
      <c r="E57" s="198"/>
      <c r="F57" s="166"/>
      <c r="G57" s="166"/>
      <c r="H57" s="166"/>
      <c r="J57"/>
      <c r="K57"/>
      <c r="L57"/>
      <c r="M57"/>
    </row>
    <row r="58" spans="1:13" s="1" customFormat="1" ht="15.75">
      <c r="A58" s="92" t="s">
        <v>104</v>
      </c>
      <c r="B58" s="93"/>
      <c r="C58" s="94"/>
      <c r="D58" s="95">
        <f>SUM(D30:D41)</f>
        <v>2045914.7959999999</v>
      </c>
      <c r="E58" s="198">
        <f>D58-D41</f>
        <v>1892427.376</v>
      </c>
      <c r="F58" s="166"/>
      <c r="G58" s="166"/>
      <c r="H58" s="166"/>
      <c r="J58"/>
      <c r="K58"/>
      <c r="L58"/>
      <c r="M58"/>
    </row>
    <row r="59" spans="1:13" s="1" customFormat="1" ht="15">
      <c r="A59" s="30" t="s">
        <v>62</v>
      </c>
      <c r="B59" s="31" t="s">
        <v>14</v>
      </c>
      <c r="C59" s="96"/>
      <c r="D59" s="32">
        <f>C14+C19*1.0024+C25+C26-D41</f>
        <v>208428.009744</v>
      </c>
      <c r="E59" s="166"/>
      <c r="F59" s="166"/>
      <c r="G59" s="166"/>
      <c r="H59" s="166"/>
      <c r="J59"/>
      <c r="K59"/>
      <c r="L59"/>
      <c r="M59"/>
    </row>
    <row r="60" spans="1:8" ht="15">
      <c r="A60" s="33" t="s">
        <v>15</v>
      </c>
      <c r="B60" s="34" t="s">
        <v>14</v>
      </c>
      <c r="C60" s="23"/>
      <c r="D60" s="14"/>
      <c r="E60" s="166"/>
      <c r="F60" s="166"/>
      <c r="G60" s="166"/>
      <c r="H60" s="166"/>
    </row>
    <row r="61" spans="1:8" ht="15">
      <c r="A61" s="33" t="s">
        <v>16</v>
      </c>
      <c r="B61" s="34" t="s">
        <v>14</v>
      </c>
      <c r="C61" s="23"/>
      <c r="D61" s="14">
        <v>317505.01</v>
      </c>
      <c r="E61" s="166"/>
      <c r="F61" s="166"/>
      <c r="G61" s="166"/>
      <c r="H61" s="166"/>
    </row>
    <row r="62" spans="1:8" ht="24" customHeight="1">
      <c r="A62" s="337" t="s">
        <v>63</v>
      </c>
      <c r="B62" s="337"/>
      <c r="C62" s="337"/>
      <c r="D62" s="337"/>
      <c r="E62" s="166"/>
      <c r="F62" s="166"/>
      <c r="G62" s="166"/>
      <c r="H62" s="166"/>
    </row>
    <row r="63" spans="1:8" ht="15">
      <c r="A63" s="33" t="s">
        <v>64</v>
      </c>
      <c r="B63" s="22" t="s">
        <v>65</v>
      </c>
      <c r="C63" s="23">
        <v>3</v>
      </c>
      <c r="D63" s="14"/>
      <c r="E63" s="166"/>
      <c r="F63" s="166"/>
      <c r="G63" s="166"/>
      <c r="H63" s="166"/>
    </row>
    <row r="64" spans="1:8" ht="15">
      <c r="A64" s="33" t="s">
        <v>66</v>
      </c>
      <c r="B64" s="22" t="s">
        <v>65</v>
      </c>
      <c r="C64" s="23">
        <v>3</v>
      </c>
      <c r="D64" s="14"/>
      <c r="E64" s="166"/>
      <c r="F64" s="166"/>
      <c r="G64" s="166"/>
      <c r="H64" s="166"/>
    </row>
    <row r="65" spans="1:8" ht="15">
      <c r="A65" s="35" t="s">
        <v>67</v>
      </c>
      <c r="B65" s="22" t="s">
        <v>65</v>
      </c>
      <c r="C65" s="23">
        <v>0</v>
      </c>
      <c r="D65" s="14"/>
      <c r="E65" s="166"/>
      <c r="F65" s="166"/>
      <c r="G65" s="166"/>
      <c r="H65" s="166"/>
    </row>
    <row r="66" spans="1:8" ht="15">
      <c r="A66" s="33" t="s">
        <v>68</v>
      </c>
      <c r="B66" s="22" t="s">
        <v>14</v>
      </c>
      <c r="C66" s="23">
        <v>6571.39</v>
      </c>
      <c r="D66" s="14"/>
      <c r="E66" s="166"/>
      <c r="F66" s="166"/>
      <c r="G66" s="166"/>
      <c r="H66" s="166"/>
    </row>
    <row r="67" spans="1:8" ht="20.25" customHeight="1">
      <c r="A67" s="338" t="s">
        <v>69</v>
      </c>
      <c r="B67" s="338"/>
      <c r="C67" s="338"/>
      <c r="D67" s="338"/>
      <c r="E67" s="166"/>
      <c r="F67" s="166"/>
      <c r="G67" s="166"/>
      <c r="H67" s="166"/>
    </row>
    <row r="68" spans="1:8" ht="25.5">
      <c r="A68" s="35" t="s">
        <v>70</v>
      </c>
      <c r="B68" s="22" t="s">
        <v>14</v>
      </c>
      <c r="C68" s="23"/>
      <c r="D68" s="14">
        <v>0</v>
      </c>
      <c r="E68" s="166"/>
      <c r="F68" s="166"/>
      <c r="G68" s="166"/>
      <c r="H68" s="166"/>
    </row>
    <row r="69" spans="1:8" ht="15">
      <c r="A69" s="33" t="s">
        <v>15</v>
      </c>
      <c r="B69" s="22" t="s">
        <v>14</v>
      </c>
      <c r="C69" s="23"/>
      <c r="D69" s="14">
        <v>0</v>
      </c>
      <c r="E69" s="166"/>
      <c r="F69" s="166"/>
      <c r="G69" s="166"/>
      <c r="H69" s="166"/>
    </row>
    <row r="70" spans="1:8" ht="15">
      <c r="A70" s="33" t="s">
        <v>16</v>
      </c>
      <c r="B70" s="22" t="s">
        <v>14</v>
      </c>
      <c r="C70" s="23"/>
      <c r="D70" s="120">
        <f>D73-D76-D77-D78-D79</f>
        <v>591807.9802079999</v>
      </c>
      <c r="E70" s="166"/>
      <c r="F70" s="166"/>
      <c r="G70" s="166"/>
      <c r="H70" s="168"/>
    </row>
    <row r="71" spans="1:8" ht="25.5">
      <c r="A71" s="37" t="s">
        <v>128</v>
      </c>
      <c r="B71" s="22" t="s">
        <v>14</v>
      </c>
      <c r="C71" s="38"/>
      <c r="D71" s="39">
        <v>0</v>
      </c>
      <c r="E71" s="166"/>
      <c r="F71" s="166"/>
      <c r="G71" s="166"/>
      <c r="H71" s="166"/>
    </row>
    <row r="72" spans="1:9" ht="17.25" customHeight="1">
      <c r="A72" s="40" t="s">
        <v>15</v>
      </c>
      <c r="B72" s="22" t="s">
        <v>14</v>
      </c>
      <c r="C72" s="23"/>
      <c r="D72" s="14">
        <v>0</v>
      </c>
      <c r="E72" s="166"/>
      <c r="F72" s="166"/>
      <c r="G72" s="166"/>
      <c r="H72" s="166"/>
      <c r="I72" s="36"/>
    </row>
    <row r="73" spans="1:13" ht="15">
      <c r="A73" s="41" t="s">
        <v>16</v>
      </c>
      <c r="B73" s="22" t="s">
        <v>14</v>
      </c>
      <c r="C73" s="98"/>
      <c r="D73" s="98">
        <v>582720</v>
      </c>
      <c r="E73" s="166"/>
      <c r="F73" s="166"/>
      <c r="G73" s="166"/>
      <c r="H73" s="166" t="s">
        <v>30</v>
      </c>
      <c r="I73" s="43"/>
      <c r="J73" s="44"/>
      <c r="K73" s="44"/>
      <c r="L73" s="44"/>
      <c r="M73" s="44"/>
    </row>
    <row r="74" spans="1:13" ht="18" customHeight="1" thickBot="1">
      <c r="A74" s="339" t="s">
        <v>72</v>
      </c>
      <c r="B74" s="339"/>
      <c r="C74" s="339"/>
      <c r="D74" s="339"/>
      <c r="E74" s="171"/>
      <c r="F74" s="175"/>
      <c r="G74" s="176"/>
      <c r="H74" s="166"/>
      <c r="I74" s="48"/>
      <c r="J74" s="49"/>
      <c r="K74" s="49"/>
      <c r="L74" s="49"/>
      <c r="M74" s="49"/>
    </row>
    <row r="75" spans="1:13" ht="78.75">
      <c r="A75" s="50" t="s">
        <v>73</v>
      </c>
      <c r="B75" s="51" t="s">
        <v>74</v>
      </c>
      <c r="C75" s="52" t="s">
        <v>75</v>
      </c>
      <c r="D75" s="53" t="s">
        <v>76</v>
      </c>
      <c r="E75" s="171"/>
      <c r="F75" s="175"/>
      <c r="G75" s="176"/>
      <c r="H75" s="166"/>
      <c r="I75" s="48"/>
      <c r="J75" s="49"/>
      <c r="K75" s="49"/>
      <c r="L75" s="49"/>
      <c r="M75" s="49"/>
    </row>
    <row r="76" spans="1:13" ht="15">
      <c r="A76" s="55" t="s">
        <v>77</v>
      </c>
      <c r="B76" s="13">
        <v>314788.43</v>
      </c>
      <c r="C76" s="56">
        <f>B76*1.0024</f>
        <v>315543.922232</v>
      </c>
      <c r="D76" s="57">
        <f>B76-C76</f>
        <v>-755.4922319999896</v>
      </c>
      <c r="E76" s="171"/>
      <c r="F76" s="175"/>
      <c r="G76" s="176"/>
      <c r="H76" s="166"/>
      <c r="I76" s="48"/>
      <c r="J76" s="49"/>
      <c r="K76" s="49"/>
      <c r="L76" s="49"/>
      <c r="M76" s="49"/>
    </row>
    <row r="77" spans="1:13" ht="15">
      <c r="A77" s="55" t="s">
        <v>78</v>
      </c>
      <c r="B77" s="13">
        <v>585232.79</v>
      </c>
      <c r="C77" s="56">
        <f>B77*1.0024</f>
        <v>586637.3486960001</v>
      </c>
      <c r="D77" s="57">
        <f>B77-C77</f>
        <v>-1404.5586960000219</v>
      </c>
      <c r="E77" s="171"/>
      <c r="F77" s="175"/>
      <c r="G77" s="176"/>
      <c r="H77" s="166"/>
      <c r="I77" s="48"/>
      <c r="J77" s="49"/>
      <c r="K77" s="49"/>
      <c r="L77" s="49"/>
      <c r="M77" s="49"/>
    </row>
    <row r="78" spans="1:13" ht="15">
      <c r="A78" s="55" t="s">
        <v>79</v>
      </c>
      <c r="B78" s="99">
        <v>2081064.71</v>
      </c>
      <c r="C78" s="56">
        <f>B78*1.0024</f>
        <v>2086059.265304</v>
      </c>
      <c r="D78" s="57">
        <f>B78-C78</f>
        <v>-4994.555303999921</v>
      </c>
      <c r="E78" s="171">
        <f>(2.07+1.8)*6*2301.2-0.37*2301.2*6</f>
        <v>48325.2</v>
      </c>
      <c r="F78" s="178"/>
      <c r="G78" s="179"/>
      <c r="H78" s="171"/>
      <c r="I78" s="48"/>
      <c r="J78" s="49"/>
      <c r="K78" s="49"/>
      <c r="L78" s="49"/>
      <c r="M78" s="49"/>
    </row>
    <row r="79" spans="1:13" ht="15">
      <c r="A79" s="55" t="s">
        <v>80</v>
      </c>
      <c r="B79" s="99">
        <v>805572.49</v>
      </c>
      <c r="C79" s="56">
        <f>B79*1.0024</f>
        <v>807505.863976</v>
      </c>
      <c r="D79" s="57">
        <f>B79-C79</f>
        <v>-1933.3739760000026</v>
      </c>
      <c r="E79" s="171"/>
      <c r="F79" s="178"/>
      <c r="G79" s="179"/>
      <c r="H79" s="166"/>
      <c r="I79" s="48"/>
      <c r="J79" s="49"/>
      <c r="K79" s="49"/>
      <c r="L79" s="49"/>
      <c r="M79" s="49"/>
    </row>
    <row r="80" spans="1:13" ht="15.75" thickBot="1">
      <c r="A80" s="137" t="s">
        <v>81</v>
      </c>
      <c r="B80" s="138">
        <v>0</v>
      </c>
      <c r="C80" s="139">
        <f>B80*1.0344</f>
        <v>0</v>
      </c>
      <c r="D80" s="140">
        <f>B80-C80</f>
        <v>0</v>
      </c>
      <c r="E80" s="171"/>
      <c r="F80" s="178"/>
      <c r="G80" s="179"/>
      <c r="H80" s="166"/>
      <c r="I80" s="48"/>
      <c r="J80" s="49"/>
      <c r="K80" s="49"/>
      <c r="L80" s="49"/>
      <c r="M80" s="49"/>
    </row>
    <row r="81" spans="1:13" ht="126">
      <c r="A81" s="141" t="s">
        <v>82</v>
      </c>
      <c r="B81" s="142" t="s">
        <v>83</v>
      </c>
      <c r="C81" s="143" t="s">
        <v>84</v>
      </c>
      <c r="D81" s="144" t="s">
        <v>85</v>
      </c>
      <c r="E81" s="171"/>
      <c r="F81" s="178"/>
      <c r="G81" s="166"/>
      <c r="H81" s="170"/>
      <c r="I81" s="48"/>
      <c r="J81" s="49"/>
      <c r="K81" s="49"/>
      <c r="L81" s="49"/>
      <c r="M81" s="49"/>
    </row>
    <row r="82" spans="1:13" ht="15">
      <c r="A82" s="145" t="s">
        <v>77</v>
      </c>
      <c r="B82" s="113">
        <f>B76</f>
        <v>314788.43</v>
      </c>
      <c r="C82" s="114">
        <f>C76</f>
        <v>315543.922232</v>
      </c>
      <c r="D82" s="146">
        <f>B82-C82</f>
        <v>-755.4922319999896</v>
      </c>
      <c r="E82" s="171"/>
      <c r="F82" s="178"/>
      <c r="G82" s="166"/>
      <c r="H82" s="170"/>
      <c r="I82" s="48"/>
      <c r="J82" s="49"/>
      <c r="K82" s="49"/>
      <c r="L82" s="49"/>
      <c r="M82" s="49"/>
    </row>
    <row r="83" spans="1:13" ht="15">
      <c r="A83" s="145" t="s">
        <v>78</v>
      </c>
      <c r="B83" s="113">
        <f>B77</f>
        <v>585232.79</v>
      </c>
      <c r="C83" s="114">
        <f>C77</f>
        <v>586637.3486960001</v>
      </c>
      <c r="D83" s="146">
        <f>B83-C83</f>
        <v>-1404.5586960000219</v>
      </c>
      <c r="E83" s="171"/>
      <c r="F83" s="178"/>
      <c r="G83" s="166"/>
      <c r="H83" s="170"/>
      <c r="I83" s="48"/>
      <c r="J83" s="49"/>
      <c r="K83" s="49"/>
      <c r="L83" s="49"/>
      <c r="M83" s="49"/>
    </row>
    <row r="84" spans="1:13" ht="15">
      <c r="A84" s="145" t="s">
        <v>79</v>
      </c>
      <c r="B84" s="113">
        <v>2188638.29</v>
      </c>
      <c r="C84" s="114">
        <f>C78</f>
        <v>2086059.265304</v>
      </c>
      <c r="D84" s="146">
        <f>B84-C84</f>
        <v>102579.02469600015</v>
      </c>
      <c r="E84" s="171"/>
      <c r="F84" s="178"/>
      <c r="G84" s="166"/>
      <c r="H84" s="170"/>
      <c r="I84" s="48"/>
      <c r="J84" s="49"/>
      <c r="K84" s="49"/>
      <c r="L84" s="49"/>
      <c r="M84" s="49"/>
    </row>
    <row r="85" spans="1:13" ht="15">
      <c r="A85" s="145" t="s">
        <v>80</v>
      </c>
      <c r="B85" s="113">
        <f>B79</f>
        <v>805572.49</v>
      </c>
      <c r="C85" s="114">
        <f>C79</f>
        <v>807505.863976</v>
      </c>
      <c r="D85" s="146">
        <f>B85-C85</f>
        <v>-1933.3739760000026</v>
      </c>
      <c r="E85" s="171"/>
      <c r="F85" s="178"/>
      <c r="G85" s="166"/>
      <c r="H85" s="170"/>
      <c r="I85" s="48"/>
      <c r="J85" s="49"/>
      <c r="K85" s="49"/>
      <c r="L85" s="49"/>
      <c r="M85" s="49"/>
    </row>
    <row r="86" spans="1:13" ht="15.75" thickBot="1">
      <c r="A86" s="147" t="s">
        <v>81</v>
      </c>
      <c r="B86" s="148"/>
      <c r="C86" s="149"/>
      <c r="D86" s="150">
        <f>B86-C86</f>
        <v>0</v>
      </c>
      <c r="E86" s="171"/>
      <c r="F86" s="178"/>
      <c r="G86" s="166"/>
      <c r="H86" s="170" t="s">
        <v>30</v>
      </c>
      <c r="I86" s="48"/>
      <c r="J86" s="49"/>
      <c r="K86" s="49"/>
      <c r="L86" s="49"/>
      <c r="M86" s="49"/>
    </row>
    <row r="87" spans="1:13" ht="15">
      <c r="A87" s="162"/>
      <c r="B87" s="60"/>
      <c r="C87" s="62"/>
      <c r="D87" s="163"/>
      <c r="E87" s="45"/>
      <c r="F87" s="58"/>
      <c r="H87" s="48"/>
      <c r="I87" s="48"/>
      <c r="J87" s="49"/>
      <c r="K87" s="49"/>
      <c r="L87" s="49"/>
      <c r="M87" s="49"/>
    </row>
    <row r="88" spans="1:13" ht="25.5">
      <c r="A88" s="103" t="s">
        <v>86</v>
      </c>
      <c r="B88" s="60" t="s">
        <v>14</v>
      </c>
      <c r="C88" s="65"/>
      <c r="D88" s="104"/>
      <c r="E88" s="45"/>
      <c r="F88" s="58"/>
      <c r="H88" s="48"/>
      <c r="I88" s="48"/>
      <c r="J88" s="49"/>
      <c r="K88" s="49"/>
      <c r="L88" s="49"/>
      <c r="M88" s="49"/>
    </row>
    <row r="89" spans="1:13" ht="17.25" customHeight="1">
      <c r="A89" s="340" t="s">
        <v>87</v>
      </c>
      <c r="B89" s="340"/>
      <c r="C89" s="340"/>
      <c r="D89" s="340"/>
      <c r="E89" s="67" t="e">
        <f>D89+B18</f>
        <v>#VALUE!</v>
      </c>
      <c r="F89" s="48"/>
      <c r="H89" s="68" t="e">
        <f>E89-B17</f>
        <v>#VALUE!</v>
      </c>
      <c r="I89" s="48"/>
      <c r="J89" s="49"/>
      <c r="K89" s="49"/>
      <c r="L89" s="49"/>
      <c r="M89" s="49"/>
    </row>
    <row r="90" spans="1:5" ht="21" customHeight="1">
      <c r="A90" s="69" t="s">
        <v>64</v>
      </c>
      <c r="B90" s="69" t="s">
        <v>65</v>
      </c>
      <c r="C90" s="70">
        <v>3</v>
      </c>
      <c r="D90" s="105"/>
      <c r="E90" s="72"/>
    </row>
    <row r="91" spans="1:5" ht="21" customHeight="1">
      <c r="A91" s="69" t="s">
        <v>66</v>
      </c>
      <c r="B91" s="69" t="s">
        <v>65</v>
      </c>
      <c r="C91" s="69">
        <v>3</v>
      </c>
      <c r="D91" s="105"/>
      <c r="E91" s="72"/>
    </row>
    <row r="92" spans="1:13" s="1" customFormat="1" ht="18" customHeight="1">
      <c r="A92" s="69" t="s">
        <v>67</v>
      </c>
      <c r="B92" s="69" t="s">
        <v>65</v>
      </c>
      <c r="C92" s="69">
        <v>0</v>
      </c>
      <c r="D92" s="105"/>
      <c r="E92" s="72"/>
      <c r="J92"/>
      <c r="K92"/>
      <c r="L92"/>
      <c r="M92"/>
    </row>
    <row r="93" spans="1:13" s="1" customFormat="1" ht="16.5" customHeight="1">
      <c r="A93" s="69" t="s">
        <v>68</v>
      </c>
      <c r="B93" s="69" t="s">
        <v>14</v>
      </c>
      <c r="C93" s="69">
        <v>11328.37</v>
      </c>
      <c r="D93" s="105"/>
      <c r="E93" s="72"/>
      <c r="J93"/>
      <c r="K93"/>
      <c r="L93"/>
      <c r="M93"/>
    </row>
    <row r="94" spans="1:13" s="1" customFormat="1" ht="15.75" customHeight="1">
      <c r="A94" s="334" t="s">
        <v>88</v>
      </c>
      <c r="B94" s="334"/>
      <c r="C94" s="334"/>
      <c r="D94" s="334"/>
      <c r="E94" s="72"/>
      <c r="J94"/>
      <c r="K94"/>
      <c r="L94"/>
      <c r="M94"/>
    </row>
    <row r="95" spans="1:13" s="1" customFormat="1" ht="18.75" customHeight="1">
      <c r="A95" s="69" t="s">
        <v>89</v>
      </c>
      <c r="B95" s="69" t="s">
        <v>65</v>
      </c>
      <c r="C95" s="69">
        <v>4</v>
      </c>
      <c r="D95" s="105"/>
      <c r="E95" s="72"/>
      <c r="J95"/>
      <c r="K95"/>
      <c r="L95"/>
      <c r="M95"/>
    </row>
    <row r="96" spans="1:13" s="1" customFormat="1" ht="21.75" customHeight="1">
      <c r="A96" s="69" t="s">
        <v>90</v>
      </c>
      <c r="B96" s="40" t="s">
        <v>65</v>
      </c>
      <c r="C96" s="40">
        <v>5</v>
      </c>
      <c r="D96" s="105"/>
      <c r="E96" s="72"/>
      <c r="J96"/>
      <c r="K96"/>
      <c r="L96"/>
      <c r="M96"/>
    </row>
    <row r="97" spans="1:13" s="1" customFormat="1" ht="36" customHeight="1">
      <c r="A97" s="73" t="s">
        <v>91</v>
      </c>
      <c r="B97" s="69" t="s">
        <v>14</v>
      </c>
      <c r="C97" s="69">
        <v>325528.12</v>
      </c>
      <c r="D97" s="106"/>
      <c r="E97" s="72"/>
      <c r="J97"/>
      <c r="K97"/>
      <c r="L97"/>
      <c r="M97"/>
    </row>
    <row r="98" spans="1:13" s="1" customFormat="1" ht="15">
      <c r="A98" s="49"/>
      <c r="B98" s="49"/>
      <c r="C98" s="49"/>
      <c r="D98" s="74"/>
      <c r="J98"/>
      <c r="K98"/>
      <c r="L98"/>
      <c r="M98"/>
    </row>
    <row r="99" spans="1:13" s="1" customFormat="1" ht="12.75">
      <c r="A99"/>
      <c r="B99"/>
      <c r="C99"/>
      <c r="D99"/>
      <c r="H99" s="1" t="s">
        <v>30</v>
      </c>
      <c r="J99"/>
      <c r="K99"/>
      <c r="L99"/>
      <c r="M99"/>
    </row>
    <row r="100" spans="1:13" s="1" customFormat="1" ht="12.75">
      <c r="A100" t="s">
        <v>92</v>
      </c>
      <c r="B100"/>
      <c r="C100"/>
      <c r="D100"/>
      <c r="J100"/>
      <c r="K100"/>
      <c r="L100"/>
      <c r="M100"/>
    </row>
    <row r="101" spans="1:13" s="1" customFormat="1" ht="12.75">
      <c r="A101"/>
      <c r="B101"/>
      <c r="C101"/>
      <c r="D101"/>
      <c r="H101" s="1" t="s">
        <v>30</v>
      </c>
      <c r="J101"/>
      <c r="K101"/>
      <c r="L101"/>
      <c r="M101"/>
    </row>
    <row r="102" spans="1:13" s="1" customFormat="1" ht="12.75">
      <c r="A102" t="s">
        <v>93</v>
      </c>
      <c r="B102"/>
      <c r="C102"/>
      <c r="D102"/>
      <c r="J102"/>
      <c r="K102"/>
      <c r="L102"/>
      <c r="M102"/>
    </row>
    <row r="106" spans="1:13" s="1" customFormat="1" ht="12.75">
      <c r="A106"/>
      <c r="B106"/>
      <c r="C106"/>
      <c r="D106"/>
      <c r="E106" s="1" t="s">
        <v>30</v>
      </c>
      <c r="J106"/>
      <c r="K106"/>
      <c r="L106"/>
      <c r="M106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6:D6"/>
    <mergeCell ref="A94:D94"/>
    <mergeCell ref="A13:D13"/>
    <mergeCell ref="A28:D28"/>
    <mergeCell ref="A62:D62"/>
    <mergeCell ref="A67:D67"/>
    <mergeCell ref="A74:D74"/>
    <mergeCell ref="A89:D89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80" zoomScaleNormal="80" zoomScalePageLayoutView="0" workbookViewId="0" topLeftCell="A72">
      <selection activeCell="C93" sqref="C93"/>
    </sheetView>
  </sheetViews>
  <sheetFormatPr defaultColWidth="11.57421875" defaultRowHeight="12.75"/>
  <cols>
    <col min="1" max="1" width="52.57421875" style="0" customWidth="1"/>
    <col min="2" max="2" width="15.421875" style="0" customWidth="1"/>
    <col min="3" max="3" width="20.7109375" style="0" customWidth="1"/>
    <col min="4" max="4" width="18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129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ht="8.25" customHeight="1">
      <c r="A6" s="2"/>
    </row>
    <row r="7" spans="1:4" ht="28.5" customHeight="1">
      <c r="A7" s="333" t="s">
        <v>5</v>
      </c>
      <c r="B7" s="333"/>
      <c r="C7" s="333"/>
      <c r="D7" s="333"/>
    </row>
    <row r="8" spans="1:4" ht="12.75">
      <c r="A8" s="2" t="s">
        <v>248</v>
      </c>
      <c r="B8" s="183"/>
      <c r="C8" s="3"/>
      <c r="D8" s="183"/>
    </row>
    <row r="9" spans="1:4" ht="12.75">
      <c r="A9" s="4" t="s">
        <v>6</v>
      </c>
      <c r="B9" s="4" t="s">
        <v>7</v>
      </c>
      <c r="C9" s="4" t="s">
        <v>8</v>
      </c>
      <c r="D9" s="5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66"/>
      <c r="F10" s="166"/>
      <c r="G10" s="166"/>
      <c r="H10" s="166"/>
    </row>
    <row r="11" spans="1:8" ht="12.75">
      <c r="A11" s="8" t="s">
        <v>9</v>
      </c>
      <c r="B11" s="9"/>
      <c r="C11" s="185" t="s">
        <v>133</v>
      </c>
      <c r="D11" s="10"/>
      <c r="E11" s="166"/>
      <c r="F11" s="166"/>
      <c r="G11" s="166"/>
      <c r="H11" s="166"/>
    </row>
    <row r="12" spans="1:8" ht="12.75">
      <c r="A12" s="8" t="s">
        <v>10</v>
      </c>
      <c r="B12" s="9"/>
      <c r="C12" s="185" t="s">
        <v>134</v>
      </c>
      <c r="D12" s="10"/>
      <c r="E12" s="166"/>
      <c r="F12" s="166"/>
      <c r="G12" s="166"/>
      <c r="H12" s="166"/>
    </row>
    <row r="13" spans="1:8" ht="12.75">
      <c r="A13" s="8" t="s">
        <v>11</v>
      </c>
      <c r="B13" s="9"/>
      <c r="C13" s="185" t="s">
        <v>135</v>
      </c>
      <c r="D13" s="10"/>
      <c r="E13" s="166"/>
      <c r="F13" s="166"/>
      <c r="G13" s="166"/>
      <c r="H13" s="166"/>
    </row>
    <row r="14" spans="1:8" ht="31.5" customHeight="1">
      <c r="A14" s="325" t="s">
        <v>12</v>
      </c>
      <c r="B14" s="325"/>
      <c r="C14" s="325"/>
      <c r="D14" s="325"/>
      <c r="E14" s="166"/>
      <c r="F14" s="166"/>
      <c r="G14" s="166"/>
      <c r="H14" s="166"/>
    </row>
    <row r="15" spans="1:8" ht="12.75">
      <c r="A15" s="8" t="s">
        <v>95</v>
      </c>
      <c r="B15" s="12" t="s">
        <v>14</v>
      </c>
      <c r="C15" s="200">
        <v>181257.8</v>
      </c>
      <c r="D15" s="10"/>
      <c r="E15" s="166"/>
      <c r="F15" s="166"/>
      <c r="G15" s="166"/>
      <c r="H15" s="166"/>
    </row>
    <row r="16" spans="1:8" ht="12.75">
      <c r="A16" s="8" t="s">
        <v>15</v>
      </c>
      <c r="B16" s="12" t="s">
        <v>14</v>
      </c>
      <c r="C16" s="200">
        <v>0</v>
      </c>
      <c r="D16" s="10"/>
      <c r="E16" s="166"/>
      <c r="F16" s="166"/>
      <c r="G16" s="166"/>
      <c r="H16" s="166"/>
    </row>
    <row r="17" spans="1:8" ht="12.75">
      <c r="A17" s="8" t="s">
        <v>16</v>
      </c>
      <c r="B17" s="12" t="s">
        <v>14</v>
      </c>
      <c r="C17" s="203">
        <v>89115.81</v>
      </c>
      <c r="D17" s="202"/>
      <c r="E17" s="183"/>
      <c r="F17" s="166"/>
      <c r="G17" s="166"/>
      <c r="H17" s="166"/>
    </row>
    <row r="18" spans="1:8" ht="31.5" customHeight="1">
      <c r="A18" s="11" t="s">
        <v>17</v>
      </c>
      <c r="B18" s="12" t="s">
        <v>14</v>
      </c>
      <c r="C18" s="203">
        <f>C19+C20+C21</f>
        <v>1608463.7000000002</v>
      </c>
      <c r="D18" s="202"/>
      <c r="E18" s="173">
        <f>C18-C20</f>
        <v>1340480.33</v>
      </c>
      <c r="F18" s="166"/>
      <c r="G18" s="166"/>
      <c r="H18" s="166"/>
    </row>
    <row r="19" spans="1:8" ht="12.75">
      <c r="A19" s="8" t="s">
        <v>18</v>
      </c>
      <c r="B19" s="12" t="s">
        <v>14</v>
      </c>
      <c r="C19" s="203">
        <f>1056493.61+10000</f>
        <v>1066493.61</v>
      </c>
      <c r="D19" s="202"/>
      <c r="E19" s="173">
        <f>E56-E18</f>
        <v>10000.000000000233</v>
      </c>
      <c r="F19" s="166"/>
      <c r="G19" s="166"/>
      <c r="H19" s="166"/>
    </row>
    <row r="20" spans="1:8" ht="12.75">
      <c r="A20" s="8" t="s">
        <v>19</v>
      </c>
      <c r="B20" s="12" t="s">
        <v>14</v>
      </c>
      <c r="C20" s="203">
        <f>4849.5*6*(4.31+4.9)</f>
        <v>267983.37000000005</v>
      </c>
      <c r="D20" s="202"/>
      <c r="E20" s="173"/>
      <c r="F20" s="166"/>
      <c r="G20" s="166"/>
      <c r="H20" s="166"/>
    </row>
    <row r="21" spans="1:8" ht="12.75">
      <c r="A21" s="8" t="s">
        <v>20</v>
      </c>
      <c r="B21" s="12" t="s">
        <v>14</v>
      </c>
      <c r="C21" s="203">
        <f>4.88*12*4849.5-10000</f>
        <v>273986.72000000003</v>
      </c>
      <c r="D21" s="202"/>
      <c r="E21" s="166"/>
      <c r="F21" s="166"/>
      <c r="G21" s="166"/>
      <c r="H21" s="166"/>
    </row>
    <row r="22" spans="1:8" ht="12.75">
      <c r="A22" s="8" t="s">
        <v>21</v>
      </c>
      <c r="B22" s="12" t="s">
        <v>14</v>
      </c>
      <c r="C22" s="203">
        <f>C23+C24+C25+C26+C27</f>
        <v>1670256.9460600002</v>
      </c>
      <c r="D22" s="202" t="s">
        <v>22</v>
      </c>
      <c r="E22" s="173"/>
      <c r="F22" s="166"/>
      <c r="G22" s="166"/>
      <c r="H22" s="166"/>
    </row>
    <row r="23" spans="1:8" ht="12.75">
      <c r="A23" s="8" t="s">
        <v>23</v>
      </c>
      <c r="B23" s="12" t="s">
        <v>14</v>
      </c>
      <c r="C23" s="267">
        <f>C18*1.0238</f>
        <v>1646745.1360600002</v>
      </c>
      <c r="D23" s="202"/>
      <c r="E23" s="166"/>
      <c r="F23" s="166"/>
      <c r="G23" s="166"/>
      <c r="H23" s="166"/>
    </row>
    <row r="24" spans="1:8" ht="12.75">
      <c r="A24" s="8" t="s">
        <v>24</v>
      </c>
      <c r="B24" s="12" t="s">
        <v>14</v>
      </c>
      <c r="C24" s="267">
        <v>0</v>
      </c>
      <c r="D24" s="205">
        <v>65.21</v>
      </c>
      <c r="E24" s="174"/>
      <c r="F24" s="166"/>
      <c r="G24" s="166"/>
      <c r="H24" s="166"/>
    </row>
    <row r="25" spans="1:8" ht="12.75">
      <c r="A25" s="8" t="s">
        <v>26</v>
      </c>
      <c r="B25" s="12" t="s">
        <v>14</v>
      </c>
      <c r="C25" s="203">
        <v>0</v>
      </c>
      <c r="D25" s="205">
        <v>119.63</v>
      </c>
      <c r="E25" s="174"/>
      <c r="F25" s="166"/>
      <c r="G25" s="166"/>
      <c r="H25" s="166"/>
    </row>
    <row r="26" spans="1:8" ht="12.75">
      <c r="A26" s="9" t="s">
        <v>27</v>
      </c>
      <c r="B26" s="12" t="s">
        <v>14</v>
      </c>
      <c r="C26" s="203">
        <v>10685.02</v>
      </c>
      <c r="D26" s="205"/>
      <c r="E26" s="174"/>
      <c r="F26" s="166"/>
      <c r="G26" s="166"/>
      <c r="H26" s="166"/>
    </row>
    <row r="27" spans="1:8" ht="12.75">
      <c r="A27" s="79" t="s">
        <v>127</v>
      </c>
      <c r="B27" s="12" t="s">
        <v>14</v>
      </c>
      <c r="C27" s="203">
        <v>12826.79</v>
      </c>
      <c r="D27" s="205">
        <v>139.18</v>
      </c>
      <c r="E27" s="174"/>
      <c r="F27" s="166"/>
      <c r="G27" s="166"/>
      <c r="H27" s="166"/>
    </row>
    <row r="28" spans="1:8" ht="12.75">
      <c r="A28" s="8" t="s">
        <v>29</v>
      </c>
      <c r="B28" s="12" t="s">
        <v>14</v>
      </c>
      <c r="C28" s="203">
        <f>C15+C22</f>
        <v>1851514.7460600003</v>
      </c>
      <c r="D28" s="202" t="s">
        <v>30</v>
      </c>
      <c r="E28" s="174"/>
      <c r="F28" s="166"/>
      <c r="G28" s="166"/>
      <c r="H28" s="166"/>
    </row>
    <row r="29" spans="1:8" ht="35.25" customHeight="1">
      <c r="A29" s="326" t="s">
        <v>31</v>
      </c>
      <c r="B29" s="326"/>
      <c r="C29" s="326"/>
      <c r="D29" s="326"/>
      <c r="E29" s="166"/>
      <c r="F29" s="166"/>
      <c r="G29" s="166"/>
      <c r="H29" s="166"/>
    </row>
    <row r="30" spans="1:8" ht="51">
      <c r="A30" s="18" t="s">
        <v>32</v>
      </c>
      <c r="B30" s="268" t="s">
        <v>33</v>
      </c>
      <c r="C30" s="269" t="s">
        <v>34</v>
      </c>
      <c r="D30" s="270" t="s">
        <v>35</v>
      </c>
      <c r="E30" s="166"/>
      <c r="F30" s="166"/>
      <c r="G30" s="166"/>
      <c r="H30" s="166"/>
    </row>
    <row r="31" spans="1:8" ht="25.5">
      <c r="A31" s="81" t="s">
        <v>36</v>
      </c>
      <c r="B31" s="31" t="s">
        <v>37</v>
      </c>
      <c r="C31" s="271" t="s">
        <v>38</v>
      </c>
      <c r="D31" s="272">
        <f>4849.5*6*(0.26+0.27)</f>
        <v>15421.410000000002</v>
      </c>
      <c r="E31" s="166"/>
      <c r="F31" s="166"/>
      <c r="G31" s="166"/>
      <c r="H31" s="166"/>
    </row>
    <row r="32" spans="1:8" ht="12.75">
      <c r="A32" s="21" t="s">
        <v>96</v>
      </c>
      <c r="B32" s="34" t="s">
        <v>40</v>
      </c>
      <c r="C32" s="33" t="s">
        <v>41</v>
      </c>
      <c r="D32" s="273">
        <f>4849.5*6*(2.34+2.45)</f>
        <v>139374.63</v>
      </c>
      <c r="E32" s="166"/>
      <c r="F32" s="166"/>
      <c r="G32" s="166"/>
      <c r="H32" s="166"/>
    </row>
    <row r="33" spans="1:14" s="1" customFormat="1" ht="12.75">
      <c r="A33" s="21" t="s">
        <v>97</v>
      </c>
      <c r="B33" s="34" t="s">
        <v>43</v>
      </c>
      <c r="C33" s="33" t="s">
        <v>44</v>
      </c>
      <c r="D33" s="273">
        <f>4849.5*6*(3+3.03)</f>
        <v>175454.90999999997</v>
      </c>
      <c r="E33" s="166"/>
      <c r="F33" s="166"/>
      <c r="G33" s="166"/>
      <c r="H33" s="166"/>
      <c r="K33"/>
      <c r="L33"/>
      <c r="M33"/>
      <c r="N33"/>
    </row>
    <row r="34" spans="1:14" s="1" customFormat="1" ht="12.75">
      <c r="A34" s="21" t="s">
        <v>45</v>
      </c>
      <c r="B34" s="34" t="s">
        <v>37</v>
      </c>
      <c r="C34" s="33" t="s">
        <v>46</v>
      </c>
      <c r="D34" s="273">
        <f>4849.5*6*(0.2+0.21)</f>
        <v>11929.77</v>
      </c>
      <c r="E34" s="166"/>
      <c r="F34" s="166"/>
      <c r="G34" s="166"/>
      <c r="H34" s="166"/>
      <c r="K34"/>
      <c r="L34"/>
      <c r="M34"/>
      <c r="N34"/>
    </row>
    <row r="35" spans="1:14" s="1" customFormat="1" ht="12.75">
      <c r="A35" s="21" t="s">
        <v>47</v>
      </c>
      <c r="B35" s="34" t="s">
        <v>48</v>
      </c>
      <c r="C35" s="33" t="s">
        <v>49</v>
      </c>
      <c r="D35" s="273">
        <f>4849.5*6*(0.53+0.55)</f>
        <v>31424.760000000002</v>
      </c>
      <c r="E35" s="166"/>
      <c r="F35" s="166"/>
      <c r="G35" s="166"/>
      <c r="H35" s="166"/>
      <c r="K35"/>
      <c r="L35"/>
      <c r="M35"/>
      <c r="N35"/>
    </row>
    <row r="36" spans="1:14" s="1" customFormat="1" ht="12.75">
      <c r="A36" s="21" t="s">
        <v>98</v>
      </c>
      <c r="B36" s="34" t="s">
        <v>37</v>
      </c>
      <c r="C36" s="33" t="s">
        <v>49</v>
      </c>
      <c r="D36" s="273">
        <f>(0.99+1.04)*6*4849.5</f>
        <v>59066.91000000001</v>
      </c>
      <c r="E36" s="166"/>
      <c r="F36" s="166"/>
      <c r="G36" s="166"/>
      <c r="H36" s="166"/>
      <c r="K36"/>
      <c r="L36"/>
      <c r="M36"/>
      <c r="N36"/>
    </row>
    <row r="37" spans="1:14" s="1" customFormat="1" ht="12.75">
      <c r="A37" s="21" t="s">
        <v>51</v>
      </c>
      <c r="B37" s="34" t="s">
        <v>52</v>
      </c>
      <c r="C37" s="33" t="s">
        <v>49</v>
      </c>
      <c r="D37" s="273">
        <f>4849.5*6*(1.27+1.33)</f>
        <v>75652.2</v>
      </c>
      <c r="E37" s="166"/>
      <c r="F37" s="166"/>
      <c r="G37" s="166"/>
      <c r="H37" s="166"/>
      <c r="K37"/>
      <c r="L37"/>
      <c r="M37"/>
      <c r="N37"/>
    </row>
    <row r="38" spans="1:14" s="1" customFormat="1" ht="12.75">
      <c r="A38" s="21" t="s">
        <v>53</v>
      </c>
      <c r="B38" s="34" t="s">
        <v>43</v>
      </c>
      <c r="C38" s="194" t="s">
        <v>54</v>
      </c>
      <c r="D38" s="273">
        <f>4.88*12*4849.5</f>
        <v>283986.72000000003</v>
      </c>
      <c r="E38" s="166"/>
      <c r="F38" s="166"/>
      <c r="G38" s="166"/>
      <c r="H38" s="166"/>
      <c r="K38"/>
      <c r="L38"/>
      <c r="M38"/>
      <c r="N38"/>
    </row>
    <row r="39" spans="1:14" s="1" customFormat="1" ht="12.75">
      <c r="A39" s="21" t="s">
        <v>99</v>
      </c>
      <c r="B39" s="210" t="s">
        <v>40</v>
      </c>
      <c r="C39" s="33" t="s">
        <v>56</v>
      </c>
      <c r="D39" s="273">
        <f>4849.5*6*(2.39+2.5)</f>
        <v>142284.33000000002</v>
      </c>
      <c r="E39" s="166"/>
      <c r="F39" s="166"/>
      <c r="G39" s="166"/>
      <c r="H39" s="166"/>
      <c r="K39"/>
      <c r="L39"/>
      <c r="M39"/>
      <c r="N39"/>
    </row>
    <row r="40" spans="1:14" s="1" customFormat="1" ht="12.75">
      <c r="A40" s="21" t="s">
        <v>100</v>
      </c>
      <c r="B40" s="34" t="s">
        <v>43</v>
      </c>
      <c r="C40" s="33" t="s">
        <v>58</v>
      </c>
      <c r="D40" s="273">
        <v>283202.37</v>
      </c>
      <c r="E40" s="166"/>
      <c r="F40" s="166"/>
      <c r="G40" s="166"/>
      <c r="H40" s="166"/>
      <c r="K40"/>
      <c r="L40"/>
      <c r="M40"/>
      <c r="N40"/>
    </row>
    <row r="41" spans="1:14" s="1" customFormat="1" ht="12.75">
      <c r="A41" s="21" t="s">
        <v>59</v>
      </c>
      <c r="B41" s="34" t="s">
        <v>43</v>
      </c>
      <c r="C41" s="194" t="s">
        <v>41</v>
      </c>
      <c r="D41" s="274">
        <f>4849.5*6*(2.33+2.23)</f>
        <v>132682.32</v>
      </c>
      <c r="E41" s="166"/>
      <c r="F41" s="166"/>
      <c r="G41" s="166"/>
      <c r="H41" s="166"/>
      <c r="K41"/>
      <c r="L41"/>
      <c r="M41"/>
      <c r="N41"/>
    </row>
    <row r="42" spans="1:14" s="1" customFormat="1" ht="50.25" customHeight="1">
      <c r="A42" s="186" t="s">
        <v>297</v>
      </c>
      <c r="B42" s="275" t="s">
        <v>60</v>
      </c>
      <c r="C42" s="276"/>
      <c r="D42" s="277">
        <v>331712.52</v>
      </c>
      <c r="E42" s="167"/>
      <c r="F42" s="166"/>
      <c r="G42" s="166"/>
      <c r="H42" s="166"/>
      <c r="K42"/>
      <c r="L42"/>
      <c r="M42"/>
      <c r="N42"/>
    </row>
    <row r="43" spans="1:14" s="1" customFormat="1" ht="28.5" customHeight="1">
      <c r="A43" s="88" t="s">
        <v>144</v>
      </c>
      <c r="B43" s="278" t="s">
        <v>250</v>
      </c>
      <c r="C43" s="33" t="s">
        <v>58</v>
      </c>
      <c r="D43" s="277">
        <v>17056</v>
      </c>
      <c r="E43" s="167"/>
      <c r="F43" s="166"/>
      <c r="G43" s="166"/>
      <c r="H43" s="166"/>
      <c r="K43"/>
      <c r="L43"/>
      <c r="M43"/>
      <c r="N43"/>
    </row>
    <row r="44" spans="1:14" s="1" customFormat="1" ht="21.75" customHeight="1">
      <c r="A44" s="88" t="s">
        <v>251</v>
      </c>
      <c r="B44" s="278" t="s">
        <v>252</v>
      </c>
      <c r="C44" s="33" t="s">
        <v>49</v>
      </c>
      <c r="D44" s="277">
        <v>1100</v>
      </c>
      <c r="E44" s="167"/>
      <c r="F44" s="166"/>
      <c r="G44" s="166"/>
      <c r="H44" s="166"/>
      <c r="K44"/>
      <c r="L44"/>
      <c r="M44"/>
      <c r="N44"/>
    </row>
    <row r="45" spans="1:14" s="1" customFormat="1" ht="21.75" customHeight="1">
      <c r="A45" s="88" t="s">
        <v>253</v>
      </c>
      <c r="B45" s="275" t="s">
        <v>254</v>
      </c>
      <c r="C45" s="33" t="s">
        <v>49</v>
      </c>
      <c r="D45" s="277">
        <v>1229</v>
      </c>
      <c r="E45" s="167"/>
      <c r="F45" s="166"/>
      <c r="G45" s="166"/>
      <c r="H45" s="166"/>
      <c r="K45"/>
      <c r="L45"/>
      <c r="M45"/>
      <c r="N45"/>
    </row>
    <row r="46" spans="1:14" s="1" customFormat="1" ht="17.25" customHeight="1">
      <c r="A46" s="88" t="s">
        <v>255</v>
      </c>
      <c r="B46" s="275" t="s">
        <v>217</v>
      </c>
      <c r="C46" s="276" t="s">
        <v>256</v>
      </c>
      <c r="D46" s="277">
        <v>11210</v>
      </c>
      <c r="E46" s="167"/>
      <c r="F46" s="166"/>
      <c r="G46" s="166"/>
      <c r="H46" s="166"/>
      <c r="K46"/>
      <c r="L46"/>
      <c r="M46"/>
      <c r="N46"/>
    </row>
    <row r="47" spans="1:14" s="1" customFormat="1" ht="21.75" customHeight="1">
      <c r="A47" s="186" t="s">
        <v>257</v>
      </c>
      <c r="B47" s="275" t="s">
        <v>219</v>
      </c>
      <c r="C47" s="33" t="s">
        <v>49</v>
      </c>
      <c r="D47" s="277">
        <v>1640</v>
      </c>
      <c r="E47" s="167"/>
      <c r="F47" s="166"/>
      <c r="G47" s="166"/>
      <c r="H47" s="166"/>
      <c r="K47"/>
      <c r="L47"/>
      <c r="M47"/>
      <c r="N47"/>
    </row>
    <row r="48" spans="1:14" s="1" customFormat="1" ht="17.25" customHeight="1">
      <c r="A48" s="88" t="s">
        <v>258</v>
      </c>
      <c r="B48" s="275" t="s">
        <v>244</v>
      </c>
      <c r="C48" s="276" t="s">
        <v>152</v>
      </c>
      <c r="D48" s="277">
        <v>27717</v>
      </c>
      <c r="E48" s="167"/>
      <c r="F48" s="166"/>
      <c r="G48" s="166"/>
      <c r="H48" s="166"/>
      <c r="K48"/>
      <c r="L48"/>
      <c r="M48"/>
      <c r="N48"/>
    </row>
    <row r="49" spans="1:14" s="1" customFormat="1" ht="18" customHeight="1">
      <c r="A49" s="88" t="s">
        <v>222</v>
      </c>
      <c r="B49" s="275" t="s">
        <v>259</v>
      </c>
      <c r="C49" s="33" t="s">
        <v>49</v>
      </c>
      <c r="D49" s="277">
        <v>158308</v>
      </c>
      <c r="E49" s="167"/>
      <c r="F49" s="166"/>
      <c r="G49" s="166"/>
      <c r="H49" s="166"/>
      <c r="K49"/>
      <c r="L49"/>
      <c r="M49"/>
      <c r="N49"/>
    </row>
    <row r="50" spans="1:14" s="1" customFormat="1" ht="23.25" customHeight="1">
      <c r="A50" s="88" t="s">
        <v>260</v>
      </c>
      <c r="B50" s="275" t="s">
        <v>237</v>
      </c>
      <c r="C50" s="33" t="s">
        <v>49</v>
      </c>
      <c r="D50" s="277">
        <v>24617</v>
      </c>
      <c r="E50" s="167"/>
      <c r="F50" s="166"/>
      <c r="G50" s="166"/>
      <c r="H50" s="166"/>
      <c r="K50"/>
      <c r="L50"/>
      <c r="M50"/>
      <c r="N50"/>
    </row>
    <row r="51" spans="1:14" s="1" customFormat="1" ht="19.5" customHeight="1">
      <c r="A51" s="88" t="s">
        <v>261</v>
      </c>
      <c r="B51" s="275" t="s">
        <v>224</v>
      </c>
      <c r="C51" s="194" t="s">
        <v>41</v>
      </c>
      <c r="D51" s="277">
        <v>3436.52</v>
      </c>
      <c r="E51" s="167"/>
      <c r="F51" s="166"/>
      <c r="G51" s="166"/>
      <c r="H51" s="166"/>
      <c r="K51"/>
      <c r="L51"/>
      <c r="M51"/>
      <c r="N51"/>
    </row>
    <row r="52" spans="1:14" s="1" customFormat="1" ht="28.5" customHeight="1">
      <c r="A52" s="88" t="s">
        <v>262</v>
      </c>
      <c r="B52" s="275" t="s">
        <v>263</v>
      </c>
      <c r="C52" s="33" t="s">
        <v>49</v>
      </c>
      <c r="D52" s="277">
        <v>2526</v>
      </c>
      <c r="E52" s="167"/>
      <c r="F52" s="166"/>
      <c r="G52" s="166"/>
      <c r="H52" s="166"/>
      <c r="K52"/>
      <c r="L52"/>
      <c r="M52"/>
      <c r="N52"/>
    </row>
    <row r="53" spans="1:14" s="1" customFormat="1" ht="25.5" customHeight="1">
      <c r="A53" s="88" t="s">
        <v>264</v>
      </c>
      <c r="B53" s="275" t="s">
        <v>226</v>
      </c>
      <c r="C53" s="276" t="s">
        <v>265</v>
      </c>
      <c r="D53" s="277">
        <v>3500</v>
      </c>
      <c r="E53" s="167"/>
      <c r="F53" s="166"/>
      <c r="G53" s="166"/>
      <c r="H53" s="166"/>
      <c r="K53"/>
      <c r="L53"/>
      <c r="M53"/>
      <c r="N53"/>
    </row>
    <row r="54" spans="1:14" s="1" customFormat="1" ht="21.75" customHeight="1">
      <c r="A54" s="88" t="s">
        <v>266</v>
      </c>
      <c r="B54" s="275" t="s">
        <v>239</v>
      </c>
      <c r="C54" s="276" t="s">
        <v>152</v>
      </c>
      <c r="D54" s="277">
        <v>18001</v>
      </c>
      <c r="E54" s="167"/>
      <c r="F54" s="166"/>
      <c r="G54" s="166"/>
      <c r="H54" s="166"/>
      <c r="K54"/>
      <c r="L54"/>
      <c r="M54"/>
      <c r="N54"/>
    </row>
    <row r="55" spans="1:14" s="1" customFormat="1" ht="21.75" customHeight="1">
      <c r="A55" s="88" t="s">
        <v>267</v>
      </c>
      <c r="B55" s="275" t="s">
        <v>239</v>
      </c>
      <c r="C55" s="276" t="s">
        <v>152</v>
      </c>
      <c r="D55" s="277">
        <v>61372</v>
      </c>
      <c r="E55" s="167"/>
      <c r="F55" s="166"/>
      <c r="G55" s="166"/>
      <c r="H55" s="166"/>
      <c r="K55"/>
      <c r="L55"/>
      <c r="M55"/>
      <c r="N55"/>
    </row>
    <row r="56" spans="1:14" s="1" customFormat="1" ht="12.75">
      <c r="A56" s="92" t="s">
        <v>104</v>
      </c>
      <c r="B56" s="279"/>
      <c r="C56" s="280"/>
      <c r="D56" s="281">
        <f>SUM(D31:D42)</f>
        <v>1682192.8500000003</v>
      </c>
      <c r="E56" s="166">
        <f>D56-D42</f>
        <v>1350480.3300000003</v>
      </c>
      <c r="K56"/>
      <c r="L56"/>
      <c r="M56"/>
      <c r="N56"/>
    </row>
    <row r="57" spans="1:14" s="1" customFormat="1" ht="25.5">
      <c r="A57" s="306" t="s">
        <v>62</v>
      </c>
      <c r="B57" s="31" t="s">
        <v>14</v>
      </c>
      <c r="C57" s="282"/>
      <c r="D57" s="283">
        <f>C15+C20*1.0238+C26+C27-D42</f>
        <v>147418.46420600003</v>
      </c>
      <c r="E57" s="166"/>
      <c r="K57"/>
      <c r="L57"/>
      <c r="M57"/>
      <c r="N57"/>
    </row>
    <row r="58" spans="1:5" ht="12.75">
      <c r="A58" s="33" t="s">
        <v>15</v>
      </c>
      <c r="B58" s="34" t="s">
        <v>14</v>
      </c>
      <c r="C58" s="33"/>
      <c r="D58" s="10"/>
      <c r="E58" s="166"/>
    </row>
    <row r="59" spans="1:5" ht="12.75">
      <c r="A59" s="33" t="s">
        <v>16</v>
      </c>
      <c r="B59" s="34" t="s">
        <v>14</v>
      </c>
      <c r="C59" s="33"/>
      <c r="D59" s="10">
        <v>50834.37</v>
      </c>
      <c r="E59" s="166"/>
    </row>
    <row r="60" spans="1:5" ht="24" customHeight="1">
      <c r="A60" s="327" t="s">
        <v>63</v>
      </c>
      <c r="B60" s="327"/>
      <c r="C60" s="327"/>
      <c r="D60" s="327"/>
      <c r="E60" s="166"/>
    </row>
    <row r="61" spans="1:5" ht="12.75">
      <c r="A61" s="33" t="s">
        <v>64</v>
      </c>
      <c r="B61" s="34" t="s">
        <v>65</v>
      </c>
      <c r="C61" s="33">
        <v>2</v>
      </c>
      <c r="D61" s="10"/>
      <c r="E61" s="166"/>
    </row>
    <row r="62" spans="1:5" ht="12.75">
      <c r="A62" s="33" t="s">
        <v>66</v>
      </c>
      <c r="B62" s="34" t="s">
        <v>65</v>
      </c>
      <c r="C62" s="33">
        <v>2</v>
      </c>
      <c r="D62" s="10"/>
      <c r="E62" s="166"/>
    </row>
    <row r="63" spans="1:5" ht="25.5">
      <c r="A63" s="35" t="s">
        <v>67</v>
      </c>
      <c r="B63" s="34" t="s">
        <v>65</v>
      </c>
      <c r="C63" s="33">
        <v>0</v>
      </c>
      <c r="D63" s="10"/>
      <c r="E63" s="166"/>
    </row>
    <row r="64" spans="1:5" ht="12.75">
      <c r="A64" s="33" t="s">
        <v>68</v>
      </c>
      <c r="B64" s="34" t="s">
        <v>14</v>
      </c>
      <c r="C64" s="33">
        <v>10000</v>
      </c>
      <c r="D64" s="10"/>
      <c r="E64" s="166"/>
    </row>
    <row r="65" spans="1:5" ht="20.25" customHeight="1">
      <c r="A65" s="328" t="s">
        <v>69</v>
      </c>
      <c r="B65" s="328"/>
      <c r="C65" s="328"/>
      <c r="D65" s="328"/>
      <c r="E65" s="166"/>
    </row>
    <row r="66" spans="1:5" ht="25.5">
      <c r="A66" s="35" t="s">
        <v>70</v>
      </c>
      <c r="B66" s="34" t="s">
        <v>14</v>
      </c>
      <c r="C66" s="33"/>
      <c r="D66" s="10"/>
      <c r="E66" s="166"/>
    </row>
    <row r="67" spans="1:5" ht="12.75">
      <c r="A67" s="33" t="s">
        <v>15</v>
      </c>
      <c r="B67" s="34" t="s">
        <v>14</v>
      </c>
      <c r="C67" s="33"/>
      <c r="D67" s="10">
        <v>0</v>
      </c>
      <c r="E67" s="166"/>
    </row>
    <row r="68" spans="1:8" ht="12.75">
      <c r="A68" s="33" t="s">
        <v>16</v>
      </c>
      <c r="B68" s="34" t="s">
        <v>14</v>
      </c>
      <c r="C68" s="33"/>
      <c r="D68" s="215">
        <f>D71-D74-D75-D76-D77</f>
        <v>160657.2545200002</v>
      </c>
      <c r="E68" s="166"/>
      <c r="H68" s="36"/>
    </row>
    <row r="69" spans="1:4" ht="25.5">
      <c r="A69" s="37" t="s">
        <v>128</v>
      </c>
      <c r="B69" s="34" t="s">
        <v>14</v>
      </c>
      <c r="C69" s="284"/>
      <c r="D69" s="217">
        <v>0</v>
      </c>
    </row>
    <row r="70" spans="1:10" ht="17.25" customHeight="1">
      <c r="A70" s="40" t="s">
        <v>15</v>
      </c>
      <c r="B70" s="34" t="s">
        <v>14</v>
      </c>
      <c r="C70" s="33"/>
      <c r="D70" s="10"/>
      <c r="I70" s="36"/>
      <c r="J70" s="36"/>
    </row>
    <row r="71" spans="1:14" ht="12.75">
      <c r="A71" s="41" t="s">
        <v>16</v>
      </c>
      <c r="B71" s="34" t="s">
        <v>14</v>
      </c>
      <c r="C71" s="285"/>
      <c r="D71" s="285">
        <v>91643.79</v>
      </c>
      <c r="H71" s="1" t="s">
        <v>30</v>
      </c>
      <c r="I71" s="43"/>
      <c r="J71" s="43"/>
      <c r="K71" s="44"/>
      <c r="L71" s="44"/>
      <c r="M71" s="44"/>
      <c r="N71" s="44"/>
    </row>
    <row r="72" spans="1:14" ht="18" customHeight="1">
      <c r="A72" s="329" t="s">
        <v>72</v>
      </c>
      <c r="B72" s="329"/>
      <c r="C72" s="329"/>
      <c r="D72" s="329"/>
      <c r="E72" s="45"/>
      <c r="F72" s="46"/>
      <c r="G72" s="47"/>
      <c r="I72" s="48"/>
      <c r="J72" s="48"/>
      <c r="K72" s="49"/>
      <c r="L72" s="49"/>
      <c r="M72" s="49"/>
      <c r="N72" s="49"/>
    </row>
    <row r="73" spans="1:14" ht="38.25">
      <c r="A73" s="50" t="s">
        <v>73</v>
      </c>
      <c r="B73" s="51" t="s">
        <v>74</v>
      </c>
      <c r="C73" s="219" t="s">
        <v>75</v>
      </c>
      <c r="D73" s="220" t="s">
        <v>76</v>
      </c>
      <c r="E73" s="45"/>
      <c r="F73" s="46"/>
      <c r="G73" s="47"/>
      <c r="I73" s="48"/>
      <c r="J73" s="48"/>
      <c r="K73" s="49"/>
      <c r="L73" s="49"/>
      <c r="M73" s="49"/>
      <c r="N73" s="49"/>
    </row>
    <row r="74" spans="1:14" ht="12.75">
      <c r="A74" s="55" t="s">
        <v>77</v>
      </c>
      <c r="B74" s="200">
        <v>156616.21</v>
      </c>
      <c r="C74" s="221">
        <f>B74*1.0238</f>
        <v>160343.675798</v>
      </c>
      <c r="D74" s="222">
        <f>B74-C74</f>
        <v>-3727.4657980000193</v>
      </c>
      <c r="E74" s="45"/>
      <c r="F74" s="46"/>
      <c r="G74" s="47"/>
      <c r="I74" s="48"/>
      <c r="J74" s="48"/>
      <c r="K74" s="49"/>
      <c r="L74" s="49"/>
      <c r="M74" s="49"/>
      <c r="N74" s="49"/>
    </row>
    <row r="75" spans="1:14" ht="12.75">
      <c r="A75" s="55" t="s">
        <v>78</v>
      </c>
      <c r="B75" s="200">
        <v>299361.04</v>
      </c>
      <c r="C75" s="221">
        <f>B75*1.0238</f>
        <v>306485.832752</v>
      </c>
      <c r="D75" s="222">
        <f>B75-C75</f>
        <v>-7124.792752000038</v>
      </c>
      <c r="E75" s="45"/>
      <c r="F75" s="46"/>
      <c r="G75" s="47"/>
      <c r="I75" s="48"/>
      <c r="J75" s="48"/>
      <c r="K75" s="49"/>
      <c r="L75" s="49"/>
      <c r="M75" s="49"/>
      <c r="N75" s="49"/>
    </row>
    <row r="76" spans="1:14" ht="12.75">
      <c r="A76" s="55" t="s">
        <v>79</v>
      </c>
      <c r="B76" s="223">
        <v>2025925.14</v>
      </c>
      <c r="C76" s="221">
        <f>B76*1.0238</f>
        <v>2074142.158332</v>
      </c>
      <c r="D76" s="222">
        <f>B76-C76</f>
        <v>-48217.01833200012</v>
      </c>
      <c r="E76" s="45">
        <f>(2.07+1.8)*6*2301.2-0.37*2301.2*6</f>
        <v>48325.2</v>
      </c>
      <c r="F76" s="58"/>
      <c r="G76" s="59"/>
      <c r="H76" s="45"/>
      <c r="I76" s="48"/>
      <c r="J76" s="48"/>
      <c r="K76" s="49"/>
      <c r="L76" s="49"/>
      <c r="M76" s="49"/>
      <c r="N76" s="49"/>
    </row>
    <row r="77" spans="1:14" ht="12.75">
      <c r="A77" s="55" t="s">
        <v>80</v>
      </c>
      <c r="B77" s="223">
        <v>417823.01</v>
      </c>
      <c r="C77" s="221">
        <f>B77*1.0238</f>
        <v>427767.197638</v>
      </c>
      <c r="D77" s="222">
        <f>B77-C77</f>
        <v>-9944.187638000003</v>
      </c>
      <c r="E77" s="45"/>
      <c r="F77" s="58"/>
      <c r="G77" s="59"/>
      <c r="I77" s="48"/>
      <c r="J77" s="48"/>
      <c r="K77" s="49"/>
      <c r="L77" s="49"/>
      <c r="M77" s="49"/>
      <c r="N77" s="49"/>
    </row>
    <row r="78" spans="1:14" ht="13.5" thickBot="1">
      <c r="A78" s="137" t="s">
        <v>81</v>
      </c>
      <c r="B78" s="224">
        <v>0</v>
      </c>
      <c r="C78" s="225">
        <f>B78*1.0095</f>
        <v>0</v>
      </c>
      <c r="D78" s="226">
        <f>B78-C78</f>
        <v>0</v>
      </c>
      <c r="E78" s="45"/>
      <c r="F78" s="58"/>
      <c r="G78" s="59"/>
      <c r="I78" s="48"/>
      <c r="J78" s="48"/>
      <c r="K78" s="49"/>
      <c r="L78" s="49"/>
      <c r="M78" s="49"/>
      <c r="N78" s="49"/>
    </row>
    <row r="79" spans="1:14" ht="63.75">
      <c r="A79" s="141" t="s">
        <v>82</v>
      </c>
      <c r="B79" s="142" t="s">
        <v>83</v>
      </c>
      <c r="C79" s="227" t="s">
        <v>84</v>
      </c>
      <c r="D79" s="228" t="s">
        <v>85</v>
      </c>
      <c r="E79" s="45"/>
      <c r="F79" s="58"/>
      <c r="H79" s="48"/>
      <c r="I79" s="48"/>
      <c r="J79" s="48"/>
      <c r="K79" s="49"/>
      <c r="L79" s="49"/>
      <c r="M79" s="49"/>
      <c r="N79" s="49"/>
    </row>
    <row r="80" spans="1:14" ht="12.75">
      <c r="A80" s="145" t="s">
        <v>77</v>
      </c>
      <c r="B80" s="113">
        <f>B74</f>
        <v>156616.21</v>
      </c>
      <c r="C80" s="229">
        <f>C74</f>
        <v>160343.675798</v>
      </c>
      <c r="D80" s="230">
        <f>B80-C80</f>
        <v>-3727.4657980000193</v>
      </c>
      <c r="E80" s="45"/>
      <c r="F80" s="58"/>
      <c r="H80" s="48"/>
      <c r="I80" s="48"/>
      <c r="J80" s="48" t="s">
        <v>30</v>
      </c>
      <c r="K80" s="49"/>
      <c r="L80" s="49"/>
      <c r="M80" s="49"/>
      <c r="N80" s="49"/>
    </row>
    <row r="81" spans="1:14" ht="12.75">
      <c r="A81" s="145" t="s">
        <v>78</v>
      </c>
      <c r="B81" s="113">
        <f>B75</f>
        <v>299361.04</v>
      </c>
      <c r="C81" s="229">
        <f>C75</f>
        <v>306485.832752</v>
      </c>
      <c r="D81" s="230">
        <f>B81-C81</f>
        <v>-7124.792752000038</v>
      </c>
      <c r="E81" s="45"/>
      <c r="F81" s="58"/>
      <c r="H81" s="48"/>
      <c r="I81" s="48"/>
      <c r="J81" s="48"/>
      <c r="K81" s="49"/>
      <c r="L81" s="49"/>
      <c r="M81" s="49"/>
      <c r="N81" s="49"/>
    </row>
    <row r="82" spans="1:14" ht="12.75">
      <c r="A82" s="145" t="s">
        <v>79</v>
      </c>
      <c r="B82" s="113">
        <v>2239163.1</v>
      </c>
      <c r="C82" s="229">
        <v>2074142.16</v>
      </c>
      <c r="D82" s="230">
        <f>B82-C82</f>
        <v>165020.94000000018</v>
      </c>
      <c r="E82" s="45"/>
      <c r="F82" s="58"/>
      <c r="H82" s="48"/>
      <c r="I82" s="48"/>
      <c r="J82" s="48"/>
      <c r="K82" s="49"/>
      <c r="L82" s="49"/>
      <c r="M82" s="49"/>
      <c r="N82" s="49"/>
    </row>
    <row r="83" spans="1:14" ht="12.75">
      <c r="A83" s="145" t="s">
        <v>80</v>
      </c>
      <c r="B83" s="113">
        <f>B77</f>
        <v>417823.01</v>
      </c>
      <c r="C83" s="229">
        <f>C77</f>
        <v>427767.197638</v>
      </c>
      <c r="D83" s="230">
        <f>B83-C83</f>
        <v>-9944.187638000003</v>
      </c>
      <c r="E83" s="45"/>
      <c r="F83" s="58"/>
      <c r="H83" s="48"/>
      <c r="I83" s="48"/>
      <c r="J83" s="48"/>
      <c r="K83" s="49"/>
      <c r="L83" s="49"/>
      <c r="M83" s="49"/>
      <c r="N83" s="49"/>
    </row>
    <row r="84" spans="1:14" ht="13.5" thickBot="1">
      <c r="A84" s="147" t="s">
        <v>81</v>
      </c>
      <c r="B84" s="148"/>
      <c r="C84" s="231"/>
      <c r="D84" s="232">
        <f>B84-C84</f>
        <v>0</v>
      </c>
      <c r="E84" s="45"/>
      <c r="F84" s="58"/>
      <c r="H84" s="48" t="s">
        <v>30</v>
      </c>
      <c r="I84" s="48"/>
      <c r="J84" s="48"/>
      <c r="K84" s="49"/>
      <c r="L84" s="49"/>
      <c r="M84" s="49"/>
      <c r="N84" s="49"/>
    </row>
    <row r="85" spans="1:14" ht="12.75">
      <c r="A85" s="162"/>
      <c r="B85" s="60"/>
      <c r="C85" s="233"/>
      <c r="D85" s="286"/>
      <c r="E85" s="45"/>
      <c r="F85" s="58"/>
      <c r="H85" s="48"/>
      <c r="I85" s="48"/>
      <c r="J85" s="48"/>
      <c r="K85" s="49"/>
      <c r="L85" s="49"/>
      <c r="M85" s="49"/>
      <c r="N85" s="49"/>
    </row>
    <row r="86" spans="1:14" ht="25.5">
      <c r="A86" s="103" t="s">
        <v>86</v>
      </c>
      <c r="B86" s="60" t="s">
        <v>14</v>
      </c>
      <c r="C86" s="235"/>
      <c r="D86" s="287"/>
      <c r="E86" s="45"/>
      <c r="F86" s="58"/>
      <c r="H86" s="48"/>
      <c r="I86" s="48"/>
      <c r="J86" s="48" t="s">
        <v>30</v>
      </c>
      <c r="K86" s="49"/>
      <c r="L86" s="49"/>
      <c r="M86" s="49"/>
      <c r="N86" s="49"/>
    </row>
    <row r="87" spans="1:14" ht="17.25" customHeight="1">
      <c r="A87" s="348" t="s">
        <v>87</v>
      </c>
      <c r="B87" s="348"/>
      <c r="C87" s="348"/>
      <c r="D87" s="348"/>
      <c r="E87" s="67" t="e">
        <f>D87+B19</f>
        <v>#VALUE!</v>
      </c>
      <c r="F87" s="48"/>
      <c r="H87" s="68" t="e">
        <f>E87-B18</f>
        <v>#VALUE!</v>
      </c>
      <c r="I87" s="48"/>
      <c r="J87" s="48"/>
      <c r="K87" s="49"/>
      <c r="L87" s="49"/>
      <c r="M87" s="49"/>
      <c r="N87" s="49"/>
    </row>
    <row r="88" spans="1:5" ht="21" customHeight="1">
      <c r="A88" s="69" t="s">
        <v>64</v>
      </c>
      <c r="B88" s="69" t="s">
        <v>65</v>
      </c>
      <c r="C88" s="132">
        <v>1</v>
      </c>
      <c r="D88" s="265"/>
      <c r="E88" s="72"/>
    </row>
    <row r="89" spans="1:5" ht="21" customHeight="1">
      <c r="A89" s="69" t="s">
        <v>66</v>
      </c>
      <c r="B89" s="69" t="s">
        <v>65</v>
      </c>
      <c r="C89" s="133">
        <v>1</v>
      </c>
      <c r="D89" s="265"/>
      <c r="E89" s="72"/>
    </row>
    <row r="90" spans="1:14" s="1" customFormat="1" ht="18" customHeight="1">
      <c r="A90" s="69" t="s">
        <v>67</v>
      </c>
      <c r="B90" s="69" t="s">
        <v>65</v>
      </c>
      <c r="C90" s="133">
        <v>0</v>
      </c>
      <c r="D90" s="265"/>
      <c r="E90" s="72"/>
      <c r="K90"/>
      <c r="L90"/>
      <c r="M90"/>
      <c r="N90"/>
    </row>
    <row r="91" spans="1:14" s="1" customFormat="1" ht="16.5" customHeight="1">
      <c r="A91" s="69" t="s">
        <v>68</v>
      </c>
      <c r="B91" s="69" t="s">
        <v>14</v>
      </c>
      <c r="C91" s="133">
        <v>707.04</v>
      </c>
      <c r="D91" s="265"/>
      <c r="E91" s="72"/>
      <c r="K91"/>
      <c r="L91"/>
      <c r="M91"/>
      <c r="N91"/>
    </row>
    <row r="92" spans="1:14" s="1" customFormat="1" ht="15.75" customHeight="1">
      <c r="A92" s="334" t="s">
        <v>88</v>
      </c>
      <c r="B92" s="334"/>
      <c r="C92" s="334"/>
      <c r="D92" s="334"/>
      <c r="E92" s="72"/>
      <c r="K92"/>
      <c r="L92"/>
      <c r="M92"/>
      <c r="N92"/>
    </row>
    <row r="93" spans="1:14" s="1" customFormat="1" ht="18.75" customHeight="1">
      <c r="A93" s="69" t="s">
        <v>89</v>
      </c>
      <c r="B93" s="69" t="s">
        <v>65</v>
      </c>
      <c r="C93" s="133">
        <v>3</v>
      </c>
      <c r="D93" s="265"/>
      <c r="E93" s="72"/>
      <c r="K93"/>
      <c r="L93"/>
      <c r="M93"/>
      <c r="N93"/>
    </row>
    <row r="94" spans="1:14" s="1" customFormat="1" ht="21.75" customHeight="1">
      <c r="A94" s="69" t="s">
        <v>90</v>
      </c>
      <c r="B94" s="40" t="s">
        <v>65</v>
      </c>
      <c r="C94" s="135">
        <v>5</v>
      </c>
      <c r="D94" s="265"/>
      <c r="E94" s="72"/>
      <c r="K94"/>
      <c r="L94"/>
      <c r="M94"/>
      <c r="N94"/>
    </row>
    <row r="95" spans="1:14" s="1" customFormat="1" ht="36" customHeight="1">
      <c r="A95" s="73" t="s">
        <v>91</v>
      </c>
      <c r="B95" s="69" t="s">
        <v>14</v>
      </c>
      <c r="C95" s="133">
        <v>94263</v>
      </c>
      <c r="D95" s="265"/>
      <c r="E95" s="72"/>
      <c r="K95"/>
      <c r="L95"/>
      <c r="M95"/>
      <c r="N95"/>
    </row>
    <row r="96" spans="1:14" s="1" customFormat="1" ht="12.75">
      <c r="A96" s="49"/>
      <c r="B96" s="49"/>
      <c r="C96" s="49"/>
      <c r="D96" s="240"/>
      <c r="K96"/>
      <c r="L96"/>
      <c r="M96"/>
      <c r="N96"/>
    </row>
    <row r="97" spans="1:14" s="1" customFormat="1" ht="12.75">
      <c r="A97" s="183"/>
      <c r="B97" s="183"/>
      <c r="C97" s="183"/>
      <c r="D97" s="183"/>
      <c r="H97" s="1" t="s">
        <v>30</v>
      </c>
      <c r="K97"/>
      <c r="L97"/>
      <c r="M97"/>
      <c r="N97"/>
    </row>
    <row r="98" spans="1:14" s="1" customFormat="1" ht="12.75">
      <c r="A98" s="190" t="s">
        <v>335</v>
      </c>
      <c r="B98" s="183"/>
      <c r="C98" s="183"/>
      <c r="D98" s="183"/>
      <c r="K98"/>
      <c r="L98"/>
      <c r="M98"/>
      <c r="N98"/>
    </row>
    <row r="99" spans="1:14" s="1" customFormat="1" ht="12.75">
      <c r="A99" s="183"/>
      <c r="B99" s="183"/>
      <c r="C99" s="183"/>
      <c r="D99" s="183"/>
      <c r="H99" s="1" t="s">
        <v>30</v>
      </c>
      <c r="K99"/>
      <c r="L99"/>
      <c r="M99"/>
      <c r="N99"/>
    </row>
    <row r="100" spans="1:14" s="1" customFormat="1" ht="12.75">
      <c r="A100" s="183" t="s">
        <v>93</v>
      </c>
      <c r="B100" s="183"/>
      <c r="C100" s="183"/>
      <c r="D100" s="183"/>
      <c r="K100"/>
      <c r="L100"/>
      <c r="M100"/>
      <c r="N100"/>
    </row>
    <row r="101" spans="1:4" ht="12.75">
      <c r="A101" s="183"/>
      <c r="B101" s="183"/>
      <c r="C101" s="183"/>
      <c r="D101" s="183"/>
    </row>
    <row r="102" spans="1:4" ht="12.75">
      <c r="A102" s="183"/>
      <c r="B102" s="183"/>
      <c r="C102" s="183"/>
      <c r="D102" s="183"/>
    </row>
    <row r="103" spans="1:4" ht="12.75">
      <c r="A103" s="183"/>
      <c r="B103" s="183"/>
      <c r="C103" s="183"/>
      <c r="D103" s="183"/>
    </row>
    <row r="104" spans="1:14" s="1" customFormat="1" ht="12.75">
      <c r="A104"/>
      <c r="B104"/>
      <c r="C104"/>
      <c r="D104"/>
      <c r="E104" s="1" t="s">
        <v>30</v>
      </c>
      <c r="K104"/>
      <c r="L104"/>
      <c r="M104"/>
      <c r="N104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92:D92"/>
    <mergeCell ref="A14:D14"/>
    <mergeCell ref="A29:D29"/>
    <mergeCell ref="A60:D60"/>
    <mergeCell ref="A65:D65"/>
    <mergeCell ref="A72:D72"/>
    <mergeCell ref="A87:D87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73">
      <selection activeCell="D53" sqref="D53"/>
    </sheetView>
  </sheetViews>
  <sheetFormatPr defaultColWidth="11.57421875" defaultRowHeight="12.75"/>
  <cols>
    <col min="1" max="1" width="55.28125" style="0" customWidth="1"/>
    <col min="2" max="2" width="16.28125" style="0" customWidth="1"/>
    <col min="3" max="3" width="23.140625" style="0" customWidth="1"/>
    <col min="4" max="4" width="18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130</v>
      </c>
      <c r="B4" s="331"/>
      <c r="C4" s="331"/>
      <c r="D4" s="331"/>
    </row>
    <row r="5" spans="1:4" ht="12.75">
      <c r="A5" s="331" t="s">
        <v>4</v>
      </c>
      <c r="B5" s="331"/>
      <c r="C5" s="331"/>
      <c r="D5" s="331"/>
    </row>
    <row r="6" ht="8.25" customHeight="1">
      <c r="A6" s="2"/>
    </row>
    <row r="7" spans="1:4" ht="28.5" customHeight="1">
      <c r="A7" s="333" t="s">
        <v>5</v>
      </c>
      <c r="B7" s="333"/>
      <c r="C7" s="333"/>
      <c r="D7" s="333"/>
    </row>
    <row r="8" spans="1:8" ht="12.75">
      <c r="A8" s="2" t="s">
        <v>268</v>
      </c>
      <c r="C8" s="3"/>
      <c r="E8" s="166"/>
      <c r="F8" s="166"/>
      <c r="G8" s="166"/>
      <c r="H8" s="166"/>
    </row>
    <row r="9" spans="1:8" ht="12.75">
      <c r="A9" s="4" t="s">
        <v>6</v>
      </c>
      <c r="B9" s="4" t="s">
        <v>7</v>
      </c>
      <c r="C9" s="4" t="s">
        <v>8</v>
      </c>
      <c r="D9" s="5"/>
      <c r="E9" s="166"/>
      <c r="F9" s="166"/>
      <c r="G9" s="166"/>
      <c r="H9" s="166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66"/>
      <c r="F10" s="166"/>
      <c r="G10" s="166"/>
      <c r="H10" s="166"/>
    </row>
    <row r="11" spans="1:8" ht="12.75">
      <c r="A11" s="8" t="s">
        <v>9</v>
      </c>
      <c r="B11" s="9"/>
      <c r="C11" s="185" t="s">
        <v>133</v>
      </c>
      <c r="D11" s="10"/>
      <c r="E11" s="166"/>
      <c r="F11" s="166"/>
      <c r="G11" s="166"/>
      <c r="H11" s="166"/>
    </row>
    <row r="12" spans="1:8" ht="12.75">
      <c r="A12" s="8" t="s">
        <v>10</v>
      </c>
      <c r="B12" s="9"/>
      <c r="C12" s="185" t="s">
        <v>134</v>
      </c>
      <c r="D12" s="10"/>
      <c r="E12" s="166"/>
      <c r="F12" s="166"/>
      <c r="G12" s="166"/>
      <c r="H12" s="166"/>
    </row>
    <row r="13" spans="1:8" ht="12.75">
      <c r="A13" s="8" t="s">
        <v>11</v>
      </c>
      <c r="B13" s="9"/>
      <c r="C13" s="185" t="s">
        <v>135</v>
      </c>
      <c r="D13" s="10"/>
      <c r="E13" s="166"/>
      <c r="F13" s="166"/>
      <c r="G13" s="166"/>
      <c r="H13" s="166"/>
    </row>
    <row r="14" spans="1:8" ht="31.5" customHeight="1">
      <c r="A14" s="335" t="s">
        <v>12</v>
      </c>
      <c r="B14" s="335"/>
      <c r="C14" s="335"/>
      <c r="D14" s="335"/>
      <c r="E14" s="166"/>
      <c r="F14" s="166"/>
      <c r="G14" s="166"/>
      <c r="H14" s="166"/>
    </row>
    <row r="15" spans="1:8" ht="15">
      <c r="A15" s="8" t="s">
        <v>95</v>
      </c>
      <c r="B15" s="12" t="s">
        <v>14</v>
      </c>
      <c r="C15" s="13">
        <v>-60368.52</v>
      </c>
      <c r="D15" s="14"/>
      <c r="E15" s="166"/>
      <c r="F15" s="166"/>
      <c r="G15" s="166"/>
      <c r="H15" s="166"/>
    </row>
    <row r="16" spans="1:8" ht="15">
      <c r="A16" s="8" t="s">
        <v>15</v>
      </c>
      <c r="B16" s="12" t="s">
        <v>14</v>
      </c>
      <c r="C16" s="13">
        <v>0</v>
      </c>
      <c r="D16" s="14"/>
      <c r="E16" s="166"/>
      <c r="F16" s="166"/>
      <c r="G16" s="166"/>
      <c r="H16" s="166"/>
    </row>
    <row r="17" spans="1:8" ht="15">
      <c r="A17" s="8" t="s">
        <v>16</v>
      </c>
      <c r="B17" s="12" t="s">
        <v>14</v>
      </c>
      <c r="C17" s="15">
        <v>342072.05</v>
      </c>
      <c r="D17" s="16"/>
      <c r="E17" s="166"/>
      <c r="F17" s="166"/>
      <c r="G17" s="166"/>
      <c r="H17" s="166"/>
    </row>
    <row r="18" spans="1:8" ht="31.5" customHeight="1">
      <c r="A18" s="11" t="s">
        <v>17</v>
      </c>
      <c r="B18" s="12" t="s">
        <v>14</v>
      </c>
      <c r="C18" s="15">
        <f>C19+C20+C21</f>
        <v>1762290.6160000002</v>
      </c>
      <c r="D18" s="16"/>
      <c r="E18" s="173">
        <f>C18-C20</f>
        <v>1728214.958</v>
      </c>
      <c r="F18" s="166"/>
      <c r="G18" s="166"/>
      <c r="H18" s="166"/>
    </row>
    <row r="19" spans="1:8" ht="15">
      <c r="A19" s="8" t="s">
        <v>18</v>
      </c>
      <c r="B19" s="12" t="s">
        <v>14</v>
      </c>
      <c r="C19" s="15">
        <f>1260703+27269.59</f>
        <v>1287972.59</v>
      </c>
      <c r="D19" s="16"/>
      <c r="E19" s="173">
        <f>E50-E18</f>
        <v>-0.0020000000949949026</v>
      </c>
      <c r="F19" s="166"/>
      <c r="G19" s="166"/>
      <c r="H19" s="166"/>
    </row>
    <row r="20" spans="1:8" ht="15">
      <c r="A20" s="8" t="s">
        <v>19</v>
      </c>
      <c r="B20" s="12" t="s">
        <v>14</v>
      </c>
      <c r="C20" s="15">
        <f>(0.71+0.65)*6*7517.8-27269.59</f>
        <v>34075.657999999996</v>
      </c>
      <c r="D20" s="16"/>
      <c r="E20" s="173"/>
      <c r="F20" s="166"/>
      <c r="G20" s="166"/>
      <c r="H20" s="166"/>
    </row>
    <row r="21" spans="1:8" ht="15">
      <c r="A21" s="8" t="s">
        <v>20</v>
      </c>
      <c r="B21" s="12" t="s">
        <v>14</v>
      </c>
      <c r="C21" s="15">
        <f>7517.8*12*4.88</f>
        <v>440242.368</v>
      </c>
      <c r="D21" s="16"/>
      <c r="E21" s="166"/>
      <c r="F21" s="166"/>
      <c r="G21" s="166"/>
      <c r="H21" s="166"/>
    </row>
    <row r="22" spans="1:8" ht="15">
      <c r="A22" s="8" t="s">
        <v>21</v>
      </c>
      <c r="B22" s="12" t="s">
        <v>14</v>
      </c>
      <c r="C22" s="15">
        <f>C23+C26+C27</f>
        <v>1741846.8478136</v>
      </c>
      <c r="D22" s="16" t="s">
        <v>22</v>
      </c>
      <c r="E22" s="173"/>
      <c r="F22" s="166"/>
      <c r="G22" s="166"/>
      <c r="H22" s="166"/>
    </row>
    <row r="23" spans="1:8" ht="15">
      <c r="A23" s="8" t="s">
        <v>23</v>
      </c>
      <c r="B23" s="12" t="s">
        <v>14</v>
      </c>
      <c r="C23" s="76">
        <f>C18*0.9721</f>
        <v>1713122.7078136</v>
      </c>
      <c r="D23" s="16"/>
      <c r="E23" s="166"/>
      <c r="F23" s="166"/>
      <c r="G23" s="166"/>
      <c r="H23" s="166"/>
    </row>
    <row r="24" spans="1:8" ht="15">
      <c r="A24" s="8" t="s">
        <v>24</v>
      </c>
      <c r="B24" s="12" t="s">
        <v>14</v>
      </c>
      <c r="C24" s="76">
        <v>0</v>
      </c>
      <c r="D24" s="17">
        <v>65.21</v>
      </c>
      <c r="E24" s="174"/>
      <c r="F24" s="166"/>
      <c r="G24" s="166"/>
      <c r="H24" s="166"/>
    </row>
    <row r="25" spans="1:8" ht="15">
      <c r="A25" s="8" t="s">
        <v>26</v>
      </c>
      <c r="B25" s="12" t="s">
        <v>14</v>
      </c>
      <c r="C25" s="15">
        <v>0</v>
      </c>
      <c r="D25" s="17">
        <v>119.63</v>
      </c>
      <c r="E25" s="174"/>
      <c r="F25" s="166"/>
      <c r="G25" s="166"/>
      <c r="H25" s="166"/>
    </row>
    <row r="26" spans="1:8" ht="15">
      <c r="A26" s="9" t="s">
        <v>27</v>
      </c>
      <c r="B26" s="12" t="s">
        <v>14</v>
      </c>
      <c r="C26" s="15">
        <v>20417.95</v>
      </c>
      <c r="D26" s="17"/>
      <c r="E26" s="174"/>
      <c r="F26" s="166"/>
      <c r="G26" s="166"/>
      <c r="H26" s="166"/>
    </row>
    <row r="27" spans="1:8" ht="15">
      <c r="A27" s="79" t="s">
        <v>127</v>
      </c>
      <c r="B27" s="12" t="s">
        <v>14</v>
      </c>
      <c r="C27" s="15">
        <v>8306.19</v>
      </c>
      <c r="D27" s="17">
        <v>139.18</v>
      </c>
      <c r="E27" s="174"/>
      <c r="F27" s="166"/>
      <c r="G27" s="166"/>
      <c r="H27" s="166"/>
    </row>
    <row r="28" spans="1:8" ht="15">
      <c r="A28" s="8" t="s">
        <v>29</v>
      </c>
      <c r="B28" s="12" t="s">
        <v>14</v>
      </c>
      <c r="C28" s="15">
        <f>C15+C22</f>
        <v>1681478.3278136</v>
      </c>
      <c r="D28" s="16" t="s">
        <v>30</v>
      </c>
      <c r="E28" s="174"/>
      <c r="F28" s="166"/>
      <c r="G28" s="166"/>
      <c r="H28" s="166"/>
    </row>
    <row r="29" spans="1:8" ht="35.25" customHeight="1">
      <c r="A29" s="336" t="s">
        <v>31</v>
      </c>
      <c r="B29" s="336"/>
      <c r="C29" s="336"/>
      <c r="D29" s="336"/>
      <c r="E29" s="166"/>
      <c r="F29" s="166"/>
      <c r="G29" s="166"/>
      <c r="H29" s="166"/>
    </row>
    <row r="30" spans="1:8" ht="60">
      <c r="A30" s="18" t="s">
        <v>32</v>
      </c>
      <c r="B30" s="19" t="s">
        <v>33</v>
      </c>
      <c r="C30" s="80" t="s">
        <v>34</v>
      </c>
      <c r="D30" s="20" t="s">
        <v>35</v>
      </c>
      <c r="E30" s="166"/>
      <c r="F30" s="166"/>
      <c r="G30" s="166"/>
      <c r="H30" s="166"/>
    </row>
    <row r="31" spans="1:8" ht="45">
      <c r="A31" s="81" t="s">
        <v>36</v>
      </c>
      <c r="B31" s="82" t="s">
        <v>37</v>
      </c>
      <c r="C31" s="83" t="s">
        <v>38</v>
      </c>
      <c r="D31" s="118">
        <f>7517.8*6*(0.29+0.3)</f>
        <v>26613.012</v>
      </c>
      <c r="E31" s="167"/>
      <c r="F31" s="166"/>
      <c r="G31" s="166"/>
      <c r="H31" s="166"/>
    </row>
    <row r="32" spans="1:8" ht="15">
      <c r="A32" s="21" t="s">
        <v>96</v>
      </c>
      <c r="B32" s="22" t="s">
        <v>40</v>
      </c>
      <c r="C32" s="23" t="s">
        <v>41</v>
      </c>
      <c r="D32" s="119">
        <f>7517.8*6*(2.39+2.45)</f>
        <v>218316.912</v>
      </c>
      <c r="E32" s="167"/>
      <c r="F32" s="166"/>
      <c r="G32" s="166"/>
      <c r="H32" s="166"/>
    </row>
    <row r="33" spans="1:14" s="1" customFormat="1" ht="15">
      <c r="A33" s="21" t="s">
        <v>97</v>
      </c>
      <c r="B33" s="22" t="s">
        <v>43</v>
      </c>
      <c r="C33" s="23" t="s">
        <v>44</v>
      </c>
      <c r="D33" s="119">
        <f>7517.8*6*(3+3.03)</f>
        <v>271994.004</v>
      </c>
      <c r="E33" s="166"/>
      <c r="F33" s="166"/>
      <c r="G33" s="166"/>
      <c r="H33" s="166"/>
      <c r="K33"/>
      <c r="L33"/>
      <c r="M33"/>
      <c r="N33"/>
    </row>
    <row r="34" spans="1:14" s="1" customFormat="1" ht="15">
      <c r="A34" s="21" t="s">
        <v>45</v>
      </c>
      <c r="B34" s="22" t="s">
        <v>37</v>
      </c>
      <c r="C34" s="23" t="s">
        <v>46</v>
      </c>
      <c r="D34" s="119">
        <f>7517.8*6*(0.2+0.21)</f>
        <v>18493.788000000004</v>
      </c>
      <c r="E34" s="166"/>
      <c r="F34" s="166"/>
      <c r="G34" s="166"/>
      <c r="H34" s="166"/>
      <c r="K34"/>
      <c r="L34"/>
      <c r="M34"/>
      <c r="N34"/>
    </row>
    <row r="35" spans="1:14" s="1" customFormat="1" ht="15">
      <c r="A35" s="21" t="s">
        <v>47</v>
      </c>
      <c r="B35" s="22" t="s">
        <v>48</v>
      </c>
      <c r="C35" s="23" t="s">
        <v>49</v>
      </c>
      <c r="D35" s="119">
        <f>7517.8*6*(1.04+0.99)</f>
        <v>91566.80400000002</v>
      </c>
      <c r="E35" s="166"/>
      <c r="F35" s="166"/>
      <c r="G35" s="166"/>
      <c r="H35" s="166"/>
      <c r="K35"/>
      <c r="L35"/>
      <c r="M35"/>
      <c r="N35"/>
    </row>
    <row r="36" spans="1:14" s="1" customFormat="1" ht="15">
      <c r="A36" s="21" t="s">
        <v>98</v>
      </c>
      <c r="B36" s="22" t="s">
        <v>37</v>
      </c>
      <c r="C36" s="23" t="s">
        <v>49</v>
      </c>
      <c r="D36" s="119">
        <f>(0.99+1.04)*6*7517.8</f>
        <v>91566.80400000002</v>
      </c>
      <c r="E36" s="166"/>
      <c r="F36" s="166"/>
      <c r="G36" s="166"/>
      <c r="H36" s="166"/>
      <c r="K36"/>
      <c r="L36"/>
      <c r="M36"/>
      <c r="N36"/>
    </row>
    <row r="37" spans="1:14" s="1" customFormat="1" ht="15">
      <c r="A37" s="21" t="s">
        <v>51</v>
      </c>
      <c r="B37" s="22" t="s">
        <v>52</v>
      </c>
      <c r="C37" s="23" t="s">
        <v>49</v>
      </c>
      <c r="D37" s="119">
        <f>7517.8*6*(1.27+1.33)</f>
        <v>117277.68000000001</v>
      </c>
      <c r="E37" s="166"/>
      <c r="F37" s="166"/>
      <c r="G37" s="166"/>
      <c r="H37" s="166"/>
      <c r="K37"/>
      <c r="L37"/>
      <c r="M37"/>
      <c r="N37"/>
    </row>
    <row r="38" spans="1:14" s="1" customFormat="1" ht="15">
      <c r="A38" s="21" t="s">
        <v>53</v>
      </c>
      <c r="B38" s="22" t="s">
        <v>43</v>
      </c>
      <c r="C38" s="27" t="s">
        <v>54</v>
      </c>
      <c r="D38" s="119">
        <f>7517.8*12*4.88</f>
        <v>440242.368</v>
      </c>
      <c r="E38" s="166"/>
      <c r="F38" s="166"/>
      <c r="G38" s="166"/>
      <c r="H38" s="166"/>
      <c r="K38"/>
      <c r="L38"/>
      <c r="M38"/>
      <c r="N38"/>
    </row>
    <row r="39" spans="1:14" s="1" customFormat="1" ht="15">
      <c r="A39" s="21" t="s">
        <v>100</v>
      </c>
      <c r="B39" s="22" t="s">
        <v>43</v>
      </c>
      <c r="C39" s="23" t="s">
        <v>58</v>
      </c>
      <c r="D39" s="24">
        <f>(1491.6*12*0.87)+(6026.2*12*5.85)</f>
        <v>438611.54399999994</v>
      </c>
      <c r="E39" s="166"/>
      <c r="F39" s="166"/>
      <c r="G39" s="166"/>
      <c r="H39" s="166"/>
      <c r="K39"/>
      <c r="L39"/>
      <c r="M39"/>
      <c r="N39"/>
    </row>
    <row r="40" spans="1:14" s="1" customFormat="1" ht="49.5" customHeight="1">
      <c r="A40" s="88" t="s">
        <v>119</v>
      </c>
      <c r="B40" s="89" t="s">
        <v>102</v>
      </c>
      <c r="C40" s="90" t="s">
        <v>103</v>
      </c>
      <c r="D40" s="199">
        <v>13532.04</v>
      </c>
      <c r="E40" s="166"/>
      <c r="F40" s="166"/>
      <c r="G40" s="166"/>
      <c r="H40" s="166"/>
      <c r="K40"/>
      <c r="L40"/>
      <c r="M40"/>
      <c r="N40"/>
    </row>
    <row r="41" spans="1:14" s="1" customFormat="1" ht="45" customHeight="1">
      <c r="A41" s="186" t="s">
        <v>298</v>
      </c>
      <c r="B41" s="89" t="s">
        <v>60</v>
      </c>
      <c r="C41" s="90"/>
      <c r="D41" s="91">
        <v>26043.02</v>
      </c>
      <c r="E41" s="184"/>
      <c r="F41" s="166"/>
      <c r="G41" s="166"/>
      <c r="H41" s="166"/>
      <c r="K41"/>
      <c r="L41"/>
      <c r="M41"/>
      <c r="N41"/>
    </row>
    <row r="42" spans="1:14" s="1" customFormat="1" ht="15.75" customHeight="1">
      <c r="A42" s="88" t="s">
        <v>269</v>
      </c>
      <c r="B42" s="89" t="s">
        <v>215</v>
      </c>
      <c r="C42" s="23" t="s">
        <v>49</v>
      </c>
      <c r="D42" s="91">
        <v>618</v>
      </c>
      <c r="E42" s="184"/>
      <c r="F42" s="166"/>
      <c r="G42" s="166"/>
      <c r="H42" s="166"/>
      <c r="K42"/>
      <c r="L42"/>
      <c r="M42"/>
      <c r="N42"/>
    </row>
    <row r="43" spans="1:14" s="1" customFormat="1" ht="18" customHeight="1">
      <c r="A43" s="88" t="s">
        <v>270</v>
      </c>
      <c r="B43" s="89" t="s">
        <v>271</v>
      </c>
      <c r="C43" s="23" t="s">
        <v>49</v>
      </c>
      <c r="D43" s="91">
        <v>1196</v>
      </c>
      <c r="E43" s="184"/>
      <c r="F43" s="166"/>
      <c r="G43" s="166"/>
      <c r="H43" s="166"/>
      <c r="K43"/>
      <c r="L43"/>
      <c r="M43"/>
      <c r="N43"/>
    </row>
    <row r="44" spans="1:14" s="1" customFormat="1" ht="15.75" customHeight="1">
      <c r="A44" s="88" t="s">
        <v>272</v>
      </c>
      <c r="B44" s="89" t="s">
        <v>271</v>
      </c>
      <c r="C44" s="23" t="s">
        <v>49</v>
      </c>
      <c r="D44" s="91">
        <v>1084</v>
      </c>
      <c r="E44" s="184"/>
      <c r="F44" s="166"/>
      <c r="G44" s="166"/>
      <c r="H44" s="166"/>
      <c r="K44"/>
      <c r="L44"/>
      <c r="M44"/>
      <c r="N44"/>
    </row>
    <row r="45" spans="1:14" s="1" customFormat="1" ht="18" customHeight="1">
      <c r="A45" s="88" t="s">
        <v>273</v>
      </c>
      <c r="B45" s="89" t="s">
        <v>217</v>
      </c>
      <c r="C45" s="23" t="s">
        <v>49</v>
      </c>
      <c r="D45" s="91">
        <v>1603</v>
      </c>
      <c r="E45" s="184"/>
      <c r="F45" s="166"/>
      <c r="G45" s="166"/>
      <c r="H45" s="166"/>
      <c r="K45"/>
      <c r="L45"/>
      <c r="M45"/>
      <c r="N45"/>
    </row>
    <row r="46" spans="1:14" s="1" customFormat="1" ht="22.5" customHeight="1">
      <c r="A46" s="88" t="s">
        <v>274</v>
      </c>
      <c r="B46" s="89" t="s">
        <v>275</v>
      </c>
      <c r="C46" s="90" t="s">
        <v>58</v>
      </c>
      <c r="D46" s="91">
        <v>21109</v>
      </c>
      <c r="E46" s="184"/>
      <c r="F46" s="166"/>
      <c r="G46" s="166"/>
      <c r="H46" s="166"/>
      <c r="K46"/>
      <c r="L46"/>
      <c r="M46"/>
      <c r="N46"/>
    </row>
    <row r="47" spans="1:14" s="1" customFormat="1" ht="18" customHeight="1">
      <c r="A47" s="88" t="s">
        <v>276</v>
      </c>
      <c r="B47" s="89"/>
      <c r="C47" s="90"/>
      <c r="D47" s="91">
        <v>-1514.48</v>
      </c>
      <c r="E47" s="184"/>
      <c r="F47" s="166"/>
      <c r="G47" s="166"/>
      <c r="H47" s="166"/>
      <c r="K47"/>
      <c r="L47"/>
      <c r="M47"/>
      <c r="N47"/>
    </row>
    <row r="48" spans="1:14" s="1" customFormat="1" ht="25.5" customHeight="1">
      <c r="A48" s="88" t="s">
        <v>277</v>
      </c>
      <c r="B48" s="89" t="s">
        <v>278</v>
      </c>
      <c r="C48" s="23" t="s">
        <v>49</v>
      </c>
      <c r="D48" s="91">
        <v>1503</v>
      </c>
      <c r="E48" s="184"/>
      <c r="F48" s="166"/>
      <c r="G48" s="166"/>
      <c r="H48" s="166"/>
      <c r="K48"/>
      <c r="L48"/>
      <c r="M48"/>
      <c r="N48"/>
    </row>
    <row r="49" spans="1:14" s="1" customFormat="1" ht="25.5" customHeight="1">
      <c r="A49" s="88" t="s">
        <v>295</v>
      </c>
      <c r="B49" s="89" t="s">
        <v>239</v>
      </c>
      <c r="C49" s="23" t="s">
        <v>49</v>
      </c>
      <c r="D49" s="91">
        <v>444.5</v>
      </c>
      <c r="E49" s="167"/>
      <c r="F49" s="166"/>
      <c r="G49" s="166"/>
      <c r="H49" s="166"/>
      <c r="K49"/>
      <c r="L49"/>
      <c r="M49"/>
      <c r="N49"/>
    </row>
    <row r="50" spans="1:14" s="1" customFormat="1" ht="15.75">
      <c r="A50" s="92" t="s">
        <v>104</v>
      </c>
      <c r="B50" s="93"/>
      <c r="C50" s="94"/>
      <c r="D50" s="121">
        <f>D31+D32+D33+D34+D35+D36+D37+D38+D39+D40+D41</f>
        <v>1754257.976</v>
      </c>
      <c r="E50" s="167">
        <f>D50-D41</f>
        <v>1728214.956</v>
      </c>
      <c r="F50" s="166"/>
      <c r="G50" s="166"/>
      <c r="H50" s="166"/>
      <c r="K50"/>
      <c r="L50"/>
      <c r="M50"/>
      <c r="N50"/>
    </row>
    <row r="51" spans="1:14" s="1" customFormat="1" ht="15">
      <c r="A51" s="30" t="s">
        <v>62</v>
      </c>
      <c r="B51" s="31" t="s">
        <v>14</v>
      </c>
      <c r="C51" s="96"/>
      <c r="D51" s="32">
        <f>C15+C20*0.9721+C26+C27-D41</f>
        <v>-24562.4528582</v>
      </c>
      <c r="E51" s="166"/>
      <c r="F51" s="166"/>
      <c r="G51" s="166"/>
      <c r="H51" s="166"/>
      <c r="K51"/>
      <c r="L51"/>
      <c r="M51"/>
      <c r="N51"/>
    </row>
    <row r="52" spans="1:8" ht="15">
      <c r="A52" s="33" t="s">
        <v>15</v>
      </c>
      <c r="B52" s="34" t="s">
        <v>14</v>
      </c>
      <c r="C52" s="23"/>
      <c r="D52" s="14">
        <v>0</v>
      </c>
      <c r="E52" s="166"/>
      <c r="F52" s="166"/>
      <c r="G52" s="166"/>
      <c r="H52" s="166"/>
    </row>
    <row r="53" spans="1:8" ht="15">
      <c r="A53" s="33" t="s">
        <v>16</v>
      </c>
      <c r="B53" s="34" t="s">
        <v>14</v>
      </c>
      <c r="C53" s="23"/>
      <c r="D53" s="14">
        <v>292904.12</v>
      </c>
      <c r="E53" s="183"/>
      <c r="F53" s="166"/>
      <c r="G53" s="166"/>
      <c r="H53" s="166"/>
    </row>
    <row r="54" spans="1:8" ht="24" customHeight="1">
      <c r="A54" s="337" t="s">
        <v>63</v>
      </c>
      <c r="B54" s="337"/>
      <c r="C54" s="337"/>
      <c r="D54" s="337"/>
      <c r="E54" s="166"/>
      <c r="F54" s="166"/>
      <c r="G54" s="166"/>
      <c r="H54" s="166"/>
    </row>
    <row r="55" spans="1:8" ht="15">
      <c r="A55" s="33" t="s">
        <v>64</v>
      </c>
      <c r="B55" s="22" t="s">
        <v>65</v>
      </c>
      <c r="C55" s="23">
        <v>0</v>
      </c>
      <c r="D55" s="14"/>
      <c r="E55" s="166"/>
      <c r="F55" s="166"/>
      <c r="G55" s="166"/>
      <c r="H55" s="166"/>
    </row>
    <row r="56" spans="1:8" ht="15">
      <c r="A56" s="33" t="s">
        <v>66</v>
      </c>
      <c r="B56" s="22" t="s">
        <v>65</v>
      </c>
      <c r="C56" s="23">
        <v>0</v>
      </c>
      <c r="D56" s="14"/>
      <c r="E56" s="166"/>
      <c r="F56" s="166"/>
      <c r="G56" s="166"/>
      <c r="H56" s="166"/>
    </row>
    <row r="57" spans="1:8" ht="15">
      <c r="A57" s="35" t="s">
        <v>67</v>
      </c>
      <c r="B57" s="22" t="s">
        <v>65</v>
      </c>
      <c r="C57" s="23">
        <v>0</v>
      </c>
      <c r="D57" s="14"/>
      <c r="E57" s="166"/>
      <c r="F57" s="166"/>
      <c r="G57" s="166"/>
      <c r="H57" s="166"/>
    </row>
    <row r="58" spans="1:8" ht="15">
      <c r="A58" s="33" t="s">
        <v>68</v>
      </c>
      <c r="B58" s="22" t="s">
        <v>14</v>
      </c>
      <c r="C58" s="23">
        <v>0</v>
      </c>
      <c r="D58" s="14"/>
      <c r="E58" s="166"/>
      <c r="F58" s="166"/>
      <c r="G58" s="166"/>
      <c r="H58" s="166"/>
    </row>
    <row r="59" spans="1:8" ht="20.25" customHeight="1">
      <c r="A59" s="338" t="s">
        <v>69</v>
      </c>
      <c r="B59" s="338"/>
      <c r="C59" s="338"/>
      <c r="D59" s="338"/>
      <c r="E59" s="166"/>
      <c r="F59" s="166"/>
      <c r="G59" s="166"/>
      <c r="H59" s="166"/>
    </row>
    <row r="60" spans="1:8" ht="25.5">
      <c r="A60" s="35" t="s">
        <v>70</v>
      </c>
      <c r="B60" s="22" t="s">
        <v>14</v>
      </c>
      <c r="C60" s="23"/>
      <c r="D60" s="14">
        <v>0</v>
      </c>
      <c r="E60" s="166"/>
      <c r="F60" s="166"/>
      <c r="G60" s="166"/>
      <c r="H60" s="166"/>
    </row>
    <row r="61" spans="1:8" ht="15">
      <c r="A61" s="33" t="s">
        <v>15</v>
      </c>
      <c r="B61" s="22" t="s">
        <v>14</v>
      </c>
      <c r="C61" s="23"/>
      <c r="D61" s="14">
        <v>0</v>
      </c>
      <c r="E61" s="166"/>
      <c r="F61" s="166"/>
      <c r="G61" s="166"/>
      <c r="H61" s="166"/>
    </row>
    <row r="62" spans="1:8" ht="15">
      <c r="A62" s="33" t="s">
        <v>16</v>
      </c>
      <c r="B62" s="22" t="s">
        <v>14</v>
      </c>
      <c r="C62" s="23"/>
      <c r="D62" s="120">
        <f>D65+D68+D69+D70+D71+D72</f>
        <v>742851.2204800003</v>
      </c>
      <c r="E62" s="166"/>
      <c r="F62" s="166"/>
      <c r="G62" s="166"/>
      <c r="H62" s="168"/>
    </row>
    <row r="63" spans="1:8" ht="25.5">
      <c r="A63" s="37" t="s">
        <v>128</v>
      </c>
      <c r="B63" s="22" t="s">
        <v>14</v>
      </c>
      <c r="C63" s="38"/>
      <c r="D63" s="39">
        <v>0</v>
      </c>
      <c r="E63" s="166"/>
      <c r="F63" s="166"/>
      <c r="G63" s="166"/>
      <c r="H63" s="166"/>
    </row>
    <row r="64" spans="1:10" ht="17.25" customHeight="1">
      <c r="A64" s="40" t="s">
        <v>15</v>
      </c>
      <c r="B64" s="22" t="s">
        <v>14</v>
      </c>
      <c r="C64" s="23"/>
      <c r="D64" s="14">
        <v>0</v>
      </c>
      <c r="E64" s="166"/>
      <c r="F64" s="166"/>
      <c r="G64" s="166"/>
      <c r="H64" s="166"/>
      <c r="I64" s="36"/>
      <c r="J64" s="36"/>
    </row>
    <row r="65" spans="1:14" ht="15">
      <c r="A65" s="41" t="s">
        <v>16</v>
      </c>
      <c r="B65" s="22" t="s">
        <v>14</v>
      </c>
      <c r="C65" s="98"/>
      <c r="D65" s="98">
        <v>636077.05</v>
      </c>
      <c r="E65" s="166"/>
      <c r="F65" s="166"/>
      <c r="G65" s="166"/>
      <c r="H65" s="166" t="s">
        <v>30</v>
      </c>
      <c r="I65" s="43"/>
      <c r="J65" s="43"/>
      <c r="K65" s="44"/>
      <c r="L65" s="44"/>
      <c r="M65" s="44"/>
      <c r="N65" s="44"/>
    </row>
    <row r="66" spans="1:14" ht="18" customHeight="1">
      <c r="A66" s="339" t="s">
        <v>72</v>
      </c>
      <c r="B66" s="339"/>
      <c r="C66" s="339"/>
      <c r="D66" s="339"/>
      <c r="E66" s="171"/>
      <c r="F66" s="175"/>
      <c r="G66" s="176"/>
      <c r="H66" s="166"/>
      <c r="I66" s="48"/>
      <c r="J66" s="48"/>
      <c r="K66" s="49"/>
      <c r="L66" s="49"/>
      <c r="M66" s="49"/>
      <c r="N66" s="49"/>
    </row>
    <row r="67" spans="1:14" ht="38.25">
      <c r="A67" s="50" t="s">
        <v>73</v>
      </c>
      <c r="B67" s="51" t="s">
        <v>74</v>
      </c>
      <c r="C67" s="219" t="s">
        <v>75</v>
      </c>
      <c r="D67" s="220" t="s">
        <v>76</v>
      </c>
      <c r="E67" s="171"/>
      <c r="F67" s="175"/>
      <c r="G67" s="176"/>
      <c r="H67" s="166"/>
      <c r="I67" s="48"/>
      <c r="J67" s="48"/>
      <c r="K67" s="49"/>
      <c r="L67" s="49"/>
      <c r="M67" s="49"/>
      <c r="N67" s="49"/>
    </row>
    <row r="68" spans="1:14" ht="15">
      <c r="A68" s="55" t="s">
        <v>77</v>
      </c>
      <c r="B68" s="13">
        <v>214261.14</v>
      </c>
      <c r="C68" s="56">
        <f>B68*0.9721</f>
        <v>208283.254194</v>
      </c>
      <c r="D68" s="57">
        <f>B68-C68</f>
        <v>5977.885806000006</v>
      </c>
      <c r="E68" s="171"/>
      <c r="F68" s="175"/>
      <c r="G68" s="176"/>
      <c r="H68" s="166"/>
      <c r="I68" s="48"/>
      <c r="J68" s="48"/>
      <c r="K68" s="49"/>
      <c r="L68" s="49"/>
      <c r="M68" s="49"/>
      <c r="N68" s="49"/>
    </row>
    <row r="69" spans="1:14" ht="15">
      <c r="A69" s="55" t="s">
        <v>78</v>
      </c>
      <c r="B69" s="13">
        <v>404787.1</v>
      </c>
      <c r="C69" s="56">
        <f>B69*0.9721</f>
        <v>393493.53990999993</v>
      </c>
      <c r="D69" s="57">
        <f>B69-C69</f>
        <v>11293.560090000043</v>
      </c>
      <c r="E69" s="171"/>
      <c r="F69" s="175"/>
      <c r="G69" s="176"/>
      <c r="H69" s="166"/>
      <c r="I69" s="48"/>
      <c r="J69" s="48"/>
      <c r="K69" s="49"/>
      <c r="L69" s="49"/>
      <c r="M69" s="49"/>
      <c r="N69" s="49"/>
    </row>
    <row r="70" spans="1:14" ht="15">
      <c r="A70" s="55" t="s">
        <v>79</v>
      </c>
      <c r="B70" s="99">
        <v>1923306.37</v>
      </c>
      <c r="C70" s="56">
        <f>B70*0.9721</f>
        <v>1869646.122277</v>
      </c>
      <c r="D70" s="57">
        <f>B70-C70</f>
        <v>53660.247723000124</v>
      </c>
      <c r="E70" s="171">
        <f>(2.07+1.8)*6*2301.2-0.37*2301.2*6</f>
        <v>48325.2</v>
      </c>
      <c r="F70" s="178"/>
      <c r="G70" s="179"/>
      <c r="H70" s="171"/>
      <c r="I70" s="48"/>
      <c r="J70" s="48"/>
      <c r="K70" s="49"/>
      <c r="L70" s="49"/>
      <c r="M70" s="49"/>
      <c r="N70" s="49"/>
    </row>
    <row r="71" spans="1:14" ht="15">
      <c r="A71" s="55" t="s">
        <v>80</v>
      </c>
      <c r="B71" s="99">
        <v>554374.6</v>
      </c>
      <c r="C71" s="56">
        <f>B71*0.9721</f>
        <v>538907.54866</v>
      </c>
      <c r="D71" s="57">
        <f>B71-C71</f>
        <v>15467.051340000005</v>
      </c>
      <c r="E71" s="171"/>
      <c r="F71" s="178"/>
      <c r="G71" s="179"/>
      <c r="H71" s="166"/>
      <c r="I71" s="48"/>
      <c r="J71" s="48"/>
      <c r="K71" s="49"/>
      <c r="L71" s="49"/>
      <c r="M71" s="49"/>
      <c r="N71" s="49"/>
    </row>
    <row r="72" spans="1:14" ht="15.75" thickBot="1">
      <c r="A72" s="137" t="s">
        <v>81</v>
      </c>
      <c r="B72" s="138">
        <v>730301.99</v>
      </c>
      <c r="C72" s="139">
        <f>B72*0.9721</f>
        <v>709926.5644789999</v>
      </c>
      <c r="D72" s="140">
        <f>B72-C72</f>
        <v>20375.425521000056</v>
      </c>
      <c r="E72" s="171"/>
      <c r="F72" s="178"/>
      <c r="G72" s="179"/>
      <c r="H72" s="166"/>
      <c r="I72" s="48"/>
      <c r="J72" s="48"/>
      <c r="K72" s="49"/>
      <c r="L72" s="49"/>
      <c r="M72" s="49"/>
      <c r="N72" s="49"/>
    </row>
    <row r="73" spans="1:14" ht="63.75">
      <c r="A73" s="141" t="s">
        <v>82</v>
      </c>
      <c r="B73" s="142" t="s">
        <v>83</v>
      </c>
      <c r="C73" s="227" t="s">
        <v>84</v>
      </c>
      <c r="D73" s="228" t="s">
        <v>85</v>
      </c>
      <c r="E73" s="171"/>
      <c r="F73" s="178"/>
      <c r="G73" s="166"/>
      <c r="H73" s="170"/>
      <c r="I73" s="48"/>
      <c r="J73" s="48"/>
      <c r="K73" s="49"/>
      <c r="L73" s="49"/>
      <c r="M73" s="49"/>
      <c r="N73" s="49"/>
    </row>
    <row r="74" spans="1:14" ht="15">
      <c r="A74" s="145" t="s">
        <v>77</v>
      </c>
      <c r="B74" s="100">
        <f>B68</f>
        <v>214261.14</v>
      </c>
      <c r="C74" s="101">
        <f>C68</f>
        <v>208283.254194</v>
      </c>
      <c r="D74" s="146">
        <f>B74-C74</f>
        <v>5977.885806000006</v>
      </c>
      <c r="E74" s="171"/>
      <c r="F74" s="178"/>
      <c r="G74" s="166"/>
      <c r="H74" s="170"/>
      <c r="I74" s="48"/>
      <c r="J74" s="48" t="s">
        <v>30</v>
      </c>
      <c r="K74" s="49"/>
      <c r="L74" s="49"/>
      <c r="M74" s="49"/>
      <c r="N74" s="49"/>
    </row>
    <row r="75" spans="1:14" ht="15">
      <c r="A75" s="145" t="s">
        <v>78</v>
      </c>
      <c r="B75" s="100">
        <f>B69</f>
        <v>404787.1</v>
      </c>
      <c r="C75" s="101">
        <f>C69</f>
        <v>393493.53990999993</v>
      </c>
      <c r="D75" s="146">
        <f>B75-C75</f>
        <v>11293.560090000043</v>
      </c>
      <c r="E75" s="171"/>
      <c r="F75" s="178"/>
      <c r="G75" s="166"/>
      <c r="H75" s="170"/>
      <c r="I75" s="48"/>
      <c r="J75" s="48"/>
      <c r="K75" s="49"/>
      <c r="L75" s="49"/>
      <c r="M75" s="49"/>
      <c r="N75" s="49"/>
    </row>
    <row r="76" spans="1:14" ht="15">
      <c r="A76" s="145" t="s">
        <v>79</v>
      </c>
      <c r="B76" s="100">
        <v>1994821.31</v>
      </c>
      <c r="C76" s="101">
        <f>C70</f>
        <v>1869646.122277</v>
      </c>
      <c r="D76" s="146">
        <f>B76-C76</f>
        <v>125175.18772300007</v>
      </c>
      <c r="E76" s="171"/>
      <c r="F76" s="178"/>
      <c r="G76" s="166"/>
      <c r="H76" s="170"/>
      <c r="I76" s="48"/>
      <c r="J76" s="48"/>
      <c r="K76" s="49"/>
      <c r="L76" s="49"/>
      <c r="M76" s="49"/>
      <c r="N76" s="49"/>
    </row>
    <row r="77" spans="1:14" ht="15">
      <c r="A77" s="145" t="s">
        <v>80</v>
      </c>
      <c r="B77" s="100">
        <f>B71</f>
        <v>554374.6</v>
      </c>
      <c r="C77" s="101">
        <f>C71</f>
        <v>538907.54866</v>
      </c>
      <c r="D77" s="146">
        <f>B77-C77</f>
        <v>15467.051340000005</v>
      </c>
      <c r="E77" s="171"/>
      <c r="F77" s="178"/>
      <c r="G77" s="166"/>
      <c r="H77" s="170"/>
      <c r="I77" s="48"/>
      <c r="J77" s="48"/>
      <c r="K77" s="49"/>
      <c r="L77" s="49"/>
      <c r="M77" s="49"/>
      <c r="N77" s="49"/>
    </row>
    <row r="78" spans="1:14" ht="15.75" thickBot="1">
      <c r="A78" s="147" t="s">
        <v>81</v>
      </c>
      <c r="B78" s="164">
        <f>B72</f>
        <v>730301.99</v>
      </c>
      <c r="C78" s="165">
        <f>C72</f>
        <v>709926.5644789999</v>
      </c>
      <c r="D78" s="150">
        <f>B78-C78</f>
        <v>20375.425521000056</v>
      </c>
      <c r="E78" s="171"/>
      <c r="F78" s="178"/>
      <c r="G78" s="166"/>
      <c r="H78" s="170" t="s">
        <v>30</v>
      </c>
      <c r="I78" s="48"/>
      <c r="J78" s="48"/>
      <c r="K78" s="49"/>
      <c r="L78" s="49"/>
      <c r="M78" s="49"/>
      <c r="N78" s="49"/>
    </row>
    <row r="79" spans="1:14" ht="15">
      <c r="A79" s="162"/>
      <c r="B79" s="60"/>
      <c r="C79" s="62"/>
      <c r="D79" s="163"/>
      <c r="E79" s="171"/>
      <c r="F79" s="178"/>
      <c r="G79" s="166"/>
      <c r="H79" s="170"/>
      <c r="I79" s="48"/>
      <c r="J79" s="48"/>
      <c r="K79" s="49"/>
      <c r="L79" s="49"/>
      <c r="M79" s="49"/>
      <c r="N79" s="49"/>
    </row>
    <row r="80" spans="1:14" ht="25.5">
      <c r="A80" s="103" t="s">
        <v>86</v>
      </c>
      <c r="B80" s="60" t="s">
        <v>14</v>
      </c>
      <c r="C80" s="65">
        <v>0</v>
      </c>
      <c r="D80" s="104"/>
      <c r="E80" s="171"/>
      <c r="F80" s="178"/>
      <c r="G80" s="166"/>
      <c r="H80" s="170"/>
      <c r="I80" s="48"/>
      <c r="J80" s="48" t="s">
        <v>30</v>
      </c>
      <c r="K80" s="49"/>
      <c r="L80" s="49"/>
      <c r="M80" s="49"/>
      <c r="N80" s="49"/>
    </row>
    <row r="81" spans="1:14" ht="17.25" customHeight="1">
      <c r="A81" s="340" t="s">
        <v>87</v>
      </c>
      <c r="B81" s="340"/>
      <c r="C81" s="340"/>
      <c r="D81" s="340"/>
      <c r="E81" s="180" t="e">
        <f>D81+B19</f>
        <v>#VALUE!</v>
      </c>
      <c r="F81" s="170"/>
      <c r="G81" s="166"/>
      <c r="H81" s="172" t="e">
        <f>E81-B18</f>
        <v>#VALUE!</v>
      </c>
      <c r="I81" s="48"/>
      <c r="J81" s="48"/>
      <c r="K81" s="49"/>
      <c r="L81" s="49"/>
      <c r="M81" s="49"/>
      <c r="N81" s="49"/>
    </row>
    <row r="82" spans="1:8" ht="21" customHeight="1">
      <c r="A82" s="69" t="s">
        <v>64</v>
      </c>
      <c r="B82" s="69" t="s">
        <v>65</v>
      </c>
      <c r="C82" s="132">
        <v>11</v>
      </c>
      <c r="D82" s="134"/>
      <c r="E82" s="181"/>
      <c r="F82" s="166"/>
      <c r="G82" s="166"/>
      <c r="H82" s="166"/>
    </row>
    <row r="83" spans="1:8" ht="21" customHeight="1">
      <c r="A83" s="69" t="s">
        <v>66</v>
      </c>
      <c r="B83" s="69" t="s">
        <v>65</v>
      </c>
      <c r="C83" s="133">
        <v>11</v>
      </c>
      <c r="D83" s="134"/>
      <c r="E83" s="181"/>
      <c r="F83" s="166"/>
      <c r="G83" s="166"/>
      <c r="H83" s="166"/>
    </row>
    <row r="84" spans="1:14" s="1" customFormat="1" ht="18" customHeight="1">
      <c r="A84" s="69" t="s">
        <v>67</v>
      </c>
      <c r="B84" s="69" t="s">
        <v>65</v>
      </c>
      <c r="C84" s="133">
        <v>0</v>
      </c>
      <c r="D84" s="134"/>
      <c r="E84" s="181"/>
      <c r="F84" s="166"/>
      <c r="G84" s="166"/>
      <c r="H84" s="166"/>
      <c r="K84"/>
      <c r="L84"/>
      <c r="M84"/>
      <c r="N84"/>
    </row>
    <row r="85" spans="1:14" s="1" customFormat="1" ht="16.5" customHeight="1">
      <c r="A85" s="69" t="s">
        <v>68</v>
      </c>
      <c r="B85" s="69" t="s">
        <v>14</v>
      </c>
      <c r="C85" s="133">
        <v>3442.43</v>
      </c>
      <c r="D85" s="134"/>
      <c r="E85" s="72"/>
      <c r="K85"/>
      <c r="L85"/>
      <c r="M85"/>
      <c r="N85"/>
    </row>
    <row r="86" spans="1:14" s="1" customFormat="1" ht="15.75" customHeight="1">
      <c r="A86" s="334" t="s">
        <v>88</v>
      </c>
      <c r="B86" s="334"/>
      <c r="C86" s="334"/>
      <c r="D86" s="334"/>
      <c r="E86" s="72"/>
      <c r="K86"/>
      <c r="L86"/>
      <c r="M86"/>
      <c r="N86"/>
    </row>
    <row r="87" spans="1:14" s="1" customFormat="1" ht="18.75" customHeight="1">
      <c r="A87" s="69" t="s">
        <v>89</v>
      </c>
      <c r="B87" s="69" t="s">
        <v>65</v>
      </c>
      <c r="C87" s="133">
        <v>8</v>
      </c>
      <c r="D87" s="134"/>
      <c r="E87" s="72"/>
      <c r="K87"/>
      <c r="L87"/>
      <c r="M87"/>
      <c r="N87"/>
    </row>
    <row r="88" spans="1:14" s="1" customFormat="1" ht="21.75" customHeight="1">
      <c r="A88" s="69" t="s">
        <v>90</v>
      </c>
      <c r="B88" s="40" t="s">
        <v>65</v>
      </c>
      <c r="C88" s="135">
        <v>6</v>
      </c>
      <c r="D88" s="134"/>
      <c r="E88" s="72"/>
      <c r="K88"/>
      <c r="L88"/>
      <c r="M88"/>
      <c r="N88"/>
    </row>
    <row r="89" spans="1:14" s="1" customFormat="1" ht="36" customHeight="1">
      <c r="A89" s="73" t="s">
        <v>91</v>
      </c>
      <c r="B89" s="69" t="s">
        <v>14</v>
      </c>
      <c r="C89" s="133">
        <v>235900</v>
      </c>
      <c r="D89" s="134"/>
      <c r="E89" s="72"/>
      <c r="K89"/>
      <c r="L89"/>
      <c r="M89"/>
      <c r="N89"/>
    </row>
    <row r="90" spans="1:14" s="1" customFormat="1" ht="15">
      <c r="A90" s="49"/>
      <c r="B90" s="49"/>
      <c r="C90" s="49"/>
      <c r="D90" s="74"/>
      <c r="K90"/>
      <c r="L90"/>
      <c r="M90"/>
      <c r="N90"/>
    </row>
    <row r="91" spans="1:14" s="1" customFormat="1" ht="12.75">
      <c r="A91"/>
      <c r="B91"/>
      <c r="C91"/>
      <c r="D91"/>
      <c r="H91" s="1" t="s">
        <v>30</v>
      </c>
      <c r="K91"/>
      <c r="L91"/>
      <c r="M91"/>
      <c r="N91"/>
    </row>
    <row r="92" spans="1:14" s="1" customFormat="1" ht="12.75">
      <c r="A92" s="242" t="s">
        <v>336</v>
      </c>
      <c r="B92"/>
      <c r="C92"/>
      <c r="D92"/>
      <c r="K92"/>
      <c r="L92"/>
      <c r="M92"/>
      <c r="N92"/>
    </row>
    <row r="93" spans="1:14" s="1" customFormat="1" ht="12.75">
      <c r="A93"/>
      <c r="B93"/>
      <c r="C93"/>
      <c r="D93"/>
      <c r="H93" s="1" t="s">
        <v>30</v>
      </c>
      <c r="K93"/>
      <c r="L93"/>
      <c r="M93"/>
      <c r="N93"/>
    </row>
    <row r="94" spans="1:14" s="1" customFormat="1" ht="12.75">
      <c r="A94" t="s">
        <v>93</v>
      </c>
      <c r="B94"/>
      <c r="C94"/>
      <c r="D94"/>
      <c r="K94"/>
      <c r="L94"/>
      <c r="M94"/>
      <c r="N94"/>
    </row>
    <row r="98" spans="1:14" s="1" customFormat="1" ht="12.75">
      <c r="A98"/>
      <c r="B98"/>
      <c r="C98"/>
      <c r="D98"/>
      <c r="E98" s="1" t="s">
        <v>30</v>
      </c>
      <c r="K98"/>
      <c r="L98"/>
      <c r="M98"/>
      <c r="N98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86:D86"/>
    <mergeCell ref="A14:D14"/>
    <mergeCell ref="A29:D29"/>
    <mergeCell ref="A54:D54"/>
    <mergeCell ref="A59:D59"/>
    <mergeCell ref="A66:D66"/>
    <mergeCell ref="A81:D81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="80" zoomScaleNormal="80" zoomScalePageLayoutView="0" workbookViewId="0" topLeftCell="A37">
      <selection activeCell="D43" sqref="D43"/>
    </sheetView>
  </sheetViews>
  <sheetFormatPr defaultColWidth="11.57421875" defaultRowHeight="12.75"/>
  <cols>
    <col min="1" max="1" width="50.28125" style="0" customWidth="1"/>
    <col min="2" max="2" width="17.8515625" style="0" customWidth="1"/>
    <col min="3" max="3" width="28.00390625" style="0" customWidth="1"/>
    <col min="4" max="4" width="17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94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ht="8.25" customHeight="1">
      <c r="A6" s="2"/>
    </row>
    <row r="7" spans="1:4" ht="28.5" customHeight="1">
      <c r="A7" s="333" t="s">
        <v>5</v>
      </c>
      <c r="B7" s="333"/>
      <c r="C7" s="333"/>
      <c r="D7" s="333"/>
    </row>
    <row r="8" spans="1:3" ht="12.75">
      <c r="A8" s="2" t="s">
        <v>143</v>
      </c>
      <c r="C8" s="3"/>
    </row>
    <row r="9" spans="1:4" ht="12.75">
      <c r="A9" s="4" t="s">
        <v>6</v>
      </c>
      <c r="B9" s="4" t="s">
        <v>7</v>
      </c>
      <c r="C9" s="4" t="s">
        <v>8</v>
      </c>
      <c r="D9" s="5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166"/>
      <c r="F10" s="166"/>
      <c r="G10" s="166"/>
      <c r="H10" s="166"/>
    </row>
    <row r="11" spans="1:8" ht="12.75">
      <c r="A11" s="8" t="s">
        <v>9</v>
      </c>
      <c r="B11" s="9"/>
      <c r="C11" s="185" t="s">
        <v>133</v>
      </c>
      <c r="D11" s="10"/>
      <c r="E11" s="166"/>
      <c r="F11" s="166"/>
      <c r="G11" s="166"/>
      <c r="H11" s="166"/>
    </row>
    <row r="12" spans="1:8" ht="12.75">
      <c r="A12" s="8" t="s">
        <v>10</v>
      </c>
      <c r="B12" s="9"/>
      <c r="C12" s="185" t="s">
        <v>134</v>
      </c>
      <c r="D12" s="10"/>
      <c r="E12" s="166"/>
      <c r="F12" s="166"/>
      <c r="G12" s="166"/>
      <c r="H12" s="166"/>
    </row>
    <row r="13" spans="1:8" ht="12.75">
      <c r="A13" s="8" t="s">
        <v>11</v>
      </c>
      <c r="B13" s="9"/>
      <c r="C13" s="185" t="s">
        <v>135</v>
      </c>
      <c r="D13" s="10"/>
      <c r="E13" s="166"/>
      <c r="F13" s="166"/>
      <c r="G13" s="166"/>
      <c r="H13" s="166"/>
    </row>
    <row r="14" spans="1:8" ht="31.5" customHeight="1">
      <c r="A14" s="335" t="s">
        <v>12</v>
      </c>
      <c r="B14" s="335"/>
      <c r="C14" s="335"/>
      <c r="D14" s="335"/>
      <c r="E14" s="166"/>
      <c r="F14" s="166"/>
      <c r="G14" s="166"/>
      <c r="H14" s="166"/>
    </row>
    <row r="15" spans="1:8" ht="15">
      <c r="A15" s="8" t="s">
        <v>95</v>
      </c>
      <c r="B15" s="12" t="s">
        <v>14</v>
      </c>
      <c r="C15" s="13">
        <v>231182.66</v>
      </c>
      <c r="D15" s="14"/>
      <c r="E15" s="166"/>
      <c r="F15" s="166"/>
      <c r="G15" s="166"/>
      <c r="H15" s="166"/>
    </row>
    <row r="16" spans="1:8" ht="15">
      <c r="A16" s="8" t="s">
        <v>15</v>
      </c>
      <c r="B16" s="12" t="s">
        <v>14</v>
      </c>
      <c r="C16" s="13">
        <v>0</v>
      </c>
      <c r="D16" s="14"/>
      <c r="E16" s="183"/>
      <c r="F16" s="166"/>
      <c r="G16" s="166"/>
      <c r="H16" s="166"/>
    </row>
    <row r="17" spans="1:8" ht="15">
      <c r="A17" s="8" t="s">
        <v>16</v>
      </c>
      <c r="B17" s="12" t="s">
        <v>14</v>
      </c>
      <c r="C17" s="75">
        <v>191372.63</v>
      </c>
      <c r="D17" s="16"/>
      <c r="E17" s="166"/>
      <c r="F17" s="166"/>
      <c r="G17" s="166"/>
      <c r="H17" s="166"/>
    </row>
    <row r="18" spans="1:8" ht="31.5" customHeight="1">
      <c r="A18" s="11" t="s">
        <v>17</v>
      </c>
      <c r="B18" s="12" t="s">
        <v>14</v>
      </c>
      <c r="C18" s="15">
        <f>C19+C20+C21</f>
        <v>2032314.5399999998</v>
      </c>
      <c r="D18" s="16"/>
      <c r="E18" s="173">
        <f>C18-C20</f>
        <v>1709560.8359999997</v>
      </c>
      <c r="F18" s="166"/>
      <c r="G18" s="166"/>
      <c r="H18" s="166"/>
    </row>
    <row r="19" spans="1:8" ht="15">
      <c r="A19" s="8" t="s">
        <v>18</v>
      </c>
      <c r="B19" s="12" t="s">
        <v>14</v>
      </c>
      <c r="C19" s="15">
        <v>1353217.38</v>
      </c>
      <c r="D19" s="16"/>
      <c r="E19" s="173">
        <f>E18-E62</f>
        <v>-0.0020000007934868336</v>
      </c>
      <c r="F19" s="166"/>
      <c r="G19" s="166"/>
      <c r="H19" s="166"/>
    </row>
    <row r="20" spans="1:8" ht="15">
      <c r="A20" s="8" t="s">
        <v>19</v>
      </c>
      <c r="B20" s="12" t="s">
        <v>14</v>
      </c>
      <c r="C20" s="15">
        <f>6085.1*6*(3.97+4.87)</f>
        <v>322753.704</v>
      </c>
      <c r="D20" s="16"/>
      <c r="E20" s="173"/>
      <c r="F20" s="166"/>
      <c r="G20" s="166"/>
      <c r="H20" s="166"/>
    </row>
    <row r="21" spans="1:8" ht="15">
      <c r="A21" s="8" t="s">
        <v>20</v>
      </c>
      <c r="B21" s="12" t="s">
        <v>14</v>
      </c>
      <c r="C21" s="15">
        <f>6085.1*12*4.88</f>
        <v>356343.45600000006</v>
      </c>
      <c r="D21" s="16"/>
      <c r="E21" s="166"/>
      <c r="F21" s="166"/>
      <c r="G21" s="166"/>
      <c r="H21" s="166"/>
    </row>
    <row r="22" spans="1:8" ht="15">
      <c r="A22" s="8" t="s">
        <v>21</v>
      </c>
      <c r="B22" s="12" t="s">
        <v>14</v>
      </c>
      <c r="C22" s="15">
        <f>C23+C24+C25+C26+C27</f>
        <v>2202024.6513940003</v>
      </c>
      <c r="D22" s="16" t="s">
        <v>22</v>
      </c>
      <c r="E22" s="173"/>
      <c r="F22" s="166"/>
      <c r="G22" s="166"/>
      <c r="H22" s="166"/>
    </row>
    <row r="23" spans="1:8" ht="15">
      <c r="A23" s="8" t="s">
        <v>23</v>
      </c>
      <c r="B23" s="12" t="s">
        <v>14</v>
      </c>
      <c r="C23" s="76">
        <f>C18*1.0111</f>
        <v>2054873.2313940001</v>
      </c>
      <c r="D23" s="16"/>
      <c r="E23" s="166"/>
      <c r="F23" s="166"/>
      <c r="G23" s="166"/>
      <c r="H23" s="166"/>
    </row>
    <row r="24" spans="1:8" ht="15">
      <c r="A24" s="8" t="s">
        <v>24</v>
      </c>
      <c r="B24" s="12" t="s">
        <v>14</v>
      </c>
      <c r="C24" s="77">
        <v>0</v>
      </c>
      <c r="D24" s="17">
        <v>65.21</v>
      </c>
      <c r="E24" s="174"/>
      <c r="F24" s="166"/>
      <c r="G24" s="166"/>
      <c r="H24" s="166"/>
    </row>
    <row r="25" spans="1:8" ht="15">
      <c r="A25" s="8" t="s">
        <v>26</v>
      </c>
      <c r="B25" s="12" t="s">
        <v>14</v>
      </c>
      <c r="C25" s="78">
        <v>0</v>
      </c>
      <c r="D25" s="17">
        <v>119.63</v>
      </c>
      <c r="E25" s="174"/>
      <c r="F25" s="166"/>
      <c r="G25" s="166"/>
      <c r="H25" s="166"/>
    </row>
    <row r="26" spans="1:8" ht="15">
      <c r="A26" s="9" t="s">
        <v>27</v>
      </c>
      <c r="B26" s="12" t="s">
        <v>14</v>
      </c>
      <c r="C26" s="15">
        <v>15551.48</v>
      </c>
      <c r="D26" s="17"/>
      <c r="E26" s="174"/>
      <c r="F26" s="166"/>
      <c r="G26" s="166"/>
      <c r="H26" s="166"/>
    </row>
    <row r="27" spans="1:10" ht="15">
      <c r="A27" s="79" t="s">
        <v>127</v>
      </c>
      <c r="B27" s="12" t="s">
        <v>14</v>
      </c>
      <c r="C27" s="78">
        <v>131599.94</v>
      </c>
      <c r="D27" s="17">
        <v>139.18</v>
      </c>
      <c r="E27" s="174"/>
      <c r="F27" s="166"/>
      <c r="G27" s="166"/>
      <c r="H27" s="166"/>
      <c r="J27" s="183"/>
    </row>
    <row r="28" spans="1:10" ht="15">
      <c r="A28" s="8" t="s">
        <v>29</v>
      </c>
      <c r="B28" s="12" t="s">
        <v>14</v>
      </c>
      <c r="C28" s="15">
        <f>C15+C22</f>
        <v>2433207.3113940004</v>
      </c>
      <c r="D28" s="16" t="s">
        <v>30</v>
      </c>
      <c r="E28" s="174"/>
      <c r="F28" s="166"/>
      <c r="G28" s="166"/>
      <c r="H28" s="166"/>
      <c r="J28" s="184">
        <f>C28-D62</f>
        <v>85581.8633940001</v>
      </c>
    </row>
    <row r="29" spans="1:10" ht="35.25" customHeight="1">
      <c r="A29" s="336" t="s">
        <v>31</v>
      </c>
      <c r="B29" s="336"/>
      <c r="C29" s="336"/>
      <c r="D29" s="336"/>
      <c r="E29" s="166"/>
      <c r="F29" s="166"/>
      <c r="G29" s="166"/>
      <c r="H29" s="166"/>
      <c r="J29" s="183"/>
    </row>
    <row r="30" spans="1:10" ht="60">
      <c r="A30" s="18" t="s">
        <v>32</v>
      </c>
      <c r="B30" s="19" t="s">
        <v>33</v>
      </c>
      <c r="C30" s="80" t="s">
        <v>34</v>
      </c>
      <c r="D30" s="20" t="s">
        <v>35</v>
      </c>
      <c r="E30" s="166"/>
      <c r="F30" s="166"/>
      <c r="G30" s="166"/>
      <c r="H30" s="166"/>
      <c r="J30" s="183"/>
    </row>
    <row r="31" spans="1:8" ht="30">
      <c r="A31" s="81" t="s">
        <v>36</v>
      </c>
      <c r="B31" s="82" t="s">
        <v>37</v>
      </c>
      <c r="C31" s="83" t="s">
        <v>38</v>
      </c>
      <c r="D31" s="118">
        <f>(0.29+0.28)*6*6085.1</f>
        <v>20811.042000000005</v>
      </c>
      <c r="E31" s="166"/>
      <c r="F31" s="166"/>
      <c r="G31" s="166"/>
      <c r="H31" s="166"/>
    </row>
    <row r="32" spans="1:8" ht="15">
      <c r="A32" s="21" t="s">
        <v>96</v>
      </c>
      <c r="B32" s="22" t="s">
        <v>40</v>
      </c>
      <c r="C32" s="23" t="s">
        <v>41</v>
      </c>
      <c r="D32" s="119">
        <f>(2.34+2.45)*6*6085.1</f>
        <v>174885.77400000003</v>
      </c>
      <c r="E32" s="166"/>
      <c r="F32" s="166"/>
      <c r="G32" s="166"/>
      <c r="H32" s="166"/>
    </row>
    <row r="33" spans="1:14" s="1" customFormat="1" ht="15">
      <c r="A33" s="21" t="s">
        <v>97</v>
      </c>
      <c r="B33" s="22" t="s">
        <v>43</v>
      </c>
      <c r="C33" s="23" t="s">
        <v>44</v>
      </c>
      <c r="D33" s="119">
        <f>(3+3.03)*6*6085.1</f>
        <v>220158.91799999998</v>
      </c>
      <c r="E33" s="166"/>
      <c r="F33" s="166"/>
      <c r="G33" s="166"/>
      <c r="H33" s="166"/>
      <c r="K33"/>
      <c r="L33"/>
      <c r="M33"/>
      <c r="N33"/>
    </row>
    <row r="34" spans="1:14" s="1" customFormat="1" ht="15">
      <c r="A34" s="21" t="s">
        <v>45</v>
      </c>
      <c r="B34" s="22" t="s">
        <v>37</v>
      </c>
      <c r="C34" s="23" t="s">
        <v>46</v>
      </c>
      <c r="D34" s="119">
        <f>(0.21+0.2)*6*6085.1</f>
        <v>14969.346000000001</v>
      </c>
      <c r="E34" s="166"/>
      <c r="F34" s="166"/>
      <c r="G34" s="166"/>
      <c r="H34" s="166"/>
      <c r="K34"/>
      <c r="L34"/>
      <c r="M34"/>
      <c r="N34"/>
    </row>
    <row r="35" spans="1:14" s="1" customFormat="1" ht="15">
      <c r="A35" s="21" t="s">
        <v>47</v>
      </c>
      <c r="B35" s="22" t="s">
        <v>48</v>
      </c>
      <c r="C35" s="23" t="s">
        <v>49</v>
      </c>
      <c r="D35" s="119">
        <f>(0.55+0.53)*6*6085.1</f>
        <v>39431.448000000004</v>
      </c>
      <c r="E35" s="166"/>
      <c r="F35" s="166"/>
      <c r="G35" s="166"/>
      <c r="H35" s="166"/>
      <c r="K35"/>
      <c r="L35"/>
      <c r="M35"/>
      <c r="N35"/>
    </row>
    <row r="36" spans="1:14" s="1" customFormat="1" ht="15">
      <c r="A36" s="21" t="s">
        <v>98</v>
      </c>
      <c r="B36" s="22" t="s">
        <v>37</v>
      </c>
      <c r="C36" s="23" t="s">
        <v>49</v>
      </c>
      <c r="D36" s="119">
        <f>(1.11+1.17)*6*6085.1</f>
        <v>83244.16800000002</v>
      </c>
      <c r="E36" s="166"/>
      <c r="F36" s="166"/>
      <c r="G36" s="166"/>
      <c r="H36" s="166"/>
      <c r="K36"/>
      <c r="L36"/>
      <c r="M36"/>
      <c r="N36"/>
    </row>
    <row r="37" spans="1:14" s="1" customFormat="1" ht="15">
      <c r="A37" s="21" t="s">
        <v>51</v>
      </c>
      <c r="B37" s="22" t="s">
        <v>52</v>
      </c>
      <c r="C37" s="23" t="s">
        <v>49</v>
      </c>
      <c r="D37" s="119">
        <f>(1.27+1.33)*6*6085.1</f>
        <v>94927.56000000001</v>
      </c>
      <c r="E37" s="166"/>
      <c r="F37" s="166"/>
      <c r="G37" s="166"/>
      <c r="H37" s="166"/>
      <c r="K37"/>
      <c r="L37"/>
      <c r="M37"/>
      <c r="N37"/>
    </row>
    <row r="38" spans="1:14" s="1" customFormat="1" ht="15">
      <c r="A38" s="21" t="s">
        <v>53</v>
      </c>
      <c r="B38" s="22" t="s">
        <v>43</v>
      </c>
      <c r="C38" s="27" t="s">
        <v>54</v>
      </c>
      <c r="D38" s="119">
        <f>4.88*12*6085.1</f>
        <v>356343.45600000006</v>
      </c>
      <c r="E38" s="166"/>
      <c r="F38" s="166"/>
      <c r="G38" s="166"/>
      <c r="H38" s="166"/>
      <c r="K38"/>
      <c r="L38"/>
      <c r="M38"/>
      <c r="N38"/>
    </row>
    <row r="39" spans="1:14" s="1" customFormat="1" ht="15">
      <c r="A39" s="21" t="s">
        <v>99</v>
      </c>
      <c r="B39" s="25" t="s">
        <v>40</v>
      </c>
      <c r="C39" s="23" t="s">
        <v>56</v>
      </c>
      <c r="D39" s="119">
        <f>(2.39+2.5)*6*6085.1</f>
        <v>178536.83400000003</v>
      </c>
      <c r="E39" s="166"/>
      <c r="F39" s="166"/>
      <c r="G39" s="166"/>
      <c r="H39" s="166"/>
      <c r="K39"/>
      <c r="L39"/>
      <c r="M39"/>
      <c r="N39"/>
    </row>
    <row r="40" spans="1:14" s="1" customFormat="1" ht="15">
      <c r="A40" s="21" t="s">
        <v>100</v>
      </c>
      <c r="B40" s="22" t="s">
        <v>43</v>
      </c>
      <c r="C40" s="23" t="s">
        <v>58</v>
      </c>
      <c r="D40" s="119">
        <v>348445.67</v>
      </c>
      <c r="E40" s="166"/>
      <c r="F40" s="166"/>
      <c r="G40" s="166"/>
      <c r="H40" s="166"/>
      <c r="K40"/>
      <c r="L40"/>
      <c r="M40"/>
      <c r="N40"/>
    </row>
    <row r="41" spans="1:14" s="1" customFormat="1" ht="15">
      <c r="A41" s="21" t="s">
        <v>59</v>
      </c>
      <c r="B41" s="25" t="s">
        <v>40</v>
      </c>
      <c r="C41" s="27" t="s">
        <v>41</v>
      </c>
      <c r="D41" s="119">
        <f>(2.23+2.33)*6*6085.1</f>
        <v>166488.33600000004</v>
      </c>
      <c r="E41" s="166"/>
      <c r="F41" s="166"/>
      <c r="G41" s="166"/>
      <c r="H41" s="166"/>
      <c r="K41"/>
      <c r="L41"/>
      <c r="M41"/>
      <c r="N41"/>
    </row>
    <row r="42" spans="1:14" s="1" customFormat="1" ht="48" customHeight="1">
      <c r="A42" s="84" t="s">
        <v>101</v>
      </c>
      <c r="B42" s="85" t="s">
        <v>102</v>
      </c>
      <c r="C42" s="86" t="s">
        <v>103</v>
      </c>
      <c r="D42" s="87">
        <f>0.31*6*6085.1</f>
        <v>11318.286</v>
      </c>
      <c r="E42" s="166"/>
      <c r="F42" s="166"/>
      <c r="G42" s="166"/>
      <c r="H42" s="166"/>
      <c r="K42"/>
      <c r="L42"/>
      <c r="M42"/>
      <c r="N42"/>
    </row>
    <row r="43" spans="1:14" s="1" customFormat="1" ht="51.75" customHeight="1">
      <c r="A43" s="186" t="s">
        <v>324</v>
      </c>
      <c r="B43" s="89" t="s">
        <v>60</v>
      </c>
      <c r="C43" s="90"/>
      <c r="D43" s="197">
        <v>638064.61</v>
      </c>
      <c r="E43" s="183"/>
      <c r="F43" s="166"/>
      <c r="G43" s="166"/>
      <c r="H43" s="166"/>
      <c r="K43"/>
      <c r="L43"/>
      <c r="M43"/>
      <c r="N43"/>
    </row>
    <row r="44" spans="1:14" s="1" customFormat="1" ht="16.5" customHeight="1">
      <c r="A44" s="186" t="s">
        <v>144</v>
      </c>
      <c r="B44" s="89"/>
      <c r="C44" s="249" t="s">
        <v>58</v>
      </c>
      <c r="D44" s="91">
        <v>28217</v>
      </c>
      <c r="E44" s="183"/>
      <c r="F44" s="166"/>
      <c r="G44" s="166"/>
      <c r="H44" s="166"/>
      <c r="K44"/>
      <c r="L44"/>
      <c r="M44"/>
      <c r="N44"/>
    </row>
    <row r="45" spans="1:14" s="1" customFormat="1" ht="18.75" customHeight="1">
      <c r="A45" s="186" t="s">
        <v>145</v>
      </c>
      <c r="B45" s="89"/>
      <c r="C45" s="251" t="s">
        <v>49</v>
      </c>
      <c r="D45" s="248">
        <v>3876</v>
      </c>
      <c r="E45" s="183"/>
      <c r="F45" s="166"/>
      <c r="G45" s="166"/>
      <c r="H45" s="166"/>
      <c r="K45"/>
      <c r="L45"/>
      <c r="M45"/>
      <c r="N45"/>
    </row>
    <row r="46" spans="1:14" s="1" customFormat="1" ht="18" customHeight="1">
      <c r="A46" s="186" t="s">
        <v>146</v>
      </c>
      <c r="B46" s="89"/>
      <c r="C46" s="251" t="s">
        <v>49</v>
      </c>
      <c r="D46" s="248">
        <v>74342</v>
      </c>
      <c r="E46" s="183"/>
      <c r="F46" s="166"/>
      <c r="G46" s="166"/>
      <c r="H46" s="166"/>
      <c r="K46"/>
      <c r="L46"/>
      <c r="M46"/>
      <c r="N46"/>
    </row>
    <row r="47" spans="1:14" s="1" customFormat="1" ht="18" customHeight="1">
      <c r="A47" s="186" t="s">
        <v>147</v>
      </c>
      <c r="B47" s="89"/>
      <c r="C47" s="252" t="s">
        <v>41</v>
      </c>
      <c r="D47" s="248">
        <v>234.1</v>
      </c>
      <c r="E47" s="183"/>
      <c r="F47" s="166"/>
      <c r="G47" s="166"/>
      <c r="H47" s="166"/>
      <c r="K47"/>
      <c r="L47"/>
      <c r="M47"/>
      <c r="N47"/>
    </row>
    <row r="48" spans="1:14" s="1" customFormat="1" ht="18" customHeight="1">
      <c r="A48" s="186" t="s">
        <v>148</v>
      </c>
      <c r="B48" s="89"/>
      <c r="C48" s="251" t="s">
        <v>49</v>
      </c>
      <c r="D48" s="248">
        <v>9117</v>
      </c>
      <c r="E48" s="183"/>
      <c r="F48" s="166"/>
      <c r="G48" s="166"/>
      <c r="H48" s="166"/>
      <c r="K48"/>
      <c r="L48"/>
      <c r="M48"/>
      <c r="N48"/>
    </row>
    <row r="49" spans="1:14" s="1" customFormat="1" ht="18" customHeight="1">
      <c r="A49" s="186" t="s">
        <v>149</v>
      </c>
      <c r="B49" s="89"/>
      <c r="C49" s="251" t="s">
        <v>49</v>
      </c>
      <c r="D49" s="248">
        <v>1989</v>
      </c>
      <c r="E49" s="183"/>
      <c r="F49" s="166"/>
      <c r="G49" s="166"/>
      <c r="H49" s="166"/>
      <c r="K49"/>
      <c r="L49"/>
      <c r="M49"/>
      <c r="N49"/>
    </row>
    <row r="50" spans="1:14" s="1" customFormat="1" ht="18" customHeight="1">
      <c r="A50" s="186" t="s">
        <v>150</v>
      </c>
      <c r="B50" s="89"/>
      <c r="C50" s="251" t="s">
        <v>49</v>
      </c>
      <c r="D50" s="248">
        <v>1287</v>
      </c>
      <c r="E50" s="183"/>
      <c r="F50" s="166"/>
      <c r="G50" s="166"/>
      <c r="H50" s="166"/>
      <c r="K50"/>
      <c r="L50"/>
      <c r="M50"/>
      <c r="N50"/>
    </row>
    <row r="51" spans="1:14" s="1" customFormat="1" ht="18" customHeight="1">
      <c r="A51" s="186" t="s">
        <v>151</v>
      </c>
      <c r="B51" s="89"/>
      <c r="C51" s="253" t="s">
        <v>152</v>
      </c>
      <c r="D51" s="248">
        <v>6804</v>
      </c>
      <c r="E51" s="183"/>
      <c r="F51" s="166"/>
      <c r="G51" s="166"/>
      <c r="H51" s="166"/>
      <c r="K51"/>
      <c r="L51"/>
      <c r="M51"/>
      <c r="N51"/>
    </row>
    <row r="52" spans="1:14" s="1" customFormat="1" ht="18" customHeight="1">
      <c r="A52" s="186" t="s">
        <v>153</v>
      </c>
      <c r="B52" s="89"/>
      <c r="C52" s="251" t="s">
        <v>49</v>
      </c>
      <c r="D52" s="248">
        <v>50742</v>
      </c>
      <c r="E52" s="183"/>
      <c r="F52" s="166"/>
      <c r="G52" s="166"/>
      <c r="H52" s="166"/>
      <c r="K52"/>
      <c r="L52"/>
      <c r="M52"/>
      <c r="N52"/>
    </row>
    <row r="53" spans="1:14" s="1" customFormat="1" ht="18" customHeight="1">
      <c r="A53" s="186" t="s">
        <v>154</v>
      </c>
      <c r="B53" s="89"/>
      <c r="C53" s="251" t="s">
        <v>49</v>
      </c>
      <c r="D53" s="248">
        <v>7960</v>
      </c>
      <c r="E53" s="183"/>
      <c r="F53" s="166"/>
      <c r="G53" s="166"/>
      <c r="H53" s="166"/>
      <c r="K53"/>
      <c r="L53"/>
      <c r="M53"/>
      <c r="N53"/>
    </row>
    <row r="54" spans="1:14" s="1" customFormat="1" ht="18" customHeight="1">
      <c r="A54" s="186" t="s">
        <v>155</v>
      </c>
      <c r="B54" s="89"/>
      <c r="C54" s="253" t="s">
        <v>156</v>
      </c>
      <c r="D54" s="248">
        <v>36593.7</v>
      </c>
      <c r="E54" s="183"/>
      <c r="F54" s="166"/>
      <c r="G54" s="166"/>
      <c r="H54" s="166"/>
      <c r="K54"/>
      <c r="L54"/>
      <c r="M54"/>
      <c r="N54"/>
    </row>
    <row r="55" spans="1:14" s="1" customFormat="1" ht="18" customHeight="1">
      <c r="A55" s="186" t="s">
        <v>157</v>
      </c>
      <c r="B55" s="89"/>
      <c r="C55" s="251" t="s">
        <v>49</v>
      </c>
      <c r="D55" s="248">
        <v>11296</v>
      </c>
      <c r="E55" s="183"/>
      <c r="F55" s="166"/>
      <c r="G55" s="166"/>
      <c r="H55" s="166"/>
      <c r="K55"/>
      <c r="L55"/>
      <c r="M55"/>
      <c r="N55"/>
    </row>
    <row r="56" spans="1:14" s="1" customFormat="1" ht="18" customHeight="1">
      <c r="A56" s="186" t="s">
        <v>158</v>
      </c>
      <c r="B56" s="89"/>
      <c r="C56" s="251" t="s">
        <v>49</v>
      </c>
      <c r="D56" s="248">
        <v>3435</v>
      </c>
      <c r="E56" s="183"/>
      <c r="F56" s="166"/>
      <c r="G56" s="166"/>
      <c r="H56" s="166"/>
      <c r="K56"/>
      <c r="L56"/>
      <c r="M56"/>
      <c r="N56"/>
    </row>
    <row r="57" spans="1:14" s="1" customFormat="1" ht="18" customHeight="1">
      <c r="A57" s="186" t="s">
        <v>159</v>
      </c>
      <c r="B57" s="89"/>
      <c r="C57" s="253" t="s">
        <v>152</v>
      </c>
      <c r="D57" s="248">
        <v>13400</v>
      </c>
      <c r="E57" s="183"/>
      <c r="F57" s="166"/>
      <c r="G57" s="166"/>
      <c r="H57" s="166"/>
      <c r="K57"/>
      <c r="L57"/>
      <c r="M57"/>
      <c r="N57"/>
    </row>
    <row r="58" spans="1:14" s="1" customFormat="1" ht="18" customHeight="1">
      <c r="A58" s="186" t="s">
        <v>160</v>
      </c>
      <c r="B58" s="89"/>
      <c r="C58" s="253" t="s">
        <v>161</v>
      </c>
      <c r="D58" s="248">
        <v>70057</v>
      </c>
      <c r="E58" s="183"/>
      <c r="F58" s="166"/>
      <c r="G58" s="166"/>
      <c r="H58" s="166"/>
      <c r="K58"/>
      <c r="L58"/>
      <c r="M58"/>
      <c r="N58"/>
    </row>
    <row r="59" spans="1:14" s="1" customFormat="1" ht="18" customHeight="1">
      <c r="A59" s="186" t="s">
        <v>162</v>
      </c>
      <c r="B59" s="89"/>
      <c r="C59" s="253" t="s">
        <v>152</v>
      </c>
      <c r="D59" s="248">
        <v>274651</v>
      </c>
      <c r="E59" s="183"/>
      <c r="F59" s="166"/>
      <c r="G59" s="166"/>
      <c r="H59" s="166"/>
      <c r="K59"/>
      <c r="L59"/>
      <c r="M59"/>
      <c r="N59"/>
    </row>
    <row r="60" spans="1:14" s="1" customFormat="1" ht="33.75" customHeight="1">
      <c r="A60" s="186" t="s">
        <v>163</v>
      </c>
      <c r="B60" s="89"/>
      <c r="C60" s="252" t="s">
        <v>41</v>
      </c>
      <c r="D60" s="248">
        <v>16280.81</v>
      </c>
      <c r="E60" s="183"/>
      <c r="F60" s="166"/>
      <c r="G60" s="166"/>
      <c r="H60" s="166"/>
      <c r="K60"/>
      <c r="L60"/>
      <c r="M60"/>
      <c r="N60"/>
    </row>
    <row r="61" spans="1:14" s="1" customFormat="1" ht="18" customHeight="1">
      <c r="A61" s="186" t="s">
        <v>164</v>
      </c>
      <c r="B61" s="89"/>
      <c r="C61" s="253" t="s">
        <v>54</v>
      </c>
      <c r="D61" s="248">
        <v>27783</v>
      </c>
      <c r="E61" s="166"/>
      <c r="F61" s="166"/>
      <c r="G61" s="166"/>
      <c r="H61" s="166"/>
      <c r="K61"/>
      <c r="L61"/>
      <c r="M61"/>
      <c r="N61"/>
    </row>
    <row r="62" spans="1:14" s="1" customFormat="1" ht="15.75">
      <c r="A62" s="92" t="s">
        <v>104</v>
      </c>
      <c r="B62" s="93"/>
      <c r="C62" s="250"/>
      <c r="D62" s="95">
        <f>SUM(D31:D43)</f>
        <v>2347625.4480000003</v>
      </c>
      <c r="E62" s="166">
        <f>D62-D43</f>
        <v>1709560.8380000005</v>
      </c>
      <c r="F62" s="166"/>
      <c r="G62" s="166"/>
      <c r="H62" s="166"/>
      <c r="K62"/>
      <c r="L62"/>
      <c r="M62"/>
      <c r="N62"/>
    </row>
    <row r="63" spans="1:14" s="1" customFormat="1" ht="15">
      <c r="A63" s="30" t="s">
        <v>62</v>
      </c>
      <c r="B63" s="31" t="s">
        <v>14</v>
      </c>
      <c r="C63" s="96"/>
      <c r="D63" s="32">
        <f>C15+C20*1.0111+C26+C27-D43</f>
        <v>66605.74011440005</v>
      </c>
      <c r="E63" s="166"/>
      <c r="F63" s="166"/>
      <c r="G63" s="166"/>
      <c r="H63" s="166"/>
      <c r="K63"/>
      <c r="L63"/>
      <c r="M63"/>
      <c r="N63"/>
    </row>
    <row r="64" spans="1:8" ht="15">
      <c r="A64" s="33" t="s">
        <v>15</v>
      </c>
      <c r="B64" s="34" t="s">
        <v>14</v>
      </c>
      <c r="C64" s="23"/>
      <c r="D64" s="14"/>
      <c r="E64" s="166"/>
      <c r="F64" s="166"/>
      <c r="G64" s="166"/>
      <c r="H64" s="166"/>
    </row>
    <row r="65" spans="1:8" ht="15">
      <c r="A65" s="33" t="s">
        <v>16</v>
      </c>
      <c r="B65" s="34" t="s">
        <v>14</v>
      </c>
      <c r="C65" s="23"/>
      <c r="D65" s="14">
        <v>168813.94</v>
      </c>
      <c r="E65" s="166"/>
      <c r="F65" s="166"/>
      <c r="G65" s="166"/>
      <c r="H65" s="166"/>
    </row>
    <row r="66" spans="1:8" ht="24" customHeight="1">
      <c r="A66" s="337" t="s">
        <v>63</v>
      </c>
      <c r="B66" s="337"/>
      <c r="C66" s="337"/>
      <c r="D66" s="337"/>
      <c r="E66" s="166"/>
      <c r="F66" s="166"/>
      <c r="G66" s="166"/>
      <c r="H66" s="166"/>
    </row>
    <row r="67" spans="1:8" ht="15">
      <c r="A67" s="33" t="s">
        <v>64</v>
      </c>
      <c r="B67" s="22" t="s">
        <v>65</v>
      </c>
      <c r="C67" s="23">
        <v>0</v>
      </c>
      <c r="D67" s="14"/>
      <c r="E67" s="166"/>
      <c r="F67" s="166"/>
      <c r="G67" s="166"/>
      <c r="H67" s="166"/>
    </row>
    <row r="68" spans="1:8" ht="15">
      <c r="A68" s="33" t="s">
        <v>66</v>
      </c>
      <c r="B68" s="22" t="s">
        <v>65</v>
      </c>
      <c r="C68" s="23">
        <v>0</v>
      </c>
      <c r="D68" s="14"/>
      <c r="E68" s="166"/>
      <c r="F68" s="166"/>
      <c r="G68" s="166"/>
      <c r="H68" s="166"/>
    </row>
    <row r="69" spans="1:8" ht="25.5">
      <c r="A69" s="35" t="s">
        <v>67</v>
      </c>
      <c r="B69" s="22" t="s">
        <v>65</v>
      </c>
      <c r="C69" s="23">
        <v>0</v>
      </c>
      <c r="D69" s="14"/>
      <c r="E69" s="166"/>
      <c r="F69" s="166"/>
      <c r="G69" s="166"/>
      <c r="H69" s="166"/>
    </row>
    <row r="70" spans="1:8" ht="15">
      <c r="A70" s="33" t="s">
        <v>68</v>
      </c>
      <c r="B70" s="22" t="s">
        <v>14</v>
      </c>
      <c r="C70" s="23">
        <v>0</v>
      </c>
      <c r="D70" s="14"/>
      <c r="E70" s="166"/>
      <c r="F70" s="166"/>
      <c r="G70" s="166"/>
      <c r="H70" s="166"/>
    </row>
    <row r="71" spans="1:8" ht="20.25" customHeight="1">
      <c r="A71" s="338" t="s">
        <v>69</v>
      </c>
      <c r="B71" s="338"/>
      <c r="C71" s="338"/>
      <c r="D71" s="338"/>
      <c r="E71" s="166"/>
      <c r="F71" s="166"/>
      <c r="G71" s="166"/>
      <c r="H71" s="166"/>
    </row>
    <row r="72" spans="1:8" ht="25.5">
      <c r="A72" s="35" t="s">
        <v>70</v>
      </c>
      <c r="B72" s="22" t="s">
        <v>14</v>
      </c>
      <c r="C72" s="23"/>
      <c r="D72" s="14"/>
      <c r="E72" s="166"/>
      <c r="F72" s="166"/>
      <c r="G72" s="166"/>
      <c r="H72" s="166"/>
    </row>
    <row r="73" spans="1:8" ht="15">
      <c r="A73" s="33" t="s">
        <v>15</v>
      </c>
      <c r="B73" s="22" t="s">
        <v>14</v>
      </c>
      <c r="C73" s="23"/>
      <c r="D73" s="14">
        <v>0</v>
      </c>
      <c r="E73" s="166"/>
      <c r="F73" s="166"/>
      <c r="G73" s="166"/>
      <c r="H73" s="166"/>
    </row>
    <row r="74" spans="1:8" ht="15">
      <c r="A74" s="33" t="s">
        <v>16</v>
      </c>
      <c r="B74" s="22" t="s">
        <v>14</v>
      </c>
      <c r="C74" s="23"/>
      <c r="D74" s="120">
        <f>D77-D80-D81-D82-D83</f>
        <v>274874.8910980002</v>
      </c>
      <c r="E74" s="166"/>
      <c r="F74" s="166"/>
      <c r="G74" s="166"/>
      <c r="H74" s="168"/>
    </row>
    <row r="75" spans="1:8" ht="15">
      <c r="A75" s="97" t="s">
        <v>105</v>
      </c>
      <c r="B75" s="22" t="s">
        <v>14</v>
      </c>
      <c r="C75" s="38"/>
      <c r="D75" s="39">
        <v>0</v>
      </c>
      <c r="E75" s="166"/>
      <c r="F75" s="166"/>
      <c r="G75" s="166"/>
      <c r="H75" s="166"/>
    </row>
    <row r="76" spans="1:10" ht="17.25" customHeight="1">
      <c r="A76" s="40" t="s">
        <v>15</v>
      </c>
      <c r="B76" s="22" t="s">
        <v>14</v>
      </c>
      <c r="C76" s="23"/>
      <c r="D76" s="14">
        <v>0</v>
      </c>
      <c r="E76" s="166"/>
      <c r="F76" s="166"/>
      <c r="G76" s="166"/>
      <c r="H76" s="166"/>
      <c r="I76" s="36"/>
      <c r="J76" s="36"/>
    </row>
    <row r="77" spans="1:14" ht="15">
      <c r="A77" s="41" t="s">
        <v>16</v>
      </c>
      <c r="B77" s="22" t="s">
        <v>14</v>
      </c>
      <c r="C77" s="98"/>
      <c r="D77" s="98">
        <v>242473.09</v>
      </c>
      <c r="E77" s="166"/>
      <c r="F77" s="166"/>
      <c r="G77" s="166"/>
      <c r="H77" s="166" t="s">
        <v>30</v>
      </c>
      <c r="I77" s="43"/>
      <c r="J77" s="43"/>
      <c r="K77" s="44"/>
      <c r="L77" s="44"/>
      <c r="M77" s="44"/>
      <c r="N77" s="44"/>
    </row>
    <row r="78" spans="1:14" ht="18" customHeight="1">
      <c r="A78" s="339" t="s">
        <v>72</v>
      </c>
      <c r="B78" s="339"/>
      <c r="C78" s="339"/>
      <c r="D78" s="339"/>
      <c r="E78" s="171"/>
      <c r="F78" s="175"/>
      <c r="G78" s="176"/>
      <c r="H78" s="166"/>
      <c r="I78" s="48"/>
      <c r="J78" s="48"/>
      <c r="K78" s="49"/>
      <c r="L78" s="49"/>
      <c r="M78" s="49"/>
      <c r="N78" s="49"/>
    </row>
    <row r="79" spans="1:14" ht="44.25" customHeight="1">
      <c r="A79" s="124" t="s">
        <v>73</v>
      </c>
      <c r="B79" s="125" t="s">
        <v>74</v>
      </c>
      <c r="C79" s="244" t="s">
        <v>75</v>
      </c>
      <c r="D79" s="245" t="s">
        <v>76</v>
      </c>
      <c r="E79" s="171"/>
      <c r="F79" s="175"/>
      <c r="G79" s="176"/>
      <c r="H79" s="166"/>
      <c r="I79" s="48"/>
      <c r="J79" s="48"/>
      <c r="K79" s="49"/>
      <c r="L79" s="49"/>
      <c r="M79" s="49"/>
      <c r="N79" s="49"/>
    </row>
    <row r="80" spans="1:14" ht="15">
      <c r="A80" s="126" t="s">
        <v>77</v>
      </c>
      <c r="B80" s="13">
        <v>236291.29</v>
      </c>
      <c r="C80" s="56">
        <f>B80*1.0111</f>
        <v>238914.12331900003</v>
      </c>
      <c r="D80" s="127">
        <f>B80-C80</f>
        <v>-2622.8333190000267</v>
      </c>
      <c r="E80" s="171"/>
      <c r="F80" s="175"/>
      <c r="G80" s="176"/>
      <c r="H80" s="166"/>
      <c r="I80" s="48"/>
      <c r="J80" s="48"/>
      <c r="K80" s="49"/>
      <c r="L80" s="49"/>
      <c r="M80" s="49"/>
      <c r="N80" s="49"/>
    </row>
    <row r="81" spans="1:14" ht="15">
      <c r="A81" s="126" t="s">
        <v>78</v>
      </c>
      <c r="B81" s="13">
        <v>481788.91</v>
      </c>
      <c r="C81" s="56">
        <f>B81*1.0111</f>
        <v>487136.76690100005</v>
      </c>
      <c r="D81" s="127">
        <f>B81-C81</f>
        <v>-5347.856901000079</v>
      </c>
      <c r="E81" s="171"/>
      <c r="F81" s="175"/>
      <c r="G81" s="176"/>
      <c r="H81" s="166"/>
      <c r="I81" s="48"/>
      <c r="J81" s="48"/>
      <c r="K81" s="49"/>
      <c r="L81" s="49"/>
      <c r="M81" s="49"/>
      <c r="N81" s="49"/>
    </row>
    <row r="82" spans="1:14" ht="15">
      <c r="A82" s="126" t="s">
        <v>79</v>
      </c>
      <c r="B82" s="99">
        <v>1526360.44</v>
      </c>
      <c r="C82" s="56">
        <f>B82*1.0111</f>
        <v>1543303.040884</v>
      </c>
      <c r="D82" s="127">
        <f>B82-C82</f>
        <v>-16942.600884000072</v>
      </c>
      <c r="E82" s="171">
        <f>(2.07+1.8)*6*2301.2-0.37*2301.2*6</f>
        <v>48325.2</v>
      </c>
      <c r="F82" s="178"/>
      <c r="G82" s="179"/>
      <c r="H82" s="171"/>
      <c r="I82" s="48"/>
      <c r="J82" s="48"/>
      <c r="K82" s="49"/>
      <c r="L82" s="49"/>
      <c r="M82" s="49"/>
      <c r="N82" s="49"/>
    </row>
    <row r="83" spans="1:14" ht="15">
      <c r="A83" s="126" t="s">
        <v>80</v>
      </c>
      <c r="B83" s="99">
        <v>674640.54</v>
      </c>
      <c r="C83" s="56">
        <f>B83*1.0111</f>
        <v>682129.0499940001</v>
      </c>
      <c r="D83" s="127">
        <f>B83-C83</f>
        <v>-7488.50999400008</v>
      </c>
      <c r="E83" s="171"/>
      <c r="F83" s="178"/>
      <c r="G83" s="179"/>
      <c r="H83" s="166"/>
      <c r="I83" s="48"/>
      <c r="J83" s="48"/>
      <c r="K83" s="49"/>
      <c r="L83" s="49"/>
      <c r="M83" s="49"/>
      <c r="N83" s="49"/>
    </row>
    <row r="84" spans="1:14" ht="15">
      <c r="A84" s="128" t="s">
        <v>81</v>
      </c>
      <c r="B84" s="129">
        <v>0</v>
      </c>
      <c r="C84" s="130">
        <f>B84*0.973</f>
        <v>0</v>
      </c>
      <c r="D84" s="131">
        <f>B84-C84</f>
        <v>0</v>
      </c>
      <c r="E84" s="171"/>
      <c r="F84" s="178"/>
      <c r="G84" s="179"/>
      <c r="H84" s="166"/>
      <c r="I84" s="48"/>
      <c r="J84" s="48"/>
      <c r="K84" s="49"/>
      <c r="L84" s="49"/>
      <c r="M84" s="49"/>
      <c r="N84" s="49"/>
    </row>
    <row r="85" spans="1:14" ht="63.75">
      <c r="A85" s="122" t="s">
        <v>82</v>
      </c>
      <c r="B85" s="123" t="s">
        <v>83</v>
      </c>
      <c r="C85" s="246" t="s">
        <v>84</v>
      </c>
      <c r="D85" s="247" t="s">
        <v>85</v>
      </c>
      <c r="E85" s="171"/>
      <c r="F85" s="178"/>
      <c r="G85" s="166"/>
      <c r="H85" s="170"/>
      <c r="I85" s="48"/>
      <c r="J85" s="48"/>
      <c r="K85" s="49"/>
      <c r="L85" s="49"/>
      <c r="M85" s="49"/>
      <c r="N85" s="49"/>
    </row>
    <row r="86" spans="1:14" ht="15">
      <c r="A86" s="55" t="s">
        <v>77</v>
      </c>
      <c r="B86" s="100">
        <v>234198.02</v>
      </c>
      <c r="C86" s="101">
        <v>238914.12</v>
      </c>
      <c r="D86" s="57">
        <f>B86-C86</f>
        <v>-4716.100000000006</v>
      </c>
      <c r="E86" s="171"/>
      <c r="F86" s="178"/>
      <c r="G86" s="166"/>
      <c r="H86" s="170"/>
      <c r="I86" s="48"/>
      <c r="J86" s="48" t="s">
        <v>30</v>
      </c>
      <c r="K86" s="49"/>
      <c r="L86" s="49"/>
      <c r="M86" s="49"/>
      <c r="N86" s="49"/>
    </row>
    <row r="87" spans="1:14" ht="15">
      <c r="A87" s="55" t="s">
        <v>78</v>
      </c>
      <c r="B87" s="100">
        <v>528450.68</v>
      </c>
      <c r="C87" s="101">
        <f>C81</f>
        <v>487136.76690100005</v>
      </c>
      <c r="D87" s="57">
        <f>B87-C87</f>
        <v>41313.913099</v>
      </c>
      <c r="E87" s="171"/>
      <c r="F87" s="178"/>
      <c r="G87" s="166"/>
      <c r="H87" s="170"/>
      <c r="I87" s="48"/>
      <c r="J87" s="48"/>
      <c r="K87" s="49"/>
      <c r="L87" s="49"/>
      <c r="M87" s="49"/>
      <c r="N87" s="49"/>
    </row>
    <row r="88" spans="1:14" ht="15">
      <c r="A88" s="55" t="s">
        <v>79</v>
      </c>
      <c r="B88" s="100">
        <v>1689557.96</v>
      </c>
      <c r="C88" s="101">
        <f>C82</f>
        <v>1543303.040884</v>
      </c>
      <c r="D88" s="57">
        <f>B88-C88</f>
        <v>146254.91911599995</v>
      </c>
      <c r="E88" s="171"/>
      <c r="F88" s="178"/>
      <c r="G88" s="166"/>
      <c r="H88" s="170"/>
      <c r="I88" s="48"/>
      <c r="J88" s="48"/>
      <c r="K88" s="49"/>
      <c r="L88" s="49"/>
      <c r="M88" s="49"/>
      <c r="N88" s="49"/>
    </row>
    <row r="89" spans="1:14" ht="15">
      <c r="A89" s="55" t="s">
        <v>80</v>
      </c>
      <c r="B89" s="100">
        <v>820422.42</v>
      </c>
      <c r="C89" s="101">
        <f>C83</f>
        <v>682129.0499940001</v>
      </c>
      <c r="D89" s="57">
        <f>B89-C89</f>
        <v>138293.37000599992</v>
      </c>
      <c r="E89" s="171"/>
      <c r="F89" s="178"/>
      <c r="G89" s="166"/>
      <c r="H89" s="170"/>
      <c r="I89" s="48"/>
      <c r="J89" s="48"/>
      <c r="K89" s="49"/>
      <c r="L89" s="49"/>
      <c r="M89" s="49"/>
      <c r="N89" s="49"/>
    </row>
    <row r="90" spans="1:14" ht="15">
      <c r="A90" s="102" t="s">
        <v>81</v>
      </c>
      <c r="B90" s="243">
        <v>0</v>
      </c>
      <c r="C90" s="255">
        <v>0</v>
      </c>
      <c r="D90" s="256">
        <f>B90-C90</f>
        <v>0</v>
      </c>
      <c r="E90" s="171"/>
      <c r="F90" s="178"/>
      <c r="G90" s="166"/>
      <c r="H90" s="170" t="s">
        <v>30</v>
      </c>
      <c r="I90" s="48"/>
      <c r="J90" s="48"/>
      <c r="K90" s="49"/>
      <c r="L90" s="49"/>
      <c r="M90" s="49"/>
      <c r="N90" s="49"/>
    </row>
    <row r="91" spans="1:14" ht="25.5">
      <c r="A91" s="103" t="s">
        <v>86</v>
      </c>
      <c r="B91" s="60" t="s">
        <v>14</v>
      </c>
      <c r="C91" s="254">
        <v>0</v>
      </c>
      <c r="D91" s="163"/>
      <c r="E91" s="45"/>
      <c r="F91" s="58"/>
      <c r="H91" s="48"/>
      <c r="I91" s="48"/>
      <c r="J91" s="48" t="s">
        <v>30</v>
      </c>
      <c r="K91" s="49"/>
      <c r="L91" s="49"/>
      <c r="M91" s="49"/>
      <c r="N91" s="49"/>
    </row>
    <row r="92" spans="1:14" ht="17.25" customHeight="1">
      <c r="A92" s="340" t="s">
        <v>87</v>
      </c>
      <c r="B92" s="340"/>
      <c r="C92" s="340"/>
      <c r="D92" s="340"/>
      <c r="E92" s="67" t="e">
        <f>D92+B19</f>
        <v>#VALUE!</v>
      </c>
      <c r="F92" s="48"/>
      <c r="H92" s="68" t="e">
        <f>E92-B18</f>
        <v>#VALUE!</v>
      </c>
      <c r="I92" s="48"/>
      <c r="J92" s="48"/>
      <c r="K92" s="49"/>
      <c r="L92" s="49"/>
      <c r="M92" s="49"/>
      <c r="N92" s="49"/>
    </row>
    <row r="93" spans="1:5" ht="21" customHeight="1">
      <c r="A93" s="69" t="s">
        <v>64</v>
      </c>
      <c r="B93" s="69" t="s">
        <v>65</v>
      </c>
      <c r="C93" s="132"/>
      <c r="D93" s="134">
        <v>1</v>
      </c>
      <c r="E93" s="72"/>
    </row>
    <row r="94" spans="1:5" ht="21" customHeight="1">
      <c r="A94" s="69" t="s">
        <v>66</v>
      </c>
      <c r="B94" s="69" t="s">
        <v>65</v>
      </c>
      <c r="C94" s="133"/>
      <c r="D94" s="134">
        <v>1</v>
      </c>
      <c r="E94" s="72"/>
    </row>
    <row r="95" spans="1:14" s="1" customFormat="1" ht="18" customHeight="1">
      <c r="A95" s="69" t="s">
        <v>67</v>
      </c>
      <c r="B95" s="69" t="s">
        <v>65</v>
      </c>
      <c r="C95" s="133"/>
      <c r="D95" s="134">
        <v>0</v>
      </c>
      <c r="E95" s="72"/>
      <c r="K95"/>
      <c r="L95"/>
      <c r="M95"/>
      <c r="N95"/>
    </row>
    <row r="96" spans="1:14" s="1" customFormat="1" ht="16.5" customHeight="1">
      <c r="A96" s="69" t="s">
        <v>68</v>
      </c>
      <c r="B96" s="69" t="s">
        <v>14</v>
      </c>
      <c r="C96" s="133"/>
      <c r="D96" s="134">
        <v>1756.73</v>
      </c>
      <c r="E96" s="72"/>
      <c r="K96"/>
      <c r="L96"/>
      <c r="M96"/>
      <c r="N96"/>
    </row>
    <row r="97" spans="1:14" s="1" customFormat="1" ht="15.75" customHeight="1">
      <c r="A97" s="334" t="s">
        <v>88</v>
      </c>
      <c r="B97" s="334"/>
      <c r="C97" s="334"/>
      <c r="D97" s="334"/>
      <c r="E97" s="72"/>
      <c r="K97"/>
      <c r="L97"/>
      <c r="M97"/>
      <c r="N97"/>
    </row>
    <row r="98" spans="1:14" s="1" customFormat="1" ht="15" customHeight="1">
      <c r="A98" s="69" t="s">
        <v>89</v>
      </c>
      <c r="B98" s="69" t="s">
        <v>65</v>
      </c>
      <c r="C98" s="133"/>
      <c r="D98" s="134">
        <v>4</v>
      </c>
      <c r="E98" s="72"/>
      <c r="K98"/>
      <c r="L98"/>
      <c r="M98"/>
      <c r="N98"/>
    </row>
    <row r="99" spans="1:14" s="1" customFormat="1" ht="17.25" customHeight="1">
      <c r="A99" s="69" t="s">
        <v>90</v>
      </c>
      <c r="B99" s="40" t="s">
        <v>65</v>
      </c>
      <c r="C99" s="135"/>
      <c r="D99" s="134">
        <v>4</v>
      </c>
      <c r="E99" s="72"/>
      <c r="K99"/>
      <c r="L99"/>
      <c r="M99"/>
      <c r="N99"/>
    </row>
    <row r="100" spans="1:14" s="1" customFormat="1" ht="26.25" customHeight="1">
      <c r="A100" s="73" t="s">
        <v>91</v>
      </c>
      <c r="B100" s="69" t="s">
        <v>14</v>
      </c>
      <c r="C100" s="133"/>
      <c r="D100" s="134">
        <v>171326</v>
      </c>
      <c r="E100" s="72"/>
      <c r="K100"/>
      <c r="L100"/>
      <c r="M100"/>
      <c r="N100"/>
    </row>
    <row r="101" spans="1:14" s="1" customFormat="1" ht="15">
      <c r="A101" s="49"/>
      <c r="B101" s="49"/>
      <c r="C101" s="49"/>
      <c r="D101" s="74"/>
      <c r="K101"/>
      <c r="L101"/>
      <c r="M101"/>
      <c r="N101"/>
    </row>
    <row r="102" spans="1:14" s="1" customFormat="1" ht="12.75">
      <c r="A102" s="242" t="s">
        <v>323</v>
      </c>
      <c r="B102"/>
      <c r="C102"/>
      <c r="D102"/>
      <c r="K102"/>
      <c r="L102"/>
      <c r="M102"/>
      <c r="N102"/>
    </row>
    <row r="103" spans="1:14" s="1" customFormat="1" ht="12.75">
      <c r="A103"/>
      <c r="B103"/>
      <c r="C103"/>
      <c r="D103"/>
      <c r="H103" s="1" t="s">
        <v>30</v>
      </c>
      <c r="K103"/>
      <c r="L103"/>
      <c r="M103"/>
      <c r="N103"/>
    </row>
    <row r="104" spans="1:14" s="1" customFormat="1" ht="12.75">
      <c r="A104" t="s">
        <v>93</v>
      </c>
      <c r="B104"/>
      <c r="C104"/>
      <c r="D104"/>
      <c r="K104"/>
      <c r="L104"/>
      <c r="M104"/>
      <c r="N104"/>
    </row>
    <row r="108" spans="1:14" s="1" customFormat="1" ht="12.75">
      <c r="A108"/>
      <c r="B108"/>
      <c r="C108"/>
      <c r="D108"/>
      <c r="E108" s="1" t="s">
        <v>30</v>
      </c>
      <c r="K108"/>
      <c r="L108"/>
      <c r="M108"/>
      <c r="N108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97:D97"/>
    <mergeCell ref="A14:D14"/>
    <mergeCell ref="A29:D29"/>
    <mergeCell ref="A66:D66"/>
    <mergeCell ref="A71:D71"/>
    <mergeCell ref="A78:D78"/>
    <mergeCell ref="A92:D92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="80" zoomScaleNormal="80" zoomScalePageLayoutView="0" workbookViewId="0" topLeftCell="A37">
      <selection activeCell="D42" sqref="D42"/>
    </sheetView>
  </sheetViews>
  <sheetFormatPr defaultColWidth="11.57421875" defaultRowHeight="12.75"/>
  <cols>
    <col min="1" max="1" width="63.28125" style="0" customWidth="1"/>
    <col min="2" max="2" width="12.421875" style="0" customWidth="1"/>
    <col min="3" max="3" width="19.8515625" style="0" customWidth="1"/>
    <col min="4" max="4" width="12.140625" style="0" customWidth="1"/>
    <col min="5" max="6" width="0" style="1" hidden="1" customWidth="1"/>
    <col min="7" max="7" width="24.421875" style="1" customWidth="1"/>
    <col min="8" max="8" width="5.28125" style="1" customWidth="1"/>
    <col min="9" max="9" width="30.003906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2.75">
      <c r="A1" s="331" t="s">
        <v>0</v>
      </c>
      <c r="B1" s="331"/>
      <c r="C1" s="331"/>
      <c r="D1" s="331"/>
    </row>
    <row r="2" spans="1:4" ht="12.75">
      <c r="A2" s="331" t="s">
        <v>1</v>
      </c>
      <c r="B2" s="331"/>
      <c r="C2" s="331"/>
      <c r="D2" s="331"/>
    </row>
    <row r="3" spans="1:4" ht="12.75">
      <c r="A3" s="331" t="s">
        <v>2</v>
      </c>
      <c r="B3" s="331"/>
      <c r="C3" s="331"/>
      <c r="D3" s="331"/>
    </row>
    <row r="4" spans="1:4" ht="12.75">
      <c r="A4" s="331" t="s">
        <v>106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spans="1:4" ht="9" customHeight="1">
      <c r="A6" s="2"/>
      <c r="B6" s="183"/>
      <c r="C6" s="183"/>
      <c r="D6" s="183"/>
    </row>
    <row r="7" spans="1:4" ht="34.5" customHeight="1">
      <c r="A7" s="333" t="s">
        <v>5</v>
      </c>
      <c r="B7" s="343"/>
      <c r="C7" s="343"/>
      <c r="D7" s="343"/>
    </row>
    <row r="8" spans="1:4" ht="22.5" customHeight="1">
      <c r="A8" s="187" t="s">
        <v>165</v>
      </c>
      <c r="B8" s="107"/>
      <c r="C8" s="107"/>
      <c r="D8" s="107"/>
    </row>
    <row r="9" spans="1:7" ht="12.75">
      <c r="A9" s="6"/>
      <c r="B9" s="6">
        <v>2</v>
      </c>
      <c r="C9" s="6">
        <v>3</v>
      </c>
      <c r="D9" s="7">
        <v>4</v>
      </c>
      <c r="G9" s="166"/>
    </row>
    <row r="10" spans="1:7" ht="12.75">
      <c r="A10" s="8" t="s">
        <v>9</v>
      </c>
      <c r="B10" s="9"/>
      <c r="C10" s="185" t="s">
        <v>133</v>
      </c>
      <c r="D10" s="10"/>
      <c r="G10" s="166"/>
    </row>
    <row r="11" spans="1:7" ht="12.75">
      <c r="A11" s="8" t="s">
        <v>10</v>
      </c>
      <c r="B11" s="9"/>
      <c r="C11" s="185" t="s">
        <v>134</v>
      </c>
      <c r="D11" s="10"/>
      <c r="G11" s="166"/>
    </row>
    <row r="12" spans="1:7" ht="12.75">
      <c r="A12" s="8" t="s">
        <v>11</v>
      </c>
      <c r="B12" s="9"/>
      <c r="C12" s="185" t="s">
        <v>135</v>
      </c>
      <c r="D12" s="10"/>
      <c r="G12" s="166"/>
    </row>
    <row r="13" spans="1:7" ht="31.5" customHeight="1">
      <c r="A13" s="325" t="s">
        <v>12</v>
      </c>
      <c r="B13" s="325"/>
      <c r="C13" s="325"/>
      <c r="D13" s="325"/>
      <c r="G13" s="166"/>
    </row>
    <row r="14" spans="1:7" ht="12.75">
      <c r="A14" s="8" t="s">
        <v>107</v>
      </c>
      <c r="B14" s="12" t="s">
        <v>14</v>
      </c>
      <c r="C14" s="353">
        <v>187775.09</v>
      </c>
      <c r="D14" s="10"/>
      <c r="G14" s="166"/>
    </row>
    <row r="15" spans="1:7" ht="12.75">
      <c r="A15" s="8" t="s">
        <v>15</v>
      </c>
      <c r="B15" s="12" t="s">
        <v>14</v>
      </c>
      <c r="C15" s="200">
        <v>0</v>
      </c>
      <c r="D15" s="10"/>
      <c r="G15" s="166"/>
    </row>
    <row r="16" spans="1:7" ht="12.75">
      <c r="A16" s="8" t="s">
        <v>16</v>
      </c>
      <c r="B16" s="12" t="s">
        <v>14</v>
      </c>
      <c r="C16" s="201">
        <v>84583.64</v>
      </c>
      <c r="D16" s="202"/>
      <c r="G16" s="166"/>
    </row>
    <row r="17" spans="1:7" ht="31.5" customHeight="1">
      <c r="A17" s="11" t="s">
        <v>17</v>
      </c>
      <c r="B17" s="12" t="s">
        <v>14</v>
      </c>
      <c r="C17" s="203">
        <v>2050060.53</v>
      </c>
      <c r="D17" s="202"/>
      <c r="G17" s="198">
        <f>C17-C19</f>
        <v>1720605.6600000001</v>
      </c>
    </row>
    <row r="18" spans="1:7" ht="12.75">
      <c r="A18" s="8" t="s">
        <v>18</v>
      </c>
      <c r="B18" s="12" t="s">
        <v>14</v>
      </c>
      <c r="C18" s="201">
        <f>C17-C19-C20</f>
        <v>1361334.2040000001</v>
      </c>
      <c r="D18" s="202"/>
      <c r="G18" s="167">
        <f>G17-G59</f>
        <v>0.006000000052154064</v>
      </c>
    </row>
    <row r="19" spans="1:7" ht="12.75">
      <c r="A19" s="8" t="s">
        <v>19</v>
      </c>
      <c r="B19" s="12" t="s">
        <v>14</v>
      </c>
      <c r="C19" s="201">
        <f>6135.1*(4.92+4.03)*6</f>
        <v>329454.87</v>
      </c>
      <c r="D19" s="202"/>
      <c r="G19" s="166"/>
    </row>
    <row r="20" spans="1:7" ht="12.75">
      <c r="A20" s="8" t="s">
        <v>20</v>
      </c>
      <c r="B20" s="12" t="s">
        <v>14</v>
      </c>
      <c r="C20" s="201">
        <f>4.88*12*6135.1</f>
        <v>359271.45600000006</v>
      </c>
      <c r="D20" s="202"/>
      <c r="G20" s="166"/>
    </row>
    <row r="21" spans="1:7" ht="12.75">
      <c r="A21" s="8" t="s">
        <v>21</v>
      </c>
      <c r="B21" s="12" t="s">
        <v>14</v>
      </c>
      <c r="C21" s="203">
        <f>C22+C23+C24+C25+C26</f>
        <v>2042199.89887</v>
      </c>
      <c r="D21" s="202" t="s">
        <v>22</v>
      </c>
      <c r="G21" s="166"/>
    </row>
    <row r="22" spans="1:7" ht="12.75">
      <c r="A22" s="8" t="s">
        <v>23</v>
      </c>
      <c r="B22" s="12" t="s">
        <v>14</v>
      </c>
      <c r="C22" s="203">
        <f>C17*0.979</f>
        <v>2007009.25887</v>
      </c>
      <c r="D22" s="202"/>
      <c r="G22" s="166"/>
    </row>
    <row r="23" spans="1:7" ht="12.75">
      <c r="A23" s="8" t="s">
        <v>24</v>
      </c>
      <c r="B23" s="12" t="s">
        <v>14</v>
      </c>
      <c r="C23" s="204">
        <v>0</v>
      </c>
      <c r="D23" s="205">
        <v>65.21</v>
      </c>
      <c r="G23" s="166"/>
    </row>
    <row r="24" spans="1:7" ht="12.75">
      <c r="A24" s="8" t="s">
        <v>26</v>
      </c>
      <c r="B24" s="12" t="s">
        <v>14</v>
      </c>
      <c r="C24" s="204">
        <v>0</v>
      </c>
      <c r="D24" s="205">
        <v>119.63</v>
      </c>
      <c r="G24" s="166"/>
    </row>
    <row r="25" spans="1:7" ht="12.75">
      <c r="A25" s="9" t="s">
        <v>27</v>
      </c>
      <c r="B25" s="12" t="s">
        <v>14</v>
      </c>
      <c r="C25" s="204">
        <v>15551.48</v>
      </c>
      <c r="D25" s="205"/>
      <c r="G25" s="166"/>
    </row>
    <row r="26" spans="1:7" ht="12.75">
      <c r="A26" s="9" t="s">
        <v>28</v>
      </c>
      <c r="B26" s="12" t="s">
        <v>14</v>
      </c>
      <c r="C26" s="204">
        <v>19639.16</v>
      </c>
      <c r="D26" s="205">
        <v>139.18</v>
      </c>
      <c r="G26" s="166"/>
    </row>
    <row r="27" spans="1:7" ht="12.75">
      <c r="A27" s="8" t="s">
        <v>29</v>
      </c>
      <c r="B27" s="12" t="s">
        <v>14</v>
      </c>
      <c r="C27" s="204">
        <f>C14+C21</f>
        <v>2229974.98887</v>
      </c>
      <c r="D27" s="202" t="s">
        <v>30</v>
      </c>
      <c r="G27" s="166"/>
    </row>
    <row r="28" spans="1:7" ht="35.25" customHeight="1">
      <c r="A28" s="328" t="s">
        <v>31</v>
      </c>
      <c r="B28" s="328"/>
      <c r="C28" s="328"/>
      <c r="D28" s="328"/>
      <c r="G28" s="166"/>
    </row>
    <row r="29" spans="1:7" ht="51">
      <c r="A29" s="35" t="s">
        <v>32</v>
      </c>
      <c r="B29" s="206" t="s">
        <v>33</v>
      </c>
      <c r="C29" s="207" t="s">
        <v>34</v>
      </c>
      <c r="D29" s="208" t="s">
        <v>35</v>
      </c>
      <c r="G29" s="166"/>
    </row>
    <row r="30" spans="1:7" ht="25.5">
      <c r="A30" s="33" t="s">
        <v>108</v>
      </c>
      <c r="B30" s="34" t="s">
        <v>37</v>
      </c>
      <c r="C30" s="35" t="s">
        <v>38</v>
      </c>
      <c r="D30" s="209">
        <f>(0.29+0.28)*6*6132.2</f>
        <v>20972.124000000003</v>
      </c>
      <c r="G30" s="166"/>
    </row>
    <row r="31" spans="1:7" ht="12.75">
      <c r="A31" s="33" t="s">
        <v>96</v>
      </c>
      <c r="B31" s="34" t="s">
        <v>40</v>
      </c>
      <c r="C31" s="33" t="s">
        <v>41</v>
      </c>
      <c r="D31" s="209">
        <f>(2.45+2.34)*6*6132.2</f>
        <v>176239.428</v>
      </c>
      <c r="G31" s="166"/>
    </row>
    <row r="32" spans="1:13" s="1" customFormat="1" ht="12.75">
      <c r="A32" s="33" t="s">
        <v>42</v>
      </c>
      <c r="B32" s="34" t="s">
        <v>43</v>
      </c>
      <c r="C32" s="33" t="s">
        <v>44</v>
      </c>
      <c r="D32" s="209">
        <f>(3.03+3)*6*6132.2</f>
        <v>221862.99599999996</v>
      </c>
      <c r="G32" s="166"/>
      <c r="J32"/>
      <c r="K32"/>
      <c r="L32"/>
      <c r="M32"/>
    </row>
    <row r="33" spans="1:13" s="1" customFormat="1" ht="12.75">
      <c r="A33" s="33" t="s">
        <v>109</v>
      </c>
      <c r="B33" s="34" t="s">
        <v>37</v>
      </c>
      <c r="C33" s="33" t="s">
        <v>46</v>
      </c>
      <c r="D33" s="209">
        <f>(0.21+0.2)*6*6132.2</f>
        <v>15085.212</v>
      </c>
      <c r="G33" s="166"/>
      <c r="J33"/>
      <c r="K33"/>
      <c r="L33"/>
      <c r="M33"/>
    </row>
    <row r="34" spans="1:13" s="1" customFormat="1" ht="12.75">
      <c r="A34" s="33" t="s">
        <v>47</v>
      </c>
      <c r="B34" s="34" t="s">
        <v>48</v>
      </c>
      <c r="C34" s="33" t="s">
        <v>49</v>
      </c>
      <c r="D34" s="209">
        <f>(0.55+0.53)*6*6132.2</f>
        <v>39736.656</v>
      </c>
      <c r="G34" s="166"/>
      <c r="J34"/>
      <c r="K34"/>
      <c r="L34"/>
      <c r="M34"/>
    </row>
    <row r="35" spans="1:13" s="1" customFormat="1" ht="12.75">
      <c r="A35" s="33" t="s">
        <v>110</v>
      </c>
      <c r="B35" s="34" t="s">
        <v>37</v>
      </c>
      <c r="C35" s="33" t="s">
        <v>49</v>
      </c>
      <c r="D35" s="209">
        <f>(1.17+1.11)*6*6132.2</f>
        <v>83888.49600000001</v>
      </c>
      <c r="G35" s="166"/>
      <c r="J35"/>
      <c r="K35"/>
      <c r="L35"/>
      <c r="M35"/>
    </row>
    <row r="36" spans="1:13" s="1" customFormat="1" ht="12.75">
      <c r="A36" s="33" t="s">
        <v>51</v>
      </c>
      <c r="B36" s="34" t="s">
        <v>52</v>
      </c>
      <c r="C36" s="33" t="s">
        <v>49</v>
      </c>
      <c r="D36" s="209">
        <f>(1.33+1.27)*6*6132.2</f>
        <v>95662.32</v>
      </c>
      <c r="G36" s="166"/>
      <c r="J36"/>
      <c r="K36"/>
      <c r="L36"/>
      <c r="M36"/>
    </row>
    <row r="37" spans="1:13" s="1" customFormat="1" ht="12.75">
      <c r="A37" s="33" t="s">
        <v>111</v>
      </c>
      <c r="B37" s="34" t="s">
        <v>43</v>
      </c>
      <c r="C37" s="194" t="s">
        <v>54</v>
      </c>
      <c r="D37" s="209">
        <f>6132.2*12*4.88</f>
        <v>359101.632</v>
      </c>
      <c r="G37" s="166"/>
      <c r="J37"/>
      <c r="K37"/>
      <c r="L37"/>
      <c r="M37"/>
    </row>
    <row r="38" spans="1:13" s="1" customFormat="1" ht="12.75">
      <c r="A38" s="33" t="s">
        <v>112</v>
      </c>
      <c r="B38" s="210" t="s">
        <v>40</v>
      </c>
      <c r="C38" s="33" t="s">
        <v>56</v>
      </c>
      <c r="D38" s="209">
        <f>(2.5+2.39)*6*6132.2</f>
        <v>179918.74800000002</v>
      </c>
      <c r="G38" s="166"/>
      <c r="J38"/>
      <c r="K38"/>
      <c r="L38"/>
      <c r="M38"/>
    </row>
    <row r="39" spans="1:13" s="1" customFormat="1" ht="12.75">
      <c r="A39" s="33" t="s">
        <v>100</v>
      </c>
      <c r="B39" s="34" t="s">
        <v>43</v>
      </c>
      <c r="C39" s="33" t="s">
        <v>58</v>
      </c>
      <c r="D39" s="202">
        <v>349323.09</v>
      </c>
      <c r="G39" s="166"/>
      <c r="J39"/>
      <c r="K39"/>
      <c r="L39"/>
      <c r="M39"/>
    </row>
    <row r="40" spans="1:13" s="1" customFormat="1" ht="25.5">
      <c r="A40" s="33" t="s">
        <v>113</v>
      </c>
      <c r="B40" s="34" t="s">
        <v>43</v>
      </c>
      <c r="C40" s="212" t="s">
        <v>41</v>
      </c>
      <c r="D40" s="10">
        <f>(2.33+2.23)*6*6132.2</f>
        <v>167776.99200000003</v>
      </c>
      <c r="G40" s="166"/>
      <c r="J40"/>
      <c r="K40"/>
      <c r="L40"/>
      <c r="M40"/>
    </row>
    <row r="41" spans="1:13" s="1" customFormat="1" ht="38.25">
      <c r="A41" s="110" t="s">
        <v>114</v>
      </c>
      <c r="B41" s="211" t="s">
        <v>102</v>
      </c>
      <c r="C41" s="212" t="s">
        <v>103</v>
      </c>
      <c r="D41" s="213">
        <f>0.3*6132.2*6</f>
        <v>11037.96</v>
      </c>
      <c r="G41" s="166"/>
      <c r="J41"/>
      <c r="K41"/>
      <c r="L41"/>
      <c r="M41"/>
    </row>
    <row r="42" spans="1:13" s="1" customFormat="1" ht="64.5" customHeight="1">
      <c r="A42" s="189" t="s">
        <v>296</v>
      </c>
      <c r="B42" s="214" t="s">
        <v>60</v>
      </c>
      <c r="C42" s="35"/>
      <c r="D42" s="354">
        <v>363711.62</v>
      </c>
      <c r="G42" s="183"/>
      <c r="J42"/>
      <c r="K42"/>
      <c r="L42"/>
      <c r="M42"/>
    </row>
    <row r="43" spans="1:13" s="1" customFormat="1" ht="31.5" customHeight="1">
      <c r="A43" s="189" t="s">
        <v>304</v>
      </c>
      <c r="B43" s="214" t="s">
        <v>305</v>
      </c>
      <c r="C43" s="35" t="s">
        <v>41</v>
      </c>
      <c r="D43" s="213">
        <v>6799.03</v>
      </c>
      <c r="G43" s="183"/>
      <c r="J43"/>
      <c r="K43"/>
      <c r="L43"/>
      <c r="M43"/>
    </row>
    <row r="44" spans="1:13" s="1" customFormat="1" ht="31.5" customHeight="1">
      <c r="A44" s="189" t="s">
        <v>306</v>
      </c>
      <c r="B44" s="214" t="s">
        <v>307</v>
      </c>
      <c r="C44" s="33" t="s">
        <v>49</v>
      </c>
      <c r="D44" s="213">
        <v>3168</v>
      </c>
      <c r="G44" s="183"/>
      <c r="J44"/>
      <c r="K44"/>
      <c r="L44"/>
      <c r="M44"/>
    </row>
    <row r="45" spans="1:13" s="1" customFormat="1" ht="29.25" customHeight="1">
      <c r="A45" s="189" t="s">
        <v>308</v>
      </c>
      <c r="B45" s="214" t="s">
        <v>217</v>
      </c>
      <c r="C45" s="33" t="s">
        <v>49</v>
      </c>
      <c r="D45" s="213">
        <v>14515</v>
      </c>
      <c r="G45" s="183"/>
      <c r="J45"/>
      <c r="K45"/>
      <c r="L45"/>
      <c r="M45"/>
    </row>
    <row r="46" spans="1:13" s="1" customFormat="1" ht="17.25" customHeight="1">
      <c r="A46" s="189" t="s">
        <v>309</v>
      </c>
      <c r="B46" s="214" t="s">
        <v>244</v>
      </c>
      <c r="C46" s="33" t="s">
        <v>49</v>
      </c>
      <c r="D46" s="213">
        <v>146354</v>
      </c>
      <c r="G46" s="183"/>
      <c r="J46"/>
      <c r="K46"/>
      <c r="L46"/>
      <c r="M46"/>
    </row>
    <row r="47" spans="1:13" s="1" customFormat="1" ht="17.25" customHeight="1">
      <c r="A47" s="189" t="s">
        <v>310</v>
      </c>
      <c r="B47" s="214" t="s">
        <v>244</v>
      </c>
      <c r="C47" s="33" t="s">
        <v>49</v>
      </c>
      <c r="D47" s="213">
        <v>1404</v>
      </c>
      <c r="G47" s="183"/>
      <c r="J47"/>
      <c r="K47"/>
      <c r="L47"/>
      <c r="M47"/>
    </row>
    <row r="48" spans="1:13" s="1" customFormat="1" ht="17.25" customHeight="1">
      <c r="A48" s="189" t="s">
        <v>214</v>
      </c>
      <c r="B48" s="214" t="s">
        <v>259</v>
      </c>
      <c r="C48" s="33" t="s">
        <v>49</v>
      </c>
      <c r="D48" s="213">
        <v>10281</v>
      </c>
      <c r="G48" s="183"/>
      <c r="J48"/>
      <c r="K48"/>
      <c r="L48"/>
      <c r="M48"/>
    </row>
    <row r="49" spans="1:13" s="1" customFormat="1" ht="17.25" customHeight="1">
      <c r="A49" s="189" t="s">
        <v>311</v>
      </c>
      <c r="B49" s="214" t="s">
        <v>312</v>
      </c>
      <c r="C49" s="33" t="s">
        <v>49</v>
      </c>
      <c r="D49" s="213">
        <v>5402</v>
      </c>
      <c r="G49" s="183"/>
      <c r="J49"/>
      <c r="K49"/>
      <c r="L49"/>
      <c r="M49"/>
    </row>
    <row r="50" spans="1:13" s="1" customFormat="1" ht="27" customHeight="1">
      <c r="A50" s="189" t="s">
        <v>313</v>
      </c>
      <c r="B50" s="214" t="s">
        <v>224</v>
      </c>
      <c r="C50" s="35" t="s">
        <v>41</v>
      </c>
      <c r="D50" s="213">
        <v>23607.16</v>
      </c>
      <c r="G50" s="183"/>
      <c r="J50"/>
      <c r="K50"/>
      <c r="L50"/>
      <c r="M50"/>
    </row>
    <row r="51" spans="1:13" s="1" customFormat="1" ht="17.25" customHeight="1">
      <c r="A51" s="189" t="s">
        <v>314</v>
      </c>
      <c r="B51" s="214" t="s">
        <v>237</v>
      </c>
      <c r="C51" s="35" t="s">
        <v>161</v>
      </c>
      <c r="D51" s="213">
        <v>115000</v>
      </c>
      <c r="G51" s="183"/>
      <c r="J51"/>
      <c r="K51"/>
      <c r="L51"/>
      <c r="M51"/>
    </row>
    <row r="52" spans="1:13" s="1" customFormat="1" ht="29.25" customHeight="1">
      <c r="A52" s="189" t="s">
        <v>315</v>
      </c>
      <c r="B52" s="214" t="s">
        <v>226</v>
      </c>
      <c r="C52" s="33" t="s">
        <v>49</v>
      </c>
      <c r="D52" s="213">
        <v>10663</v>
      </c>
      <c r="G52" s="183"/>
      <c r="J52"/>
      <c r="K52"/>
      <c r="L52"/>
      <c r="M52"/>
    </row>
    <row r="53" spans="1:13" s="1" customFormat="1" ht="35.25" customHeight="1">
      <c r="A53" s="189" t="s">
        <v>316</v>
      </c>
      <c r="B53" s="214" t="s">
        <v>226</v>
      </c>
      <c r="C53" s="35" t="s">
        <v>41</v>
      </c>
      <c r="D53" s="213">
        <v>1055.25</v>
      </c>
      <c r="G53" s="183"/>
      <c r="J53"/>
      <c r="K53"/>
      <c r="L53"/>
      <c r="M53"/>
    </row>
    <row r="54" spans="1:13" s="1" customFormat="1" ht="17.25" customHeight="1">
      <c r="A54" s="189" t="s">
        <v>317</v>
      </c>
      <c r="B54" s="214" t="s">
        <v>239</v>
      </c>
      <c r="C54" s="35" t="s">
        <v>152</v>
      </c>
      <c r="D54" s="213">
        <v>11999</v>
      </c>
      <c r="G54" s="183"/>
      <c r="J54"/>
      <c r="K54"/>
      <c r="L54"/>
      <c r="M54"/>
    </row>
    <row r="55" spans="1:13" s="1" customFormat="1" ht="17.25" customHeight="1">
      <c r="A55" s="189" t="s">
        <v>236</v>
      </c>
      <c r="B55" s="214" t="s">
        <v>239</v>
      </c>
      <c r="C55" s="33" t="s">
        <v>41</v>
      </c>
      <c r="D55" s="213">
        <v>1114.17</v>
      </c>
      <c r="G55" s="183"/>
      <c r="J55"/>
      <c r="K55"/>
      <c r="L55"/>
      <c r="M55"/>
    </row>
    <row r="56" spans="1:13" s="1" customFormat="1" ht="17.25" customHeight="1">
      <c r="A56" s="189" t="s">
        <v>318</v>
      </c>
      <c r="B56" s="214" t="s">
        <v>239</v>
      </c>
      <c r="C56" s="35" t="s">
        <v>152</v>
      </c>
      <c r="D56" s="213">
        <v>3240</v>
      </c>
      <c r="G56" s="183"/>
      <c r="J56"/>
      <c r="K56"/>
      <c r="L56"/>
      <c r="M56"/>
    </row>
    <row r="57" spans="1:13" s="1" customFormat="1" ht="17.25" customHeight="1">
      <c r="A57" s="189" t="s">
        <v>319</v>
      </c>
      <c r="B57" s="214" t="s">
        <v>320</v>
      </c>
      <c r="C57" s="35" t="s">
        <v>58</v>
      </c>
      <c r="D57" s="213">
        <v>8215</v>
      </c>
      <c r="G57" s="166"/>
      <c r="J57"/>
      <c r="K57"/>
      <c r="L57"/>
      <c r="M57"/>
    </row>
    <row r="58" spans="1:13" s="1" customFormat="1" ht="17.25" customHeight="1">
      <c r="A58" s="189" t="s">
        <v>321</v>
      </c>
      <c r="B58" s="214" t="s">
        <v>246</v>
      </c>
      <c r="C58" s="33" t="s">
        <v>49</v>
      </c>
      <c r="D58" s="213">
        <v>895</v>
      </c>
      <c r="G58" s="166"/>
      <c r="J58"/>
      <c r="K58"/>
      <c r="L58"/>
      <c r="M58"/>
    </row>
    <row r="59" spans="1:13" s="1" customFormat="1" ht="12.75">
      <c r="A59" s="112" t="s">
        <v>61</v>
      </c>
      <c r="B59" s="34"/>
      <c r="C59" s="33"/>
      <c r="D59" s="10">
        <f>SUM(D30:D42)</f>
        <v>2084317.2740000002</v>
      </c>
      <c r="G59" s="167">
        <f>D59-D42</f>
        <v>1720605.654</v>
      </c>
      <c r="J59"/>
      <c r="K59"/>
      <c r="L59"/>
      <c r="M59"/>
    </row>
    <row r="60" spans="1:13" s="1" customFormat="1" ht="12.75">
      <c r="A60" s="112" t="s">
        <v>62</v>
      </c>
      <c r="B60" s="34" t="s">
        <v>14</v>
      </c>
      <c r="C60" s="33"/>
      <c r="D60" s="202">
        <f>C14+C19*0.975+C25+C26-D42</f>
        <v>180472.60825000005</v>
      </c>
      <c r="G60" s="166"/>
      <c r="J60"/>
      <c r="K60"/>
      <c r="L60"/>
      <c r="M60"/>
    </row>
    <row r="61" spans="1:7" ht="12.75">
      <c r="A61" s="33" t="s">
        <v>15</v>
      </c>
      <c r="B61" s="34" t="s">
        <v>14</v>
      </c>
      <c r="C61" s="33"/>
      <c r="D61" s="10">
        <v>0</v>
      </c>
      <c r="G61" s="166"/>
    </row>
    <row r="62" spans="1:7" ht="12.75">
      <c r="A62" s="33" t="s">
        <v>16</v>
      </c>
      <c r="B62" s="34" t="s">
        <v>14</v>
      </c>
      <c r="C62" s="33"/>
      <c r="D62" s="10">
        <v>127634.91</v>
      </c>
      <c r="G62" s="166"/>
    </row>
    <row r="63" spans="1:7" ht="24" customHeight="1">
      <c r="A63" s="327" t="s">
        <v>63</v>
      </c>
      <c r="B63" s="327"/>
      <c r="C63" s="327"/>
      <c r="D63" s="327"/>
      <c r="G63" s="166"/>
    </row>
    <row r="64" spans="1:7" ht="12.75">
      <c r="A64" s="33" t="s">
        <v>64</v>
      </c>
      <c r="B64" s="34" t="s">
        <v>65</v>
      </c>
      <c r="C64" s="33"/>
      <c r="D64" s="10">
        <v>0</v>
      </c>
      <c r="G64" s="166"/>
    </row>
    <row r="65" spans="1:7" ht="12.75">
      <c r="A65" s="33" t="s">
        <v>66</v>
      </c>
      <c r="B65" s="34" t="s">
        <v>65</v>
      </c>
      <c r="C65" s="33"/>
      <c r="D65" s="10">
        <v>0</v>
      </c>
      <c r="G65" s="166"/>
    </row>
    <row r="66" spans="1:7" ht="12.75">
      <c r="A66" s="35" t="s">
        <v>67</v>
      </c>
      <c r="B66" s="34" t="s">
        <v>65</v>
      </c>
      <c r="C66" s="33"/>
      <c r="D66" s="10">
        <v>0</v>
      </c>
      <c r="G66" s="166"/>
    </row>
    <row r="67" spans="1:7" ht="12.75">
      <c r="A67" s="33" t="s">
        <v>68</v>
      </c>
      <c r="B67" s="34" t="s">
        <v>14</v>
      </c>
      <c r="C67" s="33"/>
      <c r="D67" s="10">
        <v>0</v>
      </c>
      <c r="G67" s="166"/>
    </row>
    <row r="68" spans="1:7" ht="20.25" customHeight="1">
      <c r="A68" s="328" t="s">
        <v>69</v>
      </c>
      <c r="B68" s="328"/>
      <c r="C68" s="328"/>
      <c r="D68" s="328"/>
      <c r="G68" s="166"/>
    </row>
    <row r="69" spans="1:7" ht="25.5">
      <c r="A69" s="35" t="s">
        <v>70</v>
      </c>
      <c r="B69" s="34" t="s">
        <v>14</v>
      </c>
      <c r="C69" s="33"/>
      <c r="D69" s="10">
        <v>0</v>
      </c>
      <c r="G69" s="166"/>
    </row>
    <row r="70" spans="1:7" ht="12.75">
      <c r="A70" s="33" t="s">
        <v>15</v>
      </c>
      <c r="B70" s="34" t="s">
        <v>14</v>
      </c>
      <c r="C70" s="33"/>
      <c r="D70" s="10">
        <v>0</v>
      </c>
      <c r="G70" s="166"/>
    </row>
    <row r="71" spans="1:7" ht="12.75">
      <c r="A71" s="33" t="s">
        <v>16</v>
      </c>
      <c r="B71" s="34" t="s">
        <v>14</v>
      </c>
      <c r="C71" s="33"/>
      <c r="D71" s="215">
        <f>D74-D77-D78-D79-D80</f>
        <v>115659.32655000003</v>
      </c>
      <c r="G71" s="168"/>
    </row>
    <row r="72" spans="1:7" ht="12.75">
      <c r="A72" s="97" t="s">
        <v>115</v>
      </c>
      <c r="B72" s="34" t="s">
        <v>14</v>
      </c>
      <c r="C72" s="216"/>
      <c r="D72" s="217">
        <v>0</v>
      </c>
      <c r="G72" s="166"/>
    </row>
    <row r="73" spans="1:9" ht="17.25" customHeight="1">
      <c r="A73" s="40" t="s">
        <v>15</v>
      </c>
      <c r="B73" s="34" t="s">
        <v>14</v>
      </c>
      <c r="C73" s="33"/>
      <c r="D73" s="10">
        <v>0</v>
      </c>
      <c r="G73" s="166"/>
      <c r="H73" s="36"/>
      <c r="I73" s="36"/>
    </row>
    <row r="74" spans="1:13" ht="12.75">
      <c r="A74" s="41" t="s">
        <v>16</v>
      </c>
      <c r="B74" s="34" t="s">
        <v>14</v>
      </c>
      <c r="C74" s="218"/>
      <c r="D74" s="218">
        <v>174527.46</v>
      </c>
      <c r="G74" s="166" t="s">
        <v>30</v>
      </c>
      <c r="H74" s="43"/>
      <c r="I74" s="43"/>
      <c r="J74" s="44"/>
      <c r="K74" s="44"/>
      <c r="L74" s="44"/>
      <c r="M74" s="44"/>
    </row>
    <row r="75" spans="1:13" ht="18" customHeight="1">
      <c r="A75" s="329" t="s">
        <v>72</v>
      </c>
      <c r="B75" s="329"/>
      <c r="C75" s="329"/>
      <c r="D75" s="329"/>
      <c r="E75" s="46"/>
      <c r="F75" s="47"/>
      <c r="G75" s="166"/>
      <c r="H75" s="48"/>
      <c r="I75" s="48"/>
      <c r="J75" s="49"/>
      <c r="K75" s="49"/>
      <c r="L75" s="49"/>
      <c r="M75" s="49"/>
    </row>
    <row r="76" spans="1:13" ht="63.75">
      <c r="A76" s="50" t="s">
        <v>73</v>
      </c>
      <c r="B76" s="51" t="s">
        <v>74</v>
      </c>
      <c r="C76" s="219" t="s">
        <v>75</v>
      </c>
      <c r="D76" s="220" t="s">
        <v>116</v>
      </c>
      <c r="E76" s="46"/>
      <c r="F76" s="47"/>
      <c r="G76" s="166"/>
      <c r="H76" s="48"/>
      <c r="I76" s="48"/>
      <c r="J76" s="49"/>
      <c r="K76" s="49"/>
      <c r="L76" s="49"/>
      <c r="M76" s="49"/>
    </row>
    <row r="77" spans="1:13" ht="12.75">
      <c r="A77" s="55" t="s">
        <v>77</v>
      </c>
      <c r="B77" s="200">
        <v>237560.06</v>
      </c>
      <c r="C77" s="221">
        <f>B77*0.979</f>
        <v>232571.29874</v>
      </c>
      <c r="D77" s="222">
        <f>B77-C77</f>
        <v>4988.761259999999</v>
      </c>
      <c r="E77" s="46"/>
      <c r="F77" s="47"/>
      <c r="G77" s="166"/>
      <c r="H77" s="48"/>
      <c r="I77" s="48"/>
      <c r="J77" s="49"/>
      <c r="K77" s="49"/>
      <c r="L77" s="49"/>
      <c r="M77" s="49"/>
    </row>
    <row r="78" spans="1:13" ht="12.75">
      <c r="A78" s="55" t="s">
        <v>78</v>
      </c>
      <c r="B78" s="200">
        <v>430438.76</v>
      </c>
      <c r="C78" s="221">
        <f>B78*0.979</f>
        <v>421399.54604</v>
      </c>
      <c r="D78" s="222">
        <f>B78-C78</f>
        <v>9039.213960000023</v>
      </c>
      <c r="E78" s="46"/>
      <c r="F78" s="47"/>
      <c r="G78" s="166"/>
      <c r="H78" s="48"/>
      <c r="I78" s="48"/>
      <c r="J78" s="49"/>
      <c r="K78" s="49"/>
      <c r="L78" s="49"/>
      <c r="M78" s="49"/>
    </row>
    <row r="79" spans="1:13" ht="12.75">
      <c r="A79" s="55" t="s">
        <v>79</v>
      </c>
      <c r="B79" s="223">
        <v>1562401.26</v>
      </c>
      <c r="C79" s="221">
        <f>B79*0.979</f>
        <v>1529590.83354</v>
      </c>
      <c r="D79" s="222">
        <f>B79-C79</f>
        <v>32810.42645999999</v>
      </c>
      <c r="E79" s="58"/>
      <c r="F79" s="59"/>
      <c r="G79" s="171"/>
      <c r="H79" s="48"/>
      <c r="I79" s="48"/>
      <c r="J79" s="49"/>
      <c r="K79" s="49"/>
      <c r="L79" s="49"/>
      <c r="M79" s="49"/>
    </row>
    <row r="80" spans="1:13" ht="12.75">
      <c r="A80" s="55" t="s">
        <v>80</v>
      </c>
      <c r="B80" s="223">
        <v>572844.37</v>
      </c>
      <c r="C80" s="221">
        <f>B80*0.979</f>
        <v>560814.63823</v>
      </c>
      <c r="D80" s="222">
        <f>B80-C80</f>
        <v>12029.731769999955</v>
      </c>
      <c r="E80" s="58"/>
      <c r="F80" s="59"/>
      <c r="G80" s="166"/>
      <c r="H80" s="48"/>
      <c r="I80" s="48"/>
      <c r="J80" s="49"/>
      <c r="K80" s="49"/>
      <c r="L80" s="49"/>
      <c r="M80" s="49"/>
    </row>
    <row r="81" spans="1:13" ht="13.5" thickBot="1">
      <c r="A81" s="137" t="s">
        <v>81</v>
      </c>
      <c r="B81" s="224">
        <v>0</v>
      </c>
      <c r="C81" s="225">
        <f>B81*1.0289</f>
        <v>0</v>
      </c>
      <c r="D81" s="226">
        <f>B81-C81</f>
        <v>0</v>
      </c>
      <c r="E81" s="58"/>
      <c r="F81" s="59"/>
      <c r="G81" s="166"/>
      <c r="H81" s="48"/>
      <c r="I81" s="48"/>
      <c r="J81" s="49"/>
      <c r="K81" s="49"/>
      <c r="L81" s="49"/>
      <c r="M81" s="49"/>
    </row>
    <row r="82" spans="1:13" ht="102">
      <c r="A82" s="141" t="s">
        <v>82</v>
      </c>
      <c r="B82" s="142" t="s">
        <v>83</v>
      </c>
      <c r="C82" s="227" t="s">
        <v>84</v>
      </c>
      <c r="D82" s="228" t="s">
        <v>85</v>
      </c>
      <c r="E82" s="136"/>
      <c r="G82" s="170"/>
      <c r="H82" s="48"/>
      <c r="I82" s="48"/>
      <c r="J82" s="49"/>
      <c r="K82" s="49"/>
      <c r="L82" s="49"/>
      <c r="M82" s="49"/>
    </row>
    <row r="83" spans="1:13" ht="12.75">
      <c r="A83" s="145" t="s">
        <v>77</v>
      </c>
      <c r="B83" s="113">
        <f>B77</f>
        <v>237560.06</v>
      </c>
      <c r="C83" s="229">
        <f>C77</f>
        <v>232571.29874</v>
      </c>
      <c r="D83" s="230">
        <f>B83-C83</f>
        <v>4988.761259999999</v>
      </c>
      <c r="E83" s="136"/>
      <c r="G83" s="170"/>
      <c r="H83" s="48"/>
      <c r="I83" s="48" t="s">
        <v>30</v>
      </c>
      <c r="J83" s="49"/>
      <c r="K83" s="49"/>
      <c r="L83" s="49"/>
      <c r="M83" s="49"/>
    </row>
    <row r="84" spans="1:13" ht="12.75">
      <c r="A84" s="145" t="s">
        <v>78</v>
      </c>
      <c r="B84" s="113">
        <f>B78</f>
        <v>430438.76</v>
      </c>
      <c r="C84" s="229">
        <f>C78</f>
        <v>421399.54604</v>
      </c>
      <c r="D84" s="230">
        <f>B84-C84</f>
        <v>9039.213960000023</v>
      </c>
      <c r="E84" s="136"/>
      <c r="G84" s="170"/>
      <c r="H84" s="48"/>
      <c r="I84" s="48"/>
      <c r="J84" s="49"/>
      <c r="K84" s="49"/>
      <c r="L84" s="49"/>
      <c r="M84" s="49"/>
    </row>
    <row r="85" spans="1:13" ht="12.75">
      <c r="A85" s="145" t="s">
        <v>79</v>
      </c>
      <c r="B85" s="113">
        <v>1696783.74</v>
      </c>
      <c r="C85" s="229">
        <f>C79</f>
        <v>1529590.83354</v>
      </c>
      <c r="D85" s="230">
        <f>B85-C85</f>
        <v>167192.90645999997</v>
      </c>
      <c r="E85" s="136"/>
      <c r="G85" s="170"/>
      <c r="H85" s="48"/>
      <c r="I85" s="48"/>
      <c r="J85" s="49"/>
      <c r="K85" s="49"/>
      <c r="L85" s="49"/>
      <c r="M85" s="49"/>
    </row>
    <row r="86" spans="1:13" ht="12.75">
      <c r="A86" s="145" t="s">
        <v>80</v>
      </c>
      <c r="B86" s="113">
        <f>B80</f>
        <v>572844.37</v>
      </c>
      <c r="C86" s="229">
        <f>C80</f>
        <v>560814.63823</v>
      </c>
      <c r="D86" s="230">
        <f>B86-C86</f>
        <v>12029.731769999955</v>
      </c>
      <c r="E86" s="136"/>
      <c r="G86" s="170"/>
      <c r="H86" s="48"/>
      <c r="I86" s="48"/>
      <c r="J86" s="49"/>
      <c r="K86" s="49"/>
      <c r="L86" s="49"/>
      <c r="M86" s="49"/>
    </row>
    <row r="87" spans="1:13" ht="13.5" thickBot="1">
      <c r="A87" s="147" t="s">
        <v>81</v>
      </c>
      <c r="B87" s="148">
        <v>0</v>
      </c>
      <c r="C87" s="231"/>
      <c r="D87" s="232">
        <f>B87-C87</f>
        <v>0</v>
      </c>
      <c r="E87" s="136"/>
      <c r="G87" s="170" t="s">
        <v>30</v>
      </c>
      <c r="H87" s="48"/>
      <c r="I87" s="48"/>
      <c r="J87" s="49"/>
      <c r="K87" s="49"/>
      <c r="L87" s="49"/>
      <c r="M87" s="49"/>
    </row>
    <row r="88" spans="1:13" ht="12.75">
      <c r="A88" s="61"/>
      <c r="B88" s="60"/>
      <c r="C88" s="233"/>
      <c r="D88" s="234"/>
      <c r="E88" s="58"/>
      <c r="G88" s="170"/>
      <c r="H88" s="48"/>
      <c r="I88" s="48"/>
      <c r="J88" s="49"/>
      <c r="K88" s="49"/>
      <c r="L88" s="49"/>
      <c r="M88" s="49"/>
    </row>
    <row r="89" spans="1:13" ht="25.5">
      <c r="A89" s="64" t="s">
        <v>86</v>
      </c>
      <c r="B89" s="60" t="s">
        <v>14</v>
      </c>
      <c r="C89" s="235">
        <v>0</v>
      </c>
      <c r="D89" s="236"/>
      <c r="E89" s="58"/>
      <c r="G89" s="170"/>
      <c r="H89" s="48"/>
      <c r="I89" s="48" t="s">
        <v>30</v>
      </c>
      <c r="J89" s="49"/>
      <c r="K89" s="49"/>
      <c r="L89" s="49"/>
      <c r="M89" s="49"/>
    </row>
    <row r="90" spans="1:13" ht="17.25" customHeight="1" thickBot="1">
      <c r="A90" s="330" t="s">
        <v>87</v>
      </c>
      <c r="B90" s="330"/>
      <c r="C90" s="330"/>
      <c r="D90" s="330"/>
      <c r="E90" s="48"/>
      <c r="G90" s="172" t="e">
        <f>#REF!-B17</f>
        <v>#REF!</v>
      </c>
      <c r="H90" s="48"/>
      <c r="I90" s="48"/>
      <c r="J90" s="49"/>
      <c r="K90" s="49"/>
      <c r="L90" s="49"/>
      <c r="M90" s="49"/>
    </row>
    <row r="91" spans="1:7" ht="21" customHeight="1">
      <c r="A91" s="151" t="s">
        <v>64</v>
      </c>
      <c r="B91" s="152" t="s">
        <v>65</v>
      </c>
      <c r="C91" s="153">
        <v>0</v>
      </c>
      <c r="D91" s="237"/>
      <c r="G91" s="166"/>
    </row>
    <row r="92" spans="1:7" ht="21" customHeight="1">
      <c r="A92" s="154" t="s">
        <v>66</v>
      </c>
      <c r="B92" s="69" t="s">
        <v>65</v>
      </c>
      <c r="C92" s="133">
        <v>0</v>
      </c>
      <c r="D92" s="238"/>
      <c r="G92" s="166"/>
    </row>
    <row r="93" spans="1:13" s="1" customFormat="1" ht="18" customHeight="1">
      <c r="A93" s="154" t="s">
        <v>67</v>
      </c>
      <c r="B93" s="69" t="s">
        <v>65</v>
      </c>
      <c r="C93" s="133">
        <v>0</v>
      </c>
      <c r="D93" s="238"/>
      <c r="G93" s="166"/>
      <c r="J93"/>
      <c r="K93"/>
      <c r="L93"/>
      <c r="M93"/>
    </row>
    <row r="94" spans="1:13" s="1" customFormat="1" ht="16.5" customHeight="1" thickBot="1">
      <c r="A94" s="155" t="s">
        <v>68</v>
      </c>
      <c r="B94" s="156" t="s">
        <v>14</v>
      </c>
      <c r="C94" s="157">
        <v>0</v>
      </c>
      <c r="D94" s="239"/>
      <c r="G94" s="166"/>
      <c r="J94"/>
      <c r="K94"/>
      <c r="L94"/>
      <c r="M94"/>
    </row>
    <row r="95" spans="1:13" s="1" customFormat="1" ht="15.75" customHeight="1" thickBot="1">
      <c r="A95" s="324" t="s">
        <v>88</v>
      </c>
      <c r="B95" s="324"/>
      <c r="C95" s="324"/>
      <c r="D95" s="324"/>
      <c r="G95" s="166"/>
      <c r="J95"/>
      <c r="K95"/>
      <c r="L95"/>
      <c r="M95"/>
    </row>
    <row r="96" spans="1:13" s="1" customFormat="1" ht="18.75" customHeight="1">
      <c r="A96" s="151" t="s">
        <v>89</v>
      </c>
      <c r="B96" s="152" t="s">
        <v>65</v>
      </c>
      <c r="C96" s="158">
        <v>2</v>
      </c>
      <c r="D96" s="237"/>
      <c r="G96" s="166"/>
      <c r="J96"/>
      <c r="K96"/>
      <c r="L96"/>
      <c r="M96"/>
    </row>
    <row r="97" spans="1:13" s="1" customFormat="1" ht="21.75" customHeight="1">
      <c r="A97" s="154" t="s">
        <v>90</v>
      </c>
      <c r="B97" s="40" t="s">
        <v>65</v>
      </c>
      <c r="C97" s="135">
        <v>2</v>
      </c>
      <c r="D97" s="238"/>
      <c r="G97" s="166"/>
      <c r="J97"/>
      <c r="K97"/>
      <c r="L97"/>
      <c r="M97"/>
    </row>
    <row r="98" spans="1:13" s="1" customFormat="1" ht="36" customHeight="1" thickBot="1">
      <c r="A98" s="159" t="s">
        <v>91</v>
      </c>
      <c r="B98" s="156" t="s">
        <v>14</v>
      </c>
      <c r="C98" s="157">
        <v>57732</v>
      </c>
      <c r="D98" s="239"/>
      <c r="G98" s="166"/>
      <c r="J98"/>
      <c r="K98"/>
      <c r="L98"/>
      <c r="M98"/>
    </row>
    <row r="99" spans="1:13" s="1" customFormat="1" ht="12.75">
      <c r="A99" s="49"/>
      <c r="B99" s="49"/>
      <c r="C99" s="49"/>
      <c r="D99" s="240"/>
      <c r="G99" s="166"/>
      <c r="J99"/>
      <c r="K99"/>
      <c r="L99"/>
      <c r="M99"/>
    </row>
    <row r="100" spans="1:13" s="1" customFormat="1" ht="12.75">
      <c r="A100" s="183"/>
      <c r="B100" s="183"/>
      <c r="C100" s="183"/>
      <c r="D100" s="183"/>
      <c r="G100" s="166" t="s">
        <v>30</v>
      </c>
      <c r="J100"/>
      <c r="K100"/>
      <c r="L100"/>
      <c r="M100"/>
    </row>
    <row r="101" spans="1:13" s="1" customFormat="1" ht="12.75">
      <c r="A101" s="190" t="s">
        <v>322</v>
      </c>
      <c r="B101" s="183"/>
      <c r="C101" s="183"/>
      <c r="D101" s="183"/>
      <c r="G101" s="166"/>
      <c r="J101"/>
      <c r="K101"/>
      <c r="L101"/>
      <c r="M101"/>
    </row>
    <row r="102" spans="1:13" s="1" customFormat="1" ht="12.75">
      <c r="A102" s="183"/>
      <c r="B102" s="183"/>
      <c r="C102" s="183"/>
      <c r="D102" s="183"/>
      <c r="G102" s="166" t="s">
        <v>30</v>
      </c>
      <c r="J102"/>
      <c r="K102"/>
      <c r="L102"/>
      <c r="M102"/>
    </row>
    <row r="103" spans="1:13" s="1" customFormat="1" ht="12.75">
      <c r="A103" s="183" t="s">
        <v>93</v>
      </c>
      <c r="B103" s="183"/>
      <c r="C103" s="183"/>
      <c r="D103" s="183"/>
      <c r="G103" s="166"/>
      <c r="J103"/>
      <c r="K103"/>
      <c r="L103"/>
      <c r="M103"/>
    </row>
    <row r="104" spans="1:4" ht="14.25">
      <c r="A104" s="241"/>
      <c r="B104" s="241"/>
      <c r="C104" s="241"/>
      <c r="D104" s="241"/>
    </row>
    <row r="107" spans="1:13" s="1" customFormat="1" ht="12.75">
      <c r="A107"/>
      <c r="B107"/>
      <c r="C107"/>
      <c r="D107"/>
      <c r="J107"/>
      <c r="K107"/>
      <c r="L107"/>
      <c r="M10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3:D13"/>
    <mergeCell ref="A7:D7"/>
    <mergeCell ref="A28:D28"/>
    <mergeCell ref="A63:D63"/>
    <mergeCell ref="A68:D68"/>
    <mergeCell ref="A75:D75"/>
    <mergeCell ref="A90:D90"/>
    <mergeCell ref="A95:D95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="80" zoomScaleNormal="80" zoomScalePageLayoutView="0" workbookViewId="0" topLeftCell="A16">
      <selection activeCell="D42" sqref="D42"/>
    </sheetView>
  </sheetViews>
  <sheetFormatPr defaultColWidth="11.57421875" defaultRowHeight="12.75"/>
  <cols>
    <col min="1" max="1" width="59.28125" style="0" customWidth="1"/>
    <col min="2" max="2" width="15.8515625" style="0" customWidth="1"/>
    <col min="3" max="3" width="22.8515625" style="0" customWidth="1"/>
    <col min="4" max="4" width="15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117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ht="9" customHeight="1">
      <c r="A6" s="2"/>
    </row>
    <row r="7" spans="1:4" ht="29.25" customHeight="1">
      <c r="A7" s="333" t="s">
        <v>5</v>
      </c>
      <c r="B7" s="343"/>
      <c r="C7" s="343"/>
      <c r="D7" s="343"/>
    </row>
    <row r="8" spans="1:4" ht="12" customHeight="1">
      <c r="A8" s="107" t="s">
        <v>166</v>
      </c>
      <c r="B8" s="107"/>
      <c r="C8" s="107"/>
      <c r="D8" s="107"/>
    </row>
    <row r="9" spans="1:4" ht="12.75">
      <c r="A9" s="6">
        <v>1</v>
      </c>
      <c r="B9" s="6">
        <v>2</v>
      </c>
      <c r="C9" s="6">
        <v>3</v>
      </c>
      <c r="D9" s="7">
        <v>4</v>
      </c>
    </row>
    <row r="10" spans="1:8" ht="12.75">
      <c r="A10" s="8" t="s">
        <v>9</v>
      </c>
      <c r="B10" s="9"/>
      <c r="C10" s="185" t="s">
        <v>133</v>
      </c>
      <c r="D10" s="10"/>
      <c r="E10" s="166"/>
      <c r="F10" s="166"/>
      <c r="G10" s="166"/>
      <c r="H10" s="166"/>
    </row>
    <row r="11" spans="1:8" ht="12.75">
      <c r="A11" s="8" t="s">
        <v>10</v>
      </c>
      <c r="B11" s="9"/>
      <c r="C11" s="185" t="s">
        <v>134</v>
      </c>
      <c r="D11" s="10"/>
      <c r="E11" s="166"/>
      <c r="F11" s="166"/>
      <c r="G11" s="166"/>
      <c r="H11" s="166"/>
    </row>
    <row r="12" spans="1:8" ht="12.75">
      <c r="A12" s="8" t="s">
        <v>11</v>
      </c>
      <c r="B12" s="9"/>
      <c r="C12" s="185" t="s">
        <v>135</v>
      </c>
      <c r="D12" s="10"/>
      <c r="E12" s="166"/>
      <c r="F12" s="166"/>
      <c r="G12" s="166"/>
      <c r="H12" s="166"/>
    </row>
    <row r="13" spans="1:8" ht="31.5" customHeight="1">
      <c r="A13" s="325" t="s">
        <v>12</v>
      </c>
      <c r="B13" s="325"/>
      <c r="C13" s="325"/>
      <c r="D13" s="325"/>
      <c r="E13" s="166"/>
      <c r="F13" s="166"/>
      <c r="G13" s="166"/>
      <c r="H13" s="166"/>
    </row>
    <row r="14" spans="1:8" ht="12.75">
      <c r="A14" s="8" t="s">
        <v>107</v>
      </c>
      <c r="B14" s="12" t="s">
        <v>14</v>
      </c>
      <c r="C14" s="200">
        <v>59323.72</v>
      </c>
      <c r="D14" s="10"/>
      <c r="E14" s="166"/>
      <c r="F14" s="166"/>
      <c r="G14" s="166"/>
      <c r="H14" s="166"/>
    </row>
    <row r="15" spans="1:8" ht="12.75">
      <c r="A15" s="8" t="s">
        <v>15</v>
      </c>
      <c r="B15" s="12" t="s">
        <v>14</v>
      </c>
      <c r="C15" s="200">
        <v>0</v>
      </c>
      <c r="D15" s="10"/>
      <c r="E15" s="166"/>
      <c r="F15" s="166"/>
      <c r="G15" s="166"/>
      <c r="H15" s="166"/>
    </row>
    <row r="16" spans="1:8" ht="12.75">
      <c r="A16" s="8" t="s">
        <v>16</v>
      </c>
      <c r="B16" s="12" t="s">
        <v>14</v>
      </c>
      <c r="C16" s="203">
        <v>153990.34</v>
      </c>
      <c r="D16" s="202"/>
      <c r="E16" s="166" t="e">
        <f>B16/12/1022.6</f>
        <v>#VALUE!</v>
      </c>
      <c r="F16" s="166"/>
      <c r="G16" s="166"/>
      <c r="H16" s="166"/>
    </row>
    <row r="17" spans="1:8" ht="24.75" customHeight="1">
      <c r="A17" s="11" t="s">
        <v>17</v>
      </c>
      <c r="B17" s="12" t="s">
        <v>14</v>
      </c>
      <c r="C17" s="203">
        <f>C18+C19+C20</f>
        <v>1335486.94</v>
      </c>
      <c r="D17" s="202"/>
      <c r="E17" s="173">
        <f>C17-C19</f>
        <v>1100253.436</v>
      </c>
      <c r="F17" s="166"/>
      <c r="G17" s="166"/>
      <c r="H17" s="166"/>
    </row>
    <row r="18" spans="1:8" ht="12.75">
      <c r="A18" s="8" t="s">
        <v>18</v>
      </c>
      <c r="B18" s="12" t="s">
        <v>14</v>
      </c>
      <c r="C18" s="203">
        <v>859595.26</v>
      </c>
      <c r="D18" s="202"/>
      <c r="E18" s="173">
        <f>E17-E57</f>
        <v>-39148.50800000015</v>
      </c>
      <c r="F18" s="166"/>
      <c r="G18" s="166"/>
      <c r="H18" s="258" t="s">
        <v>183</v>
      </c>
    </row>
    <row r="19" spans="1:8" ht="12.75">
      <c r="A19" s="8" t="s">
        <v>19</v>
      </c>
      <c r="B19" s="12" t="s">
        <v>14</v>
      </c>
      <c r="C19" s="349">
        <f>(5.07+4.47)*6*4109.6</f>
        <v>235233.504</v>
      </c>
      <c r="D19" s="202"/>
      <c r="E19" s="174"/>
      <c r="F19" s="166"/>
      <c r="G19" s="166"/>
      <c r="H19" s="166"/>
    </row>
    <row r="20" spans="1:8" ht="12.75">
      <c r="A20" s="8" t="s">
        <v>20</v>
      </c>
      <c r="B20" s="12" t="s">
        <v>14</v>
      </c>
      <c r="C20" s="203">
        <f>4109.6*4.88*12</f>
        <v>240658.17600000004</v>
      </c>
      <c r="D20" s="202"/>
      <c r="E20" s="166"/>
      <c r="F20" s="166"/>
      <c r="G20" s="166"/>
      <c r="H20" s="166"/>
    </row>
    <row r="21" spans="1:8" ht="12.75">
      <c r="A21" s="8" t="s">
        <v>21</v>
      </c>
      <c r="B21" s="12" t="s">
        <v>14</v>
      </c>
      <c r="C21" s="203">
        <f>C22+C23+C24+C25+C26</f>
        <v>1367787.233242</v>
      </c>
      <c r="D21" s="202" t="s">
        <v>22</v>
      </c>
      <c r="E21" s="173" t="e">
        <f>B23+B24+B25+B26+B27</f>
        <v>#VALUE!</v>
      </c>
      <c r="F21" s="166"/>
      <c r="G21" s="166"/>
      <c r="H21" s="166"/>
    </row>
    <row r="22" spans="1:8" ht="12.75">
      <c r="A22" s="8" t="s">
        <v>23</v>
      </c>
      <c r="B22" s="12" t="s">
        <v>14</v>
      </c>
      <c r="C22" s="203">
        <f>C17*1.0143</f>
        <v>1354584.403242</v>
      </c>
      <c r="D22" s="202"/>
      <c r="E22" s="166"/>
      <c r="F22" s="166"/>
      <c r="G22" s="166"/>
      <c r="H22" s="166"/>
    </row>
    <row r="23" spans="1:8" ht="12.75">
      <c r="A23" s="8" t="s">
        <v>24</v>
      </c>
      <c r="B23" s="12" t="s">
        <v>14</v>
      </c>
      <c r="C23" s="203">
        <v>0</v>
      </c>
      <c r="D23" s="202"/>
      <c r="E23" s="174" t="e">
        <f>B23/#REF!*1</f>
        <v>#VALUE!</v>
      </c>
      <c r="F23" s="166"/>
      <c r="G23" s="166"/>
      <c r="H23" s="166"/>
    </row>
    <row r="24" spans="1:8" ht="12.75">
      <c r="A24" s="8" t="s">
        <v>26</v>
      </c>
      <c r="B24" s="12" t="s">
        <v>14</v>
      </c>
      <c r="C24" s="203">
        <v>0</v>
      </c>
      <c r="D24" s="202"/>
      <c r="E24" s="174" t="e">
        <f>B24/#REF!*1</f>
        <v>#VALUE!</v>
      </c>
      <c r="F24" s="166"/>
      <c r="G24" s="166"/>
      <c r="H24" s="166"/>
    </row>
    <row r="25" spans="1:8" ht="12.75">
      <c r="A25" s="9" t="s">
        <v>27</v>
      </c>
      <c r="B25" s="12" t="s">
        <v>14</v>
      </c>
      <c r="C25" s="203">
        <v>10685.02</v>
      </c>
      <c r="D25" s="202"/>
      <c r="E25" s="174" t="e">
        <f>B25/#REF!*1</f>
        <v>#VALUE!</v>
      </c>
      <c r="F25" s="166"/>
      <c r="G25" s="166"/>
      <c r="H25" s="166"/>
    </row>
    <row r="26" spans="1:8" ht="12.75">
      <c r="A26" s="9" t="s">
        <v>28</v>
      </c>
      <c r="B26" s="12" t="s">
        <v>14</v>
      </c>
      <c r="C26" s="203">
        <v>2517.81</v>
      </c>
      <c r="D26" s="202"/>
      <c r="E26" s="174" t="e">
        <f>B26/#REF!*1</f>
        <v>#VALUE!</v>
      </c>
      <c r="F26" s="166"/>
      <c r="G26" s="166"/>
      <c r="H26" s="166"/>
    </row>
    <row r="27" spans="1:8" ht="12.75">
      <c r="A27" s="8" t="s">
        <v>29</v>
      </c>
      <c r="B27" s="12" t="s">
        <v>14</v>
      </c>
      <c r="C27" s="203">
        <f>C14+C21</f>
        <v>1427110.953242</v>
      </c>
      <c r="D27" s="202" t="s">
        <v>30</v>
      </c>
      <c r="E27" s="174" t="e">
        <f>B27/#REF!*1</f>
        <v>#VALUE!</v>
      </c>
      <c r="F27" s="166"/>
      <c r="G27" s="166"/>
      <c r="H27" s="166"/>
    </row>
    <row r="28" spans="1:8" ht="35.25" customHeight="1">
      <c r="A28" s="328" t="s">
        <v>31</v>
      </c>
      <c r="B28" s="328"/>
      <c r="C28" s="328"/>
      <c r="D28" s="328"/>
      <c r="E28" s="166"/>
      <c r="F28" s="166"/>
      <c r="G28" s="166"/>
      <c r="H28" s="166"/>
    </row>
    <row r="29" spans="1:8" ht="51">
      <c r="A29" s="35" t="s">
        <v>32</v>
      </c>
      <c r="B29" s="206" t="s">
        <v>33</v>
      </c>
      <c r="C29" s="207" t="s">
        <v>34</v>
      </c>
      <c r="D29" s="208" t="s">
        <v>35</v>
      </c>
      <c r="E29" s="166"/>
      <c r="F29" s="166"/>
      <c r="G29" s="166"/>
      <c r="H29" s="166"/>
    </row>
    <row r="30" spans="1:8" ht="25.5">
      <c r="A30" s="33" t="s">
        <v>108</v>
      </c>
      <c r="B30" s="34" t="s">
        <v>37</v>
      </c>
      <c r="C30" s="35" t="s">
        <v>38</v>
      </c>
      <c r="D30" s="202">
        <f>(0.28+0.29)*6*4109.6</f>
        <v>14054.832000000002</v>
      </c>
      <c r="E30" s="166"/>
      <c r="F30" s="166"/>
      <c r="G30" s="166"/>
      <c r="H30" s="166"/>
    </row>
    <row r="31" spans="1:8" ht="25.5">
      <c r="A31" s="33" t="s">
        <v>96</v>
      </c>
      <c r="B31" s="34" t="s">
        <v>40</v>
      </c>
      <c r="C31" s="35" t="s">
        <v>41</v>
      </c>
      <c r="D31" s="202">
        <f>(2.45+2.34)*6*4109.6</f>
        <v>118109.90400000002</v>
      </c>
      <c r="E31" s="166"/>
      <c r="F31" s="166"/>
      <c r="G31" s="166"/>
      <c r="H31" s="166"/>
    </row>
    <row r="32" spans="1:14" s="1" customFormat="1" ht="12.75">
      <c r="A32" s="33" t="s">
        <v>42</v>
      </c>
      <c r="B32" s="34" t="s">
        <v>43</v>
      </c>
      <c r="C32" s="33" t="s">
        <v>44</v>
      </c>
      <c r="D32" s="202">
        <f>(3+3.03)*6*4109.6</f>
        <v>148685.32799999998</v>
      </c>
      <c r="E32" s="166"/>
      <c r="F32" s="166"/>
      <c r="G32" s="166"/>
      <c r="H32" s="166"/>
      <c r="K32"/>
      <c r="L32"/>
      <c r="M32"/>
      <c r="N32"/>
    </row>
    <row r="33" spans="1:14" s="1" customFormat="1" ht="12.75">
      <c r="A33" s="33" t="s">
        <v>109</v>
      </c>
      <c r="B33" s="34" t="s">
        <v>37</v>
      </c>
      <c r="C33" s="33" t="s">
        <v>46</v>
      </c>
      <c r="D33" s="202">
        <f>(0.2+0.21)*6*4109.6</f>
        <v>10109.616</v>
      </c>
      <c r="E33" s="166"/>
      <c r="F33" s="166"/>
      <c r="G33" s="166"/>
      <c r="H33" s="166"/>
      <c r="K33"/>
      <c r="L33"/>
      <c r="M33"/>
      <c r="N33"/>
    </row>
    <row r="34" spans="1:14" s="1" customFormat="1" ht="12.75">
      <c r="A34" s="33" t="s">
        <v>118</v>
      </c>
      <c r="B34" s="34" t="s">
        <v>48</v>
      </c>
      <c r="C34" s="33" t="s">
        <v>49</v>
      </c>
      <c r="D34" s="202">
        <f>(0.53+0.55)*6*4109.6</f>
        <v>26630.208000000002</v>
      </c>
      <c r="E34" s="166"/>
      <c r="F34" s="166"/>
      <c r="G34" s="166"/>
      <c r="H34" s="166"/>
      <c r="K34"/>
      <c r="L34"/>
      <c r="M34"/>
      <c r="N34"/>
    </row>
    <row r="35" spans="1:14" s="1" customFormat="1" ht="12.75">
      <c r="A35" s="33" t="s">
        <v>98</v>
      </c>
      <c r="B35" s="34" t="s">
        <v>37</v>
      </c>
      <c r="C35" s="33" t="s">
        <v>49</v>
      </c>
      <c r="D35" s="202">
        <f>(1.04+0.99)*6*4109.6</f>
        <v>50054.92800000001</v>
      </c>
      <c r="E35" s="166"/>
      <c r="F35" s="166"/>
      <c r="G35" s="166"/>
      <c r="H35" s="166"/>
      <c r="K35"/>
      <c r="L35"/>
      <c r="M35"/>
      <c r="N35"/>
    </row>
    <row r="36" spans="1:14" s="1" customFormat="1" ht="12.75">
      <c r="A36" s="33" t="s">
        <v>51</v>
      </c>
      <c r="B36" s="34" t="s">
        <v>52</v>
      </c>
      <c r="C36" s="33" t="s">
        <v>49</v>
      </c>
      <c r="D36" s="202">
        <f>(1.27+1.33)*6*4109.6</f>
        <v>64109.76000000001</v>
      </c>
      <c r="E36" s="166"/>
      <c r="F36" s="166"/>
      <c r="G36" s="166"/>
      <c r="H36" s="166"/>
      <c r="K36"/>
      <c r="L36"/>
      <c r="M36"/>
      <c r="N36"/>
    </row>
    <row r="37" spans="1:14" s="1" customFormat="1" ht="12.75">
      <c r="A37" s="33" t="s">
        <v>111</v>
      </c>
      <c r="B37" s="34" t="s">
        <v>43</v>
      </c>
      <c r="C37" s="194" t="s">
        <v>54</v>
      </c>
      <c r="D37" s="202">
        <f>4.88*12*4109.6</f>
        <v>240658.17600000004</v>
      </c>
      <c r="E37" s="166"/>
      <c r="F37" s="166"/>
      <c r="G37" s="166"/>
      <c r="H37" s="166"/>
      <c r="K37"/>
      <c r="L37"/>
      <c r="M37"/>
      <c r="N37"/>
    </row>
    <row r="38" spans="1:14" s="1" customFormat="1" ht="12.75">
      <c r="A38" s="33" t="s">
        <v>112</v>
      </c>
      <c r="B38" s="210" t="s">
        <v>40</v>
      </c>
      <c r="C38" s="33" t="s">
        <v>56</v>
      </c>
      <c r="D38" s="202">
        <f>(2.39+2.5)*6*4109.6</f>
        <v>120575.66400000002</v>
      </c>
      <c r="E38" s="166"/>
      <c r="F38" s="166"/>
      <c r="G38" s="166"/>
      <c r="H38" s="166"/>
      <c r="K38"/>
      <c r="L38"/>
      <c r="M38"/>
      <c r="N38"/>
    </row>
    <row r="39" spans="1:14" s="1" customFormat="1" ht="12.75">
      <c r="A39" s="33" t="s">
        <v>100</v>
      </c>
      <c r="B39" s="34" t="s">
        <v>43</v>
      </c>
      <c r="C39" s="33" t="s">
        <v>58</v>
      </c>
      <c r="D39" s="202">
        <f>(0.87*12*912.3)+(5.85*3197.3*12)</f>
        <v>233974.87200000003</v>
      </c>
      <c r="E39" s="166"/>
      <c r="F39" s="166"/>
      <c r="G39" s="166"/>
      <c r="H39" s="166"/>
      <c r="K39"/>
      <c r="L39"/>
      <c r="M39"/>
      <c r="N39"/>
    </row>
    <row r="40" spans="1:14" s="1" customFormat="1" ht="28.5" customHeight="1">
      <c r="A40" s="33" t="s">
        <v>113</v>
      </c>
      <c r="B40" s="34" t="s">
        <v>43</v>
      </c>
      <c r="C40" s="212" t="s">
        <v>41</v>
      </c>
      <c r="D40" s="202">
        <f>(2.23+2.33)*6*4109.6</f>
        <v>112438.65600000002</v>
      </c>
      <c r="E40" s="166"/>
      <c r="F40" s="166"/>
      <c r="G40" s="166"/>
      <c r="H40" s="166"/>
      <c r="K40"/>
      <c r="L40"/>
      <c r="M40"/>
      <c r="N40"/>
    </row>
    <row r="41" spans="1:14" s="1" customFormat="1" ht="30.75" customHeight="1">
      <c r="A41" s="33" t="s">
        <v>119</v>
      </c>
      <c r="B41" s="34" t="s">
        <v>102</v>
      </c>
      <c r="C41" s="212" t="s">
        <v>103</v>
      </c>
      <c r="D41" s="10"/>
      <c r="E41" s="166"/>
      <c r="F41" s="166"/>
      <c r="G41" s="166"/>
      <c r="H41" s="166"/>
      <c r="K41"/>
      <c r="L41"/>
      <c r="M41"/>
      <c r="N41"/>
    </row>
    <row r="42" spans="1:14" s="1" customFormat="1" ht="49.5" customHeight="1">
      <c r="A42" s="189" t="s">
        <v>341</v>
      </c>
      <c r="B42" s="214" t="s">
        <v>60</v>
      </c>
      <c r="C42" s="35"/>
      <c r="D42" s="354">
        <v>295822.61</v>
      </c>
      <c r="E42" s="183"/>
      <c r="F42" s="166"/>
      <c r="G42" s="166"/>
      <c r="H42" s="166"/>
      <c r="K42"/>
      <c r="L42"/>
      <c r="M42"/>
      <c r="N42"/>
    </row>
    <row r="43" spans="1:14" s="1" customFormat="1" ht="15.75" customHeight="1">
      <c r="A43" s="188" t="s">
        <v>167</v>
      </c>
      <c r="B43" s="214" t="s">
        <v>215</v>
      </c>
      <c r="C43" s="33" t="s">
        <v>49</v>
      </c>
      <c r="D43" s="213">
        <v>1463</v>
      </c>
      <c r="E43" s="183"/>
      <c r="F43" s="166"/>
      <c r="G43" s="166"/>
      <c r="H43" s="166"/>
      <c r="K43"/>
      <c r="L43"/>
      <c r="M43"/>
      <c r="N43"/>
    </row>
    <row r="44" spans="1:14" s="1" customFormat="1" ht="30.75" customHeight="1">
      <c r="A44" s="188" t="s">
        <v>144</v>
      </c>
      <c r="B44" s="214" t="s">
        <v>337</v>
      </c>
      <c r="C44" s="33" t="s">
        <v>58</v>
      </c>
      <c r="D44" s="213">
        <v>7568</v>
      </c>
      <c r="E44" s="183"/>
      <c r="F44" s="166"/>
      <c r="G44" s="166"/>
      <c r="H44" s="166"/>
      <c r="K44"/>
      <c r="L44"/>
      <c r="M44"/>
      <c r="N44"/>
    </row>
    <row r="45" spans="1:14" s="1" customFormat="1" ht="15.75" customHeight="1">
      <c r="A45" s="188" t="s">
        <v>168</v>
      </c>
      <c r="B45" s="214" t="s">
        <v>259</v>
      </c>
      <c r="C45" s="33" t="s">
        <v>49</v>
      </c>
      <c r="D45" s="213">
        <v>14700</v>
      </c>
      <c r="E45" s="183"/>
      <c r="F45" s="166"/>
      <c r="G45" s="166"/>
      <c r="H45" s="166"/>
      <c r="K45"/>
      <c r="L45"/>
      <c r="M45"/>
      <c r="N45"/>
    </row>
    <row r="46" spans="1:14" s="1" customFormat="1" ht="20.25" customHeight="1">
      <c r="A46" s="188" t="s">
        <v>169</v>
      </c>
      <c r="B46" s="214" t="s">
        <v>259</v>
      </c>
      <c r="C46" s="33" t="s">
        <v>49</v>
      </c>
      <c r="D46" s="213">
        <v>8775</v>
      </c>
      <c r="E46" s="183"/>
      <c r="F46" s="166"/>
      <c r="G46" s="166"/>
      <c r="H46" s="166"/>
      <c r="K46"/>
      <c r="L46"/>
      <c r="M46"/>
      <c r="N46"/>
    </row>
    <row r="47" spans="1:14" s="1" customFormat="1" ht="22.5" customHeight="1">
      <c r="A47" s="188" t="s">
        <v>170</v>
      </c>
      <c r="B47" s="214" t="s">
        <v>221</v>
      </c>
      <c r="C47" s="35" t="s">
        <v>152</v>
      </c>
      <c r="D47" s="213">
        <v>35532</v>
      </c>
      <c r="E47" s="183"/>
      <c r="F47" s="166"/>
      <c r="G47" s="166"/>
      <c r="H47" s="166"/>
      <c r="K47"/>
      <c r="L47"/>
      <c r="M47"/>
      <c r="N47"/>
    </row>
    <row r="48" spans="1:14" s="1" customFormat="1" ht="32.25" customHeight="1">
      <c r="A48" s="188" t="s">
        <v>338</v>
      </c>
      <c r="B48" s="214" t="s">
        <v>224</v>
      </c>
      <c r="C48" s="35" t="s">
        <v>202</v>
      </c>
      <c r="D48" s="213">
        <v>12595.32</v>
      </c>
      <c r="E48" s="183"/>
      <c r="F48" s="166"/>
      <c r="G48" s="166"/>
      <c r="H48" s="166"/>
      <c r="K48"/>
      <c r="L48"/>
      <c r="M48"/>
      <c r="N48"/>
    </row>
    <row r="49" spans="1:14" s="1" customFormat="1" ht="18" customHeight="1">
      <c r="A49" s="188" t="s">
        <v>171</v>
      </c>
      <c r="B49" s="214" t="s">
        <v>237</v>
      </c>
      <c r="C49" s="35" t="s">
        <v>49</v>
      </c>
      <c r="D49" s="213">
        <v>154706</v>
      </c>
      <c r="E49" s="183"/>
      <c r="F49" s="166"/>
      <c r="G49" s="166"/>
      <c r="H49" s="166"/>
      <c r="K49"/>
      <c r="L49"/>
      <c r="M49"/>
      <c r="N49"/>
    </row>
    <row r="50" spans="1:14" s="1" customFormat="1" ht="21.75" customHeight="1">
      <c r="A50" s="188" t="s">
        <v>172</v>
      </c>
      <c r="B50" s="214" t="s">
        <v>226</v>
      </c>
      <c r="C50" s="35" t="s">
        <v>49</v>
      </c>
      <c r="D50" s="213">
        <v>2305</v>
      </c>
      <c r="E50" s="183"/>
      <c r="F50" s="166"/>
      <c r="G50" s="166"/>
      <c r="H50" s="166"/>
      <c r="K50"/>
      <c r="L50"/>
      <c r="M50"/>
      <c r="N50"/>
    </row>
    <row r="51" spans="1:14" s="1" customFormat="1" ht="21.75" customHeight="1">
      <c r="A51" s="188" t="s">
        <v>173</v>
      </c>
      <c r="B51" s="214" t="s">
        <v>226</v>
      </c>
      <c r="C51" s="35" t="s">
        <v>152</v>
      </c>
      <c r="D51" s="213">
        <v>32639</v>
      </c>
      <c r="E51" s="183"/>
      <c r="F51" s="166"/>
      <c r="G51" s="166"/>
      <c r="H51" s="166"/>
      <c r="K51"/>
      <c r="L51"/>
      <c r="M51"/>
      <c r="N51"/>
    </row>
    <row r="52" spans="1:14" s="1" customFormat="1" ht="43.5" customHeight="1">
      <c r="A52" s="188" t="s">
        <v>339</v>
      </c>
      <c r="B52" s="214" t="s">
        <v>226</v>
      </c>
      <c r="C52" s="35" t="s">
        <v>202</v>
      </c>
      <c r="D52" s="213">
        <v>3500</v>
      </c>
      <c r="E52" s="183"/>
      <c r="F52" s="166"/>
      <c r="G52" s="166"/>
      <c r="H52" s="166"/>
      <c r="K52"/>
      <c r="L52"/>
      <c r="M52"/>
      <c r="N52"/>
    </row>
    <row r="53" spans="1:14" s="1" customFormat="1" ht="18" customHeight="1">
      <c r="A53" s="188" t="s">
        <v>174</v>
      </c>
      <c r="B53" s="214" t="s">
        <v>239</v>
      </c>
      <c r="C53" s="33" t="s">
        <v>41</v>
      </c>
      <c r="D53" s="213">
        <v>1892</v>
      </c>
      <c r="E53" s="183"/>
      <c r="F53" s="166"/>
      <c r="G53" s="166"/>
      <c r="H53" s="166"/>
      <c r="K53"/>
      <c r="L53"/>
      <c r="M53"/>
      <c r="N53"/>
    </row>
    <row r="54" spans="1:14" s="1" customFormat="1" ht="15" customHeight="1">
      <c r="A54" s="188" t="s">
        <v>175</v>
      </c>
      <c r="B54" s="214" t="s">
        <v>239</v>
      </c>
      <c r="C54" s="33" t="s">
        <v>41</v>
      </c>
      <c r="D54" s="213">
        <v>889.29</v>
      </c>
      <c r="E54" s="183"/>
      <c r="F54" s="166"/>
      <c r="G54" s="166"/>
      <c r="H54" s="166"/>
      <c r="K54"/>
      <c r="L54"/>
      <c r="M54"/>
      <c r="N54"/>
    </row>
    <row r="55" spans="1:14" s="1" customFormat="1" ht="15.75" customHeight="1">
      <c r="A55" s="188" t="s">
        <v>176</v>
      </c>
      <c r="B55" s="214" t="s">
        <v>239</v>
      </c>
      <c r="C55" s="35" t="s">
        <v>49</v>
      </c>
      <c r="D55" s="213">
        <v>1615</v>
      </c>
      <c r="E55" s="183"/>
      <c r="F55" s="166"/>
      <c r="G55" s="166"/>
      <c r="H55" s="166"/>
      <c r="K55"/>
      <c r="L55"/>
      <c r="M55"/>
      <c r="N55"/>
    </row>
    <row r="56" spans="1:14" s="1" customFormat="1" ht="47.25" customHeight="1">
      <c r="A56" s="189" t="s">
        <v>177</v>
      </c>
      <c r="B56" s="214" t="s">
        <v>246</v>
      </c>
      <c r="C56" s="35" t="s">
        <v>49</v>
      </c>
      <c r="D56" s="213">
        <v>17643</v>
      </c>
      <c r="E56" s="166"/>
      <c r="F56" s="166"/>
      <c r="G56" s="166"/>
      <c r="H56" s="166"/>
      <c r="K56"/>
      <c r="L56"/>
      <c r="M56"/>
      <c r="N56"/>
    </row>
    <row r="57" spans="1:14" s="1" customFormat="1" ht="12.75">
      <c r="A57" s="112" t="s">
        <v>61</v>
      </c>
      <c r="B57" s="34"/>
      <c r="C57" s="33"/>
      <c r="D57" s="10">
        <f>SUM(D30:D42)</f>
        <v>1435224.554</v>
      </c>
      <c r="E57" s="315">
        <f>D57-D42</f>
        <v>1139401.9440000001</v>
      </c>
      <c r="F57" s="166"/>
      <c r="G57" s="166"/>
      <c r="H57" s="166"/>
      <c r="K57"/>
      <c r="L57"/>
      <c r="M57"/>
      <c r="N57"/>
    </row>
    <row r="58" spans="1:14" s="1" customFormat="1" ht="12.75">
      <c r="A58" s="112" t="s">
        <v>62</v>
      </c>
      <c r="B58" s="34" t="s">
        <v>14</v>
      </c>
      <c r="C58" s="33"/>
      <c r="D58" s="355">
        <f>C14+C19*1.0143+C25+C26-D42</f>
        <v>15301.283107199997</v>
      </c>
      <c r="E58" s="166"/>
      <c r="F58" s="166"/>
      <c r="G58" s="166"/>
      <c r="H58" s="166"/>
      <c r="K58"/>
      <c r="L58"/>
      <c r="M58"/>
      <c r="N58"/>
    </row>
    <row r="59" spans="1:8" ht="12.75">
      <c r="A59" s="33" t="s">
        <v>15</v>
      </c>
      <c r="B59" s="34" t="s">
        <v>14</v>
      </c>
      <c r="C59" s="33"/>
      <c r="D59" s="10">
        <v>0</v>
      </c>
      <c r="E59" s="166"/>
      <c r="F59" s="166"/>
      <c r="G59" s="166"/>
      <c r="H59" s="166"/>
    </row>
    <row r="60" spans="1:8" ht="12.75">
      <c r="A60" s="33" t="s">
        <v>16</v>
      </c>
      <c r="B60" s="34" t="s">
        <v>14</v>
      </c>
      <c r="C60" s="33"/>
      <c r="D60" s="10">
        <v>134892.88</v>
      </c>
      <c r="E60" s="166"/>
      <c r="F60" s="166"/>
      <c r="G60" s="166"/>
      <c r="H60" s="166"/>
    </row>
    <row r="61" spans="1:8" ht="24" customHeight="1">
      <c r="A61" s="327" t="s">
        <v>63</v>
      </c>
      <c r="B61" s="327"/>
      <c r="C61" s="327"/>
      <c r="D61" s="327"/>
      <c r="E61" s="166"/>
      <c r="F61" s="166"/>
      <c r="G61" s="166"/>
      <c r="H61" s="166"/>
    </row>
    <row r="62" spans="1:8" ht="12.75">
      <c r="A62" s="33" t="s">
        <v>64</v>
      </c>
      <c r="B62" s="34" t="s">
        <v>65</v>
      </c>
      <c r="C62" s="33"/>
      <c r="D62" s="10">
        <v>0</v>
      </c>
      <c r="E62" s="166"/>
      <c r="F62" s="166"/>
      <c r="G62" s="166"/>
      <c r="H62" s="166"/>
    </row>
    <row r="63" spans="1:8" ht="12.75">
      <c r="A63" s="33" t="s">
        <v>66</v>
      </c>
      <c r="B63" s="34" t="s">
        <v>65</v>
      </c>
      <c r="C63" s="33"/>
      <c r="D63" s="10">
        <v>0</v>
      </c>
      <c r="E63" s="166"/>
      <c r="F63" s="166"/>
      <c r="G63" s="166"/>
      <c r="H63" s="166"/>
    </row>
    <row r="64" spans="1:8" ht="12.75">
      <c r="A64" s="35" t="s">
        <v>67</v>
      </c>
      <c r="B64" s="34" t="s">
        <v>65</v>
      </c>
      <c r="C64" s="33"/>
      <c r="D64" s="10">
        <v>0</v>
      </c>
      <c r="E64" s="166"/>
      <c r="F64" s="166"/>
      <c r="G64" s="166"/>
      <c r="H64" s="166"/>
    </row>
    <row r="65" spans="1:8" ht="12.75">
      <c r="A65" s="33" t="s">
        <v>68</v>
      </c>
      <c r="B65" s="34" t="s">
        <v>14</v>
      </c>
      <c r="C65" s="33"/>
      <c r="D65" s="10">
        <v>0</v>
      </c>
      <c r="E65" s="166"/>
      <c r="F65" s="166"/>
      <c r="G65" s="166"/>
      <c r="H65" s="166"/>
    </row>
    <row r="66" spans="1:8" ht="20.25" customHeight="1">
      <c r="A66" s="328" t="s">
        <v>69</v>
      </c>
      <c r="B66" s="328"/>
      <c r="C66" s="328"/>
      <c r="D66" s="328"/>
      <c r="E66" s="166"/>
      <c r="F66" s="166"/>
      <c r="G66" s="166"/>
      <c r="H66" s="166"/>
    </row>
    <row r="67" spans="1:8" ht="25.5">
      <c r="A67" s="35" t="s">
        <v>70</v>
      </c>
      <c r="B67" s="34" t="s">
        <v>14</v>
      </c>
      <c r="C67" s="33"/>
      <c r="D67" s="33">
        <v>0</v>
      </c>
      <c r="E67" s="166"/>
      <c r="F67" s="166"/>
      <c r="G67" s="166"/>
      <c r="H67" s="166"/>
    </row>
    <row r="68" spans="1:8" ht="12.75">
      <c r="A68" s="33" t="s">
        <v>15</v>
      </c>
      <c r="B68" s="34" t="s">
        <v>14</v>
      </c>
      <c r="C68" s="33"/>
      <c r="D68" s="33">
        <v>0</v>
      </c>
      <c r="E68" s="166"/>
      <c r="F68" s="166"/>
      <c r="G68" s="166"/>
      <c r="H68" s="166"/>
    </row>
    <row r="69" spans="1:8" ht="12.75">
      <c r="A69" s="33" t="s">
        <v>16</v>
      </c>
      <c r="B69" s="34" t="s">
        <v>14</v>
      </c>
      <c r="C69" s="33"/>
      <c r="D69" s="261">
        <f>D72-D75-D76-D77-D78</f>
        <v>281930.355735</v>
      </c>
      <c r="E69" s="166"/>
      <c r="F69" s="166"/>
      <c r="G69" s="166"/>
      <c r="H69" s="168"/>
    </row>
    <row r="70" spans="1:8" ht="12.75">
      <c r="A70" s="97" t="s">
        <v>115</v>
      </c>
      <c r="B70" s="34" t="s">
        <v>14</v>
      </c>
      <c r="C70" s="262"/>
      <c r="D70" s="262">
        <v>0</v>
      </c>
      <c r="E70" s="166"/>
      <c r="F70" s="166"/>
      <c r="G70" s="166"/>
      <c r="H70" s="166"/>
    </row>
    <row r="71" spans="1:10" ht="17.25" customHeight="1">
      <c r="A71" s="40" t="s">
        <v>15</v>
      </c>
      <c r="B71" s="34" t="s">
        <v>14</v>
      </c>
      <c r="C71" s="33"/>
      <c r="D71" s="33">
        <v>0</v>
      </c>
      <c r="E71" s="166"/>
      <c r="F71" s="166"/>
      <c r="G71" s="166"/>
      <c r="H71" s="166"/>
      <c r="I71" s="36"/>
      <c r="J71" s="36"/>
    </row>
    <row r="72" spans="1:14" ht="12.75">
      <c r="A72" s="41" t="s">
        <v>16</v>
      </c>
      <c r="B72" s="34" t="s">
        <v>14</v>
      </c>
      <c r="C72" s="218"/>
      <c r="D72" s="218">
        <v>246966.12</v>
      </c>
      <c r="E72" s="166"/>
      <c r="F72" s="166"/>
      <c r="G72" s="166"/>
      <c r="H72" s="166" t="s">
        <v>30</v>
      </c>
      <c r="I72" s="43"/>
      <c r="J72" s="43"/>
      <c r="K72" s="44"/>
      <c r="L72" s="44"/>
      <c r="M72" s="44"/>
      <c r="N72" s="44"/>
    </row>
    <row r="73" spans="1:14" ht="18" customHeight="1">
      <c r="A73" s="329" t="s">
        <v>72</v>
      </c>
      <c r="B73" s="329"/>
      <c r="C73" s="329"/>
      <c r="D73" s="329"/>
      <c r="E73" s="171"/>
      <c r="F73" s="175"/>
      <c r="G73" s="176"/>
      <c r="H73" s="166"/>
      <c r="I73" s="48"/>
      <c r="J73" s="48"/>
      <c r="K73" s="49"/>
      <c r="L73" s="49"/>
      <c r="M73" s="49"/>
      <c r="N73" s="49"/>
    </row>
    <row r="74" spans="1:14" ht="38.25">
      <c r="A74" s="50" t="s">
        <v>73</v>
      </c>
      <c r="B74" s="51" t="s">
        <v>74</v>
      </c>
      <c r="C74" s="219" t="s">
        <v>75</v>
      </c>
      <c r="D74" s="220" t="s">
        <v>116</v>
      </c>
      <c r="E74" s="171"/>
      <c r="F74" s="175"/>
      <c r="G74" s="176"/>
      <c r="H74" s="166"/>
      <c r="I74" s="48"/>
      <c r="J74" s="48"/>
      <c r="K74" s="49"/>
      <c r="L74" s="49"/>
      <c r="M74" s="49"/>
      <c r="N74" s="49"/>
    </row>
    <row r="75" spans="1:14" ht="12.75">
      <c r="A75" s="55" t="s">
        <v>77</v>
      </c>
      <c r="B75" s="200">
        <v>136527.92</v>
      </c>
      <c r="C75" s="221">
        <f>B75*1.0143</f>
        <v>138480.269256</v>
      </c>
      <c r="D75" s="222">
        <f>B75-C75</f>
        <v>-1952.3492559999868</v>
      </c>
      <c r="E75" s="171"/>
      <c r="F75" s="175"/>
      <c r="G75" s="176"/>
      <c r="H75" s="166"/>
      <c r="I75" s="48"/>
      <c r="J75" s="48"/>
      <c r="K75" s="49"/>
      <c r="L75" s="49"/>
      <c r="M75" s="49"/>
      <c r="N75" s="49"/>
    </row>
    <row r="76" spans="1:14" ht="12.75">
      <c r="A76" s="55" t="s">
        <v>78</v>
      </c>
      <c r="B76" s="200">
        <v>249271.89</v>
      </c>
      <c r="C76" s="221">
        <f>B76*1.0143</f>
        <v>252836.478027</v>
      </c>
      <c r="D76" s="222">
        <f>B76-C76</f>
        <v>-3564.5880269999907</v>
      </c>
      <c r="E76" s="171"/>
      <c r="F76" s="175"/>
      <c r="G76" s="176"/>
      <c r="H76" s="166"/>
      <c r="I76" s="48"/>
      <c r="J76" s="48"/>
      <c r="K76" s="49"/>
      <c r="L76" s="49"/>
      <c r="M76" s="49"/>
      <c r="N76" s="49"/>
    </row>
    <row r="77" spans="1:14" ht="12.75">
      <c r="A77" s="55" t="s">
        <v>79</v>
      </c>
      <c r="B77" s="223">
        <v>1716489.6</v>
      </c>
      <c r="C77" s="221">
        <f>B77*1.0143</f>
        <v>1741035.40128</v>
      </c>
      <c r="D77" s="222">
        <f>B77-C77</f>
        <v>-24545.801280000014</v>
      </c>
      <c r="E77" s="171">
        <f>(2.07+1.8)*6*2301.2-0.37*2301.2*6</f>
        <v>48325.2</v>
      </c>
      <c r="F77" s="178"/>
      <c r="G77" s="179"/>
      <c r="H77" s="171"/>
      <c r="I77" s="48"/>
      <c r="J77" s="48"/>
      <c r="K77" s="49"/>
      <c r="L77" s="49"/>
      <c r="M77" s="49"/>
      <c r="N77" s="49"/>
    </row>
    <row r="78" spans="1:14" ht="12.75">
      <c r="A78" s="55" t="s">
        <v>80</v>
      </c>
      <c r="B78" s="223">
        <v>342762.04</v>
      </c>
      <c r="C78" s="221">
        <f>B78*1.0143</f>
        <v>347663.537172</v>
      </c>
      <c r="D78" s="222">
        <f>B78-C78</f>
        <v>-4901.497172000003</v>
      </c>
      <c r="E78" s="171"/>
      <c r="F78" s="178"/>
      <c r="G78" s="179"/>
      <c r="H78" s="166"/>
      <c r="I78" s="48"/>
      <c r="J78" s="48"/>
      <c r="K78" s="49"/>
      <c r="L78" s="49"/>
      <c r="M78" s="49"/>
      <c r="N78" s="49"/>
    </row>
    <row r="79" spans="1:14" ht="13.5" thickBot="1">
      <c r="A79" s="137" t="s">
        <v>81</v>
      </c>
      <c r="B79" s="224">
        <v>0</v>
      </c>
      <c r="C79" s="225">
        <f>B79*1.0289</f>
        <v>0</v>
      </c>
      <c r="D79" s="226">
        <f>B79-C79</f>
        <v>0</v>
      </c>
      <c r="E79" s="171"/>
      <c r="F79" s="178"/>
      <c r="G79" s="179"/>
      <c r="H79" s="166"/>
      <c r="I79" s="48"/>
      <c r="J79" s="48"/>
      <c r="K79" s="49"/>
      <c r="L79" s="49"/>
      <c r="M79" s="49"/>
      <c r="N79" s="49"/>
    </row>
    <row r="80" spans="1:14" ht="63.75">
      <c r="A80" s="141" t="s">
        <v>82</v>
      </c>
      <c r="B80" s="142" t="s">
        <v>83</v>
      </c>
      <c r="C80" s="227" t="s">
        <v>84</v>
      </c>
      <c r="D80" s="228" t="s">
        <v>85</v>
      </c>
      <c r="E80" s="171"/>
      <c r="F80" s="178"/>
      <c r="G80" s="166"/>
      <c r="H80" s="170"/>
      <c r="I80" s="48"/>
      <c r="J80" s="48"/>
      <c r="K80" s="49"/>
      <c r="L80" s="49"/>
      <c r="M80" s="49"/>
      <c r="N80" s="49"/>
    </row>
    <row r="81" spans="1:14" ht="12.75">
      <c r="A81" s="145" t="s">
        <v>77</v>
      </c>
      <c r="B81" s="113">
        <f aca="true" t="shared" si="0" ref="B81:C84">B75</f>
        <v>136527.92</v>
      </c>
      <c r="C81" s="229">
        <f t="shared" si="0"/>
        <v>138480.269256</v>
      </c>
      <c r="D81" s="230">
        <f>B81-C81</f>
        <v>-1952.3492559999868</v>
      </c>
      <c r="E81" s="171"/>
      <c r="F81" s="178"/>
      <c r="G81" s="166"/>
      <c r="H81" s="170"/>
      <c r="I81" s="48"/>
      <c r="J81" s="48" t="s">
        <v>30</v>
      </c>
      <c r="K81" s="49"/>
      <c r="L81" s="49"/>
      <c r="M81" s="49"/>
      <c r="N81" s="49"/>
    </row>
    <row r="82" spans="1:14" ht="12.75">
      <c r="A82" s="145" t="s">
        <v>78</v>
      </c>
      <c r="B82" s="113">
        <f t="shared" si="0"/>
        <v>249271.89</v>
      </c>
      <c r="C82" s="229">
        <f t="shared" si="0"/>
        <v>252836.478027</v>
      </c>
      <c r="D82" s="230">
        <f>B82-C82</f>
        <v>-3564.5880269999907</v>
      </c>
      <c r="E82" s="171"/>
      <c r="F82" s="178"/>
      <c r="G82" s="166"/>
      <c r="H82" s="170"/>
      <c r="I82" s="48"/>
      <c r="J82" s="48"/>
      <c r="K82" s="49"/>
      <c r="L82" s="49"/>
      <c r="M82" s="49"/>
      <c r="N82" s="49"/>
    </row>
    <row r="83" spans="1:14" ht="12.75">
      <c r="A83" s="145" t="s">
        <v>79</v>
      </c>
      <c r="B83" s="113">
        <v>1678877.13</v>
      </c>
      <c r="C83" s="229">
        <v>1741035.4</v>
      </c>
      <c r="D83" s="230">
        <f>B83-C83</f>
        <v>-62158.27000000002</v>
      </c>
      <c r="E83" s="171"/>
      <c r="F83" s="178"/>
      <c r="G83" s="166"/>
      <c r="H83" s="170"/>
      <c r="I83" s="48"/>
      <c r="J83" s="48"/>
      <c r="K83" s="49"/>
      <c r="L83" s="49"/>
      <c r="M83" s="49"/>
      <c r="N83" s="49"/>
    </row>
    <row r="84" spans="1:14" ht="12.75">
      <c r="A84" s="145" t="s">
        <v>80</v>
      </c>
      <c r="B84" s="113">
        <f t="shared" si="0"/>
        <v>342762.04</v>
      </c>
      <c r="C84" s="229">
        <f t="shared" si="0"/>
        <v>347663.537172</v>
      </c>
      <c r="D84" s="230">
        <f>B84-C84</f>
        <v>-4901.497172000003</v>
      </c>
      <c r="E84" s="171"/>
      <c r="F84" s="178"/>
      <c r="G84" s="166"/>
      <c r="H84" s="170"/>
      <c r="I84" s="48"/>
      <c r="J84" s="48"/>
      <c r="K84" s="49"/>
      <c r="L84" s="49"/>
      <c r="M84" s="49"/>
      <c r="N84" s="49"/>
    </row>
    <row r="85" spans="1:14" ht="13.5" thickBot="1">
      <c r="A85" s="147" t="s">
        <v>81</v>
      </c>
      <c r="B85" s="148">
        <v>0</v>
      </c>
      <c r="C85" s="231">
        <v>0</v>
      </c>
      <c r="D85" s="232">
        <f>B85-C85</f>
        <v>0</v>
      </c>
      <c r="E85" s="171"/>
      <c r="F85" s="178"/>
      <c r="G85" s="166"/>
      <c r="H85" s="170" t="s">
        <v>30</v>
      </c>
      <c r="I85" s="48"/>
      <c r="J85" s="48"/>
      <c r="K85" s="49"/>
      <c r="L85" s="49"/>
      <c r="M85" s="49"/>
      <c r="N85" s="49"/>
    </row>
    <row r="86" spans="1:14" ht="2.25" customHeight="1">
      <c r="A86" s="61"/>
      <c r="B86" s="60"/>
      <c r="C86" s="233"/>
      <c r="D86" s="234"/>
      <c r="E86" s="45"/>
      <c r="F86" s="58"/>
      <c r="H86" s="48"/>
      <c r="I86" s="48"/>
      <c r="J86" s="48"/>
      <c r="K86" s="49"/>
      <c r="L86" s="49"/>
      <c r="M86" s="49"/>
      <c r="N86" s="49"/>
    </row>
    <row r="87" spans="1:14" ht="25.5">
      <c r="A87" s="64" t="s">
        <v>86</v>
      </c>
      <c r="B87" s="60" t="s">
        <v>14</v>
      </c>
      <c r="C87" s="235"/>
      <c r="D87" s="236">
        <v>0</v>
      </c>
      <c r="E87" s="45"/>
      <c r="F87" s="58"/>
      <c r="H87" s="48"/>
      <c r="I87" s="48"/>
      <c r="J87" s="48" t="s">
        <v>30</v>
      </c>
      <c r="K87" s="49"/>
      <c r="L87" s="49"/>
      <c r="M87" s="49"/>
      <c r="N87" s="49"/>
    </row>
    <row r="88" spans="1:14" ht="17.25" customHeight="1">
      <c r="A88" s="330" t="s">
        <v>87</v>
      </c>
      <c r="B88" s="330"/>
      <c r="C88" s="330"/>
      <c r="D88" s="330"/>
      <c r="E88" s="67" t="e">
        <f>D88+B18</f>
        <v>#VALUE!</v>
      </c>
      <c r="F88" s="48"/>
      <c r="H88" s="68" t="e">
        <f>E88-B17</f>
        <v>#VALUE!</v>
      </c>
      <c r="I88" s="48"/>
      <c r="J88" s="48"/>
      <c r="K88" s="49"/>
      <c r="L88" s="49"/>
      <c r="M88" s="49"/>
      <c r="N88" s="49"/>
    </row>
    <row r="89" spans="1:5" ht="21" customHeight="1">
      <c r="A89" s="69" t="s">
        <v>64</v>
      </c>
      <c r="B89" s="69" t="s">
        <v>65</v>
      </c>
      <c r="C89" s="132">
        <v>2</v>
      </c>
      <c r="D89" s="265"/>
      <c r="E89" s="72"/>
    </row>
    <row r="90" spans="1:5" ht="21" customHeight="1">
      <c r="A90" s="69" t="s">
        <v>66</v>
      </c>
      <c r="B90" s="69" t="s">
        <v>65</v>
      </c>
      <c r="C90" s="133">
        <v>2</v>
      </c>
      <c r="D90" s="265"/>
      <c r="E90" s="72"/>
    </row>
    <row r="91" spans="1:14" s="1" customFormat="1" ht="18" customHeight="1">
      <c r="A91" s="69" t="s">
        <v>67</v>
      </c>
      <c r="B91" s="69" t="s">
        <v>65</v>
      </c>
      <c r="C91" s="133">
        <v>0</v>
      </c>
      <c r="D91" s="265"/>
      <c r="E91" s="72"/>
      <c r="K91"/>
      <c r="L91"/>
      <c r="M91"/>
      <c r="N91"/>
    </row>
    <row r="92" spans="1:14" s="1" customFormat="1" ht="16.5" customHeight="1">
      <c r="A92" s="69" t="s">
        <v>68</v>
      </c>
      <c r="B92" s="69" t="s">
        <v>14</v>
      </c>
      <c r="C92" s="133">
        <v>335.04</v>
      </c>
      <c r="D92" s="265"/>
      <c r="E92" s="72"/>
      <c r="K92"/>
      <c r="L92"/>
      <c r="M92"/>
      <c r="N92"/>
    </row>
    <row r="93" spans="1:14" s="1" customFormat="1" ht="15.75" customHeight="1">
      <c r="A93" s="324" t="s">
        <v>88</v>
      </c>
      <c r="B93" s="324"/>
      <c r="C93" s="324"/>
      <c r="D93" s="324"/>
      <c r="E93" s="72"/>
      <c r="K93"/>
      <c r="L93"/>
      <c r="M93"/>
      <c r="N93"/>
    </row>
    <row r="94" spans="1:14" s="1" customFormat="1" ht="18.75" customHeight="1">
      <c r="A94" s="69" t="s">
        <v>89</v>
      </c>
      <c r="B94" s="69" t="s">
        <v>65</v>
      </c>
      <c r="C94" s="133">
        <v>1</v>
      </c>
      <c r="D94" s="265"/>
      <c r="E94" s="72"/>
      <c r="K94"/>
      <c r="L94"/>
      <c r="M94"/>
      <c r="N94"/>
    </row>
    <row r="95" spans="1:14" s="1" customFormat="1" ht="21.75" customHeight="1">
      <c r="A95" s="69" t="s">
        <v>90</v>
      </c>
      <c r="B95" s="40" t="s">
        <v>65</v>
      </c>
      <c r="C95" s="135">
        <v>1</v>
      </c>
      <c r="D95" s="265"/>
      <c r="E95" s="72"/>
      <c r="K95"/>
      <c r="L95"/>
      <c r="M95"/>
      <c r="N95"/>
    </row>
    <row r="96" spans="1:14" s="1" customFormat="1" ht="22.5" customHeight="1">
      <c r="A96" s="73" t="s">
        <v>91</v>
      </c>
      <c r="B96" s="69" t="s">
        <v>14</v>
      </c>
      <c r="C96" s="133">
        <v>84113</v>
      </c>
      <c r="D96" s="265"/>
      <c r="E96" s="72"/>
      <c r="K96"/>
      <c r="L96"/>
      <c r="M96"/>
      <c r="N96"/>
    </row>
    <row r="97" spans="1:14" s="1" customFormat="1" ht="12.75">
      <c r="A97" s="49"/>
      <c r="B97" s="49"/>
      <c r="C97" s="49"/>
      <c r="D97" s="240"/>
      <c r="K97"/>
      <c r="L97"/>
      <c r="M97"/>
      <c r="N97"/>
    </row>
    <row r="98" spans="1:14" s="1" customFormat="1" ht="12.75">
      <c r="A98" s="183"/>
      <c r="B98" s="183"/>
      <c r="C98" s="183"/>
      <c r="D98" s="183"/>
      <c r="H98" s="1" t="s">
        <v>30</v>
      </c>
      <c r="K98"/>
      <c r="L98"/>
      <c r="M98"/>
      <c r="N98"/>
    </row>
    <row r="99" spans="1:14" s="1" customFormat="1" ht="12.75">
      <c r="A99" s="190" t="s">
        <v>340</v>
      </c>
      <c r="B99" s="183"/>
      <c r="C99" s="183"/>
      <c r="D99" s="183"/>
      <c r="K99"/>
      <c r="L99"/>
      <c r="M99"/>
      <c r="N99"/>
    </row>
    <row r="100" spans="1:14" s="1" customFormat="1" ht="12.75">
      <c r="A100" s="183"/>
      <c r="B100" s="183"/>
      <c r="C100" s="183"/>
      <c r="D100" s="183"/>
      <c r="H100" s="1" t="s">
        <v>30</v>
      </c>
      <c r="K100"/>
      <c r="L100"/>
      <c r="M100"/>
      <c r="N100"/>
    </row>
    <row r="101" spans="1:14" s="1" customFormat="1" ht="12.75">
      <c r="A101" s="183" t="s">
        <v>93</v>
      </c>
      <c r="B101" s="183"/>
      <c r="C101" s="183"/>
      <c r="D101" s="183"/>
      <c r="K101"/>
      <c r="L101"/>
      <c r="M101"/>
      <c r="N101"/>
    </row>
    <row r="102" spans="1:4" ht="12.75">
      <c r="A102" s="183"/>
      <c r="B102" s="183"/>
      <c r="C102" s="183"/>
      <c r="D102" s="183"/>
    </row>
    <row r="103" spans="1:4" ht="12.75">
      <c r="A103" s="183"/>
      <c r="B103" s="183"/>
      <c r="C103" s="183"/>
      <c r="D103" s="183"/>
    </row>
    <row r="105" spans="1:14" s="1" customFormat="1" ht="12.75">
      <c r="A105"/>
      <c r="B105"/>
      <c r="C105"/>
      <c r="D105"/>
      <c r="E105" s="1" t="s">
        <v>30</v>
      </c>
      <c r="K105"/>
      <c r="L105"/>
      <c r="M105"/>
      <c r="N105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3:D13"/>
    <mergeCell ref="A7:D7"/>
    <mergeCell ref="A28:D28"/>
    <mergeCell ref="A61:D61"/>
    <mergeCell ref="A66:D66"/>
    <mergeCell ref="A73:D73"/>
    <mergeCell ref="A88:D88"/>
    <mergeCell ref="A93:D93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="80" zoomScaleNormal="80" zoomScalePageLayoutView="0" workbookViewId="0" topLeftCell="A28">
      <selection activeCell="D37" sqref="D37"/>
    </sheetView>
  </sheetViews>
  <sheetFormatPr defaultColWidth="11.57421875" defaultRowHeight="12.75"/>
  <cols>
    <col min="1" max="1" width="57.421875" style="0" customWidth="1"/>
    <col min="2" max="2" width="15.57421875" style="0" customWidth="1"/>
    <col min="3" max="3" width="23.421875" style="0" customWidth="1"/>
    <col min="4" max="4" width="15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120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spans="1:5" ht="31.5" customHeight="1">
      <c r="A6" s="333" t="s">
        <v>5</v>
      </c>
      <c r="B6" s="344"/>
      <c r="C6" s="344"/>
      <c r="D6" s="344"/>
      <c r="E6" s="316"/>
    </row>
    <row r="7" spans="1:4" ht="16.5" customHeight="1">
      <c r="A7" s="187" t="s">
        <v>178</v>
      </c>
      <c r="B7" s="107"/>
      <c r="C7" s="107"/>
      <c r="D7" s="107"/>
    </row>
    <row r="8" spans="1:4" ht="12.75">
      <c r="A8" s="6">
        <v>1</v>
      </c>
      <c r="B8" s="6">
        <v>2</v>
      </c>
      <c r="C8" s="6">
        <v>3</v>
      </c>
      <c r="D8" s="7">
        <v>4</v>
      </c>
    </row>
    <row r="9" spans="1:4" ht="12.75">
      <c r="A9" s="8" t="s">
        <v>9</v>
      </c>
      <c r="B9" s="9"/>
      <c r="C9" s="185" t="s">
        <v>133</v>
      </c>
      <c r="D9" s="10"/>
    </row>
    <row r="10" spans="1:8" ht="12.75">
      <c r="A10" s="8" t="s">
        <v>10</v>
      </c>
      <c r="B10" s="9"/>
      <c r="C10" s="185" t="s">
        <v>134</v>
      </c>
      <c r="D10" s="10"/>
      <c r="E10" s="166"/>
      <c r="F10" s="166"/>
      <c r="G10" s="166"/>
      <c r="H10" s="166"/>
    </row>
    <row r="11" spans="1:8" ht="12.75">
      <c r="A11" s="8" t="s">
        <v>11</v>
      </c>
      <c r="B11" s="9"/>
      <c r="C11" s="185" t="s">
        <v>135</v>
      </c>
      <c r="D11" s="10"/>
      <c r="E11" s="166"/>
      <c r="F11" s="166"/>
      <c r="G11" s="166"/>
      <c r="H11" s="166"/>
    </row>
    <row r="12" spans="1:8" ht="31.5" customHeight="1">
      <c r="A12" s="325" t="s">
        <v>12</v>
      </c>
      <c r="B12" s="325"/>
      <c r="C12" s="325"/>
      <c r="D12" s="325"/>
      <c r="E12" s="166"/>
      <c r="F12" s="166"/>
      <c r="G12" s="166"/>
      <c r="H12" s="166"/>
    </row>
    <row r="13" spans="1:8" ht="12.75">
      <c r="A13" s="8" t="s">
        <v>107</v>
      </c>
      <c r="B13" s="12" t="s">
        <v>14</v>
      </c>
      <c r="C13" s="200">
        <v>295633.82</v>
      </c>
      <c r="D13" s="10"/>
      <c r="E13" s="166"/>
      <c r="F13" s="166"/>
      <c r="G13" s="166"/>
      <c r="H13" s="166"/>
    </row>
    <row r="14" spans="1:8" ht="12.75">
      <c r="A14" s="8" t="s">
        <v>15</v>
      </c>
      <c r="B14" s="12" t="s">
        <v>14</v>
      </c>
      <c r="C14" s="200">
        <v>0</v>
      </c>
      <c r="D14" s="10"/>
      <c r="E14" s="166"/>
      <c r="F14" s="166"/>
      <c r="G14" s="166"/>
      <c r="H14" s="166"/>
    </row>
    <row r="15" spans="1:8" ht="12.75">
      <c r="A15" s="8" t="s">
        <v>16</v>
      </c>
      <c r="B15" s="12" t="s">
        <v>14</v>
      </c>
      <c r="C15" s="203">
        <v>241170.64</v>
      </c>
      <c r="D15" s="202"/>
      <c r="E15" s="166" t="e">
        <f>B15/12/1022.6</f>
        <v>#VALUE!</v>
      </c>
      <c r="F15" s="166"/>
      <c r="G15" s="166"/>
      <c r="H15" s="166"/>
    </row>
    <row r="16" spans="1:8" ht="31.5" customHeight="1">
      <c r="A16" s="11" t="s">
        <v>17</v>
      </c>
      <c r="B16" s="12" t="s">
        <v>14</v>
      </c>
      <c r="C16" s="203">
        <f>C17+C18+C19</f>
        <v>992345.806</v>
      </c>
      <c r="D16" s="202"/>
      <c r="E16" s="257">
        <f>C16-C18</f>
        <v>805259.902</v>
      </c>
      <c r="F16" s="166"/>
      <c r="G16" s="166"/>
      <c r="H16" s="166"/>
    </row>
    <row r="17" spans="1:8" ht="12.75">
      <c r="A17" s="8" t="s">
        <v>18</v>
      </c>
      <c r="B17" s="12" t="s">
        <v>14</v>
      </c>
      <c r="C17" s="203">
        <v>516342.43</v>
      </c>
      <c r="D17" s="202"/>
      <c r="E17" s="257">
        <f>E16-E50</f>
        <v>376.08600000012666</v>
      </c>
      <c r="F17" s="166"/>
      <c r="G17" s="166"/>
      <c r="H17" s="258" t="s">
        <v>183</v>
      </c>
    </row>
    <row r="18" spans="1:8" ht="12.75">
      <c r="A18" s="8" t="s">
        <v>19</v>
      </c>
      <c r="B18" s="12" t="s">
        <v>14</v>
      </c>
      <c r="C18" s="203">
        <f>4933.7*6*(2.92+3.4)</f>
        <v>187085.90399999998</v>
      </c>
      <c r="D18" s="202"/>
      <c r="E18" s="174"/>
      <c r="F18" s="166"/>
      <c r="G18" s="166"/>
      <c r="H18" s="166"/>
    </row>
    <row r="19" spans="1:8" ht="12.75">
      <c r="A19" s="8" t="s">
        <v>20</v>
      </c>
      <c r="B19" s="12" t="s">
        <v>14</v>
      </c>
      <c r="C19" s="203">
        <f>4933.7*12*4.88</f>
        <v>288917.47199999995</v>
      </c>
      <c r="D19" s="202"/>
      <c r="E19" s="166"/>
      <c r="F19" s="166"/>
      <c r="G19" s="166"/>
      <c r="H19" s="166"/>
    </row>
    <row r="20" spans="1:8" ht="12.75">
      <c r="A20" s="8" t="s">
        <v>21</v>
      </c>
      <c r="B20" s="12" t="s">
        <v>14</v>
      </c>
      <c r="C20" s="203">
        <f>C21+C22+C23+C24+C25</f>
        <v>1098720.8851917998</v>
      </c>
      <c r="D20" s="202" t="s">
        <v>22</v>
      </c>
      <c r="E20" s="173" t="e">
        <f>B22+B23+B24+B25+B26</f>
        <v>#VALUE!</v>
      </c>
      <c r="F20" s="166"/>
      <c r="G20" s="166"/>
      <c r="H20" s="166"/>
    </row>
    <row r="21" spans="1:8" ht="12.75">
      <c r="A21" s="8" t="s">
        <v>23</v>
      </c>
      <c r="B21" s="12" t="s">
        <v>14</v>
      </c>
      <c r="C21" s="203">
        <f>C16*1.0753</f>
        <v>1067069.4451918</v>
      </c>
      <c r="D21" s="202"/>
      <c r="E21" s="166"/>
      <c r="F21" s="166"/>
      <c r="G21" s="166"/>
      <c r="H21" s="166"/>
    </row>
    <row r="22" spans="1:8" ht="12.75">
      <c r="A22" s="8" t="s">
        <v>24</v>
      </c>
      <c r="B22" s="12" t="s">
        <v>14</v>
      </c>
      <c r="C22" s="203">
        <v>0</v>
      </c>
      <c r="D22" s="202"/>
      <c r="E22" s="174" t="e">
        <f>B22/#REF!*1</f>
        <v>#VALUE!</v>
      </c>
      <c r="F22" s="166"/>
      <c r="G22" s="166"/>
      <c r="H22" s="166"/>
    </row>
    <row r="23" spans="1:8" ht="12.75">
      <c r="A23" s="8" t="s">
        <v>26</v>
      </c>
      <c r="B23" s="12" t="s">
        <v>14</v>
      </c>
      <c r="C23" s="203">
        <v>0</v>
      </c>
      <c r="D23" s="202"/>
      <c r="E23" s="174" t="e">
        <f>B23/#REF!*1</f>
        <v>#VALUE!</v>
      </c>
      <c r="F23" s="166"/>
      <c r="G23" s="166"/>
      <c r="H23" s="166"/>
    </row>
    <row r="24" spans="1:8" ht="12.75">
      <c r="A24" s="9" t="s">
        <v>27</v>
      </c>
      <c r="B24" s="12" t="s">
        <v>14</v>
      </c>
      <c r="C24" s="203">
        <v>11496.72</v>
      </c>
      <c r="D24" s="202"/>
      <c r="E24" s="174" t="e">
        <f>B24/#REF!*1</f>
        <v>#VALUE!</v>
      </c>
      <c r="F24" s="166"/>
      <c r="G24" s="166"/>
      <c r="H24" s="166"/>
    </row>
    <row r="25" spans="1:8" ht="12.75">
      <c r="A25" s="9" t="s">
        <v>28</v>
      </c>
      <c r="B25" s="12" t="s">
        <v>14</v>
      </c>
      <c r="C25" s="203">
        <v>20154.72</v>
      </c>
      <c r="D25" s="202"/>
      <c r="E25" s="174" t="e">
        <f>B25/#REF!*1</f>
        <v>#VALUE!</v>
      </c>
      <c r="F25" s="166"/>
      <c r="G25" s="166"/>
      <c r="H25" s="166"/>
    </row>
    <row r="26" spans="1:8" ht="12.75">
      <c r="A26" s="8" t="s">
        <v>29</v>
      </c>
      <c r="B26" s="12" t="s">
        <v>14</v>
      </c>
      <c r="C26" s="203">
        <f>C13+C20</f>
        <v>1394354.7051918</v>
      </c>
      <c r="D26" s="202" t="s">
        <v>30</v>
      </c>
      <c r="E26" s="174" t="e">
        <f>B26/#REF!*1</f>
        <v>#VALUE!</v>
      </c>
      <c r="F26" s="166"/>
      <c r="G26" s="166"/>
      <c r="H26" s="166"/>
    </row>
    <row r="27" spans="1:8" ht="35.25" customHeight="1">
      <c r="A27" s="328" t="s">
        <v>31</v>
      </c>
      <c r="B27" s="328"/>
      <c r="C27" s="328"/>
      <c r="D27" s="328"/>
      <c r="E27" s="166"/>
      <c r="F27" s="166"/>
      <c r="G27" s="166"/>
      <c r="H27" s="166"/>
    </row>
    <row r="28" spans="1:8" ht="51">
      <c r="A28" s="35" t="s">
        <v>32</v>
      </c>
      <c r="B28" s="206" t="s">
        <v>33</v>
      </c>
      <c r="C28" s="207" t="s">
        <v>34</v>
      </c>
      <c r="D28" s="208" t="s">
        <v>35</v>
      </c>
      <c r="E28" s="166"/>
      <c r="F28" s="166"/>
      <c r="G28" s="166"/>
      <c r="H28" s="166"/>
    </row>
    <row r="29" spans="1:8" ht="25.5">
      <c r="A29" s="33" t="s">
        <v>108</v>
      </c>
      <c r="B29" s="34" t="s">
        <v>37</v>
      </c>
      <c r="C29" s="35" t="s">
        <v>38</v>
      </c>
      <c r="D29" s="202">
        <f>4933.7*6*(0.34+0.35)</f>
        <v>20425.517999999996</v>
      </c>
      <c r="E29" s="166"/>
      <c r="F29" s="166"/>
      <c r="G29" s="166"/>
      <c r="H29" s="166"/>
    </row>
    <row r="30" spans="1:8" ht="12.75">
      <c r="A30" s="33" t="s">
        <v>96</v>
      </c>
      <c r="B30" s="34" t="s">
        <v>40</v>
      </c>
      <c r="C30" s="33" t="s">
        <v>41</v>
      </c>
      <c r="D30" s="202">
        <f>4933.7*6*(2.34+2.45)</f>
        <v>141794.538</v>
      </c>
      <c r="E30" s="166"/>
      <c r="F30" s="166"/>
      <c r="G30" s="166"/>
      <c r="H30" s="166"/>
    </row>
    <row r="31" spans="1:14" s="1" customFormat="1" ht="12.75">
      <c r="A31" s="33" t="s">
        <v>42</v>
      </c>
      <c r="B31" s="34" t="s">
        <v>43</v>
      </c>
      <c r="C31" s="33" t="s">
        <v>44</v>
      </c>
      <c r="D31" s="202">
        <f>4933.7*6*(3+3.03)</f>
        <v>178501.26599999997</v>
      </c>
      <c r="E31" s="166"/>
      <c r="F31" s="166"/>
      <c r="G31" s="166"/>
      <c r="H31" s="166"/>
      <c r="K31"/>
      <c r="L31"/>
      <c r="M31"/>
      <c r="N31"/>
    </row>
    <row r="32" spans="1:14" s="1" customFormat="1" ht="12.75">
      <c r="A32" s="33" t="s">
        <v>109</v>
      </c>
      <c r="B32" s="34" t="s">
        <v>37</v>
      </c>
      <c r="C32" s="33" t="s">
        <v>46</v>
      </c>
      <c r="D32" s="202">
        <f>4933.7*6*(0.1+0.11)</f>
        <v>6216.4619999999995</v>
      </c>
      <c r="E32" s="166"/>
      <c r="F32" s="166"/>
      <c r="G32" s="166"/>
      <c r="H32" s="166"/>
      <c r="K32"/>
      <c r="L32"/>
      <c r="M32"/>
      <c r="N32"/>
    </row>
    <row r="33" spans="1:14" s="1" customFormat="1" ht="12.75">
      <c r="A33" s="33" t="s">
        <v>118</v>
      </c>
      <c r="B33" s="34" t="s">
        <v>48</v>
      </c>
      <c r="C33" s="33" t="s">
        <v>49</v>
      </c>
      <c r="D33" s="202">
        <f>4933.7*6*(0.53+0.55)</f>
        <v>31970.376</v>
      </c>
      <c r="E33" s="166"/>
      <c r="F33" s="166"/>
      <c r="G33" s="166"/>
      <c r="H33" s="166"/>
      <c r="K33"/>
      <c r="L33"/>
      <c r="M33"/>
      <c r="N33"/>
    </row>
    <row r="34" spans="1:14" s="1" customFormat="1" ht="25.5">
      <c r="A34" s="35" t="s">
        <v>98</v>
      </c>
      <c r="B34" s="34" t="s">
        <v>37</v>
      </c>
      <c r="C34" s="33" t="s">
        <v>49</v>
      </c>
      <c r="D34" s="202">
        <f>4933.7*6*(0.99+1.04)</f>
        <v>60092.466</v>
      </c>
      <c r="E34" s="166"/>
      <c r="F34" s="166"/>
      <c r="G34" s="166"/>
      <c r="H34" s="166"/>
      <c r="K34"/>
      <c r="L34"/>
      <c r="M34"/>
      <c r="N34"/>
    </row>
    <row r="35" spans="1:14" s="1" customFormat="1" ht="12.75">
      <c r="A35" s="33" t="s">
        <v>51</v>
      </c>
      <c r="B35" s="34" t="s">
        <v>52</v>
      </c>
      <c r="C35" s="33" t="s">
        <v>49</v>
      </c>
      <c r="D35" s="202">
        <f>4933.7*6*(1.27+1.33)</f>
        <v>76965.72</v>
      </c>
      <c r="E35" s="166"/>
      <c r="F35" s="166"/>
      <c r="G35" s="166"/>
      <c r="H35" s="166"/>
      <c r="K35"/>
      <c r="L35"/>
      <c r="M35"/>
      <c r="N35"/>
    </row>
    <row r="36" spans="1:14" s="1" customFormat="1" ht="12.75">
      <c r="A36" s="33" t="s">
        <v>111</v>
      </c>
      <c r="B36" s="34" t="s">
        <v>43</v>
      </c>
      <c r="C36" s="194" t="s">
        <v>54</v>
      </c>
      <c r="D36" s="202">
        <v>288917.47</v>
      </c>
      <c r="E36" s="166"/>
      <c r="F36" s="166"/>
      <c r="G36" s="166"/>
      <c r="H36" s="166"/>
      <c r="K36"/>
      <c r="L36"/>
      <c r="M36"/>
      <c r="N36"/>
    </row>
    <row r="37" spans="1:14" s="1" customFormat="1" ht="50.25" customHeight="1">
      <c r="A37" s="189" t="s">
        <v>334</v>
      </c>
      <c r="B37" s="214" t="s">
        <v>60</v>
      </c>
      <c r="C37" s="260"/>
      <c r="D37" s="356">
        <v>233607.64</v>
      </c>
      <c r="E37" s="166"/>
      <c r="F37" s="166"/>
      <c r="G37" s="166"/>
      <c r="H37" s="166"/>
      <c r="K37"/>
      <c r="L37"/>
      <c r="M37"/>
      <c r="N37"/>
    </row>
    <row r="38" spans="1:14" s="1" customFormat="1" ht="20.25" customHeight="1">
      <c r="A38" s="188" t="s">
        <v>179</v>
      </c>
      <c r="B38" s="214"/>
      <c r="C38" s="33" t="s">
        <v>49</v>
      </c>
      <c r="D38" s="213">
        <v>5021</v>
      </c>
      <c r="E38" s="166"/>
      <c r="F38" s="166"/>
      <c r="G38" s="166"/>
      <c r="H38" s="166"/>
      <c r="K38"/>
      <c r="L38"/>
      <c r="M38"/>
      <c r="N38"/>
    </row>
    <row r="39" spans="1:14" s="1" customFormat="1" ht="14.25" customHeight="1">
      <c r="A39" s="188" t="s">
        <v>180</v>
      </c>
      <c r="B39" s="214"/>
      <c r="C39" s="33" t="s">
        <v>49</v>
      </c>
      <c r="D39" s="213">
        <v>3629</v>
      </c>
      <c r="E39" s="166"/>
      <c r="F39" s="166"/>
      <c r="G39" s="166"/>
      <c r="H39" s="166"/>
      <c r="K39"/>
      <c r="L39"/>
      <c r="M39"/>
      <c r="N39"/>
    </row>
    <row r="40" spans="1:14" s="1" customFormat="1" ht="16.5" customHeight="1">
      <c r="A40" s="188" t="s">
        <v>181</v>
      </c>
      <c r="B40" s="214"/>
      <c r="C40" s="33" t="s">
        <v>49</v>
      </c>
      <c r="D40" s="213">
        <v>3325</v>
      </c>
      <c r="E40" s="166"/>
      <c r="F40" s="166"/>
      <c r="G40" s="166"/>
      <c r="H40" s="166"/>
      <c r="K40"/>
      <c r="L40"/>
      <c r="M40"/>
      <c r="N40"/>
    </row>
    <row r="41" spans="1:14" s="1" customFormat="1" ht="20.25" customHeight="1">
      <c r="A41" s="188" t="s">
        <v>182</v>
      </c>
      <c r="B41" s="214"/>
      <c r="C41" s="33" t="s">
        <v>49</v>
      </c>
      <c r="D41" s="213">
        <v>3594</v>
      </c>
      <c r="E41" s="166"/>
      <c r="F41" s="166"/>
      <c r="G41" s="166"/>
      <c r="H41" s="166"/>
      <c r="K41"/>
      <c r="L41"/>
      <c r="M41"/>
      <c r="N41"/>
    </row>
    <row r="42" spans="1:14" s="1" customFormat="1" ht="18" customHeight="1">
      <c r="A42" s="188" t="s">
        <v>184</v>
      </c>
      <c r="B42" s="214"/>
      <c r="C42" s="260" t="s">
        <v>152</v>
      </c>
      <c r="D42" s="213">
        <v>81519</v>
      </c>
      <c r="E42" s="166"/>
      <c r="F42" s="166"/>
      <c r="G42" s="166"/>
      <c r="H42" s="166"/>
      <c r="K42"/>
      <c r="L42"/>
      <c r="M42"/>
      <c r="N42"/>
    </row>
    <row r="43" spans="1:14" s="1" customFormat="1" ht="39.75" customHeight="1">
      <c r="A43" s="188" t="s">
        <v>185</v>
      </c>
      <c r="B43" s="214"/>
      <c r="C43" s="260" t="s">
        <v>186</v>
      </c>
      <c r="D43" s="213">
        <v>37067</v>
      </c>
      <c r="E43" s="166"/>
      <c r="F43" s="166"/>
      <c r="G43" s="166"/>
      <c r="H43" s="166"/>
      <c r="K43"/>
      <c r="L43"/>
      <c r="M43"/>
      <c r="N43"/>
    </row>
    <row r="44" spans="1:14" s="1" customFormat="1" ht="14.25" customHeight="1">
      <c r="A44" s="188" t="s">
        <v>187</v>
      </c>
      <c r="B44" s="214"/>
      <c r="C44" s="33" t="s">
        <v>41</v>
      </c>
      <c r="D44" s="213">
        <v>1914.54</v>
      </c>
      <c r="E44" s="166"/>
      <c r="F44" s="166"/>
      <c r="G44" s="166"/>
      <c r="H44" s="166"/>
      <c r="K44"/>
      <c r="L44"/>
      <c r="M44"/>
      <c r="N44"/>
    </row>
    <row r="45" spans="1:14" s="1" customFormat="1" ht="17.25" customHeight="1">
      <c r="A45" s="188" t="s">
        <v>188</v>
      </c>
      <c r="B45" s="214"/>
      <c r="C45" s="260" t="s">
        <v>186</v>
      </c>
      <c r="D45" s="213">
        <v>39315.17</v>
      </c>
      <c r="E45" s="166"/>
      <c r="F45" s="166"/>
      <c r="G45" s="166"/>
      <c r="H45" s="166"/>
      <c r="K45"/>
      <c r="L45"/>
      <c r="M45"/>
      <c r="N45"/>
    </row>
    <row r="46" spans="1:14" s="1" customFormat="1" ht="17.25" customHeight="1">
      <c r="A46" s="188" t="s">
        <v>189</v>
      </c>
      <c r="B46" s="214"/>
      <c r="C46" s="260" t="s">
        <v>186</v>
      </c>
      <c r="D46" s="213">
        <v>8718.62</v>
      </c>
      <c r="E46" s="166"/>
      <c r="F46" s="166"/>
      <c r="G46" s="166"/>
      <c r="H46" s="166"/>
      <c r="K46"/>
      <c r="L46"/>
      <c r="M46"/>
      <c r="N46"/>
    </row>
    <row r="47" spans="1:14" s="1" customFormat="1" ht="16.5" customHeight="1">
      <c r="A47" s="188" t="s">
        <v>190</v>
      </c>
      <c r="B47" s="214"/>
      <c r="C47" s="33" t="s">
        <v>41</v>
      </c>
      <c r="D47" s="213">
        <v>1003.91</v>
      </c>
      <c r="E47" s="166"/>
      <c r="F47" s="166"/>
      <c r="G47" s="166"/>
      <c r="H47" s="166"/>
      <c r="K47"/>
      <c r="L47"/>
      <c r="M47"/>
      <c r="N47"/>
    </row>
    <row r="48" spans="1:14" s="1" customFormat="1" ht="17.25" customHeight="1">
      <c r="A48" s="188" t="s">
        <v>191</v>
      </c>
      <c r="B48" s="214"/>
      <c r="C48" s="260" t="s">
        <v>156</v>
      </c>
      <c r="D48" s="213">
        <v>36319.3</v>
      </c>
      <c r="E48" s="166"/>
      <c r="F48" s="166"/>
      <c r="G48" s="166"/>
      <c r="H48" s="166"/>
      <c r="K48"/>
      <c r="L48"/>
      <c r="M48"/>
      <c r="N48"/>
    </row>
    <row r="49" spans="1:14" s="1" customFormat="1" ht="17.25" customHeight="1">
      <c r="A49" s="188" t="s">
        <v>192</v>
      </c>
      <c r="B49" s="214"/>
      <c r="C49" s="33" t="s">
        <v>49</v>
      </c>
      <c r="D49" s="213">
        <v>12181</v>
      </c>
      <c r="E49" s="166"/>
      <c r="F49" s="166"/>
      <c r="G49" s="166"/>
      <c r="H49" s="166"/>
      <c r="K49"/>
      <c r="L49"/>
      <c r="M49"/>
      <c r="N49"/>
    </row>
    <row r="50" spans="1:14" s="1" customFormat="1" ht="12.75">
      <c r="A50" s="112" t="s">
        <v>61</v>
      </c>
      <c r="B50" s="34"/>
      <c r="C50" s="33"/>
      <c r="D50" s="10">
        <f>SUM(D29:D37)</f>
        <v>1038491.4559999999</v>
      </c>
      <c r="E50" s="259">
        <f>D50-D37</f>
        <v>804883.8159999999</v>
      </c>
      <c r="F50" s="166"/>
      <c r="G50" s="166"/>
      <c r="H50" s="166"/>
      <c r="K50"/>
      <c r="L50"/>
      <c r="M50"/>
      <c r="N50"/>
    </row>
    <row r="51" spans="1:14" s="1" customFormat="1" ht="12.75">
      <c r="A51" s="112" t="s">
        <v>62</v>
      </c>
      <c r="B51" s="34"/>
      <c r="C51" s="33"/>
      <c r="D51" s="355">
        <f>C13+C18*1.0753+C24+C25-D37</f>
        <v>294851.0925711999</v>
      </c>
      <c r="E51" s="166"/>
      <c r="F51" s="166"/>
      <c r="G51" s="166"/>
      <c r="H51" s="166"/>
      <c r="K51"/>
      <c r="L51"/>
      <c r="M51"/>
      <c r="N51"/>
    </row>
    <row r="52" spans="1:8" ht="12.75">
      <c r="A52" s="33" t="s">
        <v>15</v>
      </c>
      <c r="B52" s="34" t="s">
        <v>14</v>
      </c>
      <c r="C52" s="33"/>
      <c r="D52" s="10">
        <v>0</v>
      </c>
      <c r="E52" s="166"/>
      <c r="F52" s="166"/>
      <c r="G52" s="166"/>
      <c r="H52" s="166"/>
    </row>
    <row r="53" spans="1:8" ht="12.75">
      <c r="A53" s="33" t="s">
        <v>16</v>
      </c>
      <c r="B53" s="34" t="s">
        <v>14</v>
      </c>
      <c r="C53" s="33"/>
      <c r="D53" s="10">
        <v>166447</v>
      </c>
      <c r="E53" s="166"/>
      <c r="F53" s="166"/>
      <c r="G53" s="166"/>
      <c r="H53" s="166"/>
    </row>
    <row r="54" spans="1:8" ht="24" customHeight="1">
      <c r="A54" s="327" t="s">
        <v>63</v>
      </c>
      <c r="B54" s="327"/>
      <c r="C54" s="327"/>
      <c r="D54" s="327"/>
      <c r="E54" s="166"/>
      <c r="F54" s="166"/>
      <c r="G54" s="166"/>
      <c r="H54" s="166"/>
    </row>
    <row r="55" spans="1:8" ht="12.75">
      <c r="A55" s="33" t="s">
        <v>64</v>
      </c>
      <c r="B55" s="34" t="s">
        <v>65</v>
      </c>
      <c r="C55" s="33"/>
      <c r="D55" s="10">
        <v>0</v>
      </c>
      <c r="E55" s="166"/>
      <c r="F55" s="166"/>
      <c r="G55" s="166"/>
      <c r="H55" s="166"/>
    </row>
    <row r="56" spans="1:8" ht="12.75">
      <c r="A56" s="33" t="s">
        <v>66</v>
      </c>
      <c r="B56" s="34" t="s">
        <v>65</v>
      </c>
      <c r="C56" s="33"/>
      <c r="D56" s="10">
        <v>0</v>
      </c>
      <c r="E56" s="166"/>
      <c r="F56" s="166"/>
      <c r="G56" s="166"/>
      <c r="H56" s="166"/>
    </row>
    <row r="57" spans="1:8" ht="12.75">
      <c r="A57" s="35" t="s">
        <v>67</v>
      </c>
      <c r="B57" s="34" t="s">
        <v>65</v>
      </c>
      <c r="C57" s="33"/>
      <c r="D57" s="10">
        <v>0</v>
      </c>
      <c r="E57" s="166"/>
      <c r="F57" s="166"/>
      <c r="G57" s="166"/>
      <c r="H57" s="166"/>
    </row>
    <row r="58" spans="1:8" ht="12.75">
      <c r="A58" s="33" t="s">
        <v>68</v>
      </c>
      <c r="B58" s="34" t="s">
        <v>14</v>
      </c>
      <c r="C58" s="33"/>
      <c r="D58" s="10">
        <v>0</v>
      </c>
      <c r="E58" s="166"/>
      <c r="F58" s="166"/>
      <c r="G58" s="166"/>
      <c r="H58" s="166"/>
    </row>
    <row r="59" spans="1:8" ht="20.25" customHeight="1">
      <c r="A59" s="328" t="s">
        <v>69</v>
      </c>
      <c r="B59" s="328"/>
      <c r="C59" s="328"/>
      <c r="D59" s="328"/>
      <c r="E59" s="166"/>
      <c r="F59" s="166"/>
      <c r="G59" s="166"/>
      <c r="H59" s="166"/>
    </row>
    <row r="60" spans="1:8" ht="25.5">
      <c r="A60" s="35" t="s">
        <v>70</v>
      </c>
      <c r="B60" s="34" t="s">
        <v>14</v>
      </c>
      <c r="C60" s="33"/>
      <c r="D60" s="33">
        <v>0</v>
      </c>
      <c r="E60" s="166"/>
      <c r="F60" s="166"/>
      <c r="G60" s="166"/>
      <c r="H60" s="166"/>
    </row>
    <row r="61" spans="1:8" ht="12.75">
      <c r="A61" s="33" t="s">
        <v>15</v>
      </c>
      <c r="B61" s="34" t="s">
        <v>14</v>
      </c>
      <c r="C61" s="33"/>
      <c r="D61" s="33">
        <v>0</v>
      </c>
      <c r="E61" s="166"/>
      <c r="F61" s="166"/>
      <c r="G61" s="166"/>
      <c r="H61" s="166"/>
    </row>
    <row r="62" spans="1:8" ht="12.75">
      <c r="A62" s="33" t="s">
        <v>16</v>
      </c>
      <c r="B62" s="34" t="s">
        <v>14</v>
      </c>
      <c r="C62" s="33"/>
      <c r="D62" s="261">
        <f>D65-D68-D69-D70-D71</f>
        <v>533063.7017459997</v>
      </c>
      <c r="E62" s="166"/>
      <c r="F62" s="166"/>
      <c r="G62" s="166"/>
      <c r="H62" s="168"/>
    </row>
    <row r="63" spans="1:8" ht="12.75">
      <c r="A63" s="97" t="s">
        <v>115</v>
      </c>
      <c r="B63" s="34" t="s">
        <v>14</v>
      </c>
      <c r="C63" s="262"/>
      <c r="D63" s="262">
        <v>0</v>
      </c>
      <c r="E63" s="166"/>
      <c r="F63" s="166"/>
      <c r="G63" s="166"/>
      <c r="H63" s="166"/>
    </row>
    <row r="64" spans="1:10" ht="17.25" customHeight="1">
      <c r="A64" s="40" t="s">
        <v>15</v>
      </c>
      <c r="B64" s="34" t="s">
        <v>14</v>
      </c>
      <c r="C64" s="33"/>
      <c r="D64" s="33">
        <v>0</v>
      </c>
      <c r="E64" s="166"/>
      <c r="F64" s="166"/>
      <c r="G64" s="166"/>
      <c r="H64" s="166"/>
      <c r="I64" s="36"/>
      <c r="J64" s="36"/>
    </row>
    <row r="65" spans="1:14" ht="12.75">
      <c r="A65" s="41" t="s">
        <v>16</v>
      </c>
      <c r="B65" s="34" t="s">
        <v>14</v>
      </c>
      <c r="C65" s="218"/>
      <c r="D65" s="218">
        <v>367900.62</v>
      </c>
      <c r="E65" s="166"/>
      <c r="F65" s="166"/>
      <c r="G65" s="166"/>
      <c r="H65" s="166" t="s">
        <v>30</v>
      </c>
      <c r="I65" s="43"/>
      <c r="J65" s="43"/>
      <c r="K65" s="44"/>
      <c r="L65" s="44"/>
      <c r="M65" s="44"/>
      <c r="N65" s="44"/>
    </row>
    <row r="66" spans="1:14" ht="18" customHeight="1" thickBot="1">
      <c r="A66" s="329" t="s">
        <v>72</v>
      </c>
      <c r="B66" s="329"/>
      <c r="C66" s="329"/>
      <c r="D66" s="329"/>
      <c r="E66" s="171"/>
      <c r="F66" s="175"/>
      <c r="G66" s="176"/>
      <c r="H66" s="166"/>
      <c r="I66" s="48"/>
      <c r="J66" s="48"/>
      <c r="K66" s="49"/>
      <c r="L66" s="49"/>
      <c r="M66" s="49"/>
      <c r="N66" s="49"/>
    </row>
    <row r="67" spans="1:14" ht="38.25">
      <c r="A67" s="160" t="s">
        <v>73</v>
      </c>
      <c r="B67" s="142" t="s">
        <v>74</v>
      </c>
      <c r="C67" s="227" t="s">
        <v>75</v>
      </c>
      <c r="D67" s="228" t="s">
        <v>116</v>
      </c>
      <c r="E67" s="171"/>
      <c r="F67" s="175"/>
      <c r="G67" s="176"/>
      <c r="H67" s="166"/>
      <c r="I67" s="48"/>
      <c r="J67" s="48"/>
      <c r="K67" s="49"/>
      <c r="L67" s="49"/>
      <c r="M67" s="49"/>
      <c r="N67" s="49"/>
    </row>
    <row r="68" spans="1:14" ht="12.75">
      <c r="A68" s="145" t="s">
        <v>77</v>
      </c>
      <c r="B68" s="200">
        <v>168633.95</v>
      </c>
      <c r="C68" s="221">
        <f>B68*1.0753</f>
        <v>181332.086435</v>
      </c>
      <c r="D68" s="230">
        <f>B68-C68</f>
        <v>-12698.136434999993</v>
      </c>
      <c r="E68" s="180"/>
      <c r="F68" s="175"/>
      <c r="G68" s="176"/>
      <c r="H68" s="166"/>
      <c r="I68" s="48"/>
      <c r="J68" s="48"/>
      <c r="K68" s="49"/>
      <c r="L68" s="49"/>
      <c r="M68" s="49"/>
      <c r="N68" s="49"/>
    </row>
    <row r="69" spans="1:14" ht="12.75">
      <c r="A69" s="145" t="s">
        <v>78</v>
      </c>
      <c r="B69" s="200">
        <v>328060.71</v>
      </c>
      <c r="C69" s="221">
        <f>B69*1.0753</f>
        <v>352763.681463</v>
      </c>
      <c r="D69" s="230">
        <f>B69-C69</f>
        <v>-24702.971462999994</v>
      </c>
      <c r="E69" s="171"/>
      <c r="F69" s="175"/>
      <c r="G69" s="176"/>
      <c r="H69" s="166"/>
      <c r="I69" s="48"/>
      <c r="J69" s="48"/>
      <c r="K69" s="49"/>
      <c r="L69" s="49"/>
      <c r="M69" s="49"/>
      <c r="N69" s="49"/>
    </row>
    <row r="70" spans="1:14" ht="12.75">
      <c r="A70" s="145" t="s">
        <v>79</v>
      </c>
      <c r="B70" s="223">
        <v>1203813.81</v>
      </c>
      <c r="C70" s="221">
        <f>B70*1.0753</f>
        <v>1294460.9898929999</v>
      </c>
      <c r="D70" s="230">
        <f>B70-C70</f>
        <v>-90647.17989299982</v>
      </c>
      <c r="E70" s="171">
        <f>(2.07+1.8)*6*2301.2-0.37*2301.2*6</f>
        <v>48325.2</v>
      </c>
      <c r="F70" s="178"/>
      <c r="G70" s="179"/>
      <c r="H70" s="171"/>
      <c r="I70" s="48"/>
      <c r="J70" s="48"/>
      <c r="K70" s="49"/>
      <c r="L70" s="49"/>
      <c r="M70" s="49"/>
      <c r="N70" s="49"/>
    </row>
    <row r="71" spans="1:14" ht="12.75">
      <c r="A71" s="145" t="s">
        <v>80</v>
      </c>
      <c r="B71" s="223">
        <v>492892.35</v>
      </c>
      <c r="C71" s="221">
        <f>B71*1.0753</f>
        <v>530007.143955</v>
      </c>
      <c r="D71" s="230">
        <f>B71-C71</f>
        <v>-37114.793955</v>
      </c>
      <c r="E71" s="171"/>
      <c r="F71" s="178"/>
      <c r="G71" s="179"/>
      <c r="H71" s="166"/>
      <c r="I71" s="48"/>
      <c r="J71" s="48"/>
      <c r="K71" s="49"/>
      <c r="L71" s="49"/>
      <c r="M71" s="49"/>
      <c r="N71" s="49"/>
    </row>
    <row r="72" spans="1:14" ht="13.5" thickBot="1">
      <c r="A72" s="161" t="s">
        <v>81</v>
      </c>
      <c r="B72" s="263">
        <v>0</v>
      </c>
      <c r="C72" s="264">
        <f>B72*0.9815</f>
        <v>0</v>
      </c>
      <c r="D72" s="232">
        <v>0</v>
      </c>
      <c r="E72" s="171"/>
      <c r="F72" s="178"/>
      <c r="G72" s="179"/>
      <c r="H72" s="166"/>
      <c r="I72" s="48"/>
      <c r="J72" s="48"/>
      <c r="K72" s="49"/>
      <c r="L72" s="49"/>
      <c r="M72" s="49"/>
      <c r="N72" s="49"/>
    </row>
    <row r="73" spans="1:14" ht="76.5">
      <c r="A73" s="141" t="s">
        <v>82</v>
      </c>
      <c r="B73" s="142" t="s">
        <v>83</v>
      </c>
      <c r="C73" s="227" t="s">
        <v>84</v>
      </c>
      <c r="D73" s="228" t="s">
        <v>85</v>
      </c>
      <c r="E73" s="171"/>
      <c r="F73" s="178"/>
      <c r="G73" s="166"/>
      <c r="H73" s="170"/>
      <c r="I73" s="48"/>
      <c r="J73" s="48"/>
      <c r="K73" s="49"/>
      <c r="L73" s="49"/>
      <c r="M73" s="49"/>
      <c r="N73" s="49"/>
    </row>
    <row r="74" spans="1:14" ht="12.75">
      <c r="A74" s="145" t="s">
        <v>77</v>
      </c>
      <c r="B74" s="200">
        <v>168633.95</v>
      </c>
      <c r="C74" s="221">
        <f>B74*1.0753</f>
        <v>181332.086435</v>
      </c>
      <c r="D74" s="230">
        <f>B74-C74</f>
        <v>-12698.136434999993</v>
      </c>
      <c r="E74" s="171"/>
      <c r="F74" s="178"/>
      <c r="G74" s="166"/>
      <c r="H74" s="170"/>
      <c r="I74" s="48"/>
      <c r="J74" s="48" t="s">
        <v>30</v>
      </c>
      <c r="K74" s="49"/>
      <c r="L74" s="49"/>
      <c r="M74" s="49"/>
      <c r="N74" s="49"/>
    </row>
    <row r="75" spans="1:14" ht="12.75">
      <c r="A75" s="145" t="s">
        <v>78</v>
      </c>
      <c r="B75" s="200">
        <v>328060.71</v>
      </c>
      <c r="C75" s="221">
        <f>B75*1.0753</f>
        <v>352763.681463</v>
      </c>
      <c r="D75" s="230">
        <f>B75-C75</f>
        <v>-24702.971462999994</v>
      </c>
      <c r="E75" s="171"/>
      <c r="F75" s="178"/>
      <c r="G75" s="166"/>
      <c r="H75" s="170"/>
      <c r="I75" s="48"/>
      <c r="J75" s="48"/>
      <c r="K75" s="49"/>
      <c r="L75" s="49"/>
      <c r="M75" s="49"/>
      <c r="N75" s="49"/>
    </row>
    <row r="76" spans="1:14" ht="12.75">
      <c r="A76" s="145" t="s">
        <v>79</v>
      </c>
      <c r="B76" s="223">
        <v>1422398.09</v>
      </c>
      <c r="C76" s="221">
        <f>C70</f>
        <v>1294460.9898929999</v>
      </c>
      <c r="D76" s="230">
        <f>B76-C76</f>
        <v>127937.10010700021</v>
      </c>
      <c r="E76" s="171"/>
      <c r="F76" s="178"/>
      <c r="G76" s="166"/>
      <c r="H76" s="170"/>
      <c r="I76" s="48"/>
      <c r="J76" s="48"/>
      <c r="K76" s="49"/>
      <c r="L76" s="49"/>
      <c r="M76" s="49"/>
      <c r="N76" s="49"/>
    </row>
    <row r="77" spans="1:14" ht="12.75">
      <c r="A77" s="145" t="s">
        <v>80</v>
      </c>
      <c r="B77" s="223">
        <v>492892.35</v>
      </c>
      <c r="C77" s="221">
        <f>B77*1.0753</f>
        <v>530007.143955</v>
      </c>
      <c r="D77" s="230">
        <f>B77-C77</f>
        <v>-37114.793955</v>
      </c>
      <c r="E77" s="171"/>
      <c r="F77" s="178"/>
      <c r="G77" s="166"/>
      <c r="H77" s="170"/>
      <c r="I77" s="48"/>
      <c r="J77" s="48"/>
      <c r="K77" s="49"/>
      <c r="L77" s="49"/>
      <c r="M77" s="49"/>
      <c r="N77" s="49"/>
    </row>
    <row r="78" spans="1:14" ht="13.5" thickBot="1">
      <c r="A78" s="147" t="s">
        <v>81</v>
      </c>
      <c r="B78" s="148"/>
      <c r="C78" s="231"/>
      <c r="D78" s="232">
        <f>B78-C78</f>
        <v>0</v>
      </c>
      <c r="E78" s="171"/>
      <c r="F78" s="178"/>
      <c r="G78" s="166"/>
      <c r="H78" s="170" t="s">
        <v>30</v>
      </c>
      <c r="I78" s="48"/>
      <c r="J78" s="48"/>
      <c r="K78" s="49"/>
      <c r="L78" s="49"/>
      <c r="M78" s="49"/>
      <c r="N78" s="49"/>
    </row>
    <row r="79" spans="1:14" ht="12.75">
      <c r="A79" s="61"/>
      <c r="B79" s="60"/>
      <c r="C79" s="233"/>
      <c r="D79" s="234"/>
      <c r="E79" s="171"/>
      <c r="F79" s="178"/>
      <c r="G79" s="166"/>
      <c r="H79" s="170"/>
      <c r="I79" s="48"/>
      <c r="J79" s="48"/>
      <c r="K79" s="49"/>
      <c r="L79" s="49"/>
      <c r="M79" s="49"/>
      <c r="N79" s="49"/>
    </row>
    <row r="80" spans="1:14" ht="25.5">
      <c r="A80" s="64" t="s">
        <v>86</v>
      </c>
      <c r="B80" s="60" t="s">
        <v>14</v>
      </c>
      <c r="C80" s="235">
        <v>0</v>
      </c>
      <c r="D80" s="236"/>
      <c r="E80" s="171"/>
      <c r="F80" s="178"/>
      <c r="G80" s="166"/>
      <c r="H80" s="170"/>
      <c r="I80" s="48"/>
      <c r="J80" s="48" t="s">
        <v>30</v>
      </c>
      <c r="K80" s="49"/>
      <c r="L80" s="49"/>
      <c r="M80" s="49"/>
      <c r="N80" s="49"/>
    </row>
    <row r="81" spans="1:14" ht="17.25" customHeight="1">
      <c r="A81" s="330" t="s">
        <v>87</v>
      </c>
      <c r="B81" s="330"/>
      <c r="C81" s="330"/>
      <c r="D81" s="330"/>
      <c r="E81" s="180" t="e">
        <f>D81+B17</f>
        <v>#VALUE!</v>
      </c>
      <c r="F81" s="170"/>
      <c r="G81" s="166"/>
      <c r="H81" s="172" t="e">
        <f>E81-B16</f>
        <v>#VALUE!</v>
      </c>
      <c r="I81" s="48"/>
      <c r="J81" s="48"/>
      <c r="K81" s="49"/>
      <c r="L81" s="49"/>
      <c r="M81" s="49"/>
      <c r="N81" s="49"/>
    </row>
    <row r="82" spans="1:8" ht="21" customHeight="1">
      <c r="A82" s="69" t="s">
        <v>64</v>
      </c>
      <c r="B82" s="69" t="s">
        <v>65</v>
      </c>
      <c r="C82" s="132">
        <v>1</v>
      </c>
      <c r="D82" s="265"/>
      <c r="E82" s="181"/>
      <c r="F82" s="166"/>
      <c r="G82" s="166"/>
      <c r="H82" s="166"/>
    </row>
    <row r="83" spans="1:8" ht="21" customHeight="1">
      <c r="A83" s="69" t="s">
        <v>66</v>
      </c>
      <c r="B83" s="69" t="s">
        <v>65</v>
      </c>
      <c r="C83" s="133">
        <v>1</v>
      </c>
      <c r="D83" s="265"/>
      <c r="E83" s="181"/>
      <c r="F83" s="166"/>
      <c r="G83" s="166"/>
      <c r="H83" s="166"/>
    </row>
    <row r="84" spans="1:14" s="1" customFormat="1" ht="18" customHeight="1">
      <c r="A84" s="69" t="s">
        <v>67</v>
      </c>
      <c r="B84" s="69" t="s">
        <v>65</v>
      </c>
      <c r="C84" s="133">
        <v>0</v>
      </c>
      <c r="D84" s="265"/>
      <c r="E84" s="181"/>
      <c r="F84" s="166"/>
      <c r="G84" s="166"/>
      <c r="H84" s="166"/>
      <c r="K84"/>
      <c r="L84"/>
      <c r="M84"/>
      <c r="N84"/>
    </row>
    <row r="85" spans="1:14" s="1" customFormat="1" ht="16.5" customHeight="1">
      <c r="A85" s="69" t="s">
        <v>68</v>
      </c>
      <c r="B85" s="69" t="s">
        <v>14</v>
      </c>
      <c r="C85" s="133">
        <v>60.66</v>
      </c>
      <c r="D85" s="265"/>
      <c r="E85" s="181"/>
      <c r="F85" s="166"/>
      <c r="G85" s="166"/>
      <c r="H85" s="166"/>
      <c r="K85"/>
      <c r="L85"/>
      <c r="M85"/>
      <c r="N85"/>
    </row>
    <row r="86" spans="1:14" s="1" customFormat="1" ht="15.75" customHeight="1">
      <c r="A86" s="324" t="s">
        <v>88</v>
      </c>
      <c r="B86" s="324"/>
      <c r="C86" s="324"/>
      <c r="D86" s="324"/>
      <c r="E86" s="181"/>
      <c r="F86" s="166"/>
      <c r="G86" s="166"/>
      <c r="H86" s="166"/>
      <c r="K86"/>
      <c r="L86"/>
      <c r="M86"/>
      <c r="N86"/>
    </row>
    <row r="87" spans="1:14" s="1" customFormat="1" ht="18.75" customHeight="1">
      <c r="A87" s="69" t="s">
        <v>89</v>
      </c>
      <c r="B87" s="69" t="s">
        <v>65</v>
      </c>
      <c r="C87" s="133">
        <v>4</v>
      </c>
      <c r="D87" s="265"/>
      <c r="E87" s="181"/>
      <c r="F87" s="166"/>
      <c r="G87" s="166"/>
      <c r="H87" s="166"/>
      <c r="K87"/>
      <c r="L87"/>
      <c r="M87"/>
      <c r="N87"/>
    </row>
    <row r="88" spans="1:14" s="1" customFormat="1" ht="21.75" customHeight="1">
      <c r="A88" s="69" t="s">
        <v>90</v>
      </c>
      <c r="B88" s="40" t="s">
        <v>65</v>
      </c>
      <c r="C88" s="135">
        <v>4</v>
      </c>
      <c r="D88" s="265"/>
      <c r="E88" s="181"/>
      <c r="F88" s="166"/>
      <c r="G88" s="166"/>
      <c r="H88" s="166"/>
      <c r="K88"/>
      <c r="L88"/>
      <c r="M88"/>
      <c r="N88"/>
    </row>
    <row r="89" spans="1:14" s="1" customFormat="1" ht="36" customHeight="1">
      <c r="A89" s="73" t="s">
        <v>91</v>
      </c>
      <c r="B89" s="69" t="s">
        <v>14</v>
      </c>
      <c r="C89" s="133">
        <v>240001</v>
      </c>
      <c r="D89" s="265"/>
      <c r="E89" s="181"/>
      <c r="F89" s="166"/>
      <c r="G89" s="166"/>
      <c r="H89" s="166"/>
      <c r="K89"/>
      <c r="L89"/>
      <c r="M89"/>
      <c r="N89"/>
    </row>
    <row r="90" spans="1:14" s="1" customFormat="1" ht="12.75">
      <c r="A90" s="49"/>
      <c r="B90" s="49"/>
      <c r="C90" s="49"/>
      <c r="D90" s="240"/>
      <c r="E90" s="166"/>
      <c r="F90" s="166"/>
      <c r="G90" s="166"/>
      <c r="H90" s="166"/>
      <c r="K90"/>
      <c r="L90"/>
      <c r="M90"/>
      <c r="N90"/>
    </row>
    <row r="91" spans="1:14" s="1" customFormat="1" ht="12.75">
      <c r="A91" s="183"/>
      <c r="B91" s="183"/>
      <c r="C91" s="183"/>
      <c r="D91" s="183"/>
      <c r="E91" s="166"/>
      <c r="F91" s="166"/>
      <c r="G91" s="166"/>
      <c r="H91" s="166" t="s">
        <v>30</v>
      </c>
      <c r="K91"/>
      <c r="L91"/>
      <c r="M91"/>
      <c r="N91"/>
    </row>
    <row r="92" spans="1:14" s="1" customFormat="1" ht="12.75">
      <c r="A92" s="190" t="s">
        <v>325</v>
      </c>
      <c r="B92" s="183"/>
      <c r="C92" s="183"/>
      <c r="D92" s="183"/>
      <c r="E92" s="166"/>
      <c r="F92" s="166"/>
      <c r="G92" s="166"/>
      <c r="H92" s="166"/>
      <c r="K92"/>
      <c r="L92"/>
      <c r="M92"/>
      <c r="N92"/>
    </row>
    <row r="93" spans="1:14" s="1" customFormat="1" ht="12.75">
      <c r="A93" s="183"/>
      <c r="B93" s="183"/>
      <c r="C93" s="183"/>
      <c r="D93" s="183"/>
      <c r="H93" s="1" t="s">
        <v>30</v>
      </c>
      <c r="K93"/>
      <c r="L93"/>
      <c r="M93"/>
      <c r="N93"/>
    </row>
    <row r="94" spans="1:14" s="1" customFormat="1" ht="12.75">
      <c r="A94" s="183" t="s">
        <v>93</v>
      </c>
      <c r="B94" s="183"/>
      <c r="C94" s="183"/>
      <c r="D94" s="183"/>
      <c r="K94"/>
      <c r="L94"/>
      <c r="M94"/>
      <c r="N94"/>
    </row>
    <row r="95" spans="1:4" ht="12.75">
      <c r="A95" s="183"/>
      <c r="B95" s="183"/>
      <c r="C95" s="183"/>
      <c r="D95" s="183"/>
    </row>
    <row r="96" spans="1:4" ht="12.75">
      <c r="A96" s="183"/>
      <c r="B96" s="183"/>
      <c r="C96" s="183"/>
      <c r="D96" s="183"/>
    </row>
    <row r="97" spans="1:4" ht="12.75">
      <c r="A97" s="183"/>
      <c r="B97" s="183"/>
      <c r="C97" s="183"/>
      <c r="D97" s="183"/>
    </row>
    <row r="98" spans="1:14" s="1" customFormat="1" ht="12.75">
      <c r="A98"/>
      <c r="B98"/>
      <c r="C98"/>
      <c r="D98"/>
      <c r="E98" s="1" t="s">
        <v>30</v>
      </c>
      <c r="K98"/>
      <c r="L98"/>
      <c r="M98"/>
      <c r="N98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2:D12"/>
    <mergeCell ref="A6:D6"/>
    <mergeCell ref="A27:D27"/>
    <mergeCell ref="A54:D54"/>
    <mergeCell ref="A59:D59"/>
    <mergeCell ref="A66:D66"/>
    <mergeCell ref="A81:D81"/>
    <mergeCell ref="A86:D86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="80" zoomScaleNormal="80" zoomScalePageLayoutView="0" workbookViewId="0" topLeftCell="A34">
      <selection activeCell="D40" sqref="D40"/>
    </sheetView>
  </sheetViews>
  <sheetFormatPr defaultColWidth="11.57421875" defaultRowHeight="12.75"/>
  <cols>
    <col min="1" max="1" width="54.00390625" style="0" customWidth="1"/>
    <col min="2" max="2" width="16.57421875" style="0" customWidth="1"/>
    <col min="3" max="3" width="28.421875" style="0" customWidth="1"/>
    <col min="4" max="4" width="13.421875" style="0" customWidth="1"/>
    <col min="5" max="6" width="0" style="1" hidden="1" customWidth="1"/>
    <col min="7" max="7" width="17.00390625" style="1" customWidth="1"/>
    <col min="8" max="8" width="5.28125" style="1" customWidth="1"/>
    <col min="9" max="9" width="30.003906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8">
      <c r="A1" s="341" t="s">
        <v>30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121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ht="3" customHeight="1">
      <c r="A6" s="2"/>
    </row>
    <row r="7" spans="1:7" ht="19.5" customHeight="1">
      <c r="A7" s="346" t="s">
        <v>5</v>
      </c>
      <c r="B7" s="347"/>
      <c r="C7" s="347"/>
      <c r="D7" s="347"/>
      <c r="E7" s="347"/>
      <c r="F7" s="347"/>
      <c r="G7" s="347"/>
    </row>
    <row r="8" spans="1:9" ht="12.75">
      <c r="A8" s="8" t="s">
        <v>193</v>
      </c>
      <c r="B8" s="6">
        <v>2</v>
      </c>
      <c r="C8" s="6">
        <v>3</v>
      </c>
      <c r="D8" s="7">
        <v>4</v>
      </c>
      <c r="G8" s="166"/>
      <c r="H8" s="166"/>
      <c r="I8" s="166"/>
    </row>
    <row r="9" spans="1:9" ht="12.75">
      <c r="A9" s="8" t="s">
        <v>9</v>
      </c>
      <c r="B9" s="9"/>
      <c r="C9" s="185" t="s">
        <v>133</v>
      </c>
      <c r="D9" s="10"/>
      <c r="G9" s="166"/>
      <c r="H9" s="166"/>
      <c r="I9" s="166"/>
    </row>
    <row r="10" spans="1:9" ht="12.75">
      <c r="A10" s="8" t="s">
        <v>10</v>
      </c>
      <c r="B10" s="9"/>
      <c r="C10" s="185" t="s">
        <v>134</v>
      </c>
      <c r="D10" s="10"/>
      <c r="G10" s="166"/>
      <c r="H10" s="166"/>
      <c r="I10" s="166"/>
    </row>
    <row r="11" spans="1:9" ht="12.75">
      <c r="A11" s="8" t="s">
        <v>11</v>
      </c>
      <c r="B11" s="9"/>
      <c r="C11" s="185" t="s">
        <v>135</v>
      </c>
      <c r="D11" s="10"/>
      <c r="G11" s="166"/>
      <c r="H11" s="166"/>
      <c r="I11" s="166"/>
    </row>
    <row r="12" spans="1:9" ht="31.5" customHeight="1">
      <c r="A12" s="335" t="s">
        <v>12</v>
      </c>
      <c r="B12" s="335"/>
      <c r="C12" s="335"/>
      <c r="D12" s="335"/>
      <c r="G12" s="166"/>
      <c r="H12" s="166"/>
      <c r="I12" s="166"/>
    </row>
    <row r="13" spans="1:13" s="1" customFormat="1" ht="33" customHeight="1">
      <c r="A13" s="192" t="s">
        <v>326</v>
      </c>
      <c r="B13" s="12" t="s">
        <v>14</v>
      </c>
      <c r="C13" s="13"/>
      <c r="D13" s="14"/>
      <c r="G13" s="183"/>
      <c r="H13" s="166"/>
      <c r="I13" s="166"/>
      <c r="J13"/>
      <c r="K13"/>
      <c r="L13"/>
      <c r="M13"/>
    </row>
    <row r="14" spans="1:13" s="1" customFormat="1" ht="15">
      <c r="A14" s="192" t="s">
        <v>194</v>
      </c>
      <c r="B14" s="12" t="s">
        <v>14</v>
      </c>
      <c r="C14" s="196">
        <v>-44290.35</v>
      </c>
      <c r="D14" s="14"/>
      <c r="G14" s="183"/>
      <c r="H14" s="166"/>
      <c r="I14" s="166"/>
      <c r="J14"/>
      <c r="K14"/>
      <c r="L14"/>
      <c r="M14"/>
    </row>
    <row r="15" spans="1:13" s="1" customFormat="1" ht="15">
      <c r="A15" s="192" t="s">
        <v>195</v>
      </c>
      <c r="B15" s="12" t="s">
        <v>14</v>
      </c>
      <c r="C15" s="13">
        <v>154849.87</v>
      </c>
      <c r="D15" s="14"/>
      <c r="G15" s="183"/>
      <c r="H15" s="166"/>
      <c r="I15" s="166"/>
      <c r="J15"/>
      <c r="K15"/>
      <c r="L15"/>
      <c r="M15"/>
    </row>
    <row r="16" spans="1:13" s="1" customFormat="1" ht="15">
      <c r="A16" s="8" t="s">
        <v>15</v>
      </c>
      <c r="B16" s="12" t="s">
        <v>14</v>
      </c>
      <c r="C16" s="13">
        <v>0</v>
      </c>
      <c r="D16" s="14"/>
      <c r="G16" s="183"/>
      <c r="H16" s="166"/>
      <c r="I16" s="166"/>
      <c r="J16"/>
      <c r="K16"/>
      <c r="L16"/>
      <c r="M16"/>
    </row>
    <row r="17" spans="1:13" s="1" customFormat="1" ht="15">
      <c r="A17" s="8" t="s">
        <v>16</v>
      </c>
      <c r="B17" s="12" t="s">
        <v>14</v>
      </c>
      <c r="C17" s="15">
        <v>189113.51</v>
      </c>
      <c r="D17" s="16"/>
      <c r="G17" s="183"/>
      <c r="H17" s="166"/>
      <c r="I17" s="166"/>
      <c r="J17"/>
      <c r="K17"/>
      <c r="L17"/>
      <c r="M17"/>
    </row>
    <row r="18" spans="1:13" s="1" customFormat="1" ht="31.5" customHeight="1">
      <c r="A18" s="11" t="s">
        <v>17</v>
      </c>
      <c r="B18" s="12" t="s">
        <v>14</v>
      </c>
      <c r="C18" s="15">
        <f>C19+C20+C21</f>
        <v>1201188.54</v>
      </c>
      <c r="D18" s="16"/>
      <c r="G18" s="198">
        <f>C18-C20</f>
        <v>980590.692</v>
      </c>
      <c r="H18" s="166"/>
      <c r="I18" s="166"/>
      <c r="J18"/>
      <c r="K18"/>
      <c r="L18"/>
      <c r="M18"/>
    </row>
    <row r="19" spans="1:9" ht="15">
      <c r="A19" s="8" t="s">
        <v>18</v>
      </c>
      <c r="B19" s="12" t="s">
        <v>14</v>
      </c>
      <c r="C19" s="15">
        <f>638295.78</f>
        <v>638295.78</v>
      </c>
      <c r="D19" s="16"/>
      <c r="G19" s="167">
        <f>G18-G48</f>
        <v>2313.3540000000503</v>
      </c>
      <c r="H19" s="166"/>
      <c r="I19" s="166"/>
    </row>
    <row r="20" spans="1:9" ht="15">
      <c r="A20" s="8" t="s">
        <v>19</v>
      </c>
      <c r="B20" s="12" t="s">
        <v>14</v>
      </c>
      <c r="C20" s="15">
        <f>(2.76+3.53)*6*5845.2</f>
        <v>220597.84799999997</v>
      </c>
      <c r="D20" s="16"/>
      <c r="G20" s="166"/>
      <c r="H20" s="166"/>
      <c r="I20" s="166"/>
    </row>
    <row r="21" spans="1:9" ht="15">
      <c r="A21" s="8" t="s">
        <v>20</v>
      </c>
      <c r="B21" s="12" t="s">
        <v>14</v>
      </c>
      <c r="C21" s="15">
        <f>4.88*12*5845.2</f>
        <v>342294.912</v>
      </c>
      <c r="D21" s="16"/>
      <c r="G21" s="166"/>
      <c r="H21" s="166"/>
      <c r="I21" s="166"/>
    </row>
    <row r="22" spans="1:9" ht="15">
      <c r="A22" s="8" t="s">
        <v>21</v>
      </c>
      <c r="B22" s="12" t="s">
        <v>14</v>
      </c>
      <c r="C22" s="15">
        <f>C23+C26+C27</f>
        <v>1283491.7161060001</v>
      </c>
      <c r="D22" s="16" t="s">
        <v>22</v>
      </c>
      <c r="G22" s="183"/>
      <c r="H22" s="166"/>
      <c r="I22" s="166"/>
    </row>
    <row r="23" spans="1:9" ht="15">
      <c r="A23" s="8" t="s">
        <v>23</v>
      </c>
      <c r="B23" s="12" t="s">
        <v>14</v>
      </c>
      <c r="C23" s="15">
        <f>C18*1.0239</f>
        <v>1229896.946106</v>
      </c>
      <c r="D23" s="16"/>
      <c r="G23" s="183"/>
      <c r="H23" s="166"/>
      <c r="I23" s="166"/>
    </row>
    <row r="24" spans="1:9" ht="15">
      <c r="A24" s="8" t="s">
        <v>24</v>
      </c>
      <c r="B24" s="12" t="s">
        <v>14</v>
      </c>
      <c r="C24" s="15">
        <v>0</v>
      </c>
      <c r="D24" s="16"/>
      <c r="G24" s="183"/>
      <c r="H24" s="166"/>
      <c r="I24" s="166"/>
    </row>
    <row r="25" spans="1:9" ht="15">
      <c r="A25" s="8" t="s">
        <v>26</v>
      </c>
      <c r="B25" s="12" t="s">
        <v>14</v>
      </c>
      <c r="C25" s="15">
        <v>0</v>
      </c>
      <c r="D25" s="16"/>
      <c r="G25" s="183"/>
      <c r="H25" s="166"/>
      <c r="I25" s="166"/>
    </row>
    <row r="26" spans="1:9" ht="15">
      <c r="A26" s="9" t="s">
        <v>27</v>
      </c>
      <c r="B26" s="12" t="s">
        <v>14</v>
      </c>
      <c r="C26" s="15">
        <v>20357.28</v>
      </c>
      <c r="D26" s="16"/>
      <c r="G26" s="166"/>
      <c r="H26" s="166"/>
      <c r="I26" s="166"/>
    </row>
    <row r="27" spans="1:9" ht="15">
      <c r="A27" s="9" t="s">
        <v>28</v>
      </c>
      <c r="B27" s="12" t="s">
        <v>14</v>
      </c>
      <c r="C27" s="15">
        <v>33237.49</v>
      </c>
      <c r="D27" s="16"/>
      <c r="G27" s="166"/>
      <c r="H27" s="166"/>
      <c r="I27" s="166"/>
    </row>
    <row r="28" spans="1:9" ht="15">
      <c r="A28" s="8" t="s">
        <v>29</v>
      </c>
      <c r="B28" s="12" t="s">
        <v>14</v>
      </c>
      <c r="C28" s="15">
        <f>C14+C15+C22</f>
        <v>1394051.2361060001</v>
      </c>
      <c r="D28" s="16" t="s">
        <v>30</v>
      </c>
      <c r="G28" s="166"/>
      <c r="H28" s="166"/>
      <c r="I28" s="166"/>
    </row>
    <row r="29" spans="1:9" ht="35.25" customHeight="1">
      <c r="A29" s="338" t="s">
        <v>31</v>
      </c>
      <c r="B29" s="338"/>
      <c r="C29" s="338"/>
      <c r="D29" s="338"/>
      <c r="G29" s="170"/>
      <c r="H29" s="166"/>
      <c r="I29" s="166"/>
    </row>
    <row r="30" spans="1:9" ht="75">
      <c r="A30" s="35" t="s">
        <v>32</v>
      </c>
      <c r="B30" s="26" t="s">
        <v>33</v>
      </c>
      <c r="C30" s="108" t="s">
        <v>34</v>
      </c>
      <c r="D30" s="109" t="s">
        <v>35</v>
      </c>
      <c r="G30" s="317" t="s">
        <v>204</v>
      </c>
      <c r="H30" s="166"/>
      <c r="I30" s="166"/>
    </row>
    <row r="31" spans="1:9" ht="31.5" customHeight="1">
      <c r="A31" s="33" t="s">
        <v>108</v>
      </c>
      <c r="B31" s="22" t="s">
        <v>37</v>
      </c>
      <c r="C31" s="29" t="s">
        <v>38</v>
      </c>
      <c r="D31" s="16">
        <f>(0.4+0.39)*6*5845.2</f>
        <v>27706.248</v>
      </c>
      <c r="G31" s="318" t="s">
        <v>205</v>
      </c>
      <c r="H31" s="166"/>
      <c r="I31" s="166"/>
    </row>
    <row r="32" spans="1:9" ht="15">
      <c r="A32" s="33" t="s">
        <v>96</v>
      </c>
      <c r="B32" s="22" t="s">
        <v>40</v>
      </c>
      <c r="C32" s="23" t="s">
        <v>41</v>
      </c>
      <c r="D32" s="16">
        <f>(2.45+2.34)*6*5845.2</f>
        <v>167991.048</v>
      </c>
      <c r="G32" s="318" t="s">
        <v>206</v>
      </c>
      <c r="H32" s="166"/>
      <c r="I32" s="166"/>
    </row>
    <row r="33" spans="1:13" s="1" customFormat="1" ht="15">
      <c r="A33" s="33" t="s">
        <v>42</v>
      </c>
      <c r="B33" s="22" t="s">
        <v>43</v>
      </c>
      <c r="C33" s="23" t="s">
        <v>44</v>
      </c>
      <c r="D33" s="16">
        <f>(3.03+3)*6*5845.2</f>
        <v>211479.33599999995</v>
      </c>
      <c r="G33" s="318" t="s">
        <v>207</v>
      </c>
      <c r="H33" s="166"/>
      <c r="I33" s="166"/>
      <c r="J33"/>
      <c r="K33"/>
      <c r="L33"/>
      <c r="M33"/>
    </row>
    <row r="34" spans="1:13" s="1" customFormat="1" ht="15">
      <c r="A34" s="33" t="s">
        <v>109</v>
      </c>
      <c r="B34" s="22" t="s">
        <v>37</v>
      </c>
      <c r="C34" s="23" t="s">
        <v>46</v>
      </c>
      <c r="D34" s="16">
        <f>(0.21+0.2)*6*5845.2</f>
        <v>14379.192</v>
      </c>
      <c r="G34" s="318" t="s">
        <v>208</v>
      </c>
      <c r="H34" s="166"/>
      <c r="I34" s="166"/>
      <c r="J34"/>
      <c r="K34"/>
      <c r="L34"/>
      <c r="M34"/>
    </row>
    <row r="35" spans="1:13" s="1" customFormat="1" ht="15">
      <c r="A35" s="33" t="s">
        <v>118</v>
      </c>
      <c r="B35" s="22" t="s">
        <v>48</v>
      </c>
      <c r="C35" s="23" t="s">
        <v>49</v>
      </c>
      <c r="D35" s="16">
        <f>(0.55+0.53)*6*5845.2</f>
        <v>37876.896</v>
      </c>
      <c r="G35" s="318" t="s">
        <v>209</v>
      </c>
      <c r="H35" s="166"/>
      <c r="I35" s="166"/>
      <c r="J35"/>
      <c r="K35"/>
      <c r="L35"/>
      <c r="M35"/>
    </row>
    <row r="36" spans="1:13" s="1" customFormat="1" ht="15">
      <c r="A36" s="33" t="s">
        <v>98</v>
      </c>
      <c r="B36" s="22" t="s">
        <v>37</v>
      </c>
      <c r="C36" s="23" t="s">
        <v>49</v>
      </c>
      <c r="D36" s="16">
        <f>(1.14+1.09)*6*5845.2</f>
        <v>78208.776</v>
      </c>
      <c r="G36" s="318" t="s">
        <v>210</v>
      </c>
      <c r="H36" s="166"/>
      <c r="I36" s="166"/>
      <c r="J36"/>
      <c r="K36"/>
      <c r="L36"/>
      <c r="M36"/>
    </row>
    <row r="37" spans="1:13" s="1" customFormat="1" ht="15">
      <c r="A37" s="33" t="s">
        <v>51</v>
      </c>
      <c r="B37" s="22" t="s">
        <v>52</v>
      </c>
      <c r="C37" s="23" t="s">
        <v>49</v>
      </c>
      <c r="D37" s="16">
        <f>(1.33+1.27)*6*5845.2</f>
        <v>91185.12000000001</v>
      </c>
      <c r="G37" s="318" t="s">
        <v>211</v>
      </c>
      <c r="H37" s="166"/>
      <c r="I37" s="166"/>
      <c r="J37"/>
      <c r="K37"/>
      <c r="L37"/>
      <c r="M37"/>
    </row>
    <row r="38" spans="1:13" s="1" customFormat="1" ht="45">
      <c r="A38" s="33" t="s">
        <v>114</v>
      </c>
      <c r="B38" s="22" t="s">
        <v>102</v>
      </c>
      <c r="C38" s="29" t="s">
        <v>103</v>
      </c>
      <c r="D38" s="16">
        <v>7155.81</v>
      </c>
      <c r="G38" s="319" t="s">
        <v>212</v>
      </c>
      <c r="H38" s="166"/>
      <c r="I38" s="166"/>
      <c r="J38"/>
      <c r="K38"/>
      <c r="L38"/>
      <c r="M38"/>
    </row>
    <row r="39" spans="1:13" s="1" customFormat="1" ht="15">
      <c r="A39" s="33" t="s">
        <v>111</v>
      </c>
      <c r="B39" s="22" t="s">
        <v>43</v>
      </c>
      <c r="C39" s="27" t="s">
        <v>54</v>
      </c>
      <c r="D39" s="16">
        <f>4.88*5845.2*12</f>
        <v>342294.91199999995</v>
      </c>
      <c r="G39" s="319">
        <v>4.88</v>
      </c>
      <c r="H39" s="166"/>
      <c r="I39" s="166"/>
      <c r="J39"/>
      <c r="K39"/>
      <c r="L39"/>
      <c r="M39"/>
    </row>
    <row r="40" spans="1:13" s="1" customFormat="1" ht="46.5" customHeight="1">
      <c r="A40" s="189" t="s">
        <v>342</v>
      </c>
      <c r="B40" s="28" t="s">
        <v>60</v>
      </c>
      <c r="C40" s="116"/>
      <c r="D40" s="352">
        <v>29661.53</v>
      </c>
      <c r="G40" s="170"/>
      <c r="H40" s="166"/>
      <c r="I40" s="166"/>
      <c r="J40"/>
      <c r="K40"/>
      <c r="L40"/>
      <c r="M40"/>
    </row>
    <row r="41" spans="1:13" s="1" customFormat="1" ht="17.25" customHeight="1">
      <c r="A41" s="188" t="s">
        <v>196</v>
      </c>
      <c r="B41" s="28"/>
      <c r="C41" s="23" t="s">
        <v>49</v>
      </c>
      <c r="D41" s="111">
        <v>4074</v>
      </c>
      <c r="G41" s="166"/>
      <c r="H41" s="166"/>
      <c r="I41" s="166"/>
      <c r="J41"/>
      <c r="K41"/>
      <c r="L41"/>
      <c r="M41"/>
    </row>
    <row r="42" spans="1:13" s="1" customFormat="1" ht="14.25" customHeight="1">
      <c r="A42" s="188" t="s">
        <v>197</v>
      </c>
      <c r="B42" s="28"/>
      <c r="C42" s="23" t="s">
        <v>41</v>
      </c>
      <c r="D42" s="111">
        <v>507.81</v>
      </c>
      <c r="G42" s="166"/>
      <c r="H42" s="166"/>
      <c r="I42" s="166"/>
      <c r="J42"/>
      <c r="K42"/>
      <c r="L42"/>
      <c r="M42"/>
    </row>
    <row r="43" spans="1:13" s="1" customFormat="1" ht="16.5" customHeight="1">
      <c r="A43" s="188" t="s">
        <v>203</v>
      </c>
      <c r="B43" s="28"/>
      <c r="C43" s="23" t="s">
        <v>41</v>
      </c>
      <c r="D43" s="111">
        <v>1745.76</v>
      </c>
      <c r="G43" s="166"/>
      <c r="H43" s="166"/>
      <c r="I43" s="166"/>
      <c r="J43"/>
      <c r="K43"/>
      <c r="L43"/>
      <c r="M43"/>
    </row>
    <row r="44" spans="1:13" s="1" customFormat="1" ht="17.25" customHeight="1">
      <c r="A44" s="188" t="s">
        <v>198</v>
      </c>
      <c r="B44" s="28"/>
      <c r="C44" s="23" t="s">
        <v>49</v>
      </c>
      <c r="D44" s="111">
        <v>1208</v>
      </c>
      <c r="G44" s="166"/>
      <c r="H44" s="166"/>
      <c r="I44" s="166"/>
      <c r="J44"/>
      <c r="K44"/>
      <c r="L44"/>
      <c r="M44"/>
    </row>
    <row r="45" spans="1:13" s="1" customFormat="1" ht="16.5" customHeight="1">
      <c r="A45" s="188" t="s">
        <v>199</v>
      </c>
      <c r="B45" s="28"/>
      <c r="C45" s="116" t="s">
        <v>186</v>
      </c>
      <c r="D45" s="111">
        <v>16890.96</v>
      </c>
      <c r="G45" s="166"/>
      <c r="H45" s="166"/>
      <c r="I45" s="166"/>
      <c r="J45"/>
      <c r="K45"/>
      <c r="L45"/>
      <c r="M45"/>
    </row>
    <row r="46" spans="1:13" s="1" customFormat="1" ht="15.75" customHeight="1">
      <c r="A46" s="188" t="s">
        <v>200</v>
      </c>
      <c r="B46" s="28"/>
      <c r="C46" s="23" t="s">
        <v>49</v>
      </c>
      <c r="D46" s="111">
        <v>1235</v>
      </c>
      <c r="G46" s="166"/>
      <c r="H46" s="166"/>
      <c r="I46" s="166"/>
      <c r="J46"/>
      <c r="K46"/>
      <c r="L46"/>
      <c r="M46"/>
    </row>
    <row r="47" spans="1:13" s="1" customFormat="1" ht="32.25" customHeight="1">
      <c r="A47" s="188" t="s">
        <v>201</v>
      </c>
      <c r="B47" s="28"/>
      <c r="C47" s="116" t="s">
        <v>202</v>
      </c>
      <c r="D47" s="111">
        <v>4000</v>
      </c>
      <c r="G47" s="166"/>
      <c r="H47" s="166"/>
      <c r="I47" s="166"/>
      <c r="J47"/>
      <c r="K47"/>
      <c r="L47"/>
      <c r="M47"/>
    </row>
    <row r="48" spans="1:13" s="1" customFormat="1" ht="19.5" customHeight="1">
      <c r="A48" s="112" t="s">
        <v>61</v>
      </c>
      <c r="B48" s="22"/>
      <c r="C48" s="23"/>
      <c r="D48" s="16">
        <f>SUM(D31:D40)</f>
        <v>1007938.868</v>
      </c>
      <c r="G48" s="198">
        <f>D48-D40</f>
        <v>978277.338</v>
      </c>
      <c r="H48" s="166"/>
      <c r="I48" s="166"/>
      <c r="J48"/>
      <c r="K48"/>
      <c r="L48"/>
      <c r="M48"/>
    </row>
    <row r="49" spans="1:13" s="1" customFormat="1" ht="25.5">
      <c r="A49" s="320" t="s">
        <v>62</v>
      </c>
      <c r="B49" s="34" t="s">
        <v>14</v>
      </c>
      <c r="C49" s="23"/>
      <c r="D49" s="16">
        <f>(C20*1.0239)+C14+C15+C26+C27-D40+2313.35</f>
        <v>362676.24656719994</v>
      </c>
      <c r="G49" s="166"/>
      <c r="H49" s="166"/>
      <c r="I49" s="166"/>
      <c r="J49"/>
      <c r="K49"/>
      <c r="L49"/>
      <c r="M49"/>
    </row>
    <row r="50" spans="1:13" s="1" customFormat="1" ht="15">
      <c r="A50" s="194" t="s">
        <v>249</v>
      </c>
      <c r="B50" s="34"/>
      <c r="C50" s="23"/>
      <c r="D50" s="193">
        <v>154849.87</v>
      </c>
      <c r="G50" s="166"/>
      <c r="H50" s="166"/>
      <c r="I50" s="166"/>
      <c r="J50"/>
      <c r="K50"/>
      <c r="L50"/>
      <c r="M50"/>
    </row>
    <row r="51" spans="1:9" ht="15">
      <c r="A51" s="33" t="s">
        <v>15</v>
      </c>
      <c r="B51" s="34" t="s">
        <v>14</v>
      </c>
      <c r="C51" s="23"/>
      <c r="D51" s="14">
        <v>0</v>
      </c>
      <c r="G51" s="166"/>
      <c r="H51" s="166"/>
      <c r="I51" s="166"/>
    </row>
    <row r="52" spans="1:9" ht="15">
      <c r="A52" s="33" t="s">
        <v>16</v>
      </c>
      <c r="B52" s="34" t="s">
        <v>14</v>
      </c>
      <c r="C52" s="23"/>
      <c r="D52" s="16">
        <f>C17+C18-C23</f>
        <v>160405.10389399994</v>
      </c>
      <c r="G52" s="166"/>
      <c r="H52" s="166"/>
      <c r="I52" s="166"/>
    </row>
    <row r="53" spans="1:9" ht="24" customHeight="1">
      <c r="A53" s="337" t="s">
        <v>63</v>
      </c>
      <c r="B53" s="337"/>
      <c r="C53" s="337"/>
      <c r="D53" s="337"/>
      <c r="G53" s="166"/>
      <c r="H53" s="166"/>
      <c r="I53" s="166"/>
    </row>
    <row r="54" spans="1:9" ht="15">
      <c r="A54" s="33" t="s">
        <v>64</v>
      </c>
      <c r="B54" s="22" t="s">
        <v>65</v>
      </c>
      <c r="C54" s="23">
        <v>0</v>
      </c>
      <c r="D54" s="14">
        <v>0</v>
      </c>
      <c r="G54" s="166"/>
      <c r="H54" s="166"/>
      <c r="I54" s="166"/>
    </row>
    <row r="55" spans="1:9" ht="15">
      <c r="A55" s="33" t="s">
        <v>66</v>
      </c>
      <c r="B55" s="22" t="s">
        <v>65</v>
      </c>
      <c r="C55" s="23">
        <v>0</v>
      </c>
      <c r="D55" s="14">
        <v>0</v>
      </c>
      <c r="G55" s="166"/>
      <c r="H55" s="166"/>
      <c r="I55" s="166"/>
    </row>
    <row r="56" spans="1:9" ht="15">
      <c r="A56" s="35" t="s">
        <v>67</v>
      </c>
      <c r="B56" s="22" t="s">
        <v>65</v>
      </c>
      <c r="C56" s="23">
        <v>0</v>
      </c>
      <c r="D56" s="14">
        <v>0</v>
      </c>
      <c r="G56" s="166"/>
      <c r="H56" s="166"/>
      <c r="I56" s="166"/>
    </row>
    <row r="57" spans="1:9" ht="15">
      <c r="A57" s="33" t="s">
        <v>68</v>
      </c>
      <c r="B57" s="22" t="s">
        <v>14</v>
      </c>
      <c r="C57" s="23">
        <v>0</v>
      </c>
      <c r="D57" s="14">
        <v>0</v>
      </c>
      <c r="G57" s="166"/>
      <c r="H57" s="166"/>
      <c r="I57" s="166"/>
    </row>
    <row r="58" spans="1:9" ht="20.25" customHeight="1">
      <c r="A58" s="338" t="s">
        <v>69</v>
      </c>
      <c r="B58" s="338"/>
      <c r="C58" s="338"/>
      <c r="D58" s="338"/>
      <c r="G58" s="166"/>
      <c r="H58" s="166"/>
      <c r="I58" s="166"/>
    </row>
    <row r="59" spans="1:9" ht="25.5">
      <c r="A59" s="35" t="s">
        <v>70</v>
      </c>
      <c r="B59" s="22" t="s">
        <v>14</v>
      </c>
      <c r="C59" s="23"/>
      <c r="D59" s="23">
        <v>0</v>
      </c>
      <c r="G59" s="166"/>
      <c r="H59" s="166"/>
      <c r="I59" s="166"/>
    </row>
    <row r="60" spans="1:9" ht="15">
      <c r="A60" s="33" t="s">
        <v>15</v>
      </c>
      <c r="B60" s="22" t="s">
        <v>14</v>
      </c>
      <c r="C60" s="23"/>
      <c r="D60" s="23">
        <v>0</v>
      </c>
      <c r="G60" s="166"/>
      <c r="H60" s="166"/>
      <c r="I60" s="166"/>
    </row>
    <row r="61" spans="1:9" ht="15">
      <c r="A61" s="33" t="s">
        <v>16</v>
      </c>
      <c r="B61" s="22" t="s">
        <v>14</v>
      </c>
      <c r="C61" s="23"/>
      <c r="D61" s="23">
        <v>384208.17</v>
      </c>
      <c r="G61" s="168"/>
      <c r="H61" s="166"/>
      <c r="I61" s="166"/>
    </row>
    <row r="62" spans="1:9" ht="15">
      <c r="A62" s="97" t="s">
        <v>115</v>
      </c>
      <c r="B62" s="22" t="s">
        <v>14</v>
      </c>
      <c r="C62" s="115"/>
      <c r="D62" s="115">
        <v>0</v>
      </c>
      <c r="G62" s="166"/>
      <c r="H62" s="166"/>
      <c r="I62" s="166"/>
    </row>
    <row r="63" spans="1:9" ht="17.25" customHeight="1">
      <c r="A63" s="40" t="s">
        <v>15</v>
      </c>
      <c r="B63" s="22" t="s">
        <v>14</v>
      </c>
      <c r="C63" s="23"/>
      <c r="D63" s="23">
        <v>0</v>
      </c>
      <c r="G63" s="166"/>
      <c r="H63" s="168"/>
      <c r="I63" s="168"/>
    </row>
    <row r="64" spans="1:13" ht="15">
      <c r="A64" s="41" t="s">
        <v>16</v>
      </c>
      <c r="B64" s="22" t="s">
        <v>14</v>
      </c>
      <c r="C64" s="42"/>
      <c r="D64" s="42">
        <f>D61+D67+D68+D69+D70</f>
        <v>314885.13374499994</v>
      </c>
      <c r="G64" s="166" t="s">
        <v>30</v>
      </c>
      <c r="H64" s="169"/>
      <c r="I64" s="169"/>
      <c r="J64" s="44"/>
      <c r="K64" s="44"/>
      <c r="L64" s="44"/>
      <c r="M64" s="44"/>
    </row>
    <row r="65" spans="1:13" ht="18" customHeight="1" thickBot="1">
      <c r="A65" s="339" t="s">
        <v>72</v>
      </c>
      <c r="B65" s="339"/>
      <c r="C65" s="339"/>
      <c r="D65" s="339"/>
      <c r="E65" s="46"/>
      <c r="F65" s="47"/>
      <c r="G65" s="166"/>
      <c r="H65" s="170"/>
      <c r="I65" s="170"/>
      <c r="J65" s="49"/>
      <c r="K65" s="49"/>
      <c r="L65" s="49"/>
      <c r="M65" s="49"/>
    </row>
    <row r="66" spans="1:13" ht="63.75">
      <c r="A66" s="321" t="s">
        <v>73</v>
      </c>
      <c r="B66" s="51" t="s">
        <v>74</v>
      </c>
      <c r="C66" s="219" t="s">
        <v>75</v>
      </c>
      <c r="D66" s="220" t="s">
        <v>116</v>
      </c>
      <c r="E66" s="46"/>
      <c r="F66" s="47"/>
      <c r="G66" s="166"/>
      <c r="H66" s="170"/>
      <c r="I66" s="170"/>
      <c r="J66" s="49"/>
      <c r="K66" s="49"/>
      <c r="L66" s="49"/>
      <c r="M66" s="49"/>
    </row>
    <row r="67" spans="1:13" ht="15">
      <c r="A67" s="55" t="s">
        <v>77</v>
      </c>
      <c r="B67" s="13">
        <v>260282.79</v>
      </c>
      <c r="C67" s="56">
        <f>B67*1.0239</f>
        <v>266503.548681</v>
      </c>
      <c r="D67" s="57">
        <f>B67-C67</f>
        <v>-6220.758681000007</v>
      </c>
      <c r="E67" s="46"/>
      <c r="F67" s="47"/>
      <c r="G67" s="166"/>
      <c r="H67" s="170"/>
      <c r="I67" s="170"/>
      <c r="J67" s="49"/>
      <c r="K67" s="49"/>
      <c r="L67" s="49"/>
      <c r="M67" s="49"/>
    </row>
    <row r="68" spans="1:13" ht="15">
      <c r="A68" s="55" t="s">
        <v>78</v>
      </c>
      <c r="B68" s="13">
        <v>458548.13</v>
      </c>
      <c r="C68" s="56">
        <f>B68*1.0239</f>
        <v>469507.430307</v>
      </c>
      <c r="D68" s="57">
        <f>B68-C68</f>
        <v>-10959.300306999998</v>
      </c>
      <c r="E68" s="46"/>
      <c r="F68" s="47"/>
      <c r="G68" s="166"/>
      <c r="H68" s="170"/>
      <c r="I68" s="170"/>
      <c r="J68" s="49"/>
      <c r="K68" s="49"/>
      <c r="L68" s="49"/>
      <c r="M68" s="49"/>
    </row>
    <row r="69" spans="1:13" ht="15">
      <c r="A69" s="55" t="s">
        <v>79</v>
      </c>
      <c r="B69" s="99">
        <v>1575322.94</v>
      </c>
      <c r="C69" s="56">
        <f>B69*1.0239</f>
        <v>1612973.158266</v>
      </c>
      <c r="D69" s="57">
        <f>B69-C69</f>
        <v>-37650.21826600004</v>
      </c>
      <c r="E69" s="58"/>
      <c r="F69" s="59"/>
      <c r="G69" s="171"/>
      <c r="H69" s="170"/>
      <c r="I69" s="170"/>
      <c r="J69" s="49"/>
      <c r="K69" s="49"/>
      <c r="L69" s="49"/>
      <c r="M69" s="49"/>
    </row>
    <row r="70" spans="1:13" ht="15">
      <c r="A70" s="55" t="s">
        <v>80</v>
      </c>
      <c r="B70" s="99">
        <v>606391.59</v>
      </c>
      <c r="C70" s="56">
        <f>B70*1.0239</f>
        <v>620884.3490009999</v>
      </c>
      <c r="D70" s="57">
        <f>B70-C70</f>
        <v>-14492.75900099997</v>
      </c>
      <c r="E70" s="58"/>
      <c r="F70" s="59"/>
      <c r="G70" s="166"/>
      <c r="H70" s="170"/>
      <c r="I70" s="170"/>
      <c r="J70" s="49"/>
      <c r="K70" s="49"/>
      <c r="L70" s="49"/>
      <c r="M70" s="49"/>
    </row>
    <row r="71" spans="1:13" ht="15.75" thickBot="1">
      <c r="A71" s="137" t="s">
        <v>81</v>
      </c>
      <c r="B71" s="138">
        <v>0</v>
      </c>
      <c r="C71" s="139">
        <f>B71*0.9815</f>
        <v>0</v>
      </c>
      <c r="D71" s="140">
        <v>0</v>
      </c>
      <c r="E71" s="58"/>
      <c r="F71" s="59"/>
      <c r="G71" s="166"/>
      <c r="H71" s="170"/>
      <c r="I71" s="170"/>
      <c r="J71" s="49"/>
      <c r="K71" s="49"/>
      <c r="L71" s="49"/>
      <c r="M71" s="49"/>
    </row>
    <row r="72" spans="1:13" ht="89.25">
      <c r="A72" s="141" t="s">
        <v>82</v>
      </c>
      <c r="B72" s="142" t="s">
        <v>83</v>
      </c>
      <c r="C72" s="227" t="s">
        <v>84</v>
      </c>
      <c r="D72" s="228" t="s">
        <v>85</v>
      </c>
      <c r="E72" s="136"/>
      <c r="G72" s="170"/>
      <c r="H72" s="170"/>
      <c r="I72" s="170"/>
      <c r="J72" s="49"/>
      <c r="K72" s="49"/>
      <c r="L72" s="49"/>
      <c r="M72" s="49"/>
    </row>
    <row r="73" spans="1:13" ht="15">
      <c r="A73" s="145" t="s">
        <v>77</v>
      </c>
      <c r="B73" s="113">
        <f>B67</f>
        <v>260282.79</v>
      </c>
      <c r="C73" s="114">
        <f>C67</f>
        <v>266503.548681</v>
      </c>
      <c r="D73" s="146">
        <f>B73-C73</f>
        <v>-6220.758681000007</v>
      </c>
      <c r="E73" s="136"/>
      <c r="G73" s="170"/>
      <c r="H73" s="170"/>
      <c r="I73" s="170" t="s">
        <v>30</v>
      </c>
      <c r="J73" s="49"/>
      <c r="K73" s="49"/>
      <c r="L73" s="49"/>
      <c r="M73" s="49"/>
    </row>
    <row r="74" spans="1:13" ht="15">
      <c r="A74" s="145" t="s">
        <v>78</v>
      </c>
      <c r="B74" s="113">
        <f>B68</f>
        <v>458548.13</v>
      </c>
      <c r="C74" s="114">
        <f>C68</f>
        <v>469507.430307</v>
      </c>
      <c r="D74" s="146">
        <f>B74-C74</f>
        <v>-10959.300306999998</v>
      </c>
      <c r="E74" s="136"/>
      <c r="G74" s="170"/>
      <c r="H74" s="170"/>
      <c r="I74" s="170"/>
      <c r="J74" s="49"/>
      <c r="K74" s="49"/>
      <c r="L74" s="49"/>
      <c r="M74" s="49"/>
    </row>
    <row r="75" spans="1:13" ht="15">
      <c r="A75" s="145" t="s">
        <v>79</v>
      </c>
      <c r="B75" s="113">
        <v>1714947.05</v>
      </c>
      <c r="C75" s="114">
        <v>1612973.16</v>
      </c>
      <c r="D75" s="146">
        <f>B75-C75</f>
        <v>101973.89000000013</v>
      </c>
      <c r="E75" s="136"/>
      <c r="G75" s="170"/>
      <c r="H75" s="170"/>
      <c r="I75" s="170"/>
      <c r="J75" s="49"/>
      <c r="K75" s="49"/>
      <c r="L75" s="49"/>
      <c r="M75" s="49"/>
    </row>
    <row r="76" spans="1:13" ht="15">
      <c r="A76" s="145" t="s">
        <v>80</v>
      </c>
      <c r="B76" s="113">
        <f>B70</f>
        <v>606391.59</v>
      </c>
      <c r="C76" s="114">
        <f>C70</f>
        <v>620884.3490009999</v>
      </c>
      <c r="D76" s="146">
        <f>B76-C76</f>
        <v>-14492.75900099997</v>
      </c>
      <c r="E76" s="136"/>
      <c r="G76" s="170"/>
      <c r="H76" s="170"/>
      <c r="I76" s="170"/>
      <c r="J76" s="49"/>
      <c r="K76" s="49"/>
      <c r="L76" s="49"/>
      <c r="M76" s="49"/>
    </row>
    <row r="77" spans="1:13" ht="15.75" thickBot="1">
      <c r="A77" s="147" t="s">
        <v>81</v>
      </c>
      <c r="B77" s="148"/>
      <c r="C77" s="149"/>
      <c r="D77" s="150">
        <f>B77-C77</f>
        <v>0</v>
      </c>
      <c r="E77" s="136"/>
      <c r="G77" s="170" t="s">
        <v>30</v>
      </c>
      <c r="H77" s="170"/>
      <c r="I77" s="170"/>
      <c r="J77" s="49"/>
      <c r="K77" s="49"/>
      <c r="L77" s="49"/>
      <c r="M77" s="49"/>
    </row>
    <row r="78" spans="1:13" ht="15">
      <c r="A78" s="61"/>
      <c r="B78" s="60"/>
      <c r="C78" s="62"/>
      <c r="D78" s="63"/>
      <c r="E78" s="58"/>
      <c r="G78" s="170"/>
      <c r="H78" s="170"/>
      <c r="I78" s="170"/>
      <c r="J78" s="49"/>
      <c r="K78" s="49"/>
      <c r="L78" s="49"/>
      <c r="M78" s="49"/>
    </row>
    <row r="79" spans="1:13" ht="25.5">
      <c r="A79" s="64" t="s">
        <v>86</v>
      </c>
      <c r="B79" s="60" t="s">
        <v>14</v>
      </c>
      <c r="C79" s="65"/>
      <c r="D79" s="66">
        <v>0</v>
      </c>
      <c r="E79" s="58"/>
      <c r="G79" s="170"/>
      <c r="H79" s="170"/>
      <c r="I79" s="170" t="s">
        <v>30</v>
      </c>
      <c r="J79" s="49"/>
      <c r="K79" s="49"/>
      <c r="L79" s="49"/>
      <c r="M79" s="49"/>
    </row>
    <row r="80" spans="1:13" ht="17.25" customHeight="1">
      <c r="A80" s="345" t="s">
        <v>87</v>
      </c>
      <c r="B80" s="345"/>
      <c r="C80" s="345"/>
      <c r="D80" s="345"/>
      <c r="E80" s="48"/>
      <c r="G80" s="172" t="e">
        <f>#REF!-B18</f>
        <v>#REF!</v>
      </c>
      <c r="H80" s="170"/>
      <c r="I80" s="170"/>
      <c r="J80" s="49"/>
      <c r="K80" s="49"/>
      <c r="L80" s="49"/>
      <c r="M80" s="49"/>
    </row>
    <row r="81" spans="1:9" ht="21" customHeight="1">
      <c r="A81" s="69" t="s">
        <v>64</v>
      </c>
      <c r="B81" s="69" t="s">
        <v>65</v>
      </c>
      <c r="C81" s="70">
        <v>0</v>
      </c>
      <c r="D81" s="71"/>
      <c r="G81" s="166"/>
      <c r="H81" s="166"/>
      <c r="I81" s="166"/>
    </row>
    <row r="82" spans="1:9" ht="21" customHeight="1">
      <c r="A82" s="69" t="s">
        <v>66</v>
      </c>
      <c r="B82" s="69" t="s">
        <v>65</v>
      </c>
      <c r="C82" s="69">
        <v>0</v>
      </c>
      <c r="D82" s="71"/>
      <c r="G82" s="166"/>
      <c r="H82" s="166"/>
      <c r="I82" s="166"/>
    </row>
    <row r="83" spans="1:13" s="1" customFormat="1" ht="18" customHeight="1">
      <c r="A83" s="69" t="s">
        <v>67</v>
      </c>
      <c r="B83" s="69" t="s">
        <v>65</v>
      </c>
      <c r="C83" s="69">
        <v>0</v>
      </c>
      <c r="D83" s="71"/>
      <c r="G83" s="166"/>
      <c r="H83" s="166"/>
      <c r="I83" s="166"/>
      <c r="J83"/>
      <c r="K83"/>
      <c r="L83"/>
      <c r="M83"/>
    </row>
    <row r="84" spans="1:13" s="1" customFormat="1" ht="16.5" customHeight="1">
      <c r="A84" s="69" t="s">
        <v>68</v>
      </c>
      <c r="B84" s="69" t="s">
        <v>14</v>
      </c>
      <c r="C84" s="69">
        <v>0</v>
      </c>
      <c r="D84" s="71"/>
      <c r="G84" s="166"/>
      <c r="H84" s="166"/>
      <c r="I84" s="166"/>
      <c r="J84"/>
      <c r="K84"/>
      <c r="L84"/>
      <c r="M84"/>
    </row>
    <row r="85" spans="1:13" s="1" customFormat="1" ht="15.75" customHeight="1">
      <c r="A85" s="324" t="s">
        <v>88</v>
      </c>
      <c r="B85" s="324"/>
      <c r="C85" s="324"/>
      <c r="D85" s="324"/>
      <c r="G85" s="166"/>
      <c r="H85" s="166"/>
      <c r="I85" s="166"/>
      <c r="J85"/>
      <c r="K85"/>
      <c r="L85"/>
      <c r="M85"/>
    </row>
    <row r="86" spans="1:13" s="1" customFormat="1" ht="18.75" customHeight="1">
      <c r="A86" s="69" t="s">
        <v>89</v>
      </c>
      <c r="B86" s="69" t="s">
        <v>65</v>
      </c>
      <c r="C86" s="69">
        <v>2</v>
      </c>
      <c r="D86" s="71"/>
      <c r="G86" s="166"/>
      <c r="H86" s="166"/>
      <c r="I86" s="166"/>
      <c r="J86"/>
      <c r="K86"/>
      <c r="L86"/>
      <c r="M86"/>
    </row>
    <row r="87" spans="1:13" s="1" customFormat="1" ht="21.75" customHeight="1">
      <c r="A87" s="69" t="s">
        <v>90</v>
      </c>
      <c r="B87" s="40" t="s">
        <v>65</v>
      </c>
      <c r="C87" s="40">
        <v>4</v>
      </c>
      <c r="D87" s="71"/>
      <c r="G87" s="166"/>
      <c r="H87" s="166"/>
      <c r="I87" s="166"/>
      <c r="J87"/>
      <c r="K87"/>
      <c r="L87"/>
      <c r="M87"/>
    </row>
    <row r="88" spans="1:13" s="1" customFormat="1" ht="36" customHeight="1">
      <c r="A88" s="73" t="s">
        <v>91</v>
      </c>
      <c r="B88" s="69" t="s">
        <v>14</v>
      </c>
      <c r="C88" s="69">
        <v>98031.45</v>
      </c>
      <c r="D88" s="71"/>
      <c r="G88" s="166"/>
      <c r="H88" s="166"/>
      <c r="I88" s="166"/>
      <c r="J88"/>
      <c r="K88"/>
      <c r="L88"/>
      <c r="M88"/>
    </row>
    <row r="89" spans="1:13" s="1" customFormat="1" ht="15">
      <c r="A89" s="49"/>
      <c r="B89" s="49"/>
      <c r="C89" s="49"/>
      <c r="D89" s="74"/>
      <c r="G89" s="166"/>
      <c r="H89" s="166"/>
      <c r="I89" s="166"/>
      <c r="J89"/>
      <c r="K89"/>
      <c r="L89"/>
      <c r="M89"/>
    </row>
    <row r="90" spans="1:13" s="1" customFormat="1" ht="12.75">
      <c r="A90"/>
      <c r="B90"/>
      <c r="C90"/>
      <c r="D90"/>
      <c r="G90" s="166" t="s">
        <v>30</v>
      </c>
      <c r="H90" s="166"/>
      <c r="I90" s="166"/>
      <c r="J90"/>
      <c r="K90"/>
      <c r="L90"/>
      <c r="M90"/>
    </row>
    <row r="91" spans="1:13" s="1" customFormat="1" ht="12.75">
      <c r="A91" t="s">
        <v>131</v>
      </c>
      <c r="B91"/>
      <c r="C91"/>
      <c r="D91"/>
      <c r="G91" s="166"/>
      <c r="H91" s="166"/>
      <c r="I91" s="166"/>
      <c r="J91"/>
      <c r="K91"/>
      <c r="L91"/>
      <c r="M91"/>
    </row>
    <row r="92" spans="1:13" s="1" customFormat="1" ht="12.75">
      <c r="A92"/>
      <c r="B92"/>
      <c r="C92"/>
      <c r="D92"/>
      <c r="G92" s="166" t="s">
        <v>30</v>
      </c>
      <c r="H92" s="166"/>
      <c r="I92" s="166"/>
      <c r="J92"/>
      <c r="K92"/>
      <c r="L92"/>
      <c r="M92"/>
    </row>
    <row r="93" spans="1:13" s="1" customFormat="1" ht="12.75">
      <c r="A93" t="s">
        <v>93</v>
      </c>
      <c r="B93"/>
      <c r="C93"/>
      <c r="D93"/>
      <c r="G93" s="166"/>
      <c r="H93" s="166"/>
      <c r="I93" s="166"/>
      <c r="J93"/>
      <c r="K93"/>
      <c r="L93"/>
      <c r="M93"/>
    </row>
    <row r="94" spans="7:9" ht="12.75">
      <c r="G94" s="166"/>
      <c r="H94" s="166"/>
      <c r="I94" s="166"/>
    </row>
    <row r="95" spans="7:9" ht="12.75">
      <c r="G95" s="166"/>
      <c r="H95" s="166"/>
      <c r="I95" s="166"/>
    </row>
    <row r="96" spans="7:9" ht="12.75">
      <c r="G96" s="166"/>
      <c r="H96" s="166"/>
      <c r="I96" s="166"/>
    </row>
    <row r="97" spans="1:13" s="1" customFormat="1" ht="12.75">
      <c r="A97"/>
      <c r="B97"/>
      <c r="C97"/>
      <c r="D97"/>
      <c r="J97"/>
      <c r="K97"/>
      <c r="L97"/>
      <c r="M9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2:D12"/>
    <mergeCell ref="A7:G7"/>
    <mergeCell ref="A29:D29"/>
    <mergeCell ref="A53:D53"/>
    <mergeCell ref="A58:D58"/>
    <mergeCell ref="A65:D65"/>
    <mergeCell ref="A80:D80"/>
    <mergeCell ref="A85:D85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80" zoomScaleNormal="80" zoomScalePageLayoutView="0" workbookViewId="0" topLeftCell="A31">
      <selection activeCell="D46" sqref="D46"/>
    </sheetView>
  </sheetViews>
  <sheetFormatPr defaultColWidth="11.57421875" defaultRowHeight="12.75"/>
  <cols>
    <col min="1" max="1" width="55.140625" style="0" customWidth="1"/>
    <col min="2" max="2" width="18.421875" style="0" customWidth="1"/>
    <col min="3" max="3" width="23.2812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331" t="s">
        <v>0</v>
      </c>
      <c r="B1" s="331"/>
      <c r="C1" s="331"/>
      <c r="D1" s="331"/>
    </row>
    <row r="2" spans="1:4" ht="12.75">
      <c r="A2" s="331" t="s">
        <v>1</v>
      </c>
      <c r="B2" s="331"/>
      <c r="C2" s="331"/>
      <c r="D2" s="331"/>
    </row>
    <row r="3" spans="1:4" ht="12.75">
      <c r="A3" s="331" t="s">
        <v>2</v>
      </c>
      <c r="B3" s="331"/>
      <c r="C3" s="331"/>
      <c r="D3" s="331"/>
    </row>
    <row r="4" spans="1:4" ht="12.75">
      <c r="A4" s="331" t="s">
        <v>122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spans="1:4" ht="16.5" customHeight="1">
      <c r="A6" s="2" t="s">
        <v>213</v>
      </c>
      <c r="B6" s="183"/>
      <c r="C6" s="183"/>
      <c r="D6" s="183"/>
    </row>
    <row r="7" spans="1:4" ht="30.75" customHeight="1">
      <c r="A7" s="107" t="s">
        <v>5</v>
      </c>
      <c r="B7" s="107"/>
      <c r="C7" s="107"/>
      <c r="D7" s="107"/>
    </row>
    <row r="8" spans="1:5" ht="12.75">
      <c r="A8" s="6">
        <v>1</v>
      </c>
      <c r="B8" s="6">
        <v>2</v>
      </c>
      <c r="C8" s="6">
        <v>3</v>
      </c>
      <c r="D8" s="7">
        <v>4</v>
      </c>
      <c r="E8" s="166"/>
    </row>
    <row r="9" spans="1:5" ht="12.75">
      <c r="A9" s="8" t="s">
        <v>9</v>
      </c>
      <c r="B9" s="9"/>
      <c r="C9" s="185" t="s">
        <v>133</v>
      </c>
      <c r="D9" s="10"/>
      <c r="E9" s="166"/>
    </row>
    <row r="10" spans="1:5" ht="12.75">
      <c r="A10" s="8" t="s">
        <v>10</v>
      </c>
      <c r="B10" s="9"/>
      <c r="C10" s="185" t="s">
        <v>134</v>
      </c>
      <c r="D10" s="10"/>
      <c r="E10" s="166"/>
    </row>
    <row r="11" spans="1:5" ht="12.75">
      <c r="A11" s="8" t="s">
        <v>11</v>
      </c>
      <c r="B11" s="9"/>
      <c r="C11" s="185" t="s">
        <v>135</v>
      </c>
      <c r="D11" s="10"/>
      <c r="E11" s="166"/>
    </row>
    <row r="12" spans="1:5" ht="31.5" customHeight="1">
      <c r="A12" s="325" t="s">
        <v>12</v>
      </c>
      <c r="B12" s="325"/>
      <c r="C12" s="325"/>
      <c r="D12" s="325"/>
      <c r="E12" s="166"/>
    </row>
    <row r="13" spans="1:14" s="1" customFormat="1" ht="12.75">
      <c r="A13" s="8" t="s">
        <v>107</v>
      </c>
      <c r="B13" s="12" t="s">
        <v>14</v>
      </c>
      <c r="C13" s="200">
        <v>130611.96</v>
      </c>
      <c r="D13" s="10"/>
      <c r="E13" s="183"/>
      <c r="K13"/>
      <c r="L13"/>
      <c r="M13"/>
      <c r="N13"/>
    </row>
    <row r="14" spans="1:14" s="1" customFormat="1" ht="12.75">
      <c r="A14" s="8" t="s">
        <v>15</v>
      </c>
      <c r="B14" s="12" t="s">
        <v>14</v>
      </c>
      <c r="C14" s="200">
        <v>0</v>
      </c>
      <c r="D14" s="10"/>
      <c r="E14" s="166"/>
      <c r="K14"/>
      <c r="L14"/>
      <c r="M14"/>
      <c r="N14"/>
    </row>
    <row r="15" spans="1:14" s="1" customFormat="1" ht="12.75">
      <c r="A15" s="8" t="s">
        <v>16</v>
      </c>
      <c r="B15" s="12" t="s">
        <v>14</v>
      </c>
      <c r="C15" s="203">
        <v>28732.5</v>
      </c>
      <c r="D15" s="202"/>
      <c r="E15" s="166" t="e">
        <f>B15/12/1022.6</f>
        <v>#VALUE!</v>
      </c>
      <c r="K15"/>
      <c r="L15"/>
      <c r="M15"/>
      <c r="N15"/>
    </row>
    <row r="16" spans="1:14" s="1" customFormat="1" ht="31.5" customHeight="1">
      <c r="A16" s="11" t="s">
        <v>17</v>
      </c>
      <c r="B16" s="12" t="s">
        <v>14</v>
      </c>
      <c r="C16" s="203">
        <f>C17+C18+C19</f>
        <v>451491.95800000004</v>
      </c>
      <c r="D16" s="202"/>
      <c r="E16" s="173">
        <f>C17+C19</f>
        <v>357105.658</v>
      </c>
      <c r="K16"/>
      <c r="L16"/>
      <c r="M16"/>
      <c r="N16"/>
    </row>
    <row r="17" spans="1:5" ht="12.75">
      <c r="A17" s="8" t="s">
        <v>18</v>
      </c>
      <c r="B17" s="12" t="s">
        <v>14</v>
      </c>
      <c r="C17" s="203">
        <v>230042.17</v>
      </c>
      <c r="D17" s="202"/>
      <c r="E17" s="167">
        <f>E16-E45</f>
        <v>-0.0020000000367872417</v>
      </c>
    </row>
    <row r="18" spans="1:5" ht="12.75">
      <c r="A18" s="8" t="s">
        <v>19</v>
      </c>
      <c r="B18" s="12" t="s">
        <v>14</v>
      </c>
      <c r="C18" s="349">
        <f>(3.88+3.37)*6*2169.8</f>
        <v>94386.3</v>
      </c>
      <c r="D18" s="202"/>
      <c r="E18" s="174"/>
    </row>
    <row r="19" spans="1:5" ht="12.75">
      <c r="A19" s="8" t="s">
        <v>20</v>
      </c>
      <c r="B19" s="12" t="s">
        <v>14</v>
      </c>
      <c r="C19" s="203">
        <f>2169.8*4.88*12</f>
        <v>127063.488</v>
      </c>
      <c r="D19" s="202"/>
      <c r="E19" s="174"/>
    </row>
    <row r="20" spans="1:5" ht="12.75">
      <c r="A20" s="8" t="s">
        <v>21</v>
      </c>
      <c r="B20" s="12" t="s">
        <v>14</v>
      </c>
      <c r="C20" s="203">
        <f>C21+C22+C23+C24+C25</f>
        <v>461586.0199234001</v>
      </c>
      <c r="D20" s="202" t="s">
        <v>22</v>
      </c>
      <c r="E20" s="173" t="e">
        <f>B22+B23+B24+B25+B26</f>
        <v>#VALUE!</v>
      </c>
    </row>
    <row r="21" spans="1:5" ht="12.75">
      <c r="A21" s="8" t="s">
        <v>23</v>
      </c>
      <c r="B21" s="12" t="s">
        <v>14</v>
      </c>
      <c r="C21" s="203">
        <f>C16*0.9923</f>
        <v>448015.4699234</v>
      </c>
      <c r="D21" s="202"/>
      <c r="E21" s="166"/>
    </row>
    <row r="22" spans="1:5" ht="12.75">
      <c r="A22" s="8" t="s">
        <v>24</v>
      </c>
      <c r="B22" s="12" t="s">
        <v>14</v>
      </c>
      <c r="C22" s="203">
        <v>0</v>
      </c>
      <c r="D22" s="202"/>
      <c r="E22" s="174" t="e">
        <f>B22/#REF!*1</f>
        <v>#VALUE!</v>
      </c>
    </row>
    <row r="23" spans="1:5" ht="12.75">
      <c r="A23" s="8" t="s">
        <v>26</v>
      </c>
      <c r="B23" s="12" t="s">
        <v>14</v>
      </c>
      <c r="C23" s="203">
        <v>0</v>
      </c>
      <c r="D23" s="202"/>
      <c r="E23" s="174" t="e">
        <f>B23/#REF!*1</f>
        <v>#VALUE!</v>
      </c>
    </row>
    <row r="24" spans="1:5" ht="12.75">
      <c r="A24" s="9" t="s">
        <v>27</v>
      </c>
      <c r="B24" s="12" t="s">
        <v>14</v>
      </c>
      <c r="C24" s="203">
        <v>6224.4</v>
      </c>
      <c r="D24" s="202"/>
      <c r="E24" s="174" t="e">
        <f>B24/#REF!*1</f>
        <v>#VALUE!</v>
      </c>
    </row>
    <row r="25" spans="1:5" ht="12.75">
      <c r="A25" s="9" t="s">
        <v>28</v>
      </c>
      <c r="B25" s="12" t="s">
        <v>14</v>
      </c>
      <c r="C25" s="203">
        <v>7346.15</v>
      </c>
      <c r="D25" s="202"/>
      <c r="E25" s="174" t="e">
        <f>B25/#REF!*1</f>
        <v>#VALUE!</v>
      </c>
    </row>
    <row r="26" spans="1:5" ht="12.75">
      <c r="A26" s="8" t="s">
        <v>29</v>
      </c>
      <c r="B26" s="12" t="s">
        <v>14</v>
      </c>
      <c r="C26" s="203">
        <f>C13+C20</f>
        <v>592197.9799234001</v>
      </c>
      <c r="D26" s="202" t="s">
        <v>30</v>
      </c>
      <c r="E26" s="174" t="e">
        <f>B26/#REF!*1</f>
        <v>#VALUE!</v>
      </c>
    </row>
    <row r="27" spans="1:5" ht="35.25" customHeight="1">
      <c r="A27" s="328" t="s">
        <v>31</v>
      </c>
      <c r="B27" s="328"/>
      <c r="C27" s="328"/>
      <c r="D27" s="328"/>
      <c r="E27" s="166"/>
    </row>
    <row r="28" spans="1:5" ht="51">
      <c r="A28" s="35" t="s">
        <v>32</v>
      </c>
      <c r="B28" s="206" t="s">
        <v>33</v>
      </c>
      <c r="C28" s="207" t="s">
        <v>34</v>
      </c>
      <c r="D28" s="208" t="s">
        <v>35</v>
      </c>
      <c r="E28" s="166"/>
    </row>
    <row r="29" spans="1:5" ht="25.5">
      <c r="A29" s="33" t="s">
        <v>108</v>
      </c>
      <c r="B29" s="34" t="s">
        <v>37</v>
      </c>
      <c r="C29" s="35" t="s">
        <v>38</v>
      </c>
      <c r="D29" s="202">
        <f>2169.8*6*(0.37+0.36)</f>
        <v>9503.724</v>
      </c>
      <c r="E29" s="166"/>
    </row>
    <row r="30" spans="1:5" ht="12.75">
      <c r="A30" s="33" t="s">
        <v>96</v>
      </c>
      <c r="B30" s="34" t="s">
        <v>40</v>
      </c>
      <c r="C30" s="33" t="s">
        <v>41</v>
      </c>
      <c r="D30" s="202">
        <f>(2.34+2.45)*6*2169.8</f>
        <v>62360.05200000001</v>
      </c>
      <c r="E30" s="166"/>
    </row>
    <row r="31" spans="1:14" s="1" customFormat="1" ht="12.75">
      <c r="A31" s="33" t="s">
        <v>42</v>
      </c>
      <c r="B31" s="34" t="s">
        <v>43</v>
      </c>
      <c r="C31" s="33" t="s">
        <v>44</v>
      </c>
      <c r="D31" s="202">
        <f>(3+3.03)*6*2169.8</f>
        <v>78503.36399999999</v>
      </c>
      <c r="E31" s="166"/>
      <c r="K31"/>
      <c r="L31"/>
      <c r="M31"/>
      <c r="N31"/>
    </row>
    <row r="32" spans="1:14" s="1" customFormat="1" ht="12.75">
      <c r="A32" s="33" t="s">
        <v>109</v>
      </c>
      <c r="B32" s="34" t="s">
        <v>37</v>
      </c>
      <c r="C32" s="33" t="s">
        <v>46</v>
      </c>
      <c r="D32" s="202">
        <f>(0.2+0.21)*6*2169.8</f>
        <v>5337.7080000000005</v>
      </c>
      <c r="E32" s="166"/>
      <c r="K32"/>
      <c r="L32"/>
      <c r="M32"/>
      <c r="N32"/>
    </row>
    <row r="33" spans="1:14" s="1" customFormat="1" ht="12.75">
      <c r="A33" s="33" t="s">
        <v>118</v>
      </c>
      <c r="B33" s="34" t="s">
        <v>48</v>
      </c>
      <c r="C33" s="33" t="s">
        <v>49</v>
      </c>
      <c r="D33" s="202">
        <f>(0.53+0.55)*6*2169.8</f>
        <v>14060.304000000002</v>
      </c>
      <c r="E33" s="166"/>
      <c r="K33"/>
      <c r="L33"/>
      <c r="M33"/>
      <c r="N33"/>
    </row>
    <row r="34" spans="1:14" s="1" customFormat="1" ht="25.5">
      <c r="A34" s="35" t="s">
        <v>98</v>
      </c>
      <c r="B34" s="34" t="s">
        <v>37</v>
      </c>
      <c r="C34" s="33" t="s">
        <v>49</v>
      </c>
      <c r="D34" s="202">
        <v>26428.14</v>
      </c>
      <c r="E34" s="166"/>
      <c r="K34"/>
      <c r="L34"/>
      <c r="M34"/>
      <c r="N34"/>
    </row>
    <row r="35" spans="1:14" s="1" customFormat="1" ht="12.75">
      <c r="A35" s="33" t="s">
        <v>51</v>
      </c>
      <c r="B35" s="34" t="s">
        <v>52</v>
      </c>
      <c r="C35" s="33" t="s">
        <v>49</v>
      </c>
      <c r="D35" s="202">
        <f>(1.27+1.33)*6*2169.8</f>
        <v>33848.880000000005</v>
      </c>
      <c r="E35" s="166"/>
      <c r="K35"/>
      <c r="L35"/>
      <c r="M35"/>
      <c r="N35"/>
    </row>
    <row r="36" spans="1:14" s="1" customFormat="1" ht="12.75">
      <c r="A36" s="33" t="s">
        <v>111</v>
      </c>
      <c r="B36" s="34" t="s">
        <v>43</v>
      </c>
      <c r="C36" s="194" t="s">
        <v>54</v>
      </c>
      <c r="D36" s="202">
        <f>4.88*12*2169.8</f>
        <v>127063.48800000001</v>
      </c>
      <c r="E36" s="166"/>
      <c r="K36"/>
      <c r="L36"/>
      <c r="M36"/>
      <c r="N36"/>
    </row>
    <row r="37" spans="1:14" s="1" customFormat="1" ht="53.25" customHeight="1">
      <c r="A37" s="189" t="s">
        <v>333</v>
      </c>
      <c r="B37" s="214" t="s">
        <v>60</v>
      </c>
      <c r="C37" s="260" t="s">
        <v>123</v>
      </c>
      <c r="D37" s="354">
        <v>205191.51</v>
      </c>
      <c r="E37" s="166"/>
      <c r="K37"/>
      <c r="L37"/>
      <c r="M37"/>
      <c r="N37"/>
    </row>
    <row r="38" spans="1:14" s="1" customFormat="1" ht="19.5" customHeight="1">
      <c r="A38" s="110" t="s">
        <v>214</v>
      </c>
      <c r="B38" s="214" t="s">
        <v>215</v>
      </c>
      <c r="C38" s="33" t="s">
        <v>49</v>
      </c>
      <c r="D38" s="213">
        <v>2791</v>
      </c>
      <c r="E38" s="166"/>
      <c r="K38"/>
      <c r="L38"/>
      <c r="M38"/>
      <c r="N38"/>
    </row>
    <row r="39" spans="1:14" s="1" customFormat="1" ht="33" customHeight="1">
      <c r="A39" s="110" t="s">
        <v>216</v>
      </c>
      <c r="B39" s="214" t="s">
        <v>217</v>
      </c>
      <c r="C39" s="260" t="s">
        <v>202</v>
      </c>
      <c r="D39" s="213">
        <v>10620</v>
      </c>
      <c r="E39" s="166"/>
      <c r="K39"/>
      <c r="L39"/>
      <c r="M39"/>
      <c r="N39"/>
    </row>
    <row r="40" spans="1:14" s="1" customFormat="1" ht="19.5" customHeight="1">
      <c r="A40" s="110" t="s">
        <v>218</v>
      </c>
      <c r="B40" s="214" t="s">
        <v>219</v>
      </c>
      <c r="C40" s="260" t="s">
        <v>152</v>
      </c>
      <c r="D40" s="213">
        <v>26081</v>
      </c>
      <c r="E40" s="166"/>
      <c r="K40"/>
      <c r="L40"/>
      <c r="M40"/>
      <c r="N40"/>
    </row>
    <row r="41" spans="1:14" s="1" customFormat="1" ht="19.5" customHeight="1">
      <c r="A41" s="110" t="s">
        <v>220</v>
      </c>
      <c r="B41" s="214" t="s">
        <v>221</v>
      </c>
      <c r="C41" s="33" t="s">
        <v>41</v>
      </c>
      <c r="D41" s="213">
        <v>3759.51</v>
      </c>
      <c r="E41" s="166"/>
      <c r="K41"/>
      <c r="L41"/>
      <c r="M41"/>
      <c r="N41"/>
    </row>
    <row r="42" spans="1:14" s="1" customFormat="1" ht="19.5" customHeight="1">
      <c r="A42" s="110" t="s">
        <v>222</v>
      </c>
      <c r="B42" s="214" t="s">
        <v>221</v>
      </c>
      <c r="C42" s="33" t="s">
        <v>49</v>
      </c>
      <c r="D42" s="213">
        <v>157607</v>
      </c>
      <c r="E42" s="166"/>
      <c r="K42"/>
      <c r="L42"/>
      <c r="M42"/>
      <c r="N42"/>
    </row>
    <row r="43" spans="1:14" s="1" customFormat="1" ht="19.5" customHeight="1">
      <c r="A43" s="188" t="s">
        <v>223</v>
      </c>
      <c r="B43" s="214" t="s">
        <v>224</v>
      </c>
      <c r="C43" s="33" t="s">
        <v>49</v>
      </c>
      <c r="D43" s="213">
        <v>833</v>
      </c>
      <c r="E43" s="166"/>
      <c r="K43"/>
      <c r="L43"/>
      <c r="M43"/>
      <c r="N43"/>
    </row>
    <row r="44" spans="1:14" s="1" customFormat="1" ht="30.75" customHeight="1">
      <c r="A44" s="188" t="s">
        <v>225</v>
      </c>
      <c r="B44" s="214" t="s">
        <v>226</v>
      </c>
      <c r="C44" s="260" t="s">
        <v>202</v>
      </c>
      <c r="D44" s="213">
        <v>3500</v>
      </c>
      <c r="E44" s="166"/>
      <c r="K44"/>
      <c r="L44"/>
      <c r="M44"/>
      <c r="N44"/>
    </row>
    <row r="45" spans="1:14" s="1" customFormat="1" ht="12.75">
      <c r="A45" s="112" t="s">
        <v>61</v>
      </c>
      <c r="B45" s="34"/>
      <c r="C45" s="33"/>
      <c r="D45" s="202">
        <f>D29+D30+D31+D32+D33+D34+D35+D36+D37</f>
        <v>562297.17</v>
      </c>
      <c r="E45" s="167">
        <f>D45-D37</f>
        <v>357105.66000000003</v>
      </c>
      <c r="K45"/>
      <c r="L45"/>
      <c r="M45"/>
      <c r="N45"/>
    </row>
    <row r="46" spans="1:14" s="1" customFormat="1" ht="12.75">
      <c r="A46" s="112" t="s">
        <v>62</v>
      </c>
      <c r="B46" s="34"/>
      <c r="C46" s="33"/>
      <c r="D46" s="355">
        <f>C13+C18*0.9923+C24+C25-D37</f>
        <v>32650.52548999997</v>
      </c>
      <c r="E46" s="166"/>
      <c r="K46"/>
      <c r="L46"/>
      <c r="M46"/>
      <c r="N46"/>
    </row>
    <row r="47" spans="1:5" ht="12.75">
      <c r="A47" s="33" t="s">
        <v>15</v>
      </c>
      <c r="B47" s="34" t="s">
        <v>14</v>
      </c>
      <c r="C47" s="33"/>
      <c r="D47" s="10">
        <v>0</v>
      </c>
      <c r="E47" s="166"/>
    </row>
    <row r="48" spans="1:5" ht="12.75">
      <c r="A48" s="33" t="s">
        <v>16</v>
      </c>
      <c r="B48" s="34" t="s">
        <v>14</v>
      </c>
      <c r="C48" s="33"/>
      <c r="D48" s="202">
        <v>25256.01</v>
      </c>
      <c r="E48" s="166"/>
    </row>
    <row r="49" spans="1:5" ht="24" customHeight="1">
      <c r="A49" s="327" t="s">
        <v>63</v>
      </c>
      <c r="B49" s="327"/>
      <c r="C49" s="327"/>
      <c r="D49" s="327"/>
      <c r="E49" s="166"/>
    </row>
    <row r="50" spans="1:5" ht="12.75">
      <c r="A50" s="33" t="s">
        <v>64</v>
      </c>
      <c r="B50" s="34" t="s">
        <v>65</v>
      </c>
      <c r="C50" s="33"/>
      <c r="D50" s="10">
        <v>0</v>
      </c>
      <c r="E50" s="166"/>
    </row>
    <row r="51" spans="1:5" ht="12.75">
      <c r="A51" s="33" t="s">
        <v>66</v>
      </c>
      <c r="B51" s="34" t="s">
        <v>65</v>
      </c>
      <c r="C51" s="33"/>
      <c r="D51" s="10">
        <v>0</v>
      </c>
      <c r="E51" s="166"/>
    </row>
    <row r="52" spans="1:5" ht="12.75">
      <c r="A52" s="35" t="s">
        <v>67</v>
      </c>
      <c r="B52" s="34" t="s">
        <v>65</v>
      </c>
      <c r="C52" s="33"/>
      <c r="D52" s="10">
        <v>0</v>
      </c>
      <c r="E52" s="166"/>
    </row>
    <row r="53" spans="1:5" ht="12.75">
      <c r="A53" s="33" t="s">
        <v>68</v>
      </c>
      <c r="B53" s="34" t="s">
        <v>14</v>
      </c>
      <c r="C53" s="33"/>
      <c r="D53" s="10">
        <v>0</v>
      </c>
      <c r="E53" s="166"/>
    </row>
    <row r="54" spans="1:5" ht="20.25" customHeight="1">
      <c r="A54" s="328" t="s">
        <v>69</v>
      </c>
      <c r="B54" s="328"/>
      <c r="C54" s="328"/>
      <c r="D54" s="328"/>
      <c r="E54" s="166"/>
    </row>
    <row r="55" spans="1:5" ht="25.5">
      <c r="A55" s="35" t="s">
        <v>70</v>
      </c>
      <c r="B55" s="34" t="s">
        <v>14</v>
      </c>
      <c r="C55" s="33"/>
      <c r="D55" s="33">
        <v>0</v>
      </c>
      <c r="E55" s="166"/>
    </row>
    <row r="56" spans="1:5" ht="12.75">
      <c r="A56" s="33" t="s">
        <v>15</v>
      </c>
      <c r="B56" s="34" t="s">
        <v>14</v>
      </c>
      <c r="C56" s="33"/>
      <c r="D56" s="33">
        <v>0</v>
      </c>
      <c r="E56" s="166"/>
    </row>
    <row r="57" spans="1:8" ht="12.75">
      <c r="A57" s="33" t="s">
        <v>16</v>
      </c>
      <c r="B57" s="34" t="s">
        <v>14</v>
      </c>
      <c r="C57" s="33"/>
      <c r="D57" s="261">
        <f>D60-D63-D64-D65-D66</f>
        <v>65832.88251499996</v>
      </c>
      <c r="E57" s="166"/>
      <c r="H57" s="36"/>
    </row>
    <row r="58" spans="1:5" ht="12.75">
      <c r="A58" s="97" t="s">
        <v>115</v>
      </c>
      <c r="B58" s="34" t="s">
        <v>14</v>
      </c>
      <c r="C58" s="262"/>
      <c r="D58" s="262">
        <v>0</v>
      </c>
      <c r="E58" s="166"/>
    </row>
    <row r="59" spans="1:10" ht="17.25" customHeight="1">
      <c r="A59" s="40" t="s">
        <v>15</v>
      </c>
      <c r="B59" s="34" t="s">
        <v>14</v>
      </c>
      <c r="C59" s="33"/>
      <c r="D59" s="33">
        <v>0</v>
      </c>
      <c r="E59" s="166"/>
      <c r="I59" s="36"/>
      <c r="J59" s="36"/>
    </row>
    <row r="60" spans="1:14" ht="12.75">
      <c r="A60" s="41" t="s">
        <v>16</v>
      </c>
      <c r="B60" s="34" t="s">
        <v>14</v>
      </c>
      <c r="C60" s="218"/>
      <c r="D60" s="218">
        <v>76341.25</v>
      </c>
      <c r="E60" s="166"/>
      <c r="H60" s="1" t="s">
        <v>30</v>
      </c>
      <c r="I60" s="43"/>
      <c r="J60" s="43"/>
      <c r="K60" s="44"/>
      <c r="L60" s="44"/>
      <c r="M60" s="44"/>
      <c r="N60" s="44"/>
    </row>
    <row r="61" spans="1:14" ht="18" customHeight="1">
      <c r="A61" s="329" t="s">
        <v>72</v>
      </c>
      <c r="B61" s="329"/>
      <c r="C61" s="329"/>
      <c r="D61" s="329"/>
      <c r="E61" s="171"/>
      <c r="F61" s="46"/>
      <c r="G61" s="47"/>
      <c r="I61" s="48"/>
      <c r="J61" s="48"/>
      <c r="K61" s="49"/>
      <c r="L61" s="49"/>
      <c r="M61" s="49"/>
      <c r="N61" s="49"/>
    </row>
    <row r="62" spans="1:14" ht="38.25">
      <c r="A62" s="50" t="s">
        <v>73</v>
      </c>
      <c r="B62" s="51" t="s">
        <v>74</v>
      </c>
      <c r="C62" s="219" t="s">
        <v>75</v>
      </c>
      <c r="D62" s="220" t="s">
        <v>116</v>
      </c>
      <c r="E62" s="171"/>
      <c r="F62" s="46"/>
      <c r="G62" s="47"/>
      <c r="I62" s="48"/>
      <c r="J62" s="48"/>
      <c r="K62" s="49"/>
      <c r="L62" s="49"/>
      <c r="M62" s="49"/>
      <c r="N62" s="49"/>
    </row>
    <row r="63" spans="1:14" ht="12.75">
      <c r="A63" s="55" t="s">
        <v>77</v>
      </c>
      <c r="B63" s="200">
        <v>82052.45</v>
      </c>
      <c r="C63" s="221">
        <f>B63*0.9923</f>
        <v>81420.64613499999</v>
      </c>
      <c r="D63" s="222">
        <f>B63-C63</f>
        <v>631.803865000009</v>
      </c>
      <c r="E63" s="171"/>
      <c r="F63" s="46"/>
      <c r="G63" s="47"/>
      <c r="I63" s="48"/>
      <c r="J63" s="48"/>
      <c r="K63" s="49"/>
      <c r="L63" s="49"/>
      <c r="M63" s="49"/>
      <c r="N63" s="49"/>
    </row>
    <row r="64" spans="1:14" ht="12.75">
      <c r="A64" s="55" t="s">
        <v>78</v>
      </c>
      <c r="B64" s="200">
        <v>156139.03</v>
      </c>
      <c r="C64" s="221">
        <f>B64*0.9923</f>
        <v>154936.75946899998</v>
      </c>
      <c r="D64" s="222">
        <f>B64-C64</f>
        <v>1202.2705310000165</v>
      </c>
      <c r="E64" s="171"/>
      <c r="F64" s="46"/>
      <c r="G64" s="47"/>
      <c r="I64" s="48"/>
      <c r="J64" s="48"/>
      <c r="K64" s="49"/>
      <c r="L64" s="49"/>
      <c r="M64" s="49"/>
      <c r="N64" s="49"/>
    </row>
    <row r="65" spans="1:14" ht="12.75">
      <c r="A65" s="55" t="s">
        <v>79</v>
      </c>
      <c r="B65" s="223">
        <v>906454.86</v>
      </c>
      <c r="C65" s="221">
        <f>B65*0.9923</f>
        <v>899475.157578</v>
      </c>
      <c r="D65" s="222">
        <f>B65-C65</f>
        <v>6979.702422000002</v>
      </c>
      <c r="E65" s="171">
        <f>(2.07+1.8)*6*2301.2-0.37*2301.2*6</f>
        <v>48325.2</v>
      </c>
      <c r="F65" s="58"/>
      <c r="G65" s="59"/>
      <c r="H65" s="45"/>
      <c r="I65" s="48"/>
      <c r="J65" s="48"/>
      <c r="K65" s="49"/>
      <c r="L65" s="49"/>
      <c r="M65" s="49"/>
      <c r="N65" s="49"/>
    </row>
    <row r="66" spans="1:14" ht="12.75">
      <c r="A66" s="55" t="s">
        <v>80</v>
      </c>
      <c r="B66" s="223">
        <v>220076.71</v>
      </c>
      <c r="C66" s="221">
        <f>B66*0.9923</f>
        <v>218382.11933299998</v>
      </c>
      <c r="D66" s="222">
        <f>B66-C66</f>
        <v>1694.5906670000113</v>
      </c>
      <c r="E66" s="171"/>
      <c r="F66" s="58"/>
      <c r="G66" s="59"/>
      <c r="I66" s="48"/>
      <c r="J66" s="48"/>
      <c r="K66" s="49"/>
      <c r="L66" s="49"/>
      <c r="M66" s="49"/>
      <c r="N66" s="49"/>
    </row>
    <row r="67" spans="1:14" ht="13.5" thickBot="1">
      <c r="A67" s="137" t="s">
        <v>81</v>
      </c>
      <c r="B67" s="224">
        <v>0</v>
      </c>
      <c r="C67" s="225">
        <f>B67*1.0091</f>
        <v>0</v>
      </c>
      <c r="D67" s="226">
        <v>0</v>
      </c>
      <c r="E67" s="171"/>
      <c r="F67" s="58"/>
      <c r="G67" s="59"/>
      <c r="I67" s="48"/>
      <c r="J67" s="48"/>
      <c r="K67" s="49"/>
      <c r="L67" s="49"/>
      <c r="M67" s="49"/>
      <c r="N67" s="49"/>
    </row>
    <row r="68" spans="1:14" ht="63.75">
      <c r="A68" s="141" t="s">
        <v>82</v>
      </c>
      <c r="B68" s="142" t="s">
        <v>83</v>
      </c>
      <c r="C68" s="227" t="s">
        <v>84</v>
      </c>
      <c r="D68" s="228" t="s">
        <v>85</v>
      </c>
      <c r="E68" s="171"/>
      <c r="F68" s="58"/>
      <c r="H68" s="48"/>
      <c r="I68" s="48"/>
      <c r="J68" s="48"/>
      <c r="K68" s="49"/>
      <c r="L68" s="49"/>
      <c r="M68" s="49"/>
      <c r="N68" s="49"/>
    </row>
    <row r="69" spans="1:14" ht="12.75">
      <c r="A69" s="145" t="s">
        <v>77</v>
      </c>
      <c r="B69" s="100">
        <f aca="true" t="shared" si="0" ref="B69:C72">B63</f>
        <v>82052.45</v>
      </c>
      <c r="C69" s="266">
        <f t="shared" si="0"/>
        <v>81420.64613499999</v>
      </c>
      <c r="D69" s="230">
        <f>B69-C69</f>
        <v>631.803865000009</v>
      </c>
      <c r="E69" s="171"/>
      <c r="F69" s="58"/>
      <c r="H69" s="48"/>
      <c r="I69" s="48"/>
      <c r="J69" s="48" t="s">
        <v>30</v>
      </c>
      <c r="K69" s="49"/>
      <c r="L69" s="49"/>
      <c r="M69" s="49"/>
      <c r="N69" s="49"/>
    </row>
    <row r="70" spans="1:14" ht="12.75">
      <c r="A70" s="145" t="s">
        <v>78</v>
      </c>
      <c r="B70" s="100">
        <f t="shared" si="0"/>
        <v>156139.03</v>
      </c>
      <c r="C70" s="266">
        <f t="shared" si="0"/>
        <v>154936.75946899998</v>
      </c>
      <c r="D70" s="230">
        <f>B70-C70</f>
        <v>1202.2705310000165</v>
      </c>
      <c r="E70" s="171"/>
      <c r="F70" s="58"/>
      <c r="H70" s="48"/>
      <c r="I70" s="48"/>
      <c r="J70" s="48"/>
      <c r="K70" s="49"/>
      <c r="L70" s="49"/>
      <c r="M70" s="49"/>
      <c r="N70" s="49"/>
    </row>
    <row r="71" spans="1:14" ht="12.75">
      <c r="A71" s="145" t="s">
        <v>79</v>
      </c>
      <c r="B71" s="100">
        <f t="shared" si="0"/>
        <v>906454.86</v>
      </c>
      <c r="C71" s="266">
        <f t="shared" si="0"/>
        <v>899475.157578</v>
      </c>
      <c r="D71" s="230">
        <f>B71-C71</f>
        <v>6979.702422000002</v>
      </c>
      <c r="E71" s="171"/>
      <c r="F71" s="58"/>
      <c r="H71" s="48"/>
      <c r="I71" s="48"/>
      <c r="J71" s="48"/>
      <c r="K71" s="49"/>
      <c r="L71" s="49"/>
      <c r="M71" s="49"/>
      <c r="N71" s="49"/>
    </row>
    <row r="72" spans="1:14" ht="12.75">
      <c r="A72" s="145" t="s">
        <v>80</v>
      </c>
      <c r="B72" s="100">
        <f t="shared" si="0"/>
        <v>220076.71</v>
      </c>
      <c r="C72" s="266">
        <f t="shared" si="0"/>
        <v>218382.11933299998</v>
      </c>
      <c r="D72" s="230">
        <f>B72-C72</f>
        <v>1694.5906670000113</v>
      </c>
      <c r="E72" s="171"/>
      <c r="F72" s="58"/>
      <c r="H72" s="48"/>
      <c r="I72" s="48"/>
      <c r="J72" s="48"/>
      <c r="K72" s="49"/>
      <c r="L72" s="49"/>
      <c r="M72" s="49"/>
      <c r="N72" s="49"/>
    </row>
    <row r="73" spans="1:14" ht="13.5" thickBot="1">
      <c r="A73" s="147" t="s">
        <v>81</v>
      </c>
      <c r="B73" s="148"/>
      <c r="C73" s="231"/>
      <c r="D73" s="232">
        <f>B73-C73</f>
        <v>0</v>
      </c>
      <c r="E73" s="171"/>
      <c r="F73" s="58"/>
      <c r="H73" s="48" t="s">
        <v>30</v>
      </c>
      <c r="I73" s="48"/>
      <c r="J73" s="48"/>
      <c r="K73" s="49"/>
      <c r="L73" s="49"/>
      <c r="M73" s="49"/>
      <c r="N73" s="49"/>
    </row>
    <row r="74" spans="1:14" ht="12.75">
      <c r="A74" s="61"/>
      <c r="B74" s="60"/>
      <c r="C74" s="233"/>
      <c r="D74" s="234"/>
      <c r="E74" s="171"/>
      <c r="F74" s="58"/>
      <c r="H74" s="48"/>
      <c r="I74" s="48"/>
      <c r="J74" s="48"/>
      <c r="K74" s="49"/>
      <c r="L74" s="49"/>
      <c r="M74" s="49"/>
      <c r="N74" s="49"/>
    </row>
    <row r="75" spans="1:14" ht="25.5">
      <c r="A75" s="64" t="s">
        <v>86</v>
      </c>
      <c r="B75" s="60" t="s">
        <v>14</v>
      </c>
      <c r="C75" s="235"/>
      <c r="D75" s="236">
        <v>0</v>
      </c>
      <c r="E75" s="171"/>
      <c r="F75" s="58"/>
      <c r="H75" s="48"/>
      <c r="I75" s="48"/>
      <c r="J75" s="48" t="s">
        <v>30</v>
      </c>
      <c r="K75" s="49"/>
      <c r="L75" s="49"/>
      <c r="M75" s="49"/>
      <c r="N75" s="49"/>
    </row>
    <row r="76" spans="1:14" ht="17.25" customHeight="1">
      <c r="A76" s="330" t="s">
        <v>87</v>
      </c>
      <c r="B76" s="330"/>
      <c r="C76" s="330"/>
      <c r="D76" s="330"/>
      <c r="E76" s="180" t="e">
        <f>D76+B17</f>
        <v>#VALUE!</v>
      </c>
      <c r="F76" s="48"/>
      <c r="H76" s="68" t="e">
        <f>E76-B16</f>
        <v>#VALUE!</v>
      </c>
      <c r="I76" s="48"/>
      <c r="J76" s="48"/>
      <c r="K76" s="49"/>
      <c r="L76" s="49"/>
      <c r="M76" s="49"/>
      <c r="N76" s="49"/>
    </row>
    <row r="77" spans="1:5" ht="21" customHeight="1">
      <c r="A77" s="69" t="s">
        <v>64</v>
      </c>
      <c r="B77" s="69" t="s">
        <v>65</v>
      </c>
      <c r="C77" s="132">
        <v>1</v>
      </c>
      <c r="D77" s="265"/>
      <c r="E77" s="72"/>
    </row>
    <row r="78" spans="1:5" ht="21" customHeight="1">
      <c r="A78" s="69" t="s">
        <v>66</v>
      </c>
      <c r="B78" s="69" t="s">
        <v>65</v>
      </c>
      <c r="C78" s="133">
        <v>1</v>
      </c>
      <c r="D78" s="265"/>
      <c r="E78" s="72"/>
    </row>
    <row r="79" spans="1:14" s="1" customFormat="1" ht="18" customHeight="1">
      <c r="A79" s="69" t="s">
        <v>67</v>
      </c>
      <c r="B79" s="69" t="s">
        <v>65</v>
      </c>
      <c r="C79" s="133">
        <v>0</v>
      </c>
      <c r="D79" s="265"/>
      <c r="E79" s="72"/>
      <c r="K79"/>
      <c r="L79"/>
      <c r="M79"/>
      <c r="N79"/>
    </row>
    <row r="80" spans="1:14" s="1" customFormat="1" ht="16.5" customHeight="1">
      <c r="A80" s="69" t="s">
        <v>68</v>
      </c>
      <c r="B80" s="69" t="s">
        <v>14</v>
      </c>
      <c r="C80" s="133">
        <v>237.88</v>
      </c>
      <c r="D80" s="265"/>
      <c r="E80" s="72"/>
      <c r="K80"/>
      <c r="L80"/>
      <c r="M80"/>
      <c r="N80"/>
    </row>
    <row r="81" spans="1:14" s="1" customFormat="1" ht="15.75" customHeight="1">
      <c r="A81" s="324" t="s">
        <v>88</v>
      </c>
      <c r="B81" s="324"/>
      <c r="C81" s="324"/>
      <c r="D81" s="324"/>
      <c r="E81" s="72"/>
      <c r="K81"/>
      <c r="L81"/>
      <c r="M81"/>
      <c r="N81"/>
    </row>
    <row r="82" spans="1:14" s="1" customFormat="1" ht="18.75" customHeight="1">
      <c r="A82" s="69" t="s">
        <v>89</v>
      </c>
      <c r="B82" s="69" t="s">
        <v>65</v>
      </c>
      <c r="C82" s="133">
        <v>0</v>
      </c>
      <c r="D82" s="265"/>
      <c r="E82" s="72"/>
      <c r="K82"/>
      <c r="L82"/>
      <c r="M82"/>
      <c r="N82"/>
    </row>
    <row r="83" spans="1:14" s="1" customFormat="1" ht="21.75" customHeight="1">
      <c r="A83" s="69" t="s">
        <v>90</v>
      </c>
      <c r="B83" s="40" t="s">
        <v>65</v>
      </c>
      <c r="C83" s="135">
        <v>1</v>
      </c>
      <c r="D83" s="265"/>
      <c r="E83" s="72"/>
      <c r="K83"/>
      <c r="L83"/>
      <c r="M83"/>
      <c r="N83"/>
    </row>
    <row r="84" spans="1:14" s="1" customFormat="1" ht="36" customHeight="1">
      <c r="A84" s="73" t="s">
        <v>91</v>
      </c>
      <c r="B84" s="69" t="s">
        <v>14</v>
      </c>
      <c r="C84" s="133">
        <v>7947</v>
      </c>
      <c r="D84" s="265"/>
      <c r="E84" s="72"/>
      <c r="K84"/>
      <c r="L84"/>
      <c r="M84"/>
      <c r="N84"/>
    </row>
    <row r="85" spans="1:14" s="1" customFormat="1" ht="12.75">
      <c r="A85" s="49"/>
      <c r="B85" s="49"/>
      <c r="C85" s="49"/>
      <c r="D85" s="240"/>
      <c r="K85"/>
      <c r="L85"/>
      <c r="M85"/>
      <c r="N85"/>
    </row>
    <row r="86" spans="1:14" s="1" customFormat="1" ht="12.75">
      <c r="A86" s="183"/>
      <c r="B86" s="183"/>
      <c r="C86" s="183"/>
      <c r="D86" s="183"/>
      <c r="H86" s="1" t="s">
        <v>30</v>
      </c>
      <c r="K86"/>
      <c r="L86"/>
      <c r="M86"/>
      <c r="N86"/>
    </row>
    <row r="87" spans="1:14" s="1" customFormat="1" ht="12.75">
      <c r="A87" s="190" t="s">
        <v>327</v>
      </c>
      <c r="B87" s="183"/>
      <c r="C87" s="183"/>
      <c r="D87" s="183"/>
      <c r="K87"/>
      <c r="L87"/>
      <c r="M87"/>
      <c r="N87"/>
    </row>
    <row r="88" spans="1:14" s="1" customFormat="1" ht="12.75">
      <c r="A88" s="183"/>
      <c r="B88" s="183"/>
      <c r="C88" s="183"/>
      <c r="D88" s="183"/>
      <c r="H88" s="1" t="s">
        <v>30</v>
      </c>
      <c r="K88"/>
      <c r="L88"/>
      <c r="M88"/>
      <c r="N88"/>
    </row>
    <row r="89" spans="1:14" s="1" customFormat="1" ht="12.75">
      <c r="A89" s="183" t="s">
        <v>93</v>
      </c>
      <c r="B89" s="183"/>
      <c r="C89" s="183"/>
      <c r="D89" s="183"/>
      <c r="K89"/>
      <c r="L89"/>
      <c r="M89"/>
      <c r="N89"/>
    </row>
    <row r="90" spans="1:4" ht="12.75">
      <c r="A90" s="183"/>
      <c r="B90" s="183"/>
      <c r="C90" s="183"/>
      <c r="D90" s="183"/>
    </row>
    <row r="91" spans="1:4" ht="12.75">
      <c r="A91" s="183"/>
      <c r="B91" s="183"/>
      <c r="C91" s="183"/>
      <c r="D91" s="183"/>
    </row>
    <row r="92" spans="1:4" ht="12.75">
      <c r="A92" s="183"/>
      <c r="B92" s="183"/>
      <c r="C92" s="183"/>
      <c r="D92" s="183"/>
    </row>
    <row r="93" spans="1:14" s="1" customFormat="1" ht="12.75">
      <c r="A93" s="183"/>
      <c r="B93" s="183"/>
      <c r="C93" s="183"/>
      <c r="D93" s="183"/>
      <c r="E93" s="1" t="s">
        <v>30</v>
      </c>
      <c r="K93"/>
      <c r="L93"/>
      <c r="M93"/>
      <c r="N93"/>
    </row>
    <row r="94" spans="1:4" ht="12.75">
      <c r="A94" s="183"/>
      <c r="B94" s="183"/>
      <c r="C94" s="183"/>
      <c r="D94" s="183"/>
    </row>
    <row r="95" spans="1:4" ht="12.75">
      <c r="A95" s="183"/>
      <c r="B95" s="183"/>
      <c r="C95" s="183"/>
      <c r="D95" s="183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12:D12"/>
    <mergeCell ref="A27:D27"/>
    <mergeCell ref="A49:D49"/>
    <mergeCell ref="A54:D54"/>
    <mergeCell ref="A61:D61"/>
    <mergeCell ref="A76:D76"/>
    <mergeCell ref="A81:D81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="80" zoomScaleNormal="80" zoomScalePageLayoutView="0" workbookViewId="0" topLeftCell="A37">
      <selection activeCell="D41" sqref="D41"/>
    </sheetView>
  </sheetViews>
  <sheetFormatPr defaultColWidth="11.57421875" defaultRowHeight="12.75"/>
  <cols>
    <col min="1" max="1" width="56.140625" style="0" customWidth="1"/>
    <col min="2" max="2" width="14.8515625" style="0" customWidth="1"/>
    <col min="3" max="3" width="27.140625" style="0" customWidth="1"/>
    <col min="4" max="4" width="15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124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ht="9" customHeight="1">
      <c r="A6" s="2"/>
    </row>
    <row r="7" spans="1:4" ht="22.5" customHeight="1">
      <c r="A7" s="107" t="s">
        <v>5</v>
      </c>
      <c r="B7" s="107"/>
      <c r="C7" s="107"/>
      <c r="D7" s="107"/>
    </row>
    <row r="8" spans="1:4" ht="22.5" customHeight="1">
      <c r="A8" s="107" t="s">
        <v>227</v>
      </c>
      <c r="B8" s="107"/>
      <c r="C8" s="107"/>
      <c r="D8" s="107"/>
    </row>
    <row r="9" spans="1:4" ht="12.75">
      <c r="A9" s="6">
        <v>1</v>
      </c>
      <c r="B9" s="6">
        <v>2</v>
      </c>
      <c r="C9" s="6">
        <v>3</v>
      </c>
      <c r="D9" s="7">
        <v>4</v>
      </c>
    </row>
    <row r="10" spans="1:4" ht="12.75">
      <c r="A10" s="8" t="s">
        <v>9</v>
      </c>
      <c r="B10" s="9"/>
      <c r="C10" s="185" t="s">
        <v>133</v>
      </c>
      <c r="D10" s="10"/>
    </row>
    <row r="11" spans="1:4" ht="12.75">
      <c r="A11" s="8" t="s">
        <v>10</v>
      </c>
      <c r="B11" s="9"/>
      <c r="C11" s="185" t="s">
        <v>134</v>
      </c>
      <c r="D11" s="10"/>
    </row>
    <row r="12" spans="1:4" ht="12.75">
      <c r="A12" s="8" t="s">
        <v>11</v>
      </c>
      <c r="B12" s="9"/>
      <c r="C12" s="185" t="s">
        <v>135</v>
      </c>
      <c r="D12" s="10"/>
    </row>
    <row r="13" spans="1:8" ht="31.5" customHeight="1">
      <c r="A13" s="335" t="s">
        <v>12</v>
      </c>
      <c r="B13" s="335"/>
      <c r="C13" s="335"/>
      <c r="D13" s="335"/>
      <c r="E13" s="166"/>
      <c r="F13" s="166"/>
      <c r="G13" s="166"/>
      <c r="H13" s="166"/>
    </row>
    <row r="14" spans="1:8" ht="15">
      <c r="A14" s="8" t="s">
        <v>107</v>
      </c>
      <c r="B14" s="12" t="s">
        <v>14</v>
      </c>
      <c r="C14" s="13">
        <v>-218206.42</v>
      </c>
      <c r="D14" s="14"/>
      <c r="E14" s="166"/>
      <c r="F14" s="166"/>
      <c r="G14" s="166"/>
      <c r="H14" s="166"/>
    </row>
    <row r="15" spans="1:8" ht="15">
      <c r="A15" s="8" t="s">
        <v>15</v>
      </c>
      <c r="B15" s="12" t="s">
        <v>14</v>
      </c>
      <c r="C15" s="13">
        <v>0</v>
      </c>
      <c r="D15" s="14"/>
      <c r="E15" s="166"/>
      <c r="F15" s="166"/>
      <c r="G15" s="166"/>
      <c r="H15" s="166"/>
    </row>
    <row r="16" spans="1:8" ht="15">
      <c r="A16" s="8" t="s">
        <v>16</v>
      </c>
      <c r="B16" s="12" t="s">
        <v>14</v>
      </c>
      <c r="C16" s="15">
        <v>68621.42</v>
      </c>
      <c r="D16" s="16"/>
      <c r="E16" s="166" t="e">
        <f>B16/12/1022.6</f>
        <v>#VALUE!</v>
      </c>
      <c r="F16" s="166"/>
      <c r="G16" s="166"/>
      <c r="H16" s="166"/>
    </row>
    <row r="17" spans="1:8" ht="31.5" customHeight="1">
      <c r="A17" s="11" t="s">
        <v>17</v>
      </c>
      <c r="B17" s="12" t="s">
        <v>14</v>
      </c>
      <c r="C17" s="15">
        <f>C18+C19+C20</f>
        <v>1365381.9479999999</v>
      </c>
      <c r="D17" s="16"/>
      <c r="E17" s="173">
        <f>C17-C19</f>
        <v>1186349.284</v>
      </c>
      <c r="F17" s="166"/>
      <c r="G17" s="166"/>
      <c r="H17" s="166"/>
    </row>
    <row r="18" spans="1:8" ht="15">
      <c r="A18" s="8" t="s">
        <v>18</v>
      </c>
      <c r="B18" s="12" t="s">
        <v>14</v>
      </c>
      <c r="C18" s="15">
        <f>1018519.86+43000</f>
        <v>1061519.8599999999</v>
      </c>
      <c r="D18" s="16"/>
      <c r="E18" s="173">
        <f>E17-E41</f>
        <v>-0.004000000189989805</v>
      </c>
      <c r="F18" s="166"/>
      <c r="G18" s="166"/>
      <c r="H18" s="166"/>
    </row>
    <row r="19" spans="1:8" ht="15">
      <c r="A19" s="8" t="s">
        <v>19</v>
      </c>
      <c r="B19" s="12" t="s">
        <v>14</v>
      </c>
      <c r="C19" s="15">
        <f>(4.05+4.63)*6*4263.3-43000</f>
        <v>179032.664</v>
      </c>
      <c r="D19" s="16"/>
      <c r="E19" s="173"/>
      <c r="F19" s="166"/>
      <c r="G19" s="166"/>
      <c r="H19" s="166"/>
    </row>
    <row r="20" spans="1:8" ht="15">
      <c r="A20" s="8" t="s">
        <v>20</v>
      </c>
      <c r="B20" s="12" t="s">
        <v>14</v>
      </c>
      <c r="C20" s="15">
        <f>4.88*6*4263.3</f>
        <v>124829.42400000001</v>
      </c>
      <c r="D20" s="16"/>
      <c r="E20" s="166"/>
      <c r="F20" s="166"/>
      <c r="G20" s="166"/>
      <c r="H20" s="166"/>
    </row>
    <row r="21" spans="1:8" ht="15">
      <c r="A21" s="8" t="s">
        <v>21</v>
      </c>
      <c r="B21" s="12" t="s">
        <v>14</v>
      </c>
      <c r="C21" s="15">
        <f>C22+C23+C24+C25+C26</f>
        <v>1383166.2273116</v>
      </c>
      <c r="D21" s="16" t="s">
        <v>22</v>
      </c>
      <c r="E21" s="173"/>
      <c r="F21" s="166"/>
      <c r="G21" s="166"/>
      <c r="H21" s="166"/>
    </row>
    <row r="22" spans="1:8" ht="15">
      <c r="A22" s="8" t="s">
        <v>23</v>
      </c>
      <c r="B22" s="12" t="s">
        <v>14</v>
      </c>
      <c r="C22" s="15">
        <f>C17*1.0017</f>
        <v>1367703.0973115999</v>
      </c>
      <c r="D22" s="16"/>
      <c r="E22" s="166"/>
      <c r="F22" s="166"/>
      <c r="G22" s="166"/>
      <c r="H22" s="166"/>
    </row>
    <row r="23" spans="1:8" ht="15">
      <c r="A23" s="8" t="s">
        <v>24</v>
      </c>
      <c r="B23" s="12" t="s">
        <v>14</v>
      </c>
      <c r="C23" s="15">
        <v>0</v>
      </c>
      <c r="D23" s="16"/>
      <c r="E23" s="174" t="e">
        <f>B23/#REF!*1</f>
        <v>#VALUE!</v>
      </c>
      <c r="F23" s="166"/>
      <c r="G23" s="166"/>
      <c r="H23" s="166"/>
    </row>
    <row r="24" spans="1:8" ht="15">
      <c r="A24" s="8" t="s">
        <v>26</v>
      </c>
      <c r="B24" s="12" t="s">
        <v>14</v>
      </c>
      <c r="C24" s="15">
        <v>0</v>
      </c>
      <c r="D24" s="16"/>
      <c r="E24" s="174" t="e">
        <f>B24/#REF!*1</f>
        <v>#VALUE!</v>
      </c>
      <c r="F24" s="166"/>
      <c r="G24" s="166"/>
      <c r="H24" s="166"/>
    </row>
    <row r="25" spans="1:8" ht="15">
      <c r="A25" s="9" t="s">
        <v>27</v>
      </c>
      <c r="B25" s="12" t="s">
        <v>14</v>
      </c>
      <c r="C25" s="15">
        <v>10685.02</v>
      </c>
      <c r="D25" s="16"/>
      <c r="E25" s="174" t="e">
        <f>B25/#REF!*1</f>
        <v>#VALUE!</v>
      </c>
      <c r="F25" s="166"/>
      <c r="G25" s="166"/>
      <c r="H25" s="166"/>
    </row>
    <row r="26" spans="1:8" ht="15">
      <c r="A26" s="9" t="s">
        <v>28</v>
      </c>
      <c r="B26" s="12" t="s">
        <v>14</v>
      </c>
      <c r="C26" s="15">
        <v>4778.11</v>
      </c>
      <c r="D26" s="16"/>
      <c r="E26" s="174" t="e">
        <f>B26/#REF!*1</f>
        <v>#VALUE!</v>
      </c>
      <c r="F26" s="166"/>
      <c r="G26" s="166"/>
      <c r="H26" s="166"/>
    </row>
    <row r="27" spans="1:8" ht="15">
      <c r="A27" s="8" t="s">
        <v>29</v>
      </c>
      <c r="B27" s="12" t="s">
        <v>14</v>
      </c>
      <c r="C27" s="15">
        <f>C14+C21</f>
        <v>1164959.8073116</v>
      </c>
      <c r="D27" s="16" t="s">
        <v>30</v>
      </c>
      <c r="E27" s="174" t="e">
        <f>B27/#REF!*1</f>
        <v>#VALUE!</v>
      </c>
      <c r="F27" s="166"/>
      <c r="G27" s="166"/>
      <c r="H27" s="166"/>
    </row>
    <row r="28" spans="1:8" ht="35.25" customHeight="1">
      <c r="A28" s="338" t="s">
        <v>31</v>
      </c>
      <c r="B28" s="338"/>
      <c r="C28" s="338"/>
      <c r="D28" s="338"/>
      <c r="E28" s="166"/>
      <c r="F28" s="166"/>
      <c r="G28" s="166"/>
      <c r="H28" s="166"/>
    </row>
    <row r="29" spans="1:8" ht="60">
      <c r="A29" s="35" t="s">
        <v>32</v>
      </c>
      <c r="B29" s="26" t="s">
        <v>33</v>
      </c>
      <c r="C29" s="108" t="s">
        <v>34</v>
      </c>
      <c r="D29" s="109" t="s">
        <v>35</v>
      </c>
      <c r="E29" s="166"/>
      <c r="F29" s="166"/>
      <c r="G29" s="166"/>
      <c r="H29" s="166"/>
    </row>
    <row r="30" spans="1:8" ht="30">
      <c r="A30" s="33" t="s">
        <v>108</v>
      </c>
      <c r="B30" s="22" t="s">
        <v>37</v>
      </c>
      <c r="C30" s="29" t="s">
        <v>38</v>
      </c>
      <c r="D30" s="16">
        <f>(0.25+0.26)*6*4263.3</f>
        <v>13045.698</v>
      </c>
      <c r="E30" s="166"/>
      <c r="F30" s="166"/>
      <c r="G30" s="166"/>
      <c r="H30" s="166"/>
    </row>
    <row r="31" spans="1:8" ht="15">
      <c r="A31" s="33" t="s">
        <v>96</v>
      </c>
      <c r="B31" s="22" t="s">
        <v>40</v>
      </c>
      <c r="C31" s="23" t="s">
        <v>41</v>
      </c>
      <c r="D31" s="16">
        <f>(2.34+2.45)*6*4263.3</f>
        <v>122527.24200000001</v>
      </c>
      <c r="E31" s="166"/>
      <c r="F31" s="166"/>
      <c r="G31" s="166"/>
      <c r="H31" s="166"/>
    </row>
    <row r="32" spans="1:14" s="1" customFormat="1" ht="15">
      <c r="A32" s="33" t="s">
        <v>42</v>
      </c>
      <c r="B32" s="22" t="s">
        <v>43</v>
      </c>
      <c r="C32" s="23" t="s">
        <v>44</v>
      </c>
      <c r="D32" s="16">
        <f>(3+3.03)*6*4263.3</f>
        <v>154246.194</v>
      </c>
      <c r="E32" s="166"/>
      <c r="F32" s="166"/>
      <c r="G32" s="166"/>
      <c r="H32" s="166"/>
      <c r="K32"/>
      <c r="L32"/>
      <c r="M32"/>
      <c r="N32"/>
    </row>
    <row r="33" spans="1:14" s="1" customFormat="1" ht="15">
      <c r="A33" s="33" t="s">
        <v>109</v>
      </c>
      <c r="B33" s="22" t="s">
        <v>37</v>
      </c>
      <c r="C33" s="23" t="s">
        <v>46</v>
      </c>
      <c r="D33" s="16">
        <f>(0.2+0.21)*6*4263.3</f>
        <v>10487.718</v>
      </c>
      <c r="E33" s="166"/>
      <c r="F33" s="166"/>
      <c r="G33" s="166"/>
      <c r="H33" s="166"/>
      <c r="K33"/>
      <c r="L33"/>
      <c r="M33"/>
      <c r="N33"/>
    </row>
    <row r="34" spans="1:14" s="1" customFormat="1" ht="15">
      <c r="A34" s="33" t="s">
        <v>118</v>
      </c>
      <c r="B34" s="22" t="s">
        <v>48</v>
      </c>
      <c r="C34" s="23" t="s">
        <v>49</v>
      </c>
      <c r="D34" s="16">
        <f>(0.53+0.55)*6*4263.3</f>
        <v>27626.184000000005</v>
      </c>
      <c r="E34" s="166"/>
      <c r="F34" s="166"/>
      <c r="G34" s="166"/>
      <c r="H34" s="166"/>
      <c r="K34"/>
      <c r="L34"/>
      <c r="M34"/>
      <c r="N34"/>
    </row>
    <row r="35" spans="1:14" s="1" customFormat="1" ht="25.5">
      <c r="A35" s="35" t="s">
        <v>98</v>
      </c>
      <c r="B35" s="22" t="s">
        <v>37</v>
      </c>
      <c r="C35" s="23" t="s">
        <v>49</v>
      </c>
      <c r="D35" s="16">
        <f>(0.99+1.04)*6*4263.3</f>
        <v>51926.994000000006</v>
      </c>
      <c r="E35" s="166"/>
      <c r="F35" s="166"/>
      <c r="G35" s="166"/>
      <c r="H35" s="166"/>
      <c r="K35"/>
      <c r="L35"/>
      <c r="M35"/>
      <c r="N35"/>
    </row>
    <row r="36" spans="1:14" s="1" customFormat="1" ht="15">
      <c r="A36" s="33" t="s">
        <v>51</v>
      </c>
      <c r="B36" s="22" t="s">
        <v>52</v>
      </c>
      <c r="C36" s="23" t="s">
        <v>49</v>
      </c>
      <c r="D36" s="16">
        <f>(1.27+1.33)*6*4263.3</f>
        <v>66507.48000000001</v>
      </c>
      <c r="E36" s="166"/>
      <c r="F36" s="166"/>
      <c r="G36" s="166"/>
      <c r="H36" s="166"/>
      <c r="K36"/>
      <c r="L36"/>
      <c r="M36"/>
      <c r="N36"/>
    </row>
    <row r="37" spans="1:14" s="1" customFormat="1" ht="15">
      <c r="A37" s="33" t="s">
        <v>111</v>
      </c>
      <c r="B37" s="22" t="s">
        <v>43</v>
      </c>
      <c r="C37" s="27" t="s">
        <v>54</v>
      </c>
      <c r="D37" s="16">
        <f>4.88*12*4263.3</f>
        <v>249658.84800000003</v>
      </c>
      <c r="E37" s="166"/>
      <c r="F37" s="166"/>
      <c r="G37" s="166"/>
      <c r="H37" s="166"/>
      <c r="K37"/>
      <c r="L37"/>
      <c r="M37"/>
      <c r="N37"/>
    </row>
    <row r="38" spans="1:14" s="1" customFormat="1" ht="15">
      <c r="A38" s="33" t="s">
        <v>112</v>
      </c>
      <c r="B38" s="25" t="s">
        <v>40</v>
      </c>
      <c r="C38" s="23" t="s">
        <v>56</v>
      </c>
      <c r="D38" s="16">
        <f>(2.5+2.39)*6*4263.3</f>
        <v>125085.22200000002</v>
      </c>
      <c r="E38" s="166"/>
      <c r="F38" s="166"/>
      <c r="G38" s="166"/>
      <c r="H38" s="166"/>
      <c r="K38"/>
      <c r="L38"/>
      <c r="M38"/>
      <c r="N38"/>
    </row>
    <row r="39" spans="1:14" s="1" customFormat="1" ht="15">
      <c r="A39" s="33" t="s">
        <v>100</v>
      </c>
      <c r="B39" s="22" t="s">
        <v>43</v>
      </c>
      <c r="C39" s="23" t="s">
        <v>58</v>
      </c>
      <c r="D39" s="16">
        <v>248593.82</v>
      </c>
      <c r="E39" s="166"/>
      <c r="F39" s="166"/>
      <c r="G39" s="166"/>
      <c r="H39" s="166"/>
      <c r="K39"/>
      <c r="L39"/>
      <c r="M39"/>
      <c r="N39"/>
    </row>
    <row r="40" spans="1:14" s="1" customFormat="1" ht="15">
      <c r="A40" s="33" t="s">
        <v>113</v>
      </c>
      <c r="B40" s="22" t="s">
        <v>43</v>
      </c>
      <c r="C40" s="27" t="s">
        <v>41</v>
      </c>
      <c r="D40" s="16">
        <f>(2.23+2.33)*6*4263.3</f>
        <v>116643.88800000002</v>
      </c>
      <c r="E40" s="166"/>
      <c r="F40" s="166"/>
      <c r="G40" s="166"/>
      <c r="H40" s="166"/>
      <c r="K40"/>
      <c r="L40"/>
      <c r="M40"/>
      <c r="N40"/>
    </row>
    <row r="41" spans="1:14" s="1" customFormat="1" ht="45" customHeight="1">
      <c r="A41" s="189" t="s">
        <v>332</v>
      </c>
      <c r="B41" s="28" t="s">
        <v>60</v>
      </c>
      <c r="C41" s="29"/>
      <c r="D41" s="357">
        <v>65385</v>
      </c>
      <c r="E41" s="167">
        <f>D51-D41</f>
        <v>1186349.2880000002</v>
      </c>
      <c r="F41" s="166"/>
      <c r="G41" s="166"/>
      <c r="H41" s="166"/>
      <c r="K41"/>
      <c r="L41"/>
      <c r="M41"/>
      <c r="N41"/>
    </row>
    <row r="42" spans="1:14" s="1" customFormat="1" ht="18" customHeight="1">
      <c r="A42" s="110" t="s">
        <v>228</v>
      </c>
      <c r="B42" s="28" t="s">
        <v>229</v>
      </c>
      <c r="C42" s="27" t="s">
        <v>41</v>
      </c>
      <c r="D42" s="191">
        <v>2001</v>
      </c>
      <c r="E42" s="167"/>
      <c r="F42" s="166"/>
      <c r="G42" s="166"/>
      <c r="H42" s="166"/>
      <c r="K42"/>
      <c r="L42"/>
      <c r="M42"/>
      <c r="N42"/>
    </row>
    <row r="43" spans="1:14" s="1" customFormat="1" ht="18.75" customHeight="1">
      <c r="A43" s="110" t="s">
        <v>230</v>
      </c>
      <c r="B43" s="28" t="s">
        <v>231</v>
      </c>
      <c r="C43" s="23" t="s">
        <v>49</v>
      </c>
      <c r="D43" s="191">
        <v>2090</v>
      </c>
      <c r="E43" s="167"/>
      <c r="F43" s="166"/>
      <c r="G43" s="166"/>
      <c r="H43" s="166"/>
      <c r="K43"/>
      <c r="L43"/>
      <c r="M43"/>
      <c r="N43"/>
    </row>
    <row r="44" spans="1:14" s="1" customFormat="1" ht="22.5" customHeight="1">
      <c r="A44" s="110" t="s">
        <v>232</v>
      </c>
      <c r="B44" s="28" t="s">
        <v>217</v>
      </c>
      <c r="C44" s="23" t="s">
        <v>49</v>
      </c>
      <c r="D44" s="191">
        <v>5222</v>
      </c>
      <c r="E44" s="167"/>
      <c r="F44" s="166"/>
      <c r="G44" s="166"/>
      <c r="H44" s="166"/>
      <c r="K44"/>
      <c r="L44"/>
      <c r="M44"/>
      <c r="N44"/>
    </row>
    <row r="45" spans="1:14" s="1" customFormat="1" ht="15" customHeight="1">
      <c r="A45" s="110" t="s">
        <v>233</v>
      </c>
      <c r="B45" s="28" t="s">
        <v>234</v>
      </c>
      <c r="C45" s="23" t="s">
        <v>49</v>
      </c>
      <c r="D45" s="191">
        <v>1230</v>
      </c>
      <c r="E45" s="167"/>
      <c r="F45" s="166"/>
      <c r="G45" s="166"/>
      <c r="H45" s="166"/>
      <c r="K45"/>
      <c r="L45"/>
      <c r="M45"/>
      <c r="N45"/>
    </row>
    <row r="46" spans="1:14" s="1" customFormat="1" ht="22.5" customHeight="1">
      <c r="A46" s="110" t="s">
        <v>235</v>
      </c>
      <c r="B46" s="28" t="s">
        <v>226</v>
      </c>
      <c r="C46" s="23" t="s">
        <v>49</v>
      </c>
      <c r="D46" s="191">
        <v>218.44</v>
      </c>
      <c r="E46" s="167"/>
      <c r="F46" s="166"/>
      <c r="G46" s="166"/>
      <c r="H46" s="166"/>
      <c r="K46"/>
      <c r="L46"/>
      <c r="M46"/>
      <c r="N46"/>
    </row>
    <row r="47" spans="1:14" s="1" customFormat="1" ht="16.5" customHeight="1">
      <c r="A47" s="110" t="s">
        <v>236</v>
      </c>
      <c r="B47" s="28" t="s">
        <v>237</v>
      </c>
      <c r="C47" s="27" t="s">
        <v>41</v>
      </c>
      <c r="D47" s="191">
        <v>528.37</v>
      </c>
      <c r="E47" s="167"/>
      <c r="F47" s="166"/>
      <c r="G47" s="166"/>
      <c r="H47" s="166"/>
      <c r="K47"/>
      <c r="L47"/>
      <c r="M47"/>
      <c r="N47"/>
    </row>
    <row r="48" spans="1:14" s="1" customFormat="1" ht="18" customHeight="1">
      <c r="A48" s="110" t="s">
        <v>218</v>
      </c>
      <c r="B48" s="28" t="s">
        <v>226</v>
      </c>
      <c r="C48" s="29" t="s">
        <v>152</v>
      </c>
      <c r="D48" s="191">
        <v>34089</v>
      </c>
      <c r="E48" s="167"/>
      <c r="F48" s="166"/>
      <c r="G48" s="166"/>
      <c r="H48" s="166"/>
      <c r="K48"/>
      <c r="L48"/>
      <c r="M48"/>
      <c r="N48"/>
    </row>
    <row r="49" spans="1:14" s="1" customFormat="1" ht="22.5" customHeight="1">
      <c r="A49" s="110" t="s">
        <v>238</v>
      </c>
      <c r="B49" s="28" t="s">
        <v>239</v>
      </c>
      <c r="C49" s="29" t="s">
        <v>152</v>
      </c>
      <c r="D49" s="191">
        <v>19784</v>
      </c>
      <c r="E49" s="167"/>
      <c r="F49" s="166"/>
      <c r="G49" s="166"/>
      <c r="H49" s="166"/>
      <c r="K49"/>
      <c r="L49"/>
      <c r="M49"/>
      <c r="N49"/>
    </row>
    <row r="50" spans="1:14" s="1" customFormat="1" ht="22.5" customHeight="1">
      <c r="A50" s="110" t="s">
        <v>240</v>
      </c>
      <c r="B50" s="28" t="s">
        <v>239</v>
      </c>
      <c r="C50" s="27" t="s">
        <v>41</v>
      </c>
      <c r="D50" s="191">
        <v>222.24</v>
      </c>
      <c r="E50" s="167"/>
      <c r="F50" s="166"/>
      <c r="G50" s="166"/>
      <c r="H50" s="166"/>
      <c r="K50"/>
      <c r="L50"/>
      <c r="M50"/>
      <c r="N50"/>
    </row>
    <row r="51" spans="1:14" s="1" customFormat="1" ht="15">
      <c r="A51" s="112" t="s">
        <v>61</v>
      </c>
      <c r="B51" s="22"/>
      <c r="C51" s="23"/>
      <c r="D51" s="16">
        <f>SUM(D30:D41)</f>
        <v>1251734.2880000002</v>
      </c>
      <c r="E51" s="166"/>
      <c r="F51" s="166"/>
      <c r="G51" s="166"/>
      <c r="H51" s="166"/>
      <c r="K51"/>
      <c r="L51"/>
      <c r="M51"/>
      <c r="N51"/>
    </row>
    <row r="52" spans="1:14" s="1" customFormat="1" ht="15">
      <c r="A52" s="112" t="s">
        <v>62</v>
      </c>
      <c r="B52" s="34" t="s">
        <v>14</v>
      </c>
      <c r="C52" s="23"/>
      <c r="D52" s="16">
        <f>C14+C19*1.0017+C25+C26-D41</f>
        <v>-88791.2704712</v>
      </c>
      <c r="E52" s="166"/>
      <c r="F52" s="166"/>
      <c r="G52" s="166"/>
      <c r="H52" s="166"/>
      <c r="K52"/>
      <c r="L52"/>
      <c r="M52"/>
      <c r="N52"/>
    </row>
    <row r="53" spans="1:8" ht="15">
      <c r="A53" s="33" t="s">
        <v>15</v>
      </c>
      <c r="B53" s="34" t="s">
        <v>14</v>
      </c>
      <c r="C53" s="23"/>
      <c r="D53" s="14">
        <v>0</v>
      </c>
      <c r="E53" s="166"/>
      <c r="F53" s="166"/>
      <c r="G53" s="166"/>
      <c r="H53" s="166"/>
    </row>
    <row r="54" spans="1:8" ht="15">
      <c r="A54" s="33" t="s">
        <v>16</v>
      </c>
      <c r="B54" s="34" t="s">
        <v>14</v>
      </c>
      <c r="C54" s="23"/>
      <c r="D54" s="14">
        <v>66300.27</v>
      </c>
      <c r="E54" s="166"/>
      <c r="F54" s="166"/>
      <c r="G54" s="166"/>
      <c r="H54" s="166"/>
    </row>
    <row r="55" spans="1:8" ht="24" customHeight="1">
      <c r="A55" s="337" t="s">
        <v>63</v>
      </c>
      <c r="B55" s="337"/>
      <c r="C55" s="337"/>
      <c r="D55" s="337"/>
      <c r="E55" s="166"/>
      <c r="F55" s="166"/>
      <c r="G55" s="166"/>
      <c r="H55" s="166"/>
    </row>
    <row r="56" spans="1:8" ht="15">
      <c r="A56" s="33" t="s">
        <v>64</v>
      </c>
      <c r="B56" s="22" t="s">
        <v>65</v>
      </c>
      <c r="C56" s="23">
        <v>0</v>
      </c>
      <c r="D56" s="14">
        <v>0</v>
      </c>
      <c r="E56" s="166"/>
      <c r="F56" s="166"/>
      <c r="G56" s="166"/>
      <c r="H56" s="166"/>
    </row>
    <row r="57" spans="1:8" ht="15">
      <c r="A57" s="33" t="s">
        <v>66</v>
      </c>
      <c r="B57" s="22" t="s">
        <v>65</v>
      </c>
      <c r="C57" s="23">
        <v>0</v>
      </c>
      <c r="D57" s="14">
        <v>0</v>
      </c>
      <c r="E57" s="166"/>
      <c r="F57" s="166"/>
      <c r="G57" s="166"/>
      <c r="H57" s="166"/>
    </row>
    <row r="58" spans="1:8" ht="15">
      <c r="A58" s="35" t="s">
        <v>67</v>
      </c>
      <c r="B58" s="22" t="s">
        <v>65</v>
      </c>
      <c r="C58" s="23">
        <v>0</v>
      </c>
      <c r="D58" s="14">
        <v>0</v>
      </c>
      <c r="E58" s="166"/>
      <c r="F58" s="166"/>
      <c r="G58" s="166"/>
      <c r="H58" s="166"/>
    </row>
    <row r="59" spans="1:8" ht="15">
      <c r="A59" s="33" t="s">
        <v>68</v>
      </c>
      <c r="B59" s="22" t="s">
        <v>14</v>
      </c>
      <c r="C59" s="23">
        <v>0</v>
      </c>
      <c r="D59" s="14">
        <v>0</v>
      </c>
      <c r="E59" s="166"/>
      <c r="F59" s="166"/>
      <c r="G59" s="166"/>
      <c r="H59" s="166"/>
    </row>
    <row r="60" spans="1:8" ht="20.25" customHeight="1">
      <c r="A60" s="338" t="s">
        <v>69</v>
      </c>
      <c r="B60" s="338"/>
      <c r="C60" s="338"/>
      <c r="D60" s="338"/>
      <c r="E60" s="166"/>
      <c r="F60" s="166"/>
      <c r="G60" s="166"/>
      <c r="H60" s="166"/>
    </row>
    <row r="61" spans="1:8" ht="25.5">
      <c r="A61" s="35" t="s">
        <v>70</v>
      </c>
      <c r="B61" s="22" t="s">
        <v>14</v>
      </c>
      <c r="C61" s="23"/>
      <c r="D61" s="23">
        <v>0</v>
      </c>
      <c r="E61" s="166"/>
      <c r="F61" s="166"/>
      <c r="G61" s="166"/>
      <c r="H61" s="166"/>
    </row>
    <row r="62" spans="1:8" ht="15">
      <c r="A62" s="33" t="s">
        <v>15</v>
      </c>
      <c r="B62" s="22" t="s">
        <v>14</v>
      </c>
      <c r="C62" s="23"/>
      <c r="D62" s="23">
        <v>0</v>
      </c>
      <c r="E62" s="166"/>
      <c r="F62" s="166"/>
      <c r="G62" s="166"/>
      <c r="H62" s="166"/>
    </row>
    <row r="63" spans="1:8" ht="15">
      <c r="A63" s="33" t="s">
        <v>16</v>
      </c>
      <c r="B63" s="22" t="s">
        <v>14</v>
      </c>
      <c r="C63" s="23"/>
      <c r="D63" s="117">
        <f>D66-D69-D70-D71-D72</f>
        <v>132535.3456820002</v>
      </c>
      <c r="E63" s="166"/>
      <c r="F63" s="166"/>
      <c r="G63" s="166"/>
      <c r="H63" s="168"/>
    </row>
    <row r="64" spans="1:8" ht="15">
      <c r="A64" s="97" t="s">
        <v>115</v>
      </c>
      <c r="B64" s="22" t="s">
        <v>14</v>
      </c>
      <c r="C64" s="115"/>
      <c r="D64" s="115">
        <v>0</v>
      </c>
      <c r="E64" s="166"/>
      <c r="F64" s="166"/>
      <c r="G64" s="166"/>
      <c r="H64" s="166"/>
    </row>
    <row r="65" spans="1:10" ht="17.25" customHeight="1">
      <c r="A65" s="40" t="s">
        <v>15</v>
      </c>
      <c r="B65" s="22" t="s">
        <v>14</v>
      </c>
      <c r="C65" s="23"/>
      <c r="D65" s="23">
        <v>0</v>
      </c>
      <c r="E65" s="166"/>
      <c r="F65" s="166"/>
      <c r="G65" s="166"/>
      <c r="H65" s="166"/>
      <c r="I65" s="36"/>
      <c r="J65" s="36"/>
    </row>
    <row r="66" spans="1:14" ht="15">
      <c r="A66" s="41" t="s">
        <v>16</v>
      </c>
      <c r="B66" s="22" t="s">
        <v>14</v>
      </c>
      <c r="C66" s="42"/>
      <c r="D66" s="42">
        <v>128052.28</v>
      </c>
      <c r="E66" s="166"/>
      <c r="F66" s="166"/>
      <c r="G66" s="166"/>
      <c r="H66" s="166" t="s">
        <v>30</v>
      </c>
      <c r="I66" s="43"/>
      <c r="J66" s="43"/>
      <c r="K66" s="44"/>
      <c r="L66" s="44"/>
      <c r="M66" s="44"/>
      <c r="N66" s="44"/>
    </row>
    <row r="67" spans="1:14" ht="18" customHeight="1">
      <c r="A67" s="339" t="s">
        <v>72</v>
      </c>
      <c r="B67" s="339"/>
      <c r="C67" s="339"/>
      <c r="D67" s="339"/>
      <c r="E67" s="171"/>
      <c r="F67" s="175"/>
      <c r="G67" s="176"/>
      <c r="H67" s="166"/>
      <c r="I67" s="48"/>
      <c r="J67" s="48"/>
      <c r="K67" s="49"/>
      <c r="L67" s="49"/>
      <c r="M67" s="49"/>
      <c r="N67" s="49"/>
    </row>
    <row r="68" spans="1:14" ht="78.75">
      <c r="A68" s="50" t="s">
        <v>73</v>
      </c>
      <c r="B68" s="51" t="s">
        <v>74</v>
      </c>
      <c r="C68" s="52" t="s">
        <v>75</v>
      </c>
      <c r="D68" s="53" t="s">
        <v>116</v>
      </c>
      <c r="E68" s="171"/>
      <c r="F68" s="175"/>
      <c r="G68" s="176"/>
      <c r="H68" s="166"/>
      <c r="I68" s="48"/>
      <c r="J68" s="48"/>
      <c r="K68" s="49"/>
      <c r="L68" s="49"/>
      <c r="M68" s="49"/>
      <c r="N68" s="49"/>
    </row>
    <row r="69" spans="1:14" ht="15">
      <c r="A69" s="55" t="s">
        <v>77</v>
      </c>
      <c r="B69" s="13">
        <v>154126.88</v>
      </c>
      <c r="C69" s="56">
        <f>B69*1.0017</f>
        <v>154388.89569600002</v>
      </c>
      <c r="D69" s="57">
        <f>B69-C69</f>
        <v>-262.01569600001676</v>
      </c>
      <c r="E69" s="171"/>
      <c r="F69" s="175"/>
      <c r="G69" s="176"/>
      <c r="H69" s="166"/>
      <c r="I69" s="48"/>
      <c r="J69" s="48"/>
      <c r="K69" s="49"/>
      <c r="L69" s="49"/>
      <c r="M69" s="49"/>
      <c r="N69" s="49"/>
    </row>
    <row r="70" spans="1:14" ht="15">
      <c r="A70" s="55" t="s">
        <v>78</v>
      </c>
      <c r="B70" s="13">
        <v>291288.48</v>
      </c>
      <c r="C70" s="56">
        <f>B70*1.0017</f>
        <v>291783.670416</v>
      </c>
      <c r="D70" s="57">
        <f>B70-C70</f>
        <v>-495.19041600002674</v>
      </c>
      <c r="E70" s="171"/>
      <c r="F70" s="175"/>
      <c r="G70" s="176"/>
      <c r="H70" s="166"/>
      <c r="I70" s="48"/>
      <c r="J70" s="48"/>
      <c r="K70" s="49"/>
      <c r="L70" s="49"/>
      <c r="M70" s="49"/>
      <c r="N70" s="49"/>
    </row>
    <row r="71" spans="1:14" ht="15">
      <c r="A71" s="55" t="s">
        <v>79</v>
      </c>
      <c r="B71" s="99">
        <v>1780537.11</v>
      </c>
      <c r="C71" s="56">
        <f>B71*1.0017</f>
        <v>1783564.0230870002</v>
      </c>
      <c r="D71" s="57">
        <f>B71-C71</f>
        <v>-3026.913087000139</v>
      </c>
      <c r="E71" s="171">
        <f>(2.07+1.8)*6*2301.2-0.37*2301.2*6</f>
        <v>48325.2</v>
      </c>
      <c r="F71" s="178"/>
      <c r="G71" s="179"/>
      <c r="H71" s="171"/>
      <c r="I71" s="48"/>
      <c r="J71" s="48"/>
      <c r="K71" s="49"/>
      <c r="L71" s="49"/>
      <c r="M71" s="49"/>
      <c r="N71" s="49"/>
    </row>
    <row r="72" spans="1:14" ht="15">
      <c r="A72" s="55" t="s">
        <v>80</v>
      </c>
      <c r="B72" s="99">
        <v>411144.99</v>
      </c>
      <c r="C72" s="56">
        <f>B72*1.0017</f>
        <v>411843.936483</v>
      </c>
      <c r="D72" s="57">
        <f>B72-C72</f>
        <v>-698.946483000007</v>
      </c>
      <c r="E72" s="171"/>
      <c r="F72" s="178"/>
      <c r="G72" s="179"/>
      <c r="H72" s="166"/>
      <c r="I72" s="48"/>
      <c r="J72" s="48"/>
      <c r="K72" s="49"/>
      <c r="L72" s="49"/>
      <c r="M72" s="49"/>
      <c r="N72" s="49"/>
    </row>
    <row r="73" spans="1:14" ht="15.75" thickBot="1">
      <c r="A73" s="137" t="s">
        <v>81</v>
      </c>
      <c r="B73" s="138">
        <v>0</v>
      </c>
      <c r="C73" s="139">
        <f>B73*1.0046</f>
        <v>0</v>
      </c>
      <c r="D73" s="140">
        <f>B73-C73</f>
        <v>0</v>
      </c>
      <c r="E73" s="171"/>
      <c r="F73" s="178"/>
      <c r="G73" s="179"/>
      <c r="H73" s="166"/>
      <c r="I73" s="48"/>
      <c r="J73" s="48"/>
      <c r="K73" s="49"/>
      <c r="L73" s="49"/>
      <c r="M73" s="49"/>
      <c r="N73" s="49"/>
    </row>
    <row r="74" spans="1:14" ht="110.25">
      <c r="A74" s="141" t="s">
        <v>82</v>
      </c>
      <c r="B74" s="142" t="s">
        <v>83</v>
      </c>
      <c r="C74" s="143" t="s">
        <v>84</v>
      </c>
      <c r="D74" s="144" t="s">
        <v>85</v>
      </c>
      <c r="E74" s="171"/>
      <c r="F74" s="178"/>
      <c r="G74" s="166"/>
      <c r="H74" s="170"/>
      <c r="I74" s="48"/>
      <c r="J74" s="48"/>
      <c r="K74" s="49"/>
      <c r="L74" s="49"/>
      <c r="M74" s="49"/>
      <c r="N74" s="49"/>
    </row>
    <row r="75" spans="1:14" ht="15">
      <c r="A75" s="145" t="s">
        <v>77</v>
      </c>
      <c r="B75" s="113">
        <f aca="true" t="shared" si="0" ref="B75:C78">B69</f>
        <v>154126.88</v>
      </c>
      <c r="C75" s="114">
        <f t="shared" si="0"/>
        <v>154388.89569600002</v>
      </c>
      <c r="D75" s="146">
        <f>B75-C75</f>
        <v>-262.01569600001676</v>
      </c>
      <c r="E75" s="171"/>
      <c r="F75" s="178"/>
      <c r="G75" s="166"/>
      <c r="H75" s="170"/>
      <c r="I75" s="48"/>
      <c r="J75" s="48" t="s">
        <v>30</v>
      </c>
      <c r="K75" s="49"/>
      <c r="L75" s="49"/>
      <c r="M75" s="49"/>
      <c r="N75" s="49"/>
    </row>
    <row r="76" spans="1:14" ht="15">
      <c r="A76" s="145" t="s">
        <v>78</v>
      </c>
      <c r="B76" s="113">
        <f t="shared" si="0"/>
        <v>291288.48</v>
      </c>
      <c r="C76" s="114">
        <f t="shared" si="0"/>
        <v>291783.670416</v>
      </c>
      <c r="D76" s="146">
        <f>B76-C76</f>
        <v>-495.19041600002674</v>
      </c>
      <c r="E76" s="171"/>
      <c r="F76" s="178"/>
      <c r="G76" s="166"/>
      <c r="H76" s="170"/>
      <c r="I76" s="48"/>
      <c r="J76" s="48"/>
      <c r="K76" s="49"/>
      <c r="L76" s="49"/>
      <c r="M76" s="49"/>
      <c r="N76" s="49"/>
    </row>
    <row r="77" spans="1:14" ht="15">
      <c r="A77" s="145" t="s">
        <v>79</v>
      </c>
      <c r="B77" s="113">
        <f t="shared" si="0"/>
        <v>1780537.11</v>
      </c>
      <c r="C77" s="114">
        <f t="shared" si="0"/>
        <v>1783564.0230870002</v>
      </c>
      <c r="D77" s="146">
        <f>B77-C77</f>
        <v>-3026.913087000139</v>
      </c>
      <c r="E77" s="171"/>
      <c r="F77" s="178"/>
      <c r="G77" s="166"/>
      <c r="H77" s="170"/>
      <c r="I77" s="48"/>
      <c r="J77" s="48"/>
      <c r="K77" s="49"/>
      <c r="L77" s="49"/>
      <c r="M77" s="49"/>
      <c r="N77" s="49"/>
    </row>
    <row r="78" spans="1:14" ht="15">
      <c r="A78" s="145" t="s">
        <v>80</v>
      </c>
      <c r="B78" s="113">
        <f t="shared" si="0"/>
        <v>411144.99</v>
      </c>
      <c r="C78" s="114">
        <f t="shared" si="0"/>
        <v>411843.936483</v>
      </c>
      <c r="D78" s="146">
        <f>B78-C78</f>
        <v>-698.946483000007</v>
      </c>
      <c r="E78" s="171"/>
      <c r="F78" s="178"/>
      <c r="G78" s="166"/>
      <c r="H78" s="170"/>
      <c r="I78" s="48"/>
      <c r="J78" s="48"/>
      <c r="K78" s="49"/>
      <c r="L78" s="49"/>
      <c r="M78" s="49"/>
      <c r="N78" s="49"/>
    </row>
    <row r="79" spans="1:14" ht="15.75" thickBot="1">
      <c r="A79" s="147" t="s">
        <v>81</v>
      </c>
      <c r="B79" s="148"/>
      <c r="C79" s="149"/>
      <c r="D79" s="150">
        <f>B79-C79</f>
        <v>0</v>
      </c>
      <c r="E79" s="171"/>
      <c r="F79" s="178"/>
      <c r="G79" s="166"/>
      <c r="H79" s="170" t="s">
        <v>30</v>
      </c>
      <c r="I79" s="48"/>
      <c r="J79" s="48"/>
      <c r="K79" s="49"/>
      <c r="L79" s="49"/>
      <c r="M79" s="49"/>
      <c r="N79" s="49"/>
    </row>
    <row r="80" spans="1:14" ht="15">
      <c r="A80" s="61"/>
      <c r="B80" s="60"/>
      <c r="C80" s="62"/>
      <c r="D80" s="63"/>
      <c r="E80" s="171"/>
      <c r="F80" s="178"/>
      <c r="G80" s="166"/>
      <c r="H80" s="170"/>
      <c r="I80" s="48"/>
      <c r="J80" s="48"/>
      <c r="K80" s="49"/>
      <c r="L80" s="49"/>
      <c r="M80" s="49"/>
      <c r="N80" s="49"/>
    </row>
    <row r="81" spans="1:14" ht="25.5">
      <c r="A81" s="64" t="s">
        <v>86</v>
      </c>
      <c r="B81" s="60" t="s">
        <v>14</v>
      </c>
      <c r="C81" s="65">
        <v>0</v>
      </c>
      <c r="D81" s="66"/>
      <c r="E81" s="171"/>
      <c r="F81" s="178"/>
      <c r="G81" s="166"/>
      <c r="H81" s="170"/>
      <c r="I81" s="48"/>
      <c r="J81" s="48" t="s">
        <v>30</v>
      </c>
      <c r="K81" s="49"/>
      <c r="L81" s="49"/>
      <c r="M81" s="49"/>
      <c r="N81" s="49"/>
    </row>
    <row r="82" spans="1:14" ht="17.25" customHeight="1">
      <c r="A82" s="345" t="s">
        <v>87</v>
      </c>
      <c r="B82" s="345"/>
      <c r="C82" s="345"/>
      <c r="D82" s="345"/>
      <c r="E82" s="67" t="e">
        <f>D82+B18</f>
        <v>#VALUE!</v>
      </c>
      <c r="F82" s="48"/>
      <c r="H82" s="68" t="e">
        <f>E82-B17</f>
        <v>#VALUE!</v>
      </c>
      <c r="I82" s="48"/>
      <c r="J82" s="48"/>
      <c r="K82" s="49"/>
      <c r="L82" s="49"/>
      <c r="M82" s="49"/>
      <c r="N82" s="49"/>
    </row>
    <row r="83" spans="1:5" ht="21" customHeight="1">
      <c r="A83" s="69" t="s">
        <v>64</v>
      </c>
      <c r="B83" s="69" t="s">
        <v>65</v>
      </c>
      <c r="C83" s="132">
        <v>2</v>
      </c>
      <c r="D83" s="134"/>
      <c r="E83" s="72"/>
    </row>
    <row r="84" spans="1:5" ht="21" customHeight="1">
      <c r="A84" s="69" t="s">
        <v>66</v>
      </c>
      <c r="B84" s="69" t="s">
        <v>65</v>
      </c>
      <c r="C84" s="133">
        <v>2</v>
      </c>
      <c r="D84" s="134"/>
      <c r="E84" s="72"/>
    </row>
    <row r="85" spans="1:14" s="1" customFormat="1" ht="18" customHeight="1">
      <c r="A85" s="69" t="s">
        <v>67</v>
      </c>
      <c r="B85" s="69" t="s">
        <v>65</v>
      </c>
      <c r="C85" s="133">
        <v>0</v>
      </c>
      <c r="D85" s="134"/>
      <c r="E85" s="72"/>
      <c r="K85"/>
      <c r="L85"/>
      <c r="M85"/>
      <c r="N85"/>
    </row>
    <row r="86" spans="1:14" s="1" customFormat="1" ht="16.5" customHeight="1">
      <c r="A86" s="69" t="s">
        <v>68</v>
      </c>
      <c r="B86" s="69" t="s">
        <v>14</v>
      </c>
      <c r="C86" s="133">
        <v>899.85</v>
      </c>
      <c r="D86" s="134"/>
      <c r="E86" s="72"/>
      <c r="K86"/>
      <c r="L86"/>
      <c r="M86"/>
      <c r="N86"/>
    </row>
    <row r="87" spans="1:14" s="1" customFormat="1" ht="15.75" customHeight="1">
      <c r="A87" s="324" t="s">
        <v>88</v>
      </c>
      <c r="B87" s="324"/>
      <c r="C87" s="324"/>
      <c r="D87" s="324"/>
      <c r="E87" s="72"/>
      <c r="K87"/>
      <c r="L87"/>
      <c r="M87"/>
      <c r="N87"/>
    </row>
    <row r="88" spans="1:14" s="1" customFormat="1" ht="18.75" customHeight="1">
      <c r="A88" s="69" t="s">
        <v>89</v>
      </c>
      <c r="B88" s="69" t="s">
        <v>65</v>
      </c>
      <c r="C88" s="133">
        <v>2</v>
      </c>
      <c r="D88" s="134"/>
      <c r="E88" s="72"/>
      <c r="K88"/>
      <c r="L88"/>
      <c r="M88"/>
      <c r="N88"/>
    </row>
    <row r="89" spans="1:14" s="1" customFormat="1" ht="21.75" customHeight="1">
      <c r="A89" s="69" t="s">
        <v>90</v>
      </c>
      <c r="B89" s="40" t="s">
        <v>65</v>
      </c>
      <c r="C89" s="135">
        <v>1</v>
      </c>
      <c r="D89" s="134"/>
      <c r="E89" s="72"/>
      <c r="K89"/>
      <c r="L89"/>
      <c r="M89"/>
      <c r="N89"/>
    </row>
    <row r="90" spans="1:14" s="1" customFormat="1" ht="36" customHeight="1">
      <c r="A90" s="73" t="s">
        <v>91</v>
      </c>
      <c r="B90" s="69" t="s">
        <v>14</v>
      </c>
      <c r="C90" s="133">
        <v>76065</v>
      </c>
      <c r="D90" s="134"/>
      <c r="E90" s="72"/>
      <c r="K90"/>
      <c r="L90"/>
      <c r="M90"/>
      <c r="N90"/>
    </row>
    <row r="91" spans="1:14" s="1" customFormat="1" ht="15">
      <c r="A91" s="49"/>
      <c r="B91" s="49"/>
      <c r="C91" s="49"/>
      <c r="D91" s="74"/>
      <c r="K91"/>
      <c r="L91"/>
      <c r="M91"/>
      <c r="N91"/>
    </row>
    <row r="92" spans="1:14" s="1" customFormat="1" ht="12.75">
      <c r="A92"/>
      <c r="B92"/>
      <c r="C92"/>
      <c r="D92"/>
      <c r="H92" s="1" t="s">
        <v>30</v>
      </c>
      <c r="K92"/>
      <c r="L92"/>
      <c r="M92"/>
      <c r="N92"/>
    </row>
    <row r="93" spans="1:14" s="1" customFormat="1" ht="12.75">
      <c r="A93" s="242" t="s">
        <v>328</v>
      </c>
      <c r="B93"/>
      <c r="C93"/>
      <c r="D93"/>
      <c r="K93"/>
      <c r="L93"/>
      <c r="M93"/>
      <c r="N93"/>
    </row>
    <row r="94" spans="1:14" s="1" customFormat="1" ht="12.75">
      <c r="A94"/>
      <c r="B94"/>
      <c r="C94"/>
      <c r="D94"/>
      <c r="H94" s="1" t="s">
        <v>30</v>
      </c>
      <c r="K94"/>
      <c r="L94"/>
      <c r="M94"/>
      <c r="N94"/>
    </row>
    <row r="95" spans="1:14" s="1" customFormat="1" ht="12.75">
      <c r="A95" t="s">
        <v>93</v>
      </c>
      <c r="B95"/>
      <c r="C95"/>
      <c r="D95"/>
      <c r="K95"/>
      <c r="L95"/>
      <c r="M95"/>
      <c r="N95"/>
    </row>
    <row r="99" spans="1:14" s="1" customFormat="1" ht="12.75">
      <c r="A99"/>
      <c r="B99"/>
      <c r="C99"/>
      <c r="D99"/>
      <c r="E99" s="1" t="s">
        <v>30</v>
      </c>
      <c r="K99"/>
      <c r="L99"/>
      <c r="M99"/>
      <c r="N99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13:D13"/>
    <mergeCell ref="A28:D28"/>
    <mergeCell ref="A55:D55"/>
    <mergeCell ref="A60:D60"/>
    <mergeCell ref="A67:D67"/>
    <mergeCell ref="A82:D82"/>
    <mergeCell ref="A87:D8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80" zoomScaleNormal="80" zoomScalePageLayoutView="0" workbookViewId="0" topLeftCell="A22">
      <selection activeCell="D39" sqref="D39"/>
    </sheetView>
  </sheetViews>
  <sheetFormatPr defaultColWidth="11.57421875" defaultRowHeight="12.75"/>
  <cols>
    <col min="1" max="1" width="58.140625" style="0" customWidth="1"/>
    <col min="2" max="2" width="16.28125" style="0" customWidth="1"/>
    <col min="3" max="3" width="24.851562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341" t="s">
        <v>0</v>
      </c>
      <c r="B1" s="341"/>
      <c r="C1" s="341"/>
      <c r="D1" s="341"/>
    </row>
    <row r="2" spans="1:4" ht="15.75">
      <c r="A2" s="342" t="s">
        <v>1</v>
      </c>
      <c r="B2" s="342"/>
      <c r="C2" s="342"/>
      <c r="D2" s="342"/>
    </row>
    <row r="3" spans="1:4" ht="15.75">
      <c r="A3" s="342" t="s">
        <v>2</v>
      </c>
      <c r="B3" s="342"/>
      <c r="C3" s="342"/>
      <c r="D3" s="342"/>
    </row>
    <row r="4" spans="1:4" ht="12.75">
      <c r="A4" s="331" t="s">
        <v>125</v>
      </c>
      <c r="B4" s="331"/>
      <c r="C4" s="331"/>
      <c r="D4" s="331"/>
    </row>
    <row r="5" spans="1:4" ht="12.75">
      <c r="A5" s="332" t="s">
        <v>132</v>
      </c>
      <c r="B5" s="331"/>
      <c r="C5" s="331"/>
      <c r="D5" s="331"/>
    </row>
    <row r="6" ht="9" customHeight="1">
      <c r="A6" s="2"/>
    </row>
    <row r="7" spans="1:4" ht="22.5" customHeight="1">
      <c r="A7" s="107" t="s">
        <v>5</v>
      </c>
      <c r="B7" s="107"/>
      <c r="C7" s="107"/>
      <c r="D7" s="107"/>
    </row>
    <row r="8" spans="1:4" ht="18.75" customHeight="1">
      <c r="A8" s="187" t="s">
        <v>241</v>
      </c>
      <c r="B8" s="107"/>
      <c r="C8" s="107"/>
      <c r="D8" s="107"/>
    </row>
    <row r="9" spans="1:4" ht="12.75">
      <c r="A9" s="6">
        <v>1</v>
      </c>
      <c r="B9" s="6">
        <v>2</v>
      </c>
      <c r="C9" s="6">
        <v>3</v>
      </c>
      <c r="D9" s="7">
        <v>4</v>
      </c>
    </row>
    <row r="10" spans="1:4" ht="12.75">
      <c r="A10" s="8" t="s">
        <v>9</v>
      </c>
      <c r="B10" s="9"/>
      <c r="C10" s="185" t="s">
        <v>133</v>
      </c>
      <c r="D10" s="10"/>
    </row>
    <row r="11" spans="1:4" ht="12.75">
      <c r="A11" s="8" t="s">
        <v>10</v>
      </c>
      <c r="B11" s="9"/>
      <c r="C11" s="185" t="s">
        <v>134</v>
      </c>
      <c r="D11" s="10"/>
    </row>
    <row r="12" spans="1:8" ht="12.75">
      <c r="A12" s="8" t="s">
        <v>11</v>
      </c>
      <c r="B12" s="9"/>
      <c r="C12" s="185" t="s">
        <v>135</v>
      </c>
      <c r="D12" s="10"/>
      <c r="E12" s="166"/>
      <c r="F12" s="166"/>
      <c r="G12" s="166"/>
      <c r="H12" s="166"/>
    </row>
    <row r="13" spans="1:8" ht="31.5" customHeight="1">
      <c r="A13" s="335" t="s">
        <v>12</v>
      </c>
      <c r="B13" s="335"/>
      <c r="C13" s="335"/>
      <c r="D13" s="335"/>
      <c r="E13" s="166"/>
      <c r="F13" s="166"/>
      <c r="G13" s="166"/>
      <c r="H13" s="166"/>
    </row>
    <row r="14" spans="1:14" s="1" customFormat="1" ht="15">
      <c r="A14" s="8" t="s">
        <v>107</v>
      </c>
      <c r="B14" s="12" t="s">
        <v>14</v>
      </c>
      <c r="C14" s="13">
        <v>213045.45</v>
      </c>
      <c r="D14" s="14"/>
      <c r="E14" s="166"/>
      <c r="F14" s="166"/>
      <c r="G14" s="166"/>
      <c r="H14" s="166"/>
      <c r="K14"/>
      <c r="L14"/>
      <c r="M14"/>
      <c r="N14"/>
    </row>
    <row r="15" spans="1:14" s="1" customFormat="1" ht="15">
      <c r="A15" s="8" t="s">
        <v>15</v>
      </c>
      <c r="B15" s="12" t="s">
        <v>14</v>
      </c>
      <c r="C15" s="13">
        <v>0</v>
      </c>
      <c r="D15" s="14"/>
      <c r="E15" s="166"/>
      <c r="F15" s="166"/>
      <c r="G15" s="166"/>
      <c r="H15" s="166"/>
      <c r="K15"/>
      <c r="L15"/>
      <c r="M15"/>
      <c r="N15"/>
    </row>
    <row r="16" spans="1:14" s="1" customFormat="1" ht="15">
      <c r="A16" s="8" t="s">
        <v>16</v>
      </c>
      <c r="B16" s="12" t="s">
        <v>14</v>
      </c>
      <c r="C16" s="15">
        <v>74520.01</v>
      </c>
      <c r="D16" s="16"/>
      <c r="E16" s="166" t="e">
        <f>B16/12/1022.6</f>
        <v>#VALUE!</v>
      </c>
      <c r="F16" s="166"/>
      <c r="G16" s="166"/>
      <c r="H16" s="166"/>
      <c r="K16"/>
      <c r="L16"/>
      <c r="M16"/>
      <c r="N16"/>
    </row>
    <row r="17" spans="1:14" s="1" customFormat="1" ht="31.5" customHeight="1">
      <c r="A17" s="11" t="s">
        <v>17</v>
      </c>
      <c r="B17" s="12" t="s">
        <v>14</v>
      </c>
      <c r="C17" s="15">
        <f>C18+C19+C20</f>
        <v>884547.838</v>
      </c>
      <c r="D17" s="16"/>
      <c r="E17" s="173">
        <f>C17-C19</f>
        <v>709146.022</v>
      </c>
      <c r="F17" s="166"/>
      <c r="G17" s="166"/>
      <c r="H17" s="166"/>
      <c r="K17"/>
      <c r="L17"/>
      <c r="M17"/>
      <c r="N17"/>
    </row>
    <row r="18" spans="1:8" ht="15">
      <c r="A18" s="8" t="s">
        <v>18</v>
      </c>
      <c r="B18" s="12" t="s">
        <v>14</v>
      </c>
      <c r="C18" s="15">
        <v>463885.03</v>
      </c>
      <c r="D18" s="16"/>
      <c r="E18" s="173">
        <f>E17-E46</f>
        <v>-0.001999999978579581</v>
      </c>
      <c r="F18" s="166"/>
      <c r="G18" s="166"/>
      <c r="H18" s="166"/>
    </row>
    <row r="19" spans="1:8" ht="15.75">
      <c r="A19" s="8" t="s">
        <v>19</v>
      </c>
      <c r="B19" s="12" t="s">
        <v>14</v>
      </c>
      <c r="C19" s="351">
        <f>(3.95+3.03)*6*4188.2</f>
        <v>175401.816</v>
      </c>
      <c r="D19" s="16"/>
      <c r="E19" s="174"/>
      <c r="F19" s="166"/>
      <c r="G19" s="166"/>
      <c r="H19" s="166"/>
    </row>
    <row r="20" spans="1:8" ht="15">
      <c r="A20" s="8" t="s">
        <v>20</v>
      </c>
      <c r="B20" s="12" t="s">
        <v>14</v>
      </c>
      <c r="C20" s="15">
        <f>4.88*12*4188.2</f>
        <v>245260.992</v>
      </c>
      <c r="D20" s="16"/>
      <c r="E20" s="174"/>
      <c r="F20" s="166"/>
      <c r="G20" s="166"/>
      <c r="H20" s="166"/>
    </row>
    <row r="21" spans="1:8" ht="15">
      <c r="A21" s="8" t="s">
        <v>21</v>
      </c>
      <c r="B21" s="12" t="s">
        <v>14</v>
      </c>
      <c r="C21" s="15">
        <f>C22+C23+C24+C25+C26</f>
        <v>897687.9197296</v>
      </c>
      <c r="D21" s="16" t="s">
        <v>22</v>
      </c>
      <c r="E21" s="173"/>
      <c r="F21" s="166"/>
      <c r="G21" s="166"/>
      <c r="H21" s="166"/>
    </row>
    <row r="22" spans="1:8" ht="15">
      <c r="A22" s="8" t="s">
        <v>23</v>
      </c>
      <c r="B22" s="12" t="s">
        <v>14</v>
      </c>
      <c r="C22" s="15">
        <f>C17*0.9992</f>
        <v>883840.1997296</v>
      </c>
      <c r="D22" s="16"/>
      <c r="E22" s="166"/>
      <c r="F22" s="166"/>
      <c r="G22" s="166"/>
      <c r="H22" s="166"/>
    </row>
    <row r="23" spans="1:8" ht="15">
      <c r="A23" s="8" t="s">
        <v>24</v>
      </c>
      <c r="B23" s="12" t="s">
        <v>14</v>
      </c>
      <c r="C23" s="15">
        <v>0</v>
      </c>
      <c r="D23" s="16"/>
      <c r="E23" s="174"/>
      <c r="F23" s="166"/>
      <c r="G23" s="166"/>
      <c r="H23" s="166"/>
    </row>
    <row r="24" spans="1:8" ht="15">
      <c r="A24" s="8" t="s">
        <v>26</v>
      </c>
      <c r="B24" s="12" t="s">
        <v>14</v>
      </c>
      <c r="C24" s="15">
        <v>0</v>
      </c>
      <c r="D24" s="16"/>
      <c r="E24" s="174"/>
      <c r="F24" s="166"/>
      <c r="G24" s="166"/>
      <c r="H24" s="166"/>
    </row>
    <row r="25" spans="1:8" ht="15">
      <c r="A25" s="9" t="s">
        <v>27</v>
      </c>
      <c r="B25" s="12" t="s">
        <v>14</v>
      </c>
      <c r="C25" s="15">
        <v>11496.72</v>
      </c>
      <c r="D25" s="16"/>
      <c r="E25" s="174" t="e">
        <f>B25/#REF!*1</f>
        <v>#VALUE!</v>
      </c>
      <c r="F25" s="166"/>
      <c r="G25" s="166"/>
      <c r="H25" s="166"/>
    </row>
    <row r="26" spans="1:8" ht="15">
      <c r="A26" s="9" t="s">
        <v>28</v>
      </c>
      <c r="B26" s="12" t="s">
        <v>14</v>
      </c>
      <c r="C26" s="15">
        <v>2351</v>
      </c>
      <c r="D26" s="16"/>
      <c r="E26" s="174" t="e">
        <f>B26/#REF!*1</f>
        <v>#VALUE!</v>
      </c>
      <c r="F26" s="166"/>
      <c r="G26" s="166"/>
      <c r="H26" s="166"/>
    </row>
    <row r="27" spans="1:8" ht="15">
      <c r="A27" s="8" t="s">
        <v>29</v>
      </c>
      <c r="B27" s="12" t="s">
        <v>14</v>
      </c>
      <c r="C27" s="15">
        <f>C14+C21</f>
        <v>1110733.3697296</v>
      </c>
      <c r="D27" s="16" t="s">
        <v>30</v>
      </c>
      <c r="E27" s="174" t="e">
        <f>B27/#REF!*1</f>
        <v>#VALUE!</v>
      </c>
      <c r="F27" s="166"/>
      <c r="G27" s="166"/>
      <c r="H27" s="166"/>
    </row>
    <row r="28" spans="1:8" ht="35.25" customHeight="1">
      <c r="A28" s="338" t="s">
        <v>31</v>
      </c>
      <c r="B28" s="338"/>
      <c r="C28" s="338"/>
      <c r="D28" s="338"/>
      <c r="E28" s="166"/>
      <c r="F28" s="166"/>
      <c r="G28" s="166"/>
      <c r="H28" s="166"/>
    </row>
    <row r="29" spans="1:8" ht="60">
      <c r="A29" s="35" t="s">
        <v>32</v>
      </c>
      <c r="B29" s="26" t="s">
        <v>33</v>
      </c>
      <c r="C29" s="108" t="s">
        <v>34</v>
      </c>
      <c r="D29" s="109" t="s">
        <v>35</v>
      </c>
      <c r="E29" s="166"/>
      <c r="F29" s="166"/>
      <c r="G29" s="166"/>
      <c r="H29" s="166"/>
    </row>
    <row r="30" spans="1:8" ht="30">
      <c r="A30" s="33" t="s">
        <v>108</v>
      </c>
      <c r="B30" s="22" t="s">
        <v>37</v>
      </c>
      <c r="C30" s="29" t="s">
        <v>38</v>
      </c>
      <c r="D30" s="16">
        <f>(0.38+0.37)*6*4188.2</f>
        <v>18846.899999999998</v>
      </c>
      <c r="E30" s="166"/>
      <c r="F30" s="166"/>
      <c r="G30" s="166"/>
      <c r="H30" s="166"/>
    </row>
    <row r="31" spans="1:8" ht="15">
      <c r="A31" s="33" t="s">
        <v>96</v>
      </c>
      <c r="B31" s="22" t="s">
        <v>40</v>
      </c>
      <c r="C31" s="23" t="s">
        <v>41</v>
      </c>
      <c r="D31" s="16">
        <f>(2.34+2.45)*6*4188.2</f>
        <v>120368.868</v>
      </c>
      <c r="E31" s="166"/>
      <c r="F31" s="166"/>
      <c r="G31" s="166"/>
      <c r="H31" s="166"/>
    </row>
    <row r="32" spans="1:14" s="1" customFormat="1" ht="15">
      <c r="A32" s="33" t="s">
        <v>42</v>
      </c>
      <c r="B32" s="22" t="s">
        <v>43</v>
      </c>
      <c r="C32" s="23" t="s">
        <v>44</v>
      </c>
      <c r="D32" s="16">
        <f>(3+3.03)*6*4188.2</f>
        <v>151529.07599999997</v>
      </c>
      <c r="E32" s="166"/>
      <c r="F32" s="166"/>
      <c r="G32" s="166"/>
      <c r="H32" s="166"/>
      <c r="K32"/>
      <c r="L32"/>
      <c r="M32"/>
      <c r="N32"/>
    </row>
    <row r="33" spans="1:14" s="1" customFormat="1" ht="15">
      <c r="A33" s="33" t="s">
        <v>109</v>
      </c>
      <c r="B33" s="22" t="s">
        <v>37</v>
      </c>
      <c r="C33" s="23" t="s">
        <v>46</v>
      </c>
      <c r="D33" s="16">
        <f>(0.2+0.21)*6*4188.2</f>
        <v>10302.972</v>
      </c>
      <c r="E33" s="166"/>
      <c r="F33" s="166"/>
      <c r="G33" s="166"/>
      <c r="H33" s="166"/>
      <c r="K33"/>
      <c r="L33"/>
      <c r="M33"/>
      <c r="N33"/>
    </row>
    <row r="34" spans="1:14" s="1" customFormat="1" ht="15">
      <c r="A34" s="33" t="s">
        <v>118</v>
      </c>
      <c r="B34" s="22" t="s">
        <v>48</v>
      </c>
      <c r="C34" s="23" t="s">
        <v>49</v>
      </c>
      <c r="D34" s="16">
        <f>(0.55+0.53)*6*4188.2</f>
        <v>27139.536</v>
      </c>
      <c r="E34" s="166"/>
      <c r="F34" s="166"/>
      <c r="G34" s="166"/>
      <c r="H34" s="166"/>
      <c r="K34"/>
      <c r="L34"/>
      <c r="M34"/>
      <c r="N34"/>
    </row>
    <row r="35" spans="1:14" s="1" customFormat="1" ht="15">
      <c r="A35" s="33" t="s">
        <v>98</v>
      </c>
      <c r="B35" s="22" t="s">
        <v>37</v>
      </c>
      <c r="C35" s="23" t="s">
        <v>49</v>
      </c>
      <c r="D35" s="16">
        <f>(1.16+1.22)*6*4188.2</f>
        <v>59807.49599999999</v>
      </c>
      <c r="E35" s="166"/>
      <c r="F35" s="166"/>
      <c r="G35" s="166"/>
      <c r="H35" s="166"/>
      <c r="K35"/>
      <c r="L35"/>
      <c r="M35"/>
      <c r="N35"/>
    </row>
    <row r="36" spans="1:14" s="1" customFormat="1" ht="15">
      <c r="A36" s="33" t="s">
        <v>51</v>
      </c>
      <c r="B36" s="22" t="s">
        <v>52</v>
      </c>
      <c r="C36" s="23" t="s">
        <v>49</v>
      </c>
      <c r="D36" s="16">
        <f>(1.27+1.33)*6*4188.2</f>
        <v>65335.920000000006</v>
      </c>
      <c r="E36" s="166"/>
      <c r="F36" s="166"/>
      <c r="G36" s="166"/>
      <c r="H36" s="166"/>
      <c r="K36"/>
      <c r="L36"/>
      <c r="M36"/>
      <c r="N36"/>
    </row>
    <row r="37" spans="1:14" s="1" customFormat="1" ht="45">
      <c r="A37" s="33" t="s">
        <v>114</v>
      </c>
      <c r="B37" s="22" t="s">
        <v>102</v>
      </c>
      <c r="C37" s="29" t="s">
        <v>103</v>
      </c>
      <c r="D37" s="16">
        <f>0.42*6*4188.2</f>
        <v>10554.264</v>
      </c>
      <c r="E37" s="166"/>
      <c r="F37" s="166"/>
      <c r="G37" s="166"/>
      <c r="H37" s="166"/>
      <c r="K37"/>
      <c r="L37"/>
      <c r="M37"/>
      <c r="N37"/>
    </row>
    <row r="38" spans="1:14" s="1" customFormat="1" ht="15">
      <c r="A38" s="33" t="s">
        <v>111</v>
      </c>
      <c r="B38" s="22" t="s">
        <v>43</v>
      </c>
      <c r="C38" s="27" t="s">
        <v>54</v>
      </c>
      <c r="D38" s="16">
        <f>4.88*12*4188.2</f>
        <v>245260.992</v>
      </c>
      <c r="E38" s="166"/>
      <c r="F38" s="166"/>
      <c r="G38" s="166"/>
      <c r="H38" s="166"/>
      <c r="K38"/>
      <c r="L38"/>
      <c r="M38"/>
      <c r="N38"/>
    </row>
    <row r="39" spans="1:14" s="1" customFormat="1" ht="60" customHeight="1">
      <c r="A39" s="189" t="s">
        <v>331</v>
      </c>
      <c r="B39" s="28" t="s">
        <v>60</v>
      </c>
      <c r="C39" s="116"/>
      <c r="D39" s="352">
        <v>98555.89</v>
      </c>
      <c r="E39" s="167"/>
      <c r="F39" s="166"/>
      <c r="G39" s="166"/>
      <c r="H39" s="166"/>
      <c r="K39"/>
      <c r="L39"/>
      <c r="M39"/>
      <c r="N39"/>
    </row>
    <row r="40" spans="1:14" s="1" customFormat="1" ht="39.75" customHeight="1">
      <c r="A40" s="189" t="s">
        <v>330</v>
      </c>
      <c r="B40" s="28" t="s">
        <v>242</v>
      </c>
      <c r="C40" s="23" t="s">
        <v>49</v>
      </c>
      <c r="D40" s="111">
        <v>5455</v>
      </c>
      <c r="E40" s="167"/>
      <c r="F40" s="166"/>
      <c r="G40" s="166"/>
      <c r="H40" s="166"/>
      <c r="K40"/>
      <c r="L40"/>
      <c r="M40"/>
      <c r="N40"/>
    </row>
    <row r="41" spans="1:14" s="1" customFormat="1" ht="18" customHeight="1">
      <c r="A41" s="188" t="s">
        <v>243</v>
      </c>
      <c r="B41" s="28" t="s">
        <v>244</v>
      </c>
      <c r="C41" s="116" t="s">
        <v>152</v>
      </c>
      <c r="D41" s="111">
        <v>28796</v>
      </c>
      <c r="E41" s="167"/>
      <c r="F41" s="166"/>
      <c r="G41" s="166"/>
      <c r="H41" s="166"/>
      <c r="K41"/>
      <c r="L41"/>
      <c r="M41"/>
      <c r="N41"/>
    </row>
    <row r="42" spans="1:14" s="1" customFormat="1" ht="21" customHeight="1">
      <c r="A42" s="188" t="s">
        <v>218</v>
      </c>
      <c r="B42" s="28" t="s">
        <v>221</v>
      </c>
      <c r="C42" s="116" t="s">
        <v>152</v>
      </c>
      <c r="D42" s="111">
        <v>62101</v>
      </c>
      <c r="E42" s="167"/>
      <c r="F42" s="166"/>
      <c r="G42" s="166"/>
      <c r="H42" s="166"/>
      <c r="K42"/>
      <c r="L42"/>
      <c r="M42"/>
      <c r="N42"/>
    </row>
    <row r="43" spans="1:14" s="1" customFormat="1" ht="21" customHeight="1">
      <c r="A43" s="188" t="s">
        <v>245</v>
      </c>
      <c r="B43" s="28" t="s">
        <v>226</v>
      </c>
      <c r="C43" s="23" t="s">
        <v>41</v>
      </c>
      <c r="D43" s="111">
        <v>1042.42</v>
      </c>
      <c r="E43" s="167"/>
      <c r="F43" s="166"/>
      <c r="G43" s="166"/>
      <c r="H43" s="166"/>
      <c r="K43"/>
      <c r="L43"/>
      <c r="M43"/>
      <c r="N43"/>
    </row>
    <row r="44" spans="1:14" s="1" customFormat="1" ht="17.25" customHeight="1">
      <c r="A44" s="189" t="s">
        <v>329</v>
      </c>
      <c r="B44" s="28" t="s">
        <v>239</v>
      </c>
      <c r="C44" s="23" t="s">
        <v>41</v>
      </c>
      <c r="D44" s="111">
        <v>756.47</v>
      </c>
      <c r="E44" s="167"/>
      <c r="F44" s="166"/>
      <c r="G44" s="166"/>
      <c r="H44" s="166"/>
      <c r="K44"/>
      <c r="L44"/>
      <c r="M44"/>
      <c r="N44"/>
    </row>
    <row r="45" spans="1:14" s="1" customFormat="1" ht="17.25" customHeight="1">
      <c r="A45" s="189" t="s">
        <v>247</v>
      </c>
      <c r="B45" s="28" t="s">
        <v>226</v>
      </c>
      <c r="C45" s="23" t="s">
        <v>49</v>
      </c>
      <c r="D45" s="111">
        <v>405</v>
      </c>
      <c r="E45" s="167"/>
      <c r="F45" s="166"/>
      <c r="G45" s="166"/>
      <c r="H45" s="166"/>
      <c r="K45"/>
      <c r="L45"/>
      <c r="M45"/>
      <c r="N45"/>
    </row>
    <row r="46" spans="1:14" s="1" customFormat="1" ht="15">
      <c r="A46" s="112" t="s">
        <v>61</v>
      </c>
      <c r="B46" s="22"/>
      <c r="C46" s="23"/>
      <c r="D46" s="16">
        <f>SUM(D30:D39)</f>
        <v>807701.914</v>
      </c>
      <c r="E46" s="167">
        <f>D46-D39</f>
        <v>709146.024</v>
      </c>
      <c r="F46" s="166"/>
      <c r="G46" s="166"/>
      <c r="H46" s="166"/>
      <c r="K46"/>
      <c r="L46"/>
      <c r="M46"/>
      <c r="N46"/>
    </row>
    <row r="47" spans="1:14" s="1" customFormat="1" ht="15">
      <c r="A47" s="112" t="s">
        <v>62</v>
      </c>
      <c r="B47" s="34" t="s">
        <v>14</v>
      </c>
      <c r="C47" s="23"/>
      <c r="D47" s="16">
        <f>C14+C19*0.9992+C25+C26-D39</f>
        <v>303598.77454719995</v>
      </c>
      <c r="E47" s="166"/>
      <c r="F47" s="166"/>
      <c r="G47" s="166"/>
      <c r="H47" s="166"/>
      <c r="K47"/>
      <c r="L47"/>
      <c r="M47"/>
      <c r="N47"/>
    </row>
    <row r="48" spans="1:8" ht="15">
      <c r="A48" s="33" t="s">
        <v>15</v>
      </c>
      <c r="B48" s="34" t="s">
        <v>14</v>
      </c>
      <c r="C48" s="23"/>
      <c r="D48" s="14">
        <v>0</v>
      </c>
      <c r="E48" s="166"/>
      <c r="F48" s="166"/>
      <c r="G48" s="166"/>
      <c r="H48" s="166"/>
    </row>
    <row r="49" spans="1:8" ht="15">
      <c r="A49" s="33" t="s">
        <v>16</v>
      </c>
      <c r="B49" s="34" t="s">
        <v>14</v>
      </c>
      <c r="C49" s="23"/>
      <c r="D49" s="16">
        <v>75227.85</v>
      </c>
      <c r="E49" s="166"/>
      <c r="F49" s="166"/>
      <c r="G49" s="166"/>
      <c r="H49" s="166"/>
    </row>
    <row r="50" spans="1:8" ht="24" customHeight="1">
      <c r="A50" s="337" t="s">
        <v>63</v>
      </c>
      <c r="B50" s="337"/>
      <c r="C50" s="337"/>
      <c r="D50" s="337"/>
      <c r="E50" s="166"/>
      <c r="F50" s="166"/>
      <c r="G50" s="166"/>
      <c r="H50" s="166"/>
    </row>
    <row r="51" spans="1:8" ht="15">
      <c r="A51" s="33" t="s">
        <v>64</v>
      </c>
      <c r="B51" s="22" t="s">
        <v>65</v>
      </c>
      <c r="C51" s="23">
        <v>0</v>
      </c>
      <c r="D51" s="14">
        <v>0</v>
      </c>
      <c r="E51" s="166"/>
      <c r="F51" s="166"/>
      <c r="G51" s="166"/>
      <c r="H51" s="166"/>
    </row>
    <row r="52" spans="1:8" ht="15">
      <c r="A52" s="33" t="s">
        <v>66</v>
      </c>
      <c r="B52" s="22" t="s">
        <v>65</v>
      </c>
      <c r="C52" s="23">
        <v>0</v>
      </c>
      <c r="D52" s="14">
        <v>0</v>
      </c>
      <c r="E52" s="166"/>
      <c r="F52" s="166"/>
      <c r="G52" s="166"/>
      <c r="H52" s="166"/>
    </row>
    <row r="53" spans="1:8" ht="15">
      <c r="A53" s="35" t="s">
        <v>67</v>
      </c>
      <c r="B53" s="22" t="s">
        <v>65</v>
      </c>
      <c r="C53" s="23">
        <v>0</v>
      </c>
      <c r="D53" s="14">
        <v>0</v>
      </c>
      <c r="E53" s="166"/>
      <c r="F53" s="166"/>
      <c r="G53" s="166"/>
      <c r="H53" s="166"/>
    </row>
    <row r="54" spans="1:8" ht="15">
      <c r="A54" s="33" t="s">
        <v>68</v>
      </c>
      <c r="B54" s="22" t="s">
        <v>14</v>
      </c>
      <c r="C54" s="23">
        <v>0</v>
      </c>
      <c r="D54" s="14">
        <v>0</v>
      </c>
      <c r="E54" s="166"/>
      <c r="F54" s="166"/>
      <c r="G54" s="166"/>
      <c r="H54" s="166"/>
    </row>
    <row r="55" spans="1:8" ht="20.25" customHeight="1">
      <c r="A55" s="338" t="s">
        <v>69</v>
      </c>
      <c r="B55" s="338"/>
      <c r="C55" s="338"/>
      <c r="D55" s="338"/>
      <c r="E55" s="166"/>
      <c r="F55" s="166"/>
      <c r="G55" s="166"/>
      <c r="H55" s="166"/>
    </row>
    <row r="56" spans="1:8" ht="25.5">
      <c r="A56" s="35" t="s">
        <v>70</v>
      </c>
      <c r="B56" s="22" t="s">
        <v>14</v>
      </c>
      <c r="C56" s="23"/>
      <c r="D56" s="23">
        <v>0</v>
      </c>
      <c r="E56" s="166"/>
      <c r="F56" s="166"/>
      <c r="G56" s="166"/>
      <c r="H56" s="166"/>
    </row>
    <row r="57" spans="1:8" ht="15">
      <c r="A57" s="33" t="s">
        <v>15</v>
      </c>
      <c r="B57" s="22" t="s">
        <v>14</v>
      </c>
      <c r="C57" s="23"/>
      <c r="D57" s="23">
        <v>0</v>
      </c>
      <c r="E57" s="166"/>
      <c r="F57" s="166"/>
      <c r="G57" s="166"/>
      <c r="H57" s="166"/>
    </row>
    <row r="58" spans="1:8" ht="15">
      <c r="A58" s="33" t="s">
        <v>16</v>
      </c>
      <c r="B58" s="22" t="s">
        <v>14</v>
      </c>
      <c r="C58" s="23"/>
      <c r="D58" s="117">
        <f>D61-D64-D65-D66-D67</f>
        <v>172981.27295999997</v>
      </c>
      <c r="E58" s="166"/>
      <c r="F58" s="166"/>
      <c r="G58" s="166"/>
      <c r="H58" s="168"/>
    </row>
    <row r="59" spans="1:8" ht="15">
      <c r="A59" s="97" t="s">
        <v>115</v>
      </c>
      <c r="B59" s="22" t="s">
        <v>14</v>
      </c>
      <c r="C59" s="115"/>
      <c r="D59" s="115">
        <v>0</v>
      </c>
      <c r="E59" s="166"/>
      <c r="F59" s="166"/>
      <c r="G59" s="166"/>
      <c r="H59" s="166"/>
    </row>
    <row r="60" spans="1:10" ht="17.25" customHeight="1">
      <c r="A60" s="40" t="s">
        <v>15</v>
      </c>
      <c r="B60" s="22" t="s">
        <v>14</v>
      </c>
      <c r="C60" s="23"/>
      <c r="D60" s="23">
        <v>0</v>
      </c>
      <c r="E60" s="166"/>
      <c r="F60" s="166"/>
      <c r="G60" s="166"/>
      <c r="H60" s="166"/>
      <c r="I60" s="36"/>
      <c r="J60" s="36"/>
    </row>
    <row r="61" spans="1:14" ht="15">
      <c r="A61" s="41" t="s">
        <v>16</v>
      </c>
      <c r="B61" s="22" t="s">
        <v>14</v>
      </c>
      <c r="C61" s="42"/>
      <c r="D61" s="42">
        <v>174623.89</v>
      </c>
      <c r="E61" s="166"/>
      <c r="F61" s="166"/>
      <c r="G61" s="166"/>
      <c r="H61" s="166" t="s">
        <v>30</v>
      </c>
      <c r="I61" s="43"/>
      <c r="J61" s="43"/>
      <c r="K61" s="44"/>
      <c r="L61" s="44"/>
      <c r="M61" s="44"/>
      <c r="N61" s="44"/>
    </row>
    <row r="62" spans="1:14" ht="18" customHeight="1" thickBot="1">
      <c r="A62" s="339" t="s">
        <v>72</v>
      </c>
      <c r="B62" s="339"/>
      <c r="C62" s="339"/>
      <c r="D62" s="339"/>
      <c r="E62" s="171"/>
      <c r="F62" s="175"/>
      <c r="G62" s="176"/>
      <c r="H62" s="166"/>
      <c r="I62" s="48"/>
      <c r="J62" s="48"/>
      <c r="K62" s="49"/>
      <c r="L62" s="49"/>
      <c r="M62" s="49"/>
      <c r="N62" s="49"/>
    </row>
    <row r="63" spans="1:14" ht="78.75">
      <c r="A63" s="50" t="s">
        <v>73</v>
      </c>
      <c r="B63" s="51" t="s">
        <v>74</v>
      </c>
      <c r="C63" s="52" t="s">
        <v>75</v>
      </c>
      <c r="D63" s="53" t="s">
        <v>116</v>
      </c>
      <c r="E63" s="171"/>
      <c r="F63" s="175"/>
      <c r="G63" s="176"/>
      <c r="H63" s="166"/>
      <c r="I63" s="48"/>
      <c r="J63" s="48"/>
      <c r="K63" s="49"/>
      <c r="L63" s="49"/>
      <c r="M63" s="49"/>
      <c r="N63" s="49"/>
    </row>
    <row r="64" spans="1:14" ht="15">
      <c r="A64" s="55" t="s">
        <v>77</v>
      </c>
      <c r="B64" s="13">
        <v>189844.22</v>
      </c>
      <c r="C64" s="56">
        <f>B64*0.9992</f>
        <v>189692.344624</v>
      </c>
      <c r="D64" s="57">
        <f>B64-C64</f>
        <v>151.87537600001087</v>
      </c>
      <c r="E64" s="171"/>
      <c r="F64" s="175"/>
      <c r="G64" s="176"/>
      <c r="H64" s="166"/>
      <c r="I64" s="48"/>
      <c r="J64" s="48"/>
      <c r="K64" s="49"/>
      <c r="L64" s="49"/>
      <c r="M64" s="49"/>
      <c r="N64" s="49"/>
    </row>
    <row r="65" spans="1:14" ht="15">
      <c r="A65" s="55" t="s">
        <v>78</v>
      </c>
      <c r="B65" s="13">
        <v>347423.65</v>
      </c>
      <c r="C65" s="56">
        <f>B65*0.9992</f>
        <v>347145.71108000004</v>
      </c>
      <c r="D65" s="57">
        <f>B65-C65</f>
        <v>277.93891999998596</v>
      </c>
      <c r="E65" s="171"/>
      <c r="F65" s="175"/>
      <c r="G65" s="176"/>
      <c r="H65" s="166"/>
      <c r="I65" s="48"/>
      <c r="J65" s="48"/>
      <c r="K65" s="49"/>
      <c r="L65" s="49"/>
      <c r="M65" s="49"/>
      <c r="N65" s="49"/>
    </row>
    <row r="66" spans="1:14" ht="15">
      <c r="A66" s="55" t="s">
        <v>79</v>
      </c>
      <c r="B66" s="99">
        <v>1042458.06</v>
      </c>
      <c r="C66" s="56">
        <f>B66*0.9992</f>
        <v>1041624.093552</v>
      </c>
      <c r="D66" s="57">
        <f>B66-C66</f>
        <v>833.9664480000501</v>
      </c>
      <c r="E66" s="171">
        <f>(2.07+1.8)*6*2301.2-0.37*2301.2*6</f>
        <v>48325.2</v>
      </c>
      <c r="F66" s="178"/>
      <c r="G66" s="179"/>
      <c r="H66" s="171"/>
      <c r="I66" s="48"/>
      <c r="J66" s="48"/>
      <c r="K66" s="49"/>
      <c r="L66" s="49"/>
      <c r="M66" s="49"/>
      <c r="N66" s="49"/>
    </row>
    <row r="67" spans="1:14" ht="15">
      <c r="A67" s="55" t="s">
        <v>80</v>
      </c>
      <c r="B67" s="99">
        <v>473545.37</v>
      </c>
      <c r="C67" s="56">
        <f>B67*0.9992</f>
        <v>473166.533704</v>
      </c>
      <c r="D67" s="57">
        <f>B67-C67</f>
        <v>378.83629599999404</v>
      </c>
      <c r="E67" s="171"/>
      <c r="F67" s="178"/>
      <c r="G67" s="179"/>
      <c r="H67" s="166"/>
      <c r="I67" s="48"/>
      <c r="J67" s="48"/>
      <c r="K67" s="49"/>
      <c r="L67" s="49"/>
      <c r="M67" s="49"/>
      <c r="N67" s="49"/>
    </row>
    <row r="68" spans="1:14" ht="15.75" thickBot="1">
      <c r="A68" s="137" t="s">
        <v>81</v>
      </c>
      <c r="B68" s="138">
        <v>0</v>
      </c>
      <c r="C68" s="139">
        <f>B68*1.0112</f>
        <v>0</v>
      </c>
      <c r="D68" s="140">
        <v>0</v>
      </c>
      <c r="E68" s="171"/>
      <c r="F68" s="178"/>
      <c r="G68" s="179"/>
      <c r="H68" s="166"/>
      <c r="I68" s="48"/>
      <c r="J68" s="48"/>
      <c r="K68" s="49"/>
      <c r="L68" s="49"/>
      <c r="M68" s="49"/>
      <c r="N68" s="49"/>
    </row>
    <row r="69" spans="1:14" ht="126">
      <c r="A69" s="141" t="s">
        <v>82</v>
      </c>
      <c r="B69" s="142" t="s">
        <v>83</v>
      </c>
      <c r="C69" s="143" t="s">
        <v>84</v>
      </c>
      <c r="D69" s="144" t="s">
        <v>85</v>
      </c>
      <c r="E69" s="45"/>
      <c r="F69" s="58"/>
      <c r="H69" s="48"/>
      <c r="I69" s="48"/>
      <c r="J69" s="48"/>
      <c r="K69" s="49"/>
      <c r="L69" s="49"/>
      <c r="M69" s="49"/>
      <c r="N69" s="49"/>
    </row>
    <row r="70" spans="1:14" ht="15">
      <c r="A70" s="145" t="s">
        <v>77</v>
      </c>
      <c r="B70" s="100">
        <f>B64</f>
        <v>189844.22</v>
      </c>
      <c r="C70" s="101">
        <f>C64</f>
        <v>189692.344624</v>
      </c>
      <c r="D70" s="146">
        <f>B70-C70</f>
        <v>151.87537600001087</v>
      </c>
      <c r="E70" s="45"/>
      <c r="F70" s="58"/>
      <c r="H70" s="48"/>
      <c r="I70" s="48"/>
      <c r="J70" s="48" t="s">
        <v>30</v>
      </c>
      <c r="K70" s="49"/>
      <c r="L70" s="49"/>
      <c r="M70" s="49"/>
      <c r="N70" s="49"/>
    </row>
    <row r="71" spans="1:14" ht="15">
      <c r="A71" s="145" t="s">
        <v>78</v>
      </c>
      <c r="B71" s="100">
        <f>B65</f>
        <v>347423.65</v>
      </c>
      <c r="C71" s="101">
        <f>C65</f>
        <v>347145.71108000004</v>
      </c>
      <c r="D71" s="146">
        <f>B71-C71</f>
        <v>277.93891999998596</v>
      </c>
      <c r="E71" s="45"/>
      <c r="F71" s="58"/>
      <c r="H71" s="48"/>
      <c r="I71" s="48"/>
      <c r="J71" s="48"/>
      <c r="K71" s="49"/>
      <c r="L71" s="49"/>
      <c r="M71" s="49"/>
      <c r="N71" s="49"/>
    </row>
    <row r="72" spans="1:14" ht="15">
      <c r="A72" s="145" t="s">
        <v>79</v>
      </c>
      <c r="B72" s="100">
        <v>1143538.83</v>
      </c>
      <c r="C72" s="101">
        <f>C66</f>
        <v>1041624.093552</v>
      </c>
      <c r="D72" s="146">
        <f>B72-C72</f>
        <v>101914.73644800007</v>
      </c>
      <c r="E72" s="45"/>
      <c r="F72" s="58"/>
      <c r="H72" s="48"/>
      <c r="I72" s="48"/>
      <c r="J72" s="48"/>
      <c r="K72" s="49"/>
      <c r="L72" s="49"/>
      <c r="M72" s="49"/>
      <c r="N72" s="49"/>
    </row>
    <row r="73" spans="1:14" ht="15">
      <c r="A73" s="145" t="s">
        <v>80</v>
      </c>
      <c r="B73" s="100">
        <f>B67</f>
        <v>473545.37</v>
      </c>
      <c r="C73" s="101">
        <f>C67</f>
        <v>473166.533704</v>
      </c>
      <c r="D73" s="146">
        <f>B73-C73</f>
        <v>378.83629599999404</v>
      </c>
      <c r="E73" s="45"/>
      <c r="F73" s="58"/>
      <c r="H73" s="48"/>
      <c r="I73" s="48"/>
      <c r="J73" s="48"/>
      <c r="K73" s="49"/>
      <c r="L73" s="49"/>
      <c r="M73" s="49"/>
      <c r="N73" s="49"/>
    </row>
    <row r="74" spans="1:14" ht="15.75" thickBot="1">
      <c r="A74" s="147" t="s">
        <v>81</v>
      </c>
      <c r="B74" s="148"/>
      <c r="C74" s="149"/>
      <c r="D74" s="150">
        <f>B74-C74</f>
        <v>0</v>
      </c>
      <c r="E74" s="45"/>
      <c r="F74" s="58"/>
      <c r="H74" s="48" t="s">
        <v>30</v>
      </c>
      <c r="I74" s="48"/>
      <c r="J74" s="48"/>
      <c r="K74" s="49"/>
      <c r="L74" s="49"/>
      <c r="M74" s="49"/>
      <c r="N74" s="49"/>
    </row>
    <row r="75" spans="1:14" ht="15">
      <c r="A75" s="61"/>
      <c r="B75" s="60"/>
      <c r="C75" s="62"/>
      <c r="D75" s="63"/>
      <c r="E75" s="45"/>
      <c r="F75" s="58"/>
      <c r="H75" s="48"/>
      <c r="I75" s="48"/>
      <c r="J75" s="48"/>
      <c r="K75" s="49"/>
      <c r="L75" s="49"/>
      <c r="M75" s="49"/>
      <c r="N75" s="49"/>
    </row>
    <row r="76" spans="1:14" ht="25.5">
      <c r="A76" s="64" t="s">
        <v>86</v>
      </c>
      <c r="B76" s="60" t="s">
        <v>14</v>
      </c>
      <c r="C76" s="65"/>
      <c r="D76" s="66">
        <v>0</v>
      </c>
      <c r="E76" s="45"/>
      <c r="F76" s="58"/>
      <c r="H76" s="48"/>
      <c r="I76" s="48"/>
      <c r="J76" s="48" t="s">
        <v>30</v>
      </c>
      <c r="K76" s="49"/>
      <c r="L76" s="49"/>
      <c r="M76" s="49"/>
      <c r="N76" s="49"/>
    </row>
    <row r="77" spans="1:14" ht="17.25" customHeight="1">
      <c r="A77" s="345" t="s">
        <v>87</v>
      </c>
      <c r="B77" s="345"/>
      <c r="C77" s="345"/>
      <c r="D77" s="345"/>
      <c r="E77" s="67" t="e">
        <f>D77+B18</f>
        <v>#VALUE!</v>
      </c>
      <c r="F77" s="48"/>
      <c r="H77" s="68" t="e">
        <f>E77-B17</f>
        <v>#VALUE!</v>
      </c>
      <c r="I77" s="48"/>
      <c r="J77" s="48"/>
      <c r="K77" s="49"/>
      <c r="L77" s="49"/>
      <c r="M77" s="49"/>
      <c r="N77" s="49"/>
    </row>
    <row r="78" spans="1:5" ht="21" customHeight="1">
      <c r="A78" s="69" t="s">
        <v>64</v>
      </c>
      <c r="B78" s="69" t="s">
        <v>65</v>
      </c>
      <c r="C78" s="132">
        <v>0</v>
      </c>
      <c r="D78" s="134"/>
      <c r="E78" s="72"/>
    </row>
    <row r="79" spans="1:5" ht="21" customHeight="1">
      <c r="A79" s="69" t="s">
        <v>66</v>
      </c>
      <c r="B79" s="69" t="s">
        <v>65</v>
      </c>
      <c r="C79" s="133">
        <v>0</v>
      </c>
      <c r="D79" s="134"/>
      <c r="E79" s="72"/>
    </row>
    <row r="80" spans="1:14" s="1" customFormat="1" ht="18" customHeight="1">
      <c r="A80" s="69" t="s">
        <v>67</v>
      </c>
      <c r="B80" s="69" t="s">
        <v>65</v>
      </c>
      <c r="C80" s="133">
        <v>0</v>
      </c>
      <c r="D80" s="134"/>
      <c r="E80" s="72"/>
      <c r="K80"/>
      <c r="L80"/>
      <c r="M80"/>
      <c r="N80"/>
    </row>
    <row r="81" spans="1:14" s="1" customFormat="1" ht="16.5" customHeight="1">
      <c r="A81" s="69" t="s">
        <v>68</v>
      </c>
      <c r="B81" s="69" t="s">
        <v>14</v>
      </c>
      <c r="C81" s="133">
        <v>0</v>
      </c>
      <c r="D81" s="134"/>
      <c r="E81" s="72"/>
      <c r="K81"/>
      <c r="L81"/>
      <c r="M81"/>
      <c r="N81"/>
    </row>
    <row r="82" spans="1:14" s="1" customFormat="1" ht="15.75" customHeight="1">
      <c r="A82" s="324" t="s">
        <v>88</v>
      </c>
      <c r="B82" s="324"/>
      <c r="C82" s="324"/>
      <c r="D82" s="324"/>
      <c r="E82" s="72"/>
      <c r="K82"/>
      <c r="L82"/>
      <c r="M82"/>
      <c r="N82"/>
    </row>
    <row r="83" spans="1:14" s="1" customFormat="1" ht="18.75" customHeight="1">
      <c r="A83" s="69" t="s">
        <v>89</v>
      </c>
      <c r="B83" s="69" t="s">
        <v>65</v>
      </c>
      <c r="C83" s="133">
        <v>2</v>
      </c>
      <c r="D83" s="134"/>
      <c r="E83" s="72"/>
      <c r="K83"/>
      <c r="L83"/>
      <c r="M83"/>
      <c r="N83"/>
    </row>
    <row r="84" spans="1:14" s="1" customFormat="1" ht="21.75" customHeight="1">
      <c r="A84" s="69" t="s">
        <v>90</v>
      </c>
      <c r="B84" s="40" t="s">
        <v>65</v>
      </c>
      <c r="C84" s="135">
        <v>3</v>
      </c>
      <c r="D84" s="134"/>
      <c r="E84" s="72"/>
      <c r="K84"/>
      <c r="L84"/>
      <c r="M84"/>
      <c r="N84"/>
    </row>
    <row r="85" spans="1:14" s="1" customFormat="1" ht="36" customHeight="1">
      <c r="A85" s="73" t="s">
        <v>91</v>
      </c>
      <c r="B85" s="69" t="s">
        <v>14</v>
      </c>
      <c r="C85" s="133">
        <v>116964</v>
      </c>
      <c r="D85" s="134"/>
      <c r="E85" s="72"/>
      <c r="K85"/>
      <c r="L85"/>
      <c r="M85"/>
      <c r="N85"/>
    </row>
    <row r="86" spans="1:14" s="1" customFormat="1" ht="15">
      <c r="A86" s="49"/>
      <c r="B86" s="49"/>
      <c r="C86" s="49"/>
      <c r="D86" s="74"/>
      <c r="K86"/>
      <c r="L86"/>
      <c r="M86"/>
      <c r="N86"/>
    </row>
    <row r="87" spans="1:14" s="1" customFormat="1" ht="12.75">
      <c r="A87"/>
      <c r="B87"/>
      <c r="C87"/>
      <c r="D87"/>
      <c r="H87" s="1" t="s">
        <v>30</v>
      </c>
      <c r="K87"/>
      <c r="L87"/>
      <c r="M87"/>
      <c r="N87"/>
    </row>
    <row r="88" spans="1:14" s="1" customFormat="1" ht="12.75">
      <c r="A88" t="s">
        <v>92</v>
      </c>
      <c r="B88"/>
      <c r="C88"/>
      <c r="D88"/>
      <c r="K88"/>
      <c r="L88"/>
      <c r="M88"/>
      <c r="N88"/>
    </row>
    <row r="89" spans="1:14" s="1" customFormat="1" ht="12.75">
      <c r="A89"/>
      <c r="B89"/>
      <c r="C89"/>
      <c r="D89"/>
      <c r="H89" s="1" t="s">
        <v>30</v>
      </c>
      <c r="K89"/>
      <c r="L89"/>
      <c r="M89"/>
      <c r="N89"/>
    </row>
    <row r="90" spans="1:14" s="1" customFormat="1" ht="12.75">
      <c r="A90" t="s">
        <v>93</v>
      </c>
      <c r="B90"/>
      <c r="C90"/>
      <c r="D90"/>
      <c r="K90"/>
      <c r="L90"/>
      <c r="M90"/>
      <c r="N90"/>
    </row>
    <row r="94" spans="1:14" s="1" customFormat="1" ht="12.75">
      <c r="A94"/>
      <c r="B94"/>
      <c r="C94"/>
      <c r="D94"/>
      <c r="E94" s="1" t="s">
        <v>30</v>
      </c>
      <c r="K94"/>
      <c r="L94"/>
      <c r="M94"/>
      <c r="N94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13:D13"/>
    <mergeCell ref="A28:D28"/>
    <mergeCell ref="A50:D50"/>
    <mergeCell ref="A55:D55"/>
    <mergeCell ref="A62:D62"/>
    <mergeCell ref="A77:D77"/>
    <mergeCell ref="A82:D82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Сметчик</cp:lastModifiedBy>
  <cp:lastPrinted>2017-03-31T13:22:01Z</cp:lastPrinted>
  <dcterms:created xsi:type="dcterms:W3CDTF">2016-03-09T13:37:33Z</dcterms:created>
  <dcterms:modified xsi:type="dcterms:W3CDTF">2017-03-31T13:26:49Z</dcterms:modified>
  <cp:category/>
  <cp:version/>
  <cp:contentType/>
  <cp:contentStatus/>
</cp:coreProperties>
</file>